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_of_Directors\Committees of the Board\Budget and Finance Committee\meeting minutes 2015\"/>
    </mc:Choice>
  </mc:AlternateContent>
  <bookViews>
    <workbookView xWindow="90" yWindow="4020" windowWidth="14955" windowHeight="9060" tabRatio="787"/>
  </bookViews>
  <sheets>
    <sheet name="Notes" sheetId="15" r:id="rId1"/>
    <sheet name="June 15 Revenues &amp; Expenses" sheetId="3" r:id="rId2"/>
    <sheet name="October Grants Timeline" sheetId="9" state="hidden" r:id="rId3"/>
    <sheet name="June 15 AR Aging " sheetId="6" r:id="rId4"/>
    <sheet name="Charts" sheetId="11" state="hidden" r:id="rId5"/>
    <sheet name="June 15 Financial Position" sheetId="5" r:id="rId6"/>
    <sheet name="June 15 State of Activities" sheetId="12" r:id="rId7"/>
    <sheet name="June 15 - Transportation" sheetId="13" r:id="rId8"/>
    <sheet name="Sheet1" sheetId="16" state="hidden" r:id="rId9"/>
    <sheet name="YE Trend" sheetId="17" r:id="rId10"/>
    <sheet name="Funds Available" sheetId="18" r:id="rId11"/>
    <sheet name="Restrictions" sheetId="19" r:id="rId12"/>
    <sheet name="October Cash Flow" sheetId="14" state="hidden" r:id="rId13"/>
  </sheets>
  <externalReferences>
    <externalReference r:id="rId14"/>
    <externalReference r:id="rId15"/>
  </externalReferences>
  <definedNames>
    <definedName name="_xlnm.Print_Area" localSheetId="4">Charts!$A$4:$L$38</definedName>
    <definedName name="_xlnm.Print_Area" localSheetId="10">'Funds Available'!$B$70:$F$96</definedName>
    <definedName name="_xlnm.Print_Area" localSheetId="7">'June 15 - Transportation'!$A$1:$N$47</definedName>
    <definedName name="_xlnm.Print_Area" localSheetId="3">'June 15 AR Aging '!$A$1:$G$82</definedName>
    <definedName name="_xlnm.Print_Area" localSheetId="5">'June 15 Financial Position'!$A$1:$Q$64</definedName>
    <definedName name="_xlnm.Print_Area" localSheetId="1">'June 15 Revenues &amp; Expenses'!$A$1:$L$67</definedName>
    <definedName name="_xlnm.Print_Area" localSheetId="6">'June 15 State of Activities'!$A$1:$Y$71</definedName>
    <definedName name="_xlnm.Print_Area" localSheetId="0">Notes!$A$1:$A$24</definedName>
    <definedName name="_xlnm.Print_Area" localSheetId="12">'October Cash Flow'!$A$1:$I$40</definedName>
    <definedName name="_xlnm.Print_Area" localSheetId="2">'October Grants Timeline'!$A$1:$BA$26</definedName>
    <definedName name="_xlnm.Print_Area" localSheetId="11">Restrictions!$A$1:$H$60</definedName>
    <definedName name="_xlnm.Print_Area" localSheetId="9">'YE Trend'!$A$1:$W$41</definedName>
  </definedNames>
  <calcPr calcId="152511"/>
</workbook>
</file>

<file path=xl/calcChain.xml><?xml version="1.0" encoding="utf-8"?>
<calcChain xmlns="http://schemas.openxmlformats.org/spreadsheetml/2006/main">
  <c r="N30" i="13" l="1"/>
  <c r="N41" i="13" s="1"/>
  <c r="N42" i="13" s="1"/>
  <c r="N46" i="13" s="1"/>
  <c r="N24" i="13"/>
  <c r="N21" i="13"/>
  <c r="N20" i="13"/>
  <c r="J11" i="13" l="1"/>
  <c r="J34" i="13"/>
  <c r="J22" i="13"/>
  <c r="J14" i="13"/>
  <c r="J13" i="13"/>
  <c r="O66" i="12"/>
  <c r="O65" i="12"/>
  <c r="O64" i="12"/>
  <c r="O63" i="12"/>
  <c r="O62" i="12"/>
  <c r="O58" i="12"/>
  <c r="O56" i="12"/>
  <c r="O55" i="12"/>
  <c r="O54" i="12"/>
  <c r="O53" i="12"/>
  <c r="O52" i="12"/>
  <c r="O51" i="12"/>
  <c r="O50" i="12"/>
  <c r="O49" i="12"/>
  <c r="O48" i="12"/>
  <c r="O47" i="12"/>
  <c r="O46" i="12"/>
  <c r="O45" i="12"/>
  <c r="O44" i="12"/>
  <c r="O42" i="12"/>
  <c r="O41" i="12"/>
  <c r="O40" i="12"/>
  <c r="O39" i="12"/>
  <c r="O38" i="12"/>
  <c r="O37" i="12"/>
  <c r="O36" i="12"/>
  <c r="O35" i="12"/>
  <c r="O34" i="12"/>
  <c r="O33" i="12"/>
  <c r="O32" i="12"/>
  <c r="O31" i="12"/>
  <c r="O28" i="12"/>
  <c r="O27" i="12"/>
  <c r="O26" i="12"/>
  <c r="O25" i="12"/>
  <c r="O23" i="12"/>
  <c r="O22" i="12"/>
  <c r="O21" i="12"/>
  <c r="O20" i="12"/>
  <c r="O19" i="12"/>
  <c r="O18" i="12"/>
  <c r="O17" i="12"/>
  <c r="O16" i="12"/>
  <c r="O15" i="12"/>
  <c r="O13" i="12"/>
  <c r="O12" i="12"/>
  <c r="O11" i="12"/>
  <c r="O10" i="12"/>
  <c r="O9" i="12"/>
  <c r="Q22" i="5" l="1"/>
  <c r="J45" i="12"/>
  <c r="J64" i="12"/>
  <c r="G64" i="12"/>
  <c r="M51" i="5"/>
  <c r="M50" i="5"/>
  <c r="M42" i="5"/>
  <c r="M31" i="5"/>
  <c r="M22" i="5"/>
  <c r="Q50" i="5"/>
  <c r="Q51" i="5"/>
  <c r="Q42" i="5"/>
  <c r="Q31" i="5"/>
  <c r="J54" i="12"/>
  <c r="J32" i="12"/>
  <c r="J37" i="12"/>
  <c r="J51" i="12"/>
  <c r="J47" i="12"/>
  <c r="J39" i="12"/>
  <c r="J33" i="12"/>
  <c r="J19" i="12"/>
  <c r="J20" i="12"/>
  <c r="J12" i="12"/>
  <c r="G54" i="12"/>
  <c r="G51" i="12"/>
  <c r="G47" i="12"/>
  <c r="G46" i="12"/>
  <c r="G39" i="12"/>
  <c r="G33" i="12"/>
  <c r="G19" i="12"/>
  <c r="G20" i="12"/>
  <c r="G21" i="12"/>
  <c r="G23" i="12"/>
  <c r="G12" i="12"/>
  <c r="I42" i="3" l="1"/>
  <c r="I41" i="3"/>
  <c r="I45" i="3"/>
  <c r="J57" i="3"/>
  <c r="I27" i="3" l="1"/>
  <c r="C63" i="6"/>
  <c r="C67" i="6"/>
  <c r="F47" i="6"/>
  <c r="E47" i="6"/>
  <c r="F57" i="6"/>
  <c r="C52" i="6"/>
  <c r="C51" i="6"/>
  <c r="E46" i="6"/>
  <c r="E41" i="6"/>
  <c r="C40" i="6"/>
  <c r="D30" i="6"/>
  <c r="C22" i="6"/>
  <c r="E22" i="6"/>
  <c r="G13" i="6"/>
  <c r="E14" i="6"/>
  <c r="E13" i="6"/>
  <c r="G50" i="19" l="1"/>
  <c r="G59" i="19" s="1"/>
  <c r="H62" i="19"/>
  <c r="H59" i="19"/>
  <c r="F51" i="19"/>
  <c r="F59" i="19" s="1"/>
  <c r="G44" i="19"/>
  <c r="F42" i="19"/>
  <c r="F37" i="19"/>
  <c r="F44" i="19" s="1"/>
  <c r="H33" i="19"/>
  <c r="H29" i="19"/>
  <c r="G29" i="19"/>
  <c r="D18" i="19"/>
  <c r="C18" i="19"/>
  <c r="D95" i="18"/>
  <c r="D94" i="18"/>
  <c r="D93" i="18"/>
  <c r="D92" i="18"/>
  <c r="D91" i="18"/>
  <c r="D90" i="18"/>
  <c r="D89" i="18"/>
  <c r="D88" i="18"/>
  <c r="D87" i="18"/>
  <c r="D86" i="18"/>
  <c r="D85" i="18"/>
  <c r="D84" i="18"/>
  <c r="D78" i="18"/>
  <c r="D82" i="18"/>
  <c r="D81" i="18"/>
  <c r="D80" i="18"/>
  <c r="D79" i="18"/>
  <c r="M120" i="18"/>
  <c r="M119" i="18"/>
  <c r="M118" i="18"/>
  <c r="N118" i="18" s="1"/>
  <c r="M117" i="18"/>
  <c r="M116" i="18"/>
  <c r="M115" i="18"/>
  <c r="M114" i="18"/>
  <c r="M113" i="18"/>
  <c r="N113" i="18" s="1"/>
  <c r="M112" i="18"/>
  <c r="M111" i="18"/>
  <c r="M110" i="18"/>
  <c r="M109" i="18"/>
  <c r="M108" i="18"/>
  <c r="M107" i="18"/>
  <c r="M106" i="18"/>
  <c r="M105" i="18"/>
  <c r="M104" i="18"/>
  <c r="N104" i="18" s="1"/>
  <c r="N120" i="18"/>
  <c r="N119" i="18"/>
  <c r="N117" i="18"/>
  <c r="N116" i="18"/>
  <c r="N115" i="18"/>
  <c r="N114" i="18"/>
  <c r="N112" i="18"/>
  <c r="N111" i="18"/>
  <c r="N110" i="18"/>
  <c r="N109" i="18"/>
  <c r="N108" i="18"/>
  <c r="N107" i="18"/>
  <c r="N106" i="18"/>
  <c r="N105" i="18"/>
  <c r="N103" i="18"/>
  <c r="M103" i="18"/>
  <c r="L120" i="18"/>
  <c r="L119" i="18"/>
  <c r="L118" i="18"/>
  <c r="L117" i="18"/>
  <c r="L116" i="18"/>
  <c r="L110" i="18"/>
  <c r="L109" i="18"/>
  <c r="L108" i="18"/>
  <c r="L107" i="18"/>
  <c r="L106" i="18"/>
  <c r="L105" i="18"/>
  <c r="L104" i="18"/>
  <c r="K118" i="18"/>
  <c r="K106" i="18"/>
  <c r="J115" i="18"/>
  <c r="J114" i="18"/>
  <c r="H119" i="18"/>
  <c r="H118" i="18"/>
  <c r="H117" i="18"/>
  <c r="H114" i="18"/>
  <c r="H105" i="18"/>
  <c r="H104" i="18"/>
  <c r="H103" i="18"/>
  <c r="I109" i="18"/>
  <c r="G116" i="18"/>
  <c r="G115" i="18"/>
  <c r="G114" i="18"/>
  <c r="G113" i="18"/>
  <c r="G112" i="18"/>
  <c r="F103" i="18"/>
  <c r="E118" i="18"/>
  <c r="G62" i="19" l="1"/>
  <c r="F94" i="18"/>
  <c r="F82" i="18"/>
  <c r="E95" i="18"/>
  <c r="F95" i="18" s="1"/>
  <c r="E94" i="18"/>
  <c r="E93" i="18"/>
  <c r="F93" i="18" s="1"/>
  <c r="E92" i="18"/>
  <c r="F92" i="18" s="1"/>
  <c r="E91" i="18"/>
  <c r="F91" i="18" s="1"/>
  <c r="E90" i="18"/>
  <c r="F90" i="18" s="1"/>
  <c r="E89" i="18"/>
  <c r="F89" i="18" s="1"/>
  <c r="E88" i="18"/>
  <c r="F88" i="18" s="1"/>
  <c r="E87" i="18"/>
  <c r="F87" i="18" s="1"/>
  <c r="E86" i="18"/>
  <c r="F86" i="18" s="1"/>
  <c r="E85" i="18"/>
  <c r="F85" i="18" s="1"/>
  <c r="E84" i="18"/>
  <c r="F84" i="18" s="1"/>
  <c r="E83" i="18"/>
  <c r="F83" i="18" s="1"/>
  <c r="E82" i="18"/>
  <c r="E81" i="18"/>
  <c r="F81" i="18" s="1"/>
  <c r="E80" i="18"/>
  <c r="F80" i="18" s="1"/>
  <c r="E79" i="18"/>
  <c r="F79" i="18" s="1"/>
  <c r="E78" i="18"/>
  <c r="F78" i="18" s="1"/>
  <c r="G29" i="18"/>
  <c r="J67" i="18"/>
  <c r="I64" i="18"/>
  <c r="M60" i="18"/>
  <c r="I60" i="18"/>
  <c r="G60" i="18"/>
  <c r="K57" i="18"/>
  <c r="L57" i="18" s="1"/>
  <c r="K56" i="18"/>
  <c r="L56" i="18" s="1"/>
  <c r="H55" i="18"/>
  <c r="K55" i="18" s="1"/>
  <c r="L55" i="18" s="1"/>
  <c r="K54" i="18"/>
  <c r="L54" i="18" s="1"/>
  <c r="J53" i="18"/>
  <c r="K53" i="18" s="1"/>
  <c r="J52" i="18"/>
  <c r="G64" i="18" s="1"/>
  <c r="F52" i="18"/>
  <c r="F60" i="18" s="1"/>
  <c r="H51" i="18"/>
  <c r="K51" i="18" s="1"/>
  <c r="H45" i="18"/>
  <c r="G45" i="18"/>
  <c r="J43" i="18"/>
  <c r="F43" i="18"/>
  <c r="K42" i="18"/>
  <c r="K39" i="18"/>
  <c r="K38" i="18"/>
  <c r="F38" i="18"/>
  <c r="K37" i="18"/>
  <c r="K36" i="18"/>
  <c r="I34" i="18"/>
  <c r="K29" i="18"/>
  <c r="M18" i="18"/>
  <c r="N18" i="18" s="1"/>
  <c r="D18" i="18"/>
  <c r="C18" i="18"/>
  <c r="M17" i="18"/>
  <c r="N17" i="18" s="1"/>
  <c r="M15" i="18"/>
  <c r="N15" i="18" s="1"/>
  <c r="M12" i="18"/>
  <c r="N12" i="18" s="1"/>
  <c r="M11" i="18"/>
  <c r="N11" i="18" s="1"/>
  <c r="F45" i="18" l="1"/>
  <c r="J45" i="18"/>
  <c r="H60" i="18"/>
  <c r="K52" i="18"/>
  <c r="L52" i="18" s="1"/>
  <c r="I45" i="18"/>
  <c r="I29" i="18"/>
  <c r="L51" i="18"/>
  <c r="J60" i="18"/>
  <c r="K34" i="18"/>
  <c r="K45" i="18" s="1"/>
  <c r="L45" i="18" s="1"/>
  <c r="M45" i="18" s="1"/>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P13" i="16"/>
  <c r="P17" i="16"/>
  <c r="P38" i="16"/>
  <c r="P37" i="16"/>
  <c r="P39" i="16" s="1"/>
  <c r="P31" i="16"/>
  <c r="P29" i="16"/>
  <c r="P28" i="16"/>
  <c r="P27" i="16"/>
  <c r="P10" i="16"/>
  <c r="P9" i="16"/>
  <c r="O10" i="16"/>
  <c r="O9" i="16"/>
  <c r="O14" i="16" s="1"/>
  <c r="O20" i="16" s="1"/>
  <c r="O37" i="16"/>
  <c r="O39" i="16" s="1"/>
  <c r="O31" i="16"/>
  <c r="O29" i="16"/>
  <c r="O28" i="16"/>
  <c r="O27" i="16"/>
  <c r="O33" i="16" s="1"/>
  <c r="O41" i="16" s="1"/>
  <c r="M37" i="16"/>
  <c r="M9" i="16"/>
  <c r="M14" i="16" s="1"/>
  <c r="M20" i="16" s="1"/>
  <c r="M39" i="16"/>
  <c r="M31" i="16"/>
  <c r="M29" i="16"/>
  <c r="M28" i="16"/>
  <c r="M27" i="16"/>
  <c r="K31" i="16"/>
  <c r="K9" i="16"/>
  <c r="K14" i="16" s="1"/>
  <c r="K20" i="16" s="1"/>
  <c r="K39" i="16"/>
  <c r="K29" i="16"/>
  <c r="K28" i="16"/>
  <c r="K27" i="16"/>
  <c r="I9" i="16"/>
  <c r="I14" i="16" s="1"/>
  <c r="I20" i="16" s="1"/>
  <c r="I29" i="16"/>
  <c r="I28" i="16"/>
  <c r="I27" i="16"/>
  <c r="I39" i="16"/>
  <c r="G39" i="16"/>
  <c r="G33" i="16"/>
  <c r="G41" i="16" s="1"/>
  <c r="G43" i="16" s="1"/>
  <c r="G20" i="16"/>
  <c r="G14" i="16"/>
  <c r="M33" i="16" l="1"/>
  <c r="M41" i="16" s="1"/>
  <c r="P14" i="16"/>
  <c r="P33" i="16"/>
  <c r="P41" i="16" s="1"/>
  <c r="K33" i="16"/>
  <c r="K41" i="16" s="1"/>
  <c r="L60" i="18"/>
  <c r="L62" i="18" s="1"/>
  <c r="K60" i="18"/>
  <c r="J29" i="18"/>
  <c r="G40" i="17"/>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P20" i="16"/>
  <c r="I33" i="16"/>
  <c r="I41" i="16" s="1"/>
  <c r="J40" i="13" l="1"/>
  <c r="J16" i="13" l="1"/>
  <c r="O42" i="5"/>
  <c r="N62" i="12" l="1"/>
  <c r="N54" i="12"/>
  <c r="N53" i="12"/>
  <c r="N52" i="12"/>
  <c r="N51" i="12"/>
  <c r="N50" i="12"/>
  <c r="N49" i="12"/>
  <c r="N48" i="12"/>
  <c r="N47" i="12"/>
  <c r="N46" i="12"/>
  <c r="N45" i="12"/>
  <c r="N44" i="12"/>
  <c r="N43" i="12"/>
  <c r="N42" i="12"/>
  <c r="N41" i="12"/>
  <c r="N40" i="12"/>
  <c r="N39" i="12"/>
  <c r="N38" i="12"/>
  <c r="N37" i="12"/>
  <c r="N36" i="12"/>
  <c r="N35" i="12"/>
  <c r="N32" i="12"/>
  <c r="N31" i="12"/>
  <c r="N27" i="12"/>
  <c r="N25" i="12"/>
  <c r="N24" i="12"/>
  <c r="N23" i="12"/>
  <c r="N22" i="12"/>
  <c r="N21" i="12"/>
  <c r="N20" i="12"/>
  <c r="N18" i="12"/>
  <c r="N16" i="12"/>
  <c r="N15" i="12"/>
  <c r="N14" i="12"/>
  <c r="N13" i="12"/>
  <c r="N12" i="12"/>
  <c r="N11" i="12"/>
  <c r="N10" i="12"/>
  <c r="N9" i="12"/>
  <c r="J46" i="12"/>
  <c r="N19" i="12"/>
  <c r="G63" i="12"/>
  <c r="N63" i="12" s="1"/>
  <c r="G62" i="12"/>
  <c r="O61" i="5"/>
  <c r="M59" i="5" s="1"/>
  <c r="H33" i="12"/>
  <c r="H32" i="12"/>
  <c r="H31" i="12"/>
  <c r="O50" i="5"/>
  <c r="O51" i="5"/>
  <c r="O22" i="5"/>
  <c r="K42" i="3"/>
  <c r="I44" i="3"/>
  <c r="J7" i="3"/>
  <c r="G44" i="6"/>
  <c r="H28" i="3" s="1"/>
  <c r="I28" i="3" s="1"/>
  <c r="G20" i="6"/>
  <c r="H19" i="3" s="1"/>
  <c r="G28" i="3" l="1"/>
  <c r="J28" i="3"/>
  <c r="J45" i="13"/>
  <c r="J28" i="13"/>
  <c r="J20" i="13"/>
  <c r="J9" i="13"/>
  <c r="L15" i="13"/>
  <c r="L20" i="13"/>
  <c r="L9" i="13"/>
  <c r="L45" i="13"/>
  <c r="L44" i="13"/>
  <c r="L22" i="13"/>
  <c r="L14" i="13"/>
  <c r="L13" i="13"/>
  <c r="L11" i="13"/>
  <c r="H46" i="12"/>
  <c r="L41" i="13" l="1"/>
  <c r="H54" i="12" l="1"/>
  <c r="H39" i="12"/>
  <c r="G65" i="12"/>
  <c r="J10" i="13"/>
  <c r="O59" i="5" l="1"/>
  <c r="Q59" i="5" s="1"/>
  <c r="O54" i="5"/>
  <c r="O47" i="5"/>
  <c r="O31" i="5"/>
  <c r="O30" i="5"/>
  <c r="O16" i="5"/>
  <c r="K57" i="3"/>
  <c r="H56" i="3"/>
  <c r="N64" i="12"/>
  <c r="I47" i="3"/>
  <c r="K47" i="3" s="1"/>
  <c r="I40" i="3"/>
  <c r="K40" i="3" s="1"/>
  <c r="J27" i="3"/>
  <c r="H51" i="12" l="1"/>
  <c r="H44" i="12"/>
  <c r="H41" i="12"/>
  <c r="H35" i="12"/>
  <c r="H23" i="12"/>
  <c r="H19" i="12"/>
  <c r="H20" i="12"/>
  <c r="L10" i="13"/>
  <c r="L21" i="13" s="1"/>
  <c r="L24" i="13" s="1"/>
  <c r="L42" i="13" s="1"/>
  <c r="L46" i="13" s="1"/>
  <c r="G40" i="6"/>
  <c r="J64" i="18" s="1"/>
  <c r="H64" i="18" l="1"/>
  <c r="K64" i="18" s="1"/>
  <c r="Q36" i="13"/>
  <c r="Q37" i="13" s="1"/>
  <c r="L64" i="12"/>
  <c r="L54" i="12"/>
  <c r="L51" i="12"/>
  <c r="L48" i="12"/>
  <c r="L45" i="12"/>
  <c r="L44" i="12"/>
  <c r="L41" i="12"/>
  <c r="L39" i="12"/>
  <c r="L32" i="12"/>
  <c r="L31" i="12"/>
  <c r="L23" i="12"/>
  <c r="L20" i="12"/>
  <c r="L19" i="12" s="1"/>
  <c r="L21" i="12"/>
  <c r="L12" i="12"/>
  <c r="J27" i="13" l="1"/>
  <c r="J29" i="3"/>
  <c r="K41" i="3"/>
  <c r="G45" i="6"/>
  <c r="J29" i="13" l="1"/>
  <c r="L47" i="12"/>
  <c r="L46" i="12"/>
  <c r="H62" i="12" l="1"/>
  <c r="H47" i="12"/>
  <c r="H18" i="12"/>
  <c r="J11" i="3" l="1"/>
  <c r="C71" i="6" l="1"/>
  <c r="G69" i="3" l="1"/>
  <c r="J31" i="13" l="1"/>
  <c r="Q54" i="5"/>
  <c r="Q47" i="5"/>
  <c r="Q32" i="5"/>
  <c r="Q23" i="5"/>
  <c r="Q16" i="5"/>
  <c r="O62" i="5"/>
  <c r="G70" i="12" s="1"/>
  <c r="O56" i="5"/>
  <c r="O32" i="5"/>
  <c r="O23" i="5"/>
  <c r="O25" i="5" s="1"/>
  <c r="L18" i="12"/>
  <c r="M54" i="5"/>
  <c r="K62" i="5"/>
  <c r="H70" i="12" s="1"/>
  <c r="J70" i="12" s="1"/>
  <c r="L70" i="12" s="1"/>
  <c r="K59" i="5"/>
  <c r="K50" i="5"/>
  <c r="K54" i="5" s="1"/>
  <c r="K47" i="5"/>
  <c r="K51" i="5"/>
  <c r="K42" i="5"/>
  <c r="M32" i="5"/>
  <c r="K32" i="5"/>
  <c r="K31" i="5"/>
  <c r="K22" i="5"/>
  <c r="K23" i="5" s="1"/>
  <c r="M16" i="5"/>
  <c r="K16" i="5"/>
  <c r="I59" i="5"/>
  <c r="I61" i="5"/>
  <c r="I50" i="5"/>
  <c r="I51" i="5"/>
  <c r="I44" i="5"/>
  <c r="I42" i="5"/>
  <c r="I22" i="5"/>
  <c r="K60" i="3"/>
  <c r="K61" i="3"/>
  <c r="L61" i="3" s="1"/>
  <c r="J58" i="3"/>
  <c r="Q25" i="5" l="1"/>
  <c r="Q35" i="5" s="1"/>
  <c r="K25" i="5"/>
  <c r="K35" i="5" s="1"/>
  <c r="K56" i="5"/>
  <c r="G17" i="12"/>
  <c r="O64" i="5"/>
  <c r="Q56" i="5"/>
  <c r="H26" i="12"/>
  <c r="H28" i="12" s="1"/>
  <c r="J41" i="13"/>
  <c r="O35" i="5"/>
  <c r="K64" i="5"/>
  <c r="J19" i="3"/>
  <c r="J15" i="13" l="1"/>
  <c r="J21" i="13" s="1"/>
  <c r="J24" i="13" s="1"/>
  <c r="J42" i="13" s="1"/>
  <c r="J46" i="13" s="1"/>
  <c r="G26" i="12"/>
  <c r="N17" i="12"/>
  <c r="N26" i="12" s="1"/>
  <c r="N28" i="12" s="1"/>
  <c r="C47" i="6"/>
  <c r="L65" i="12" l="1"/>
  <c r="D158" i="6" l="1"/>
  <c r="D159" i="6"/>
  <c r="D160" i="6"/>
  <c r="L63" i="12" l="1"/>
  <c r="L34" i="12"/>
  <c r="L33" i="12" s="1"/>
  <c r="L62" i="12"/>
  <c r="I48" i="3"/>
  <c r="I43" i="3"/>
  <c r="K43" i="3" s="1"/>
  <c r="J31" i="3"/>
  <c r="L26" i="12" l="1"/>
  <c r="L28" i="12" s="1"/>
  <c r="L56" i="12"/>
  <c r="L66" i="12"/>
  <c r="J65" i="12"/>
  <c r="N65" i="12" s="1"/>
  <c r="N66" i="12" s="1"/>
  <c r="L57" i="3"/>
  <c r="F57" i="3"/>
  <c r="K56" i="3"/>
  <c r="L56" i="3" s="1"/>
  <c r="M22" i="3"/>
  <c r="N22" i="3" s="1"/>
  <c r="M21" i="3"/>
  <c r="N21" i="3" s="1"/>
  <c r="M18" i="3"/>
  <c r="N18" i="3" s="1"/>
  <c r="M13" i="3"/>
  <c r="N13" i="3" s="1"/>
  <c r="M12" i="3"/>
  <c r="N12" i="3" s="1"/>
  <c r="I15" i="14"/>
  <c r="I22" i="14"/>
  <c r="I24" i="14"/>
  <c r="G30" i="14"/>
  <c r="G33" i="14" s="1"/>
  <c r="G22" i="14"/>
  <c r="G19" i="14"/>
  <c r="G18" i="14"/>
  <c r="G14" i="14"/>
  <c r="I14" i="14"/>
  <c r="G37" i="14"/>
  <c r="L58" i="12" l="1"/>
  <c r="L68" i="12" s="1"/>
  <c r="G25" i="14"/>
  <c r="I30" i="14" l="1"/>
  <c r="I33" i="14" s="1"/>
  <c r="F158" i="6"/>
  <c r="G30" i="6" l="1"/>
  <c r="H25" i="3" s="1"/>
  <c r="G25" i="3" s="1"/>
  <c r="D31" i="6"/>
  <c r="G55" i="6"/>
  <c r="D47" i="6"/>
  <c r="G47" i="6" s="1"/>
  <c r="G46" i="6"/>
  <c r="H29" i="3" s="1"/>
  <c r="G29" i="3" s="1"/>
  <c r="H28" i="13"/>
  <c r="H40" i="13"/>
  <c r="G40" i="13"/>
  <c r="H34" i="13"/>
  <c r="G34" i="13"/>
  <c r="H31" i="13"/>
  <c r="G29" i="13"/>
  <c r="G27" i="13"/>
  <c r="G22" i="13"/>
  <c r="G31" i="13" s="1"/>
  <c r="H18" i="13"/>
  <c r="H15" i="13"/>
  <c r="G13" i="13"/>
  <c r="G21" i="13" s="1"/>
  <c r="H9" i="13"/>
  <c r="H11" i="13"/>
  <c r="H32" i="3" l="1"/>
  <c r="J24" i="3"/>
  <c r="H21" i="13"/>
  <c r="H24" i="13" s="1"/>
  <c r="H41" i="13"/>
  <c r="G24" i="13"/>
  <c r="G41" i="13"/>
  <c r="J32" i="3" l="1"/>
  <c r="H42" i="13"/>
  <c r="G42" i="13"/>
  <c r="F48" i="3"/>
  <c r="G32" i="3" l="1"/>
  <c r="N162" i="6"/>
  <c r="M162" i="6"/>
  <c r="L162" i="6"/>
  <c r="K162" i="6"/>
  <c r="J162" i="6"/>
  <c r="I162" i="6"/>
  <c r="H162" i="6"/>
  <c r="G162" i="6"/>
  <c r="C53" i="6" l="1"/>
  <c r="F26" i="6"/>
  <c r="G29" i="6"/>
  <c r="C31" i="6"/>
  <c r="H24" i="3" l="1"/>
  <c r="C161" i="6"/>
  <c r="G59" i="5"/>
  <c r="G42" i="5" l="1"/>
  <c r="D41" i="6" l="1"/>
  <c r="G51" i="6"/>
  <c r="G52" i="6"/>
  <c r="G53" i="6" l="1"/>
  <c r="H31" i="3" s="1"/>
  <c r="G31" i="3" s="1"/>
  <c r="I18" i="14"/>
  <c r="I19" i="14" l="1"/>
  <c r="I21" i="14"/>
  <c r="G19" i="6" l="1"/>
  <c r="G18" i="6"/>
  <c r="H15" i="3" s="1"/>
  <c r="I15" i="3" s="1"/>
  <c r="J15" i="3" s="1"/>
  <c r="G39" i="6"/>
  <c r="J72" i="3" s="1"/>
  <c r="D14" i="6"/>
  <c r="C14" i="6"/>
  <c r="G12" i="6"/>
  <c r="G6" i="6"/>
  <c r="G19" i="3" l="1"/>
  <c r="G15" i="3"/>
  <c r="J34" i="12"/>
  <c r="N33" i="12" s="1"/>
  <c r="J26" i="12"/>
  <c r="J28" i="12" s="1"/>
  <c r="J56" i="12" l="1"/>
  <c r="J58" i="12" s="1"/>
  <c r="J66" i="12"/>
  <c r="Q61" i="5" l="1"/>
  <c r="Q62" i="5" s="1"/>
  <c r="Q64" i="5" s="1"/>
  <c r="J68" i="12"/>
  <c r="I10" i="14" s="1"/>
  <c r="I20" i="14"/>
  <c r="J25" i="3" l="1"/>
  <c r="I38" i="3" l="1"/>
  <c r="K38" i="3" s="1"/>
  <c r="K50" i="3" s="1"/>
  <c r="G22" i="5" l="1"/>
  <c r="J45" i="3"/>
  <c r="I69" i="3"/>
  <c r="F43" i="3"/>
  <c r="H65" i="12"/>
  <c r="H66" i="12" s="1"/>
  <c r="G28" i="5"/>
  <c r="H34" i="12"/>
  <c r="G34" i="12"/>
  <c r="K33" i="3"/>
  <c r="L50" i="3" s="1"/>
  <c r="M50" i="3" s="1"/>
  <c r="G56" i="12" l="1"/>
  <c r="N34" i="12"/>
  <c r="N56" i="12" s="1"/>
  <c r="N58" i="12" s="1"/>
  <c r="N68" i="12" s="1"/>
  <c r="H56" i="12"/>
  <c r="G66" i="12"/>
  <c r="G28" i="12"/>
  <c r="C8" i="6"/>
  <c r="I54" i="5"/>
  <c r="G50" i="5"/>
  <c r="I16" i="5"/>
  <c r="I32" i="5"/>
  <c r="G51" i="5"/>
  <c r="G44" i="5"/>
  <c r="G16" i="5"/>
  <c r="G23" i="5"/>
  <c r="G31" i="5"/>
  <c r="G58" i="12" l="1"/>
  <c r="G25" i="5"/>
  <c r="H58" i="12"/>
  <c r="J48" i="3"/>
  <c r="G68" i="12" l="1"/>
  <c r="G71" i="12" s="1"/>
  <c r="M61" i="5"/>
  <c r="H68" i="12"/>
  <c r="G10" i="14" s="1"/>
  <c r="G26" i="14" s="1"/>
  <c r="G35" i="14" s="1"/>
  <c r="G39" i="14" s="1"/>
  <c r="I37" i="14" s="1"/>
  <c r="G47" i="5"/>
  <c r="H71" i="12" l="1"/>
  <c r="J71" i="12" s="1"/>
  <c r="E57" i="6"/>
  <c r="C160" i="6" s="1"/>
  <c r="G7" i="6"/>
  <c r="H8" i="3" s="1"/>
  <c r="D22" i="6"/>
  <c r="G21" i="6"/>
  <c r="H20" i="3" s="1"/>
  <c r="G32" i="5"/>
  <c r="G35" i="5" s="1"/>
  <c r="D22" i="3"/>
  <c r="C22" i="3"/>
  <c r="L71" i="12" l="1"/>
  <c r="J8" i="3"/>
  <c r="G8" i="3"/>
  <c r="D57" i="6"/>
  <c r="C159" i="6" s="1"/>
  <c r="G8" i="6"/>
  <c r="H11" i="3"/>
  <c r="G11" i="3" s="1"/>
  <c r="C41" i="6"/>
  <c r="J69" i="3"/>
  <c r="G38" i="6"/>
  <c r="H27" i="3" s="1"/>
  <c r="G27" i="3" s="1"/>
  <c r="G31" i="6"/>
  <c r="G11" i="6"/>
  <c r="G62" i="5"/>
  <c r="G54" i="5"/>
  <c r="H33" i="3" l="1"/>
  <c r="H69" i="3"/>
  <c r="K69" i="3" s="1"/>
  <c r="C57" i="6"/>
  <c r="C158" i="6" s="1"/>
  <c r="C162" i="6" s="1"/>
  <c r="D162" i="6"/>
  <c r="J20" i="3"/>
  <c r="G20" i="3"/>
  <c r="G56" i="5"/>
  <c r="G64" i="5" s="1"/>
  <c r="G14" i="6"/>
  <c r="G26" i="6"/>
  <c r="G41" i="6"/>
  <c r="G22" i="6"/>
  <c r="G57" i="6" l="1"/>
  <c r="I33" i="3"/>
  <c r="F162" i="6"/>
  <c r="J73" i="3"/>
  <c r="H50" i="3"/>
  <c r="C73" i="6" l="1"/>
  <c r="M19" i="5"/>
  <c r="I17" i="14"/>
  <c r="G33" i="3"/>
  <c r="I23" i="5"/>
  <c r="I25" i="5" s="1"/>
  <c r="I35" i="5" s="1"/>
  <c r="J74" i="3"/>
  <c r="M23" i="5" l="1"/>
  <c r="M25" i="5" s="1"/>
  <c r="M35" i="5" s="1"/>
  <c r="M65" i="3"/>
  <c r="I65" i="3"/>
  <c r="J65" i="3"/>
  <c r="G65" i="3"/>
  <c r="F65" i="3"/>
  <c r="K62" i="3"/>
  <c r="L62" i="3" s="1"/>
  <c r="L60" i="3"/>
  <c r="K59" i="3"/>
  <c r="L59" i="3" s="1"/>
  <c r="K58" i="3"/>
  <c r="F50" i="3"/>
  <c r="G50" i="3"/>
  <c r="J50" i="3"/>
  <c r="J33" i="3"/>
  <c r="M46" i="5" l="1"/>
  <c r="M47" i="5" s="1"/>
  <c r="M56" i="5" s="1"/>
  <c r="I23" i="14"/>
  <c r="I25" i="14" s="1"/>
  <c r="I26" i="14" s="1"/>
  <c r="I35" i="14" s="1"/>
  <c r="I39" i="14" s="1"/>
  <c r="J75" i="3"/>
  <c r="I47" i="5"/>
  <c r="I56" i="5" s="1"/>
  <c r="L65" i="3"/>
  <c r="K65" i="3"/>
  <c r="H65" i="3"/>
  <c r="I50" i="3"/>
  <c r="L67" i="3" l="1"/>
  <c r="M60" i="5" s="1"/>
  <c r="M62" i="5" s="1"/>
  <c r="I62" i="5"/>
  <c r="I64" i="5" s="1"/>
  <c r="M64" i="5" l="1"/>
</calcChain>
</file>

<file path=xl/comments1.xml><?xml version="1.0" encoding="utf-8"?>
<comments xmlns="http://schemas.openxmlformats.org/spreadsheetml/2006/main">
  <authors>
    <author>John Ray</author>
  </authors>
  <commentList>
    <comment ref="C46" authorId="0" shapeId="0">
      <text>
        <r>
          <rPr>
            <b/>
            <sz val="9"/>
            <color indexed="81"/>
            <rFont val="Tahoma"/>
            <charset val="1"/>
          </rPr>
          <t>John Ray:</t>
        </r>
        <r>
          <rPr>
            <sz val="9"/>
            <color indexed="81"/>
            <rFont val="Tahoma"/>
            <charset val="1"/>
          </rPr>
          <t xml:space="preserve">
85100+85200</t>
        </r>
      </text>
    </comment>
    <comment ref="C47" authorId="0" shapeId="0">
      <text>
        <r>
          <rPr>
            <b/>
            <sz val="9"/>
            <color indexed="81"/>
            <rFont val="Tahoma"/>
            <charset val="1"/>
          </rPr>
          <t>John Ray:</t>
        </r>
        <r>
          <rPr>
            <sz val="9"/>
            <color indexed="81"/>
            <rFont val="Tahoma"/>
            <charset val="1"/>
          </rPr>
          <t xml:space="preserve">
85300+81150</t>
        </r>
      </text>
    </comment>
    <comment ref="C54" authorId="0" shapeId="0">
      <text>
        <r>
          <rPr>
            <b/>
            <sz val="9"/>
            <color indexed="81"/>
            <rFont val="Tahoma"/>
            <charset val="1"/>
          </rPr>
          <t>John Ray:</t>
        </r>
        <r>
          <rPr>
            <sz val="9"/>
            <color indexed="81"/>
            <rFont val="Tahoma"/>
            <charset val="1"/>
          </rPr>
          <t xml:space="preserve">
80060+81100
</t>
        </r>
      </text>
    </comment>
  </commentList>
</comments>
</file>

<file path=xl/sharedStrings.xml><?xml version="1.0" encoding="utf-8"?>
<sst xmlns="http://schemas.openxmlformats.org/spreadsheetml/2006/main" count="1065" uniqueCount="489">
  <si>
    <t>Columbia County Community Healthcare Consortium, Inc.</t>
  </si>
  <si>
    <t>Grant No.</t>
  </si>
  <si>
    <t>Start Date</t>
  </si>
  <si>
    <t>End Date</t>
  </si>
  <si>
    <t>Deferred Revenue</t>
  </si>
  <si>
    <t xml:space="preserve">Rural Health Network </t>
  </si>
  <si>
    <t>C-023404</t>
  </si>
  <si>
    <t xml:space="preserve">Tobacco Grant   </t>
  </si>
  <si>
    <t>Facilitated Enrollment</t>
  </si>
  <si>
    <t>C-021701</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</si>
  <si>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</si>
  <si>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</si>
  <si>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</si>
  <si>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</si>
  <si>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</si>
  <si>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</si>
  <si>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</si>
  <si>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</si>
  <si>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</si>
  <si>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C-024379</t>
  </si>
  <si>
    <t>Office for the Aging</t>
  </si>
  <si>
    <t>Funder</t>
  </si>
  <si>
    <t>NYSDOH</t>
  </si>
  <si>
    <t xml:space="preserve">NYSDOH </t>
  </si>
  <si>
    <t>Transportation Services</t>
  </si>
  <si>
    <t xml:space="preserve">ICSP-  Infrastructure Grant </t>
  </si>
  <si>
    <t xml:space="preserve">ICSP - Patient Services Grant </t>
  </si>
  <si>
    <t>ICSP - Patient Services Grant</t>
  </si>
  <si>
    <t>CoCo Office for the Aging</t>
  </si>
  <si>
    <t>Dyson Foundation</t>
  </si>
  <si>
    <t>Alternative Cancer Treatments</t>
  </si>
  <si>
    <t xml:space="preserve"> Unspent Funds</t>
  </si>
  <si>
    <t>Donations</t>
  </si>
  <si>
    <t>Subcontract</t>
  </si>
  <si>
    <t>C-027828</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</si>
  <si>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</si>
  <si>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</si>
  <si>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</si>
  <si>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</si>
  <si>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</si>
  <si>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</si>
  <si>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</si>
  <si>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</si>
  <si>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</si>
  <si>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</si>
  <si>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</si>
  <si>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</si>
  <si>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</si>
  <si>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</si>
  <si>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</si>
  <si>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</si>
  <si>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</si>
  <si>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</si>
  <si>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</si>
  <si>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</si>
  <si>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</si>
  <si>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P04CS22810-01-01</t>
  </si>
  <si>
    <t>Private Donor</t>
  </si>
  <si>
    <t>Actual Expenses FYTD</t>
  </si>
  <si>
    <t>C-023445</t>
  </si>
  <si>
    <t>Reimbursements for transportation costs</t>
  </si>
  <si>
    <t>Difference</t>
  </si>
  <si>
    <t>COLA Tobacco</t>
  </si>
  <si>
    <t>Transportation</t>
  </si>
  <si>
    <t>Medicaid - Transportation</t>
  </si>
  <si>
    <t>Total Transportation</t>
  </si>
  <si>
    <t>AR from Above</t>
  </si>
  <si>
    <t>Childhood Obesity - COLA</t>
  </si>
  <si>
    <t xml:space="preserve">Columbia County Community Healthcare Consortium </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</si>
  <si>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</si>
  <si>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</si>
  <si>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</si>
  <si>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</si>
  <si>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</si>
  <si>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</si>
  <si>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</si>
  <si>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</si>
  <si>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</si>
  <si>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</si>
  <si>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</si>
  <si>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</si>
  <si>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</si>
  <si>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</si>
  <si>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</si>
  <si>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</si>
  <si>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</si>
  <si>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</si>
  <si>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</si>
  <si>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</si>
  <si>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</si>
  <si>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</si>
  <si>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HRI Patient Services</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</si>
  <si>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</si>
  <si>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</si>
  <si>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</si>
  <si>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</si>
  <si>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</si>
  <si>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</si>
  <si>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</si>
  <si>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</si>
  <si>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</si>
  <si>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Grants and Contracts Overview</t>
  </si>
  <si>
    <t>Current Contract Executed?</t>
  </si>
  <si>
    <t>Current Contract Number</t>
  </si>
  <si>
    <t>Current Contract Amount</t>
  </si>
  <si>
    <t>Jan</t>
  </si>
  <si>
    <t>Feb</t>
  </si>
  <si>
    <t>Mar</t>
  </si>
  <si>
    <t>Apr</t>
  </si>
  <si>
    <t>May</t>
  </si>
  <si>
    <t>Jun</t>
  </si>
  <si>
    <t>Jul</t>
  </si>
  <si>
    <t>Aug</t>
  </si>
  <si>
    <t>Sep</t>
  </si>
  <si>
    <t>Oct</t>
  </si>
  <si>
    <t>Nov</t>
  </si>
  <si>
    <t>Dec</t>
  </si>
  <si>
    <t>NYS DOH-Office of Rural Health</t>
  </si>
  <si>
    <t>No</t>
  </si>
  <si>
    <t>NYS DOH</t>
  </si>
  <si>
    <t>Yes</t>
  </si>
  <si>
    <t>$107,250 (Budget #1)</t>
  </si>
  <si>
    <t>$143,550 (Budget #2)</t>
  </si>
  <si>
    <t>Integrated Cancer Services Program (ICSP)</t>
  </si>
  <si>
    <t>NYS DOH Infrastructure Grant</t>
  </si>
  <si>
    <t>NYS DOH Patient Services Grant</t>
  </si>
  <si>
    <t>FQHC Planning</t>
  </si>
  <si>
    <t>None</t>
  </si>
  <si>
    <t>Operating - First Niagara</t>
  </si>
  <si>
    <t>Money Market - First Niagara</t>
  </si>
  <si>
    <t>Petty Cash</t>
  </si>
  <si>
    <t>Trustco Bank Investment</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</si>
  <si>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</si>
  <si>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</si>
  <si>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</si>
  <si>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</si>
  <si>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</si>
  <si>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</si>
  <si>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</si>
  <si>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</si>
  <si>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</si>
  <si>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</si>
  <si>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</si>
  <si>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</si>
  <si>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</si>
  <si>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</si>
  <si>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</si>
  <si>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3488-05</t>
  </si>
  <si>
    <t xml:space="preserve">                                             </t>
  </si>
  <si>
    <t>Columbia County Community Healthcare Consortium , Inc.</t>
  </si>
  <si>
    <t>Advance Funding Payable</t>
  </si>
  <si>
    <t>Credit Card - Payable</t>
  </si>
  <si>
    <t>NYConnects Year 7</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</si>
  <si>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</si>
  <si>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</si>
  <si>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</si>
  <si>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</si>
  <si>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</si>
  <si>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</si>
  <si>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</si>
  <si>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</si>
  <si>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</si>
  <si>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</si>
  <si>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</si>
  <si>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</si>
  <si>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</si>
  <si>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</si>
  <si>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</si>
  <si>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</si>
  <si>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</si>
  <si>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</si>
  <si>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</si>
  <si>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</si>
  <si>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</si>
  <si>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</si>
  <si>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</si>
  <si>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</si>
  <si>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</si>
  <si>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</si>
  <si>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</si>
  <si>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</si>
  <si>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</si>
  <si>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Travel and Conferences</t>
  </si>
  <si>
    <t>Depreciation</t>
  </si>
  <si>
    <t>Contract Professional/Subcontractor Fees</t>
  </si>
  <si>
    <t>Advertising &amp; Promotion</t>
  </si>
  <si>
    <t>NYS Payment Reduction</t>
  </si>
  <si>
    <t>Total Expenses</t>
  </si>
  <si>
    <t>Change in Unrestricted Net Assets</t>
  </si>
  <si>
    <t>Changes in Temporarily Restricted Net Assets</t>
  </si>
  <si>
    <t>Change in Temporarily Net Assets</t>
  </si>
  <si>
    <t>Staff Development &amp; Board Recognition</t>
  </si>
  <si>
    <t>Galvan Foundation</t>
  </si>
  <si>
    <t>Bengali Community Outreach</t>
  </si>
  <si>
    <t>&lt;--$151,400 --&gt; 2013 Calendar Year</t>
  </si>
  <si>
    <t>&lt;--$30,000--&gt; 2013 Calendar Year</t>
  </si>
  <si>
    <t>Current Month</t>
  </si>
  <si>
    <t>Previous Month</t>
  </si>
  <si>
    <t>Three Months Ago</t>
  </si>
  <si>
    <t>Older than Three Months</t>
  </si>
  <si>
    <t>Office for the Aging - Senior Transportation</t>
  </si>
  <si>
    <t>Total Tobacco-Free Action</t>
  </si>
  <si>
    <t>Total Facilitated Enrollment Program</t>
  </si>
  <si>
    <t>Columbia County -Office of the Aging</t>
  </si>
  <si>
    <t>ALL OTHER REVENUE</t>
  </si>
  <si>
    <t>Greene County</t>
  </si>
  <si>
    <t xml:space="preserve">Transportation Clients         </t>
  </si>
  <si>
    <t>Extended</t>
  </si>
  <si>
    <t>Children Mental Health Services (Taconic Hills)</t>
  </si>
  <si>
    <t>ICSP-  Infrastructure Grant - 3 Month Extension</t>
  </si>
  <si>
    <t>ICSP - Patient Services Grant - 3 Month Extension</t>
  </si>
  <si>
    <t>OFA: NY Connects, Senior Transportation</t>
  </si>
  <si>
    <t>Financial Assistant Funds</t>
  </si>
  <si>
    <t>Contributions:</t>
  </si>
  <si>
    <t>Columbia County Government</t>
  </si>
  <si>
    <t>Net Assets, End of Period</t>
  </si>
  <si>
    <t>Net Assets, Beginning of Period</t>
  </si>
  <si>
    <t>Six Months Ended December 31, 2012, and</t>
  </si>
  <si>
    <t>Miscellaneous Revenue - NYS Interest &amp; Others</t>
  </si>
  <si>
    <t>Transportation-SUNY</t>
  </si>
  <si>
    <t>Donations to CCCHC</t>
  </si>
  <si>
    <t xml:space="preserve">     &lt;--22%</t>
  </si>
  <si>
    <t xml:space="preserve">Grants Receivable </t>
  </si>
  <si>
    <t xml:space="preserve">Accounts Payable </t>
  </si>
  <si>
    <t>Grant Development Services</t>
  </si>
  <si>
    <t>NYSDOH 04/13 to 06/13</t>
  </si>
  <si>
    <t>ICSP-  Infrastructure Grant</t>
  </si>
  <si>
    <t xml:space="preserve">Transportation - Medicaid </t>
  </si>
  <si>
    <t>IPA/Navigator Program</t>
  </si>
  <si>
    <t>Total IPA/Navigator Program</t>
  </si>
  <si>
    <t>NYSDOH 01/13 to 12/13 (Ends Oct 2013)</t>
  </si>
  <si>
    <t>Total Rural Health Network</t>
  </si>
  <si>
    <t>4695-01</t>
  </si>
  <si>
    <t>C-028699</t>
  </si>
  <si>
    <t>C-028916</t>
  </si>
  <si>
    <t>Accrued-Medicaid Billing Error</t>
  </si>
  <si>
    <t>HRI-Health Research Institute</t>
  </si>
  <si>
    <t>Grants - New York State - Rural Health Network</t>
  </si>
  <si>
    <t>OFA: Senior Transportation</t>
  </si>
  <si>
    <t>Foundation Revenue-FCH-Sharon/Ancram/Copake</t>
  </si>
  <si>
    <t>Miscellaneous Revenue - SUNY</t>
  </si>
  <si>
    <t>Statement of Activities-Transportation</t>
  </si>
  <si>
    <t>Other Expenses</t>
  </si>
  <si>
    <t xml:space="preserve">                    </t>
  </si>
  <si>
    <t>NY Connects Year #8  10/13 to 9/14</t>
  </si>
  <si>
    <t>Ten Months Ended October 31, 2013</t>
  </si>
  <si>
    <t>Statement of Cash Flows</t>
  </si>
  <si>
    <t>Net Cash From Operating Activities:</t>
  </si>
  <si>
    <t>Unrealized Gain on Trustco Investments</t>
  </si>
  <si>
    <t>Changes in:</t>
  </si>
  <si>
    <t>Grants Receivable</t>
  </si>
  <si>
    <t>Prepaid Expenses</t>
  </si>
  <si>
    <t>Accounts Payable</t>
  </si>
  <si>
    <t>Total Adjustments</t>
  </si>
  <si>
    <t xml:space="preserve">Net Cash Provided (Used For) by Operating Activities </t>
  </si>
  <si>
    <t>Cash Flow From Investing Activities:</t>
  </si>
  <si>
    <t>Acquisition of Property &amp; Equipment:</t>
  </si>
  <si>
    <t>Transportation Vehicle</t>
  </si>
  <si>
    <t>Purchase of Trustco Investments</t>
  </si>
  <si>
    <t>Net Cash Used for Investing Activities</t>
  </si>
  <si>
    <t>Net Increase (Decrease) in Cash</t>
  </si>
  <si>
    <t>Cash and Cash Equivalents at Beginning of Period</t>
  </si>
  <si>
    <t>Cash and Cash Equivalents, End of Period</t>
  </si>
  <si>
    <t>Accrued Compensated Absences</t>
  </si>
  <si>
    <t>Accrued Wages &amp; Tax Liability</t>
  </si>
  <si>
    <t>Computer Equipment &amp; Furniture</t>
  </si>
  <si>
    <t>Medicaid Billing Liability</t>
  </si>
  <si>
    <t>Cash Flows From Operating Activities</t>
  </si>
  <si>
    <t xml:space="preserve">Adjustments to Reconcile Change in Net Assets to </t>
  </si>
  <si>
    <t>Depreciation-Vehicles</t>
  </si>
  <si>
    <t>Driver Physicals</t>
  </si>
  <si>
    <t xml:space="preserve">           &lt;--0.9%</t>
  </si>
  <si>
    <t>IPA/Navigator</t>
  </si>
  <si>
    <t>NYConnects Year 7 &amp; 8</t>
  </si>
  <si>
    <t>Transportation - Senior</t>
  </si>
  <si>
    <t xml:space="preserve">       &lt;--7.4%</t>
  </si>
  <si>
    <t>As of October 31, 2013</t>
  </si>
  <si>
    <t>Less: 2% Payment Reduction</t>
  </si>
  <si>
    <t>Assets Released from Restrictions-Columbia Cty</t>
  </si>
  <si>
    <t>NYSDOH 08/13 to 09/14</t>
  </si>
  <si>
    <t>Senior Transportation Services - 2014</t>
  </si>
  <si>
    <t>In Person Assistors &amp; Navigators</t>
  </si>
  <si>
    <t>GRANT AND CONTRACT REVENUE (all sources of revenue operating on a reimbursement basis, occurring on a contract rather than fiscal year, and w/o carryover from one contract year to the next)</t>
  </si>
  <si>
    <t>Add Back Deprecation</t>
  </si>
  <si>
    <t>Dept. of Human Services</t>
  </si>
  <si>
    <t>Net Cash</t>
  </si>
  <si>
    <t>C-029670</t>
  </si>
  <si>
    <t>C-028809</t>
  </si>
  <si>
    <t>C-028810</t>
  </si>
  <si>
    <t>Miscellaneous Receivable</t>
  </si>
  <si>
    <t>Foundation Revenue-FCH &amp; Dyson</t>
  </si>
  <si>
    <t>Donations - Others</t>
  </si>
  <si>
    <t>Investment Income-Trustco</t>
  </si>
  <si>
    <t>Income Received YTD</t>
  </si>
  <si>
    <t>Actual Expenses YTD</t>
  </si>
  <si>
    <t>Assets Released from Restrictions-CC Depts.</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</si>
  <si>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</si>
  <si>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</si>
  <si>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</si>
  <si>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</si>
  <si>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</si>
  <si>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</si>
  <si>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</si>
  <si>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</si>
  <si>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NYSDOH 07/14 to 06/15</t>
  </si>
  <si>
    <t>4695-02</t>
  </si>
  <si>
    <t>CoCo Dept of Human Services</t>
  </si>
  <si>
    <t>Ancram/Copake Prescription Access (2014)</t>
  </si>
  <si>
    <t>Expenses from 01/2014 to 8/2014</t>
  </si>
  <si>
    <t>Unrealized Gain (Loss) on Investments-Trustco</t>
  </si>
  <si>
    <t>Finance &amp; Budget Committee Meeting</t>
  </si>
  <si>
    <t xml:space="preserve">   Fiscal Highlights</t>
  </si>
  <si>
    <t>NYSDOH 10/14 to 09/15</t>
  </si>
  <si>
    <t>NY Connects Year #9  10/14 to 9/15</t>
  </si>
  <si>
    <t>Medicaid Transportation Claims</t>
  </si>
  <si>
    <t>HRI Clinical Services 07/14 to 06/15</t>
  </si>
  <si>
    <t>NY Connects Year 9</t>
  </si>
  <si>
    <r>
      <t xml:space="preserve">Transportation Services </t>
    </r>
    <r>
      <rPr>
        <sz val="11"/>
        <color rgb="FF000000"/>
        <rFont val="Arial"/>
        <family val="2"/>
      </rPr>
      <t>(Fuel, Insurance, Lease, Maintenance)</t>
    </r>
  </si>
  <si>
    <t xml:space="preserve">Legal Fees </t>
  </si>
  <si>
    <t>Ex asst</t>
  </si>
  <si>
    <t>Fiscal</t>
  </si>
  <si>
    <t>F. Clerk</t>
  </si>
  <si>
    <t>Reception</t>
  </si>
  <si>
    <t>Grants - Federal (HRI)</t>
  </si>
  <si>
    <t>CSP Clinical Services - November 2014 Voucher</t>
  </si>
  <si>
    <t>System Integration</t>
  </si>
  <si>
    <t>Other Receipts of Interest:</t>
  </si>
  <si>
    <t>Transportation Services -2015</t>
  </si>
  <si>
    <t>Partnership for Palliative Care</t>
  </si>
  <si>
    <t>Prescription Access (21-Months)</t>
  </si>
  <si>
    <t>Prescription Access (24-Months)</t>
  </si>
  <si>
    <t>Senior Transportation Services - 2015</t>
  </si>
  <si>
    <t>Columbia County BOS 2015 Budget Appropriation</t>
  </si>
  <si>
    <t>Columbia County Departments 2015 Donations (CARTS)</t>
  </si>
  <si>
    <t>County Government - 2015</t>
  </si>
  <si>
    <t>County Departments - 2015</t>
  </si>
  <si>
    <t>CSP Infrastructure - January 2015 Voucher</t>
  </si>
  <si>
    <t>Columbia County Dept. of Human Services</t>
  </si>
  <si>
    <t>Total Columbia County Dept. Human Services</t>
  </si>
  <si>
    <t xml:space="preserve">Tobacco Fee Communities Grant   </t>
  </si>
  <si>
    <t>Rural Health Network Program</t>
  </si>
  <si>
    <t>CSP - Infrastructure Grant</t>
  </si>
  <si>
    <t xml:space="preserve">CSP - Patient Services Grant </t>
  </si>
  <si>
    <t>CSP - Patient Services Grant</t>
  </si>
  <si>
    <t>Balance as of 01/01/2015</t>
  </si>
  <si>
    <t>Ancram/Copake Prescription Access (2015)</t>
  </si>
  <si>
    <t>Wheelchair Access Minibus</t>
  </si>
  <si>
    <t>Twelve Months Ended December 31, 2014</t>
  </si>
  <si>
    <t>Legal - Review of By-Laws ('14)</t>
  </si>
  <si>
    <t>Operating - Bank of Greene Co.</t>
  </si>
  <si>
    <t>Payroll - Bank of Greene Co.</t>
  </si>
  <si>
    <t xml:space="preserve">NYSDOH 04/14 to 03/15 </t>
  </si>
  <si>
    <t>NYSDOH 04/15 to 03/16 (Quarterly-Voucher)</t>
  </si>
  <si>
    <t>April</t>
  </si>
  <si>
    <t>NYSDOH Infrastructure Grant 04/15 to 03/16</t>
  </si>
  <si>
    <t>NYSDOH Clinical Services Grant 04/15 to 03/16</t>
  </si>
  <si>
    <t>MIPPA                          01/15 to 9/15</t>
  </si>
  <si>
    <t>Accounts Receivable at 04/30/2015</t>
  </si>
  <si>
    <t>HRI Clinical Services - March 2015 Voucher</t>
  </si>
  <si>
    <t>Office of Aging - Senior Transportation -April  Voucher</t>
  </si>
  <si>
    <t xml:space="preserve">Greene County-DSS  Programs </t>
  </si>
  <si>
    <t>Greene County DSS for Community Services Wker</t>
  </si>
  <si>
    <t>MIPPA</t>
  </si>
  <si>
    <t>QuickBooks AR at 04/30/15</t>
  </si>
  <si>
    <t>Greene County DSS</t>
  </si>
  <si>
    <t>Addition of Case Worker until 8/30 plus extended HEAP until 4/10/15</t>
  </si>
  <si>
    <t>Remarks</t>
  </si>
  <si>
    <t>Receipt of NYS Interest for Navigator Vouchers</t>
  </si>
  <si>
    <t>$ Change</t>
  </si>
  <si>
    <t>Increase in Annual Service Agreement + $800 for MS Office Lic + $830 for QuickBook Update + $856 for Offsite Back-up</t>
  </si>
  <si>
    <t>Siena Research Inst for Tobacco Survey $14,000. Did not exist in 2014</t>
  </si>
  <si>
    <t>Additional capitall purchases</t>
  </si>
  <si>
    <t xml:space="preserve">New Staff Member in Tobacco plus Wage Increases + F/T Admin Assit + Holly H CSP Outreach </t>
  </si>
  <si>
    <t>Tobacco increased by $66,930, small swings in other programs</t>
  </si>
  <si>
    <t>Audit</t>
  </si>
  <si>
    <r>
      <t>è</t>
    </r>
    <r>
      <rPr>
        <sz val="12"/>
        <color theme="1"/>
        <rFont val="Times New Roman"/>
        <family val="1"/>
      </rPr>
      <t xml:space="preserve"> </t>
    </r>
    <r>
      <rPr>
        <sz val="12"/>
        <color theme="1"/>
        <rFont val="Calibri"/>
        <family val="2"/>
      </rPr>
      <t xml:space="preserve">The </t>
    </r>
    <r>
      <rPr>
        <b/>
        <sz val="12"/>
        <color theme="1"/>
        <rFont val="Calibri"/>
        <family val="2"/>
      </rPr>
      <t>Cancer Screening Program</t>
    </r>
    <r>
      <rPr>
        <sz val="12"/>
        <color theme="1"/>
        <rFont val="Calibri"/>
        <family val="2"/>
      </rPr>
      <t xml:space="preserve"> (04/2015 to 03/2016) submitted their work plan and budget to the contract manager for approval. Budget remains the same at $140,000. No word on acceptance. We have submitted a voucher for a $35,000 advance payment.</t>
    </r>
  </si>
  <si>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</si>
  <si>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</si>
  <si>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</si>
  <si>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</si>
  <si>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</si>
  <si>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</si>
  <si>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</si>
  <si>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</si>
  <si>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</si>
  <si>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</si>
  <si>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</si>
  <si>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Pay Off Liabilities &amp; Accrued Payroll</t>
  </si>
  <si>
    <t>Collect Grant Receivable</t>
  </si>
  <si>
    <t>Expense Prepaids &amp; Sell Equipment for No Gain</t>
  </si>
  <si>
    <t>Step #1</t>
  </si>
  <si>
    <t>Return or Redirect Temporary Restricted Funds</t>
  </si>
  <si>
    <t>Step #2</t>
  </si>
  <si>
    <t>Step #3</t>
  </si>
  <si>
    <t>Step #4</t>
  </si>
  <si>
    <t>Step #5</t>
  </si>
  <si>
    <t>Return Advance Funding to Foundations &amp; NYS</t>
  </si>
  <si>
    <t>25% or $60,000</t>
  </si>
  <si>
    <t>25% or $79,750</t>
  </si>
  <si>
    <t>25% or $35,000</t>
  </si>
  <si>
    <t>25% or $78,750</t>
  </si>
  <si>
    <t>Contract Advance Available</t>
  </si>
  <si>
    <t>Date of Last Advance Received</t>
  </si>
  <si>
    <t>GRANT AND CONTRACT REVENUE</t>
  </si>
  <si>
    <t>Month End</t>
  </si>
  <si>
    <t>Operating</t>
  </si>
  <si>
    <t>Unencumbered</t>
  </si>
  <si>
    <t xml:space="preserve">Checking </t>
  </si>
  <si>
    <t xml:space="preserve">Balance </t>
  </si>
  <si>
    <t>Advance</t>
  </si>
  <si>
    <t>Liability</t>
  </si>
  <si>
    <t>Balance</t>
  </si>
  <si>
    <t>Operating Checking</t>
  </si>
  <si>
    <t>$120,000 Investment</t>
  </si>
  <si>
    <t>Encumbered</t>
  </si>
  <si>
    <t>Funds Available</t>
  </si>
  <si>
    <t>for Investment</t>
  </si>
  <si>
    <t xml:space="preserve">No </t>
  </si>
  <si>
    <t>Date of Receipt of Grant</t>
  </si>
  <si>
    <t>Encumbered per Agreement</t>
  </si>
  <si>
    <t>No - No Agreem't</t>
  </si>
  <si>
    <t>FOUNDATION REVENUE</t>
  </si>
  <si>
    <t>Interest accrued on advance payment goes back to the state but parties have Set-Off Rights</t>
  </si>
  <si>
    <t>RHN</t>
  </si>
  <si>
    <t>Program</t>
  </si>
  <si>
    <t xml:space="preserve">Navigator </t>
  </si>
  <si>
    <t>CSP</t>
  </si>
  <si>
    <t>Tobacco</t>
  </si>
  <si>
    <t>Temp. Restricted</t>
  </si>
  <si>
    <t>Dyson</t>
  </si>
  <si>
    <t>FCH</t>
  </si>
  <si>
    <t>NYS Grant</t>
  </si>
  <si>
    <t xml:space="preserve"> Balance After W/H</t>
  </si>
  <si>
    <t>at Month End</t>
  </si>
  <si>
    <t>Temp Restricted Funds Received</t>
  </si>
  <si>
    <t>Restrictions on Interest Income from Investments</t>
  </si>
  <si>
    <t>CoCo Dept. of Human Services</t>
  </si>
  <si>
    <t>Original Deferred Revenue</t>
  </si>
  <si>
    <t>Interest accrued on advance payment goes back to the NYS but parties have Set-Off Rights</t>
  </si>
  <si>
    <t>Columbia County Community Healthcare Consortium</t>
  </si>
  <si>
    <t>Unencumbered Funds Available to Earn Interest</t>
  </si>
  <si>
    <t>Accounts Receivable Aging Summary as of June 30, 2015</t>
  </si>
  <si>
    <t>June</t>
  </si>
  <si>
    <t>March &amp; Older</t>
  </si>
  <si>
    <t>Total OFA-NY Connects &amp; MIPPA</t>
  </si>
  <si>
    <t>AR Payments Received After June 30, 2015</t>
  </si>
  <si>
    <t>Greene County-DSS</t>
  </si>
  <si>
    <t>HRI Clinical Services - May 2015 Voucher</t>
  </si>
  <si>
    <t>CSP Clinical Services - May 2015 Voucher</t>
  </si>
  <si>
    <t>Total AR Payments Received After June 30, 2015</t>
  </si>
  <si>
    <t>June 30th AR Balance at July 20, 2015</t>
  </si>
  <si>
    <t>As of  June 30, 2015</t>
  </si>
  <si>
    <t>Six Months Ended June 30, 2014 &amp; 2015,</t>
  </si>
  <si>
    <t>June '15 vs. '14</t>
  </si>
  <si>
    <t>Medicaid Reduction was eliminated in April 2015</t>
  </si>
  <si>
    <t>Medicaid Claims Increased by $4,900 for 2nd Quarter 2015. 1st Qrt flat</t>
  </si>
  <si>
    <t>$50,000 due to purchase of minibus</t>
  </si>
  <si>
    <t xml:space="preserve">Increase in Accrued PTO $10,300 due to new staff plus $4,800 FICA + W/c Ins. $2,000 </t>
  </si>
  <si>
    <t>Telephone Expense actually decreased for 2015, Tobacco has $950 for web-site re-design to Mid-Hudson Cable.</t>
  </si>
  <si>
    <t xml:space="preserve">All of this relates to the Tobacco's Program Supplies like for Non-smoking signage </t>
  </si>
  <si>
    <t>Photocopying Exp went down, Increase Spending for outside printing services, CSP increase by $700, Tobacco increase by $380</t>
  </si>
  <si>
    <t>Looking Good!</t>
  </si>
  <si>
    <t>$6,000 Increase for Tobacco Reality Check + $1,500 for RHN</t>
  </si>
  <si>
    <t>Tobacco Program &amp; new RC mileage increased by $1,700, CSP Increased by $300</t>
  </si>
  <si>
    <t>Vehicle fuel down $5,300 for the first six months</t>
  </si>
  <si>
    <t>Tobacco in full swing at $45,776 vs.$17,702 &amp; CSP $2,793 vs.$1,600, Navigator up $500 &amp; RHN up $300</t>
  </si>
  <si>
    <t>%</t>
  </si>
  <si>
    <t>Foundation Revenue-FCH-Wheelchair Mini-Bus</t>
  </si>
  <si>
    <t>Office &amp; Program Supplies</t>
  </si>
  <si>
    <t>Less: Purchase Mini-Bus(2015) + 2 Vehicles (2014)</t>
  </si>
  <si>
    <t xml:space="preserve">Six Months Ended June 30, 2015 &amp; 2014 </t>
  </si>
  <si>
    <t>Revenue, Support &amp; Expenses</t>
  </si>
  <si>
    <t>Statement of Activities</t>
  </si>
  <si>
    <r>
      <t>è</t>
    </r>
    <r>
      <rPr>
        <b/>
        <sz val="12"/>
        <color theme="1"/>
        <rFont val="Times New Roman"/>
        <family val="1"/>
      </rPr>
      <t xml:space="preserve"> Medicaid 2% Across-the-Board Payment Reduction</t>
    </r>
    <r>
      <rPr>
        <sz val="12"/>
        <color theme="1"/>
        <rFont val="Times New Roman"/>
        <family val="1"/>
      </rPr>
      <t xml:space="preserve">. The 2% Across-the-Board Medicaid payment reduction was eliminated for claims with service dates on or after April 01, 2015. The retroactive repayment of the 2% reduction taken over the period April 2014 to March 2015 is still pending CMS approval. </t>
    </r>
  </si>
  <si>
    <r>
      <t>è</t>
    </r>
    <r>
      <rPr>
        <b/>
        <sz val="12"/>
        <color theme="1"/>
        <rFont val="Times New Roman"/>
        <family val="1"/>
      </rPr>
      <t xml:space="preserve"> 2002 Chevy Mini-Bus</t>
    </r>
    <r>
      <rPr>
        <sz val="12"/>
        <color theme="1"/>
        <rFont val="Calibri"/>
        <family val="2"/>
      </rPr>
      <t xml:space="preserve"> - Documentation has been submitted on July 9th to Auctions International website http://www.auctionsinternational.com for the listing of the old 2002 Chevy Minibus. Currently waiting for the on-line auction to begin.</t>
    </r>
  </si>
  <si>
    <r>
      <t>è</t>
    </r>
    <r>
      <rPr>
        <sz val="12"/>
        <color theme="1"/>
        <rFont val="Times New Roman"/>
        <family val="1"/>
      </rPr>
      <t xml:space="preserve"> </t>
    </r>
    <r>
      <rPr>
        <b/>
        <sz val="12"/>
        <color theme="1"/>
        <rFont val="Times New Roman"/>
        <family val="1"/>
      </rPr>
      <t>Galvan Foundation</t>
    </r>
    <r>
      <rPr>
        <sz val="12"/>
        <color theme="1"/>
        <rFont val="Calibri"/>
        <family val="2"/>
      </rPr>
      <t xml:space="preserve"> - CCCHC and Operation Unite of NY have signed a MOU in the amount of $19,450 with the goal to train up to six Bengali Youths as Community Health Workers &amp; for the six to work as Community Health Workers within the Bengali community during the 10 week period starting July 27th. Community Health Worker training began of July 20th. </t>
    </r>
  </si>
  <si>
    <r>
      <t>è</t>
    </r>
    <r>
      <rPr>
        <sz val="12"/>
        <color theme="1"/>
        <rFont val="Times New Roman"/>
        <family val="1"/>
      </rPr>
      <t xml:space="preserve"> </t>
    </r>
    <r>
      <rPr>
        <b/>
        <sz val="12"/>
        <color theme="1"/>
        <rFont val="Calibri"/>
        <family val="2"/>
      </rPr>
      <t>Rural Health Network Program</t>
    </r>
    <r>
      <rPr>
        <sz val="12"/>
        <color theme="1"/>
        <rFont val="Calibri"/>
        <family val="2"/>
      </rPr>
      <t xml:space="preserve"> (04/2015 to 03/2016). We received the $60,000 advance payment on June 26, 2015</t>
    </r>
  </si>
  <si>
    <r>
      <t>è</t>
    </r>
    <r>
      <rPr>
        <sz val="12"/>
        <color theme="1"/>
        <rFont val="Times New Roman"/>
        <family val="1"/>
      </rPr>
      <t xml:space="preserve"> </t>
    </r>
    <r>
      <rPr>
        <b/>
        <sz val="12"/>
        <color theme="1"/>
        <rFont val="Times New Roman"/>
        <family val="1"/>
      </rPr>
      <t>Community Cancer Funds</t>
    </r>
    <r>
      <rPr>
        <sz val="12"/>
        <color theme="1"/>
        <rFont val="Calibri"/>
        <family val="2"/>
      </rPr>
      <t xml:space="preserve"> - </t>
    </r>
    <r>
      <rPr>
        <b/>
        <sz val="12"/>
        <color theme="1"/>
        <rFont val="Calibri"/>
        <family val="2"/>
      </rPr>
      <t>A.</t>
    </r>
    <r>
      <rPr>
        <sz val="12"/>
        <color theme="1"/>
        <rFont val="Calibri"/>
        <family val="2"/>
      </rPr>
      <t xml:space="preserve"> The Bank of Greene County Foundation donated $1,000. </t>
    </r>
    <r>
      <rPr>
        <b/>
        <sz val="12"/>
        <color theme="1"/>
        <rFont val="Calibri"/>
        <family val="2"/>
      </rPr>
      <t>B.</t>
    </r>
    <r>
      <rPr>
        <sz val="12"/>
        <color theme="1"/>
        <rFont val="Calibri"/>
        <family val="2"/>
      </rPr>
      <t xml:space="preserve"> Kinderhook Toyota of West Ghent donated $2,500 with a possible match donation from Toyota USA of $2,500. </t>
    </r>
  </si>
  <si>
    <r>
      <t>è</t>
    </r>
    <r>
      <rPr>
        <sz val="12"/>
        <color theme="1"/>
        <rFont val="Times New Roman"/>
        <family val="1"/>
      </rPr>
      <t xml:space="preserve"> </t>
    </r>
    <r>
      <rPr>
        <b/>
        <sz val="12"/>
        <color theme="1"/>
        <rFont val="Calibri"/>
        <family val="2"/>
      </rPr>
      <t>Foundation of Community Health</t>
    </r>
    <r>
      <rPr>
        <sz val="12"/>
        <color theme="1"/>
        <rFont val="Calibri"/>
        <family val="2"/>
      </rPr>
      <t xml:space="preserve"> - Transportation purchased a new wheelchair access minibus from $50,000 grant. The 2015 Starcraft mini-bus was purchased from Don Brown Bus Sales. Please take an opportunity to check out the lettering on the new mini-bus.</t>
    </r>
  </si>
  <si>
    <r>
      <t xml:space="preserve">è </t>
    </r>
    <r>
      <rPr>
        <b/>
        <sz val="12"/>
        <color theme="1"/>
        <rFont val="Calibri"/>
        <family val="2"/>
      </rPr>
      <t xml:space="preserve">Navigator Program </t>
    </r>
    <r>
      <rPr>
        <sz val="12"/>
        <color theme="1"/>
        <rFont val="Calibri"/>
        <family val="2"/>
      </rPr>
      <t xml:space="preserve">(10/2014 to 9/2015) -Our new Navigator Contract Manager has make all of the difference when it comes to CCCHC getting paid. Payments are now timely. </t>
    </r>
  </si>
  <si>
    <r>
      <t>è</t>
    </r>
    <r>
      <rPr>
        <sz val="12"/>
        <color theme="1"/>
        <rFont val="Times New Roman"/>
        <family val="1"/>
      </rPr>
      <t xml:space="preserve"> </t>
    </r>
    <r>
      <rPr>
        <b/>
        <sz val="12"/>
        <color theme="1"/>
        <rFont val="Calibri"/>
        <family val="2"/>
      </rPr>
      <t>Cancer Screening Program</t>
    </r>
    <r>
      <rPr>
        <sz val="12"/>
        <color theme="1"/>
        <rFont val="Calibri"/>
        <family val="2"/>
      </rPr>
      <t xml:space="preserve"> (04/2015 to 03/2016) we don't expect payment for our outstanding vouchers (April &amp; May) $22,704 until the CSP contract is approved. </t>
    </r>
  </si>
  <si>
    <r>
      <t>è</t>
    </r>
    <r>
      <rPr>
        <sz val="12"/>
        <color theme="1"/>
        <rFont val="Times New Roman"/>
        <family val="1"/>
      </rPr>
      <t xml:space="preserve"> </t>
    </r>
    <r>
      <rPr>
        <sz val="12"/>
        <color theme="1"/>
        <rFont val="Calibri"/>
        <family val="2"/>
      </rPr>
      <t xml:space="preserve">The </t>
    </r>
    <r>
      <rPr>
        <b/>
        <sz val="12"/>
        <color theme="1"/>
        <rFont val="Calibri"/>
        <family val="2"/>
      </rPr>
      <t>Tobacco-Free Program</t>
    </r>
    <r>
      <rPr>
        <sz val="12"/>
        <color theme="1"/>
        <rFont val="Calibri"/>
        <family val="2"/>
      </rPr>
      <t xml:space="preserve"> (07/2015 to 06/2016) submitted their work plan and budget to the contract manager for approval on July 20th. Budget remains the same at $319,000.  We have submitted a voucher for a $79,750 advance payment. </t>
    </r>
  </si>
  <si>
    <r>
      <t>è</t>
    </r>
    <r>
      <rPr>
        <sz val="12"/>
        <color theme="1"/>
        <rFont val="Times New Roman"/>
        <family val="1"/>
      </rPr>
      <t xml:space="preserve"> </t>
    </r>
    <r>
      <rPr>
        <b/>
        <sz val="12"/>
        <color theme="1"/>
        <rFont val="Times New Roman"/>
        <family val="1"/>
      </rPr>
      <t>Medicaid Transportation Claims</t>
    </r>
    <r>
      <rPr>
        <sz val="12"/>
        <color theme="1"/>
        <rFont val="Times New Roman"/>
        <family val="1"/>
      </rPr>
      <t xml:space="preserve"> - Some unexpected delays in the month of May on billing Medicaid claims due to MAS taking longer than expected to make trip corrections. </t>
    </r>
  </si>
  <si>
    <r>
      <t>è</t>
    </r>
    <r>
      <rPr>
        <b/>
        <sz val="12"/>
        <color theme="1"/>
        <rFont val="Times New Roman"/>
        <family val="1"/>
      </rPr>
      <t xml:space="preserve"> Trustco Bank Investment</t>
    </r>
    <r>
      <rPr>
        <sz val="12"/>
        <color theme="1"/>
        <rFont val="Calibri"/>
        <family val="2"/>
      </rPr>
      <t xml:space="preserve"> - For the quarter ending June 30th, we experienced an unrealized loss on the Trustco Bank Investment in the amount of &lt;$588&gt; bringing down the previous reported gain to a loss in the amount of &lt;$340&gt;.</t>
    </r>
  </si>
  <si>
    <r>
      <t>è</t>
    </r>
    <r>
      <rPr>
        <sz val="12"/>
        <color theme="1"/>
        <rFont val="Times New Roman"/>
        <family val="1"/>
      </rPr>
      <t xml:space="preserve"> </t>
    </r>
    <r>
      <rPr>
        <b/>
        <sz val="12"/>
        <color theme="1"/>
        <rFont val="Calibri"/>
        <family val="2"/>
      </rPr>
      <t>Office of Aging: NY Connects &amp; MIPPA</t>
    </r>
    <r>
      <rPr>
        <sz val="12"/>
        <color theme="1"/>
        <rFont val="Calibri"/>
        <family val="2"/>
      </rPr>
      <t xml:space="preserve">  Our MIPPA agreement was signed. NY Connects &amp; MIPPA vouchers for the three months of April - June to be completed in the month of July 2015.</t>
    </r>
  </si>
  <si>
    <r>
      <t>è</t>
    </r>
    <r>
      <rPr>
        <sz val="12"/>
        <color theme="1"/>
        <rFont val="Times New Roman"/>
        <family val="1"/>
      </rPr>
      <t xml:space="preserve"> </t>
    </r>
    <r>
      <rPr>
        <b/>
        <sz val="12"/>
        <color theme="1"/>
        <rFont val="Calibri"/>
        <family val="2"/>
      </rPr>
      <t>Tobacco-Free Program</t>
    </r>
    <r>
      <rPr>
        <sz val="12"/>
        <color theme="1"/>
        <rFont val="Calibri"/>
        <family val="2"/>
      </rPr>
      <t xml:space="preserve"> (07/2014 to 06/2015) we have been told by our Tobacco Contract Manager on July 8th the following</t>
    </r>
    <r>
      <rPr>
        <i/>
        <sz val="12"/>
        <color theme="1"/>
        <rFont val="Calibri"/>
        <family val="2"/>
      </rPr>
      <t xml:space="preserve"> "we were told yesterday at out monthly staff meeting that fiscal has indicated that April and May vouchers have not been paid yet" </t>
    </r>
    <r>
      <rPr>
        <sz val="12"/>
        <color theme="1"/>
        <rFont val="Calibri"/>
        <family val="2"/>
      </rPr>
      <t xml:space="preserve">I think part of the reason may be the recoupment of the Grant Advance that had previously been stopped for three months. </t>
    </r>
  </si>
  <si>
    <r>
      <t>è</t>
    </r>
    <r>
      <rPr>
        <sz val="12"/>
        <color theme="1"/>
        <rFont val="Times New Roman"/>
        <family val="1"/>
      </rPr>
      <t xml:space="preserve"> </t>
    </r>
    <r>
      <rPr>
        <b/>
        <sz val="12"/>
        <color theme="1"/>
        <rFont val="Times New Roman"/>
        <family val="1"/>
      </rPr>
      <t>NYS Grant Gateway</t>
    </r>
    <r>
      <rPr>
        <sz val="12"/>
        <color theme="1"/>
        <rFont val="Times New Roman"/>
        <family val="1"/>
      </rPr>
      <t xml:space="preserve"> - The proper documentation has been submitted to the NYS Grant Gateway and CCCHC has been "prequalifies" to do business with New York State. Submission is required annually during the month of June.</t>
    </r>
  </si>
  <si>
    <r>
      <t>è</t>
    </r>
    <r>
      <rPr>
        <b/>
        <sz val="12"/>
        <color theme="1"/>
        <rFont val="Times New Roman"/>
        <family val="1"/>
      </rPr>
      <t xml:space="preserve"> Cash</t>
    </r>
    <r>
      <rPr>
        <sz val="12"/>
        <color theme="1"/>
        <rFont val="Calibri"/>
        <family val="2"/>
      </rPr>
      <t xml:space="preserve"> - Our cash balance in our TBOGC operating checking account has been maintaining in the mid to low $300,000. High $356,000 Low $305,000. Current $321,000</t>
    </r>
  </si>
  <si>
    <r>
      <t>è</t>
    </r>
    <r>
      <rPr>
        <b/>
        <sz val="12"/>
        <color theme="1"/>
        <rFont val="Times New Roman"/>
        <family val="1"/>
      </rPr>
      <t xml:space="preserve"> Medicaid Claim Revenue</t>
    </r>
    <r>
      <rPr>
        <sz val="12"/>
        <color theme="1"/>
        <rFont val="Times New Roman"/>
        <family val="1"/>
      </rPr>
      <t xml:space="preserve">. For the quarter ending June 30th, Medicaid revenue unexpectedly  increased by $4,900.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</si>
</sst>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50"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b/>
      <sz val="18"/>
      <color theme="1"/>
      <name val="Calibri"/>
      <family val="2"/>
      <scheme val="minor"/>
    </font>
    <font>
      <b/>
      <sz val="16"/>
      <color theme="1"/>
      <name val="Calibri"/>
      <family val="2"/>
      <scheme val="minor"/>
    </font>
    <font>
      <b/>
      <u/>
      <sz val="16"/>
      <color theme="1"/>
      <name val="Calibri"/>
      <family val="2"/>
      <scheme val="minor"/>
    </font>
    <font>
      <sz val="14"/>
      <color theme="1"/>
      <name val="Calibri"/>
      <family val="2"/>
      <scheme val="minor"/>
    </font>
    <font>
      <b/>
      <sz val="20"/>
      <color theme="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14"/>
      <color theme="1"/>
      <name val="Calibri"/>
      <family val="2"/>
      <scheme val="minor"/>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8"/>
      <color theme="1"/>
      <name val="Arial"/>
      <family val="2"/>
    </font>
    <font>
      <sz val="9"/>
      <color indexed="81"/>
      <name val="Tahoma"/>
      <charset val="1"/>
    </font>
    <font>
      <b/>
      <sz val="9"/>
      <color indexed="81"/>
      <name val="Tahoma"/>
      <charset val="1"/>
    </font>
    <font>
      <sz val="12"/>
      <color theme="1"/>
      <name val="Wide Latin"/>
      <family val="1"/>
    </font>
    <font>
      <i/>
      <sz val="12"/>
      <color theme="1"/>
      <name val="Calibri"/>
      <family val="2"/>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2"/>
        <bgColor indexed="64"/>
      </patternFill>
    </fill>
    <fill>
      <patternFill patternType="solid">
        <fgColor theme="5" tint="0.59999389629810485"/>
        <bgColor indexed="64"/>
      </patternFill>
    </fill>
  </fills>
  <borders count="10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right style="mediumDashed">
        <color indexed="64"/>
      </right>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862">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4"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5" xfId="0" applyFont="1" applyFill="1" applyBorder="1" applyAlignment="1"/>
    <xf numFmtId="0" fontId="6" fillId="4" borderId="16" xfId="0" applyFont="1" applyFill="1" applyBorder="1" applyAlignment="1"/>
    <xf numFmtId="0" fontId="6" fillId="3" borderId="18"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5" xfId="0" applyNumberFormat="1" applyFont="1" applyBorder="1" applyAlignment="1">
      <alignment vertical="center"/>
    </xf>
    <xf numFmtId="0" fontId="14" fillId="0" borderId="0" xfId="0" applyFont="1" applyBorder="1" applyAlignment="1">
      <alignment vertical="center"/>
    </xf>
    <xf numFmtId="0" fontId="14" fillId="0" borderId="35"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6" xfId="0" applyNumberFormat="1"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32" xfId="0" applyNumberFormat="1" applyFont="1" applyBorder="1" applyAlignment="1">
      <alignment vertical="center"/>
    </xf>
    <xf numFmtId="49" fontId="11" fillId="0" borderId="32" xfId="0" applyNumberFormat="1" applyFont="1" applyBorder="1" applyAlignment="1">
      <alignment vertical="center"/>
    </xf>
    <xf numFmtId="49" fontId="11" fillId="0" borderId="2" xfId="0" applyNumberFormat="1" applyFont="1" applyBorder="1" applyAlignment="1">
      <alignment vertical="center"/>
    </xf>
    <xf numFmtId="49" fontId="16" fillId="0" borderId="33" xfId="0" applyNumberFormat="1" applyFont="1" applyBorder="1" applyAlignment="1">
      <alignment vertical="center"/>
    </xf>
    <xf numFmtId="49" fontId="11" fillId="0" borderId="33"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7" borderId="0" xfId="0" applyFont="1" applyFill="1"/>
    <xf numFmtId="49" fontId="19" fillId="7" borderId="0" xfId="0" applyNumberFormat="1" applyFont="1" applyFill="1" applyBorder="1"/>
    <xf numFmtId="0" fontId="0" fillId="8" borderId="0" xfId="0" applyFont="1" applyFill="1"/>
    <xf numFmtId="49" fontId="19" fillId="8" borderId="0" xfId="0" applyNumberFormat="1" applyFont="1" applyFill="1" applyBorder="1"/>
    <xf numFmtId="0" fontId="0" fillId="8"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2" borderId="0" xfId="0" applyFont="1" applyFill="1"/>
    <xf numFmtId="0" fontId="0" fillId="9" borderId="0" xfId="0" applyFont="1" applyFill="1"/>
    <xf numFmtId="49" fontId="18" fillId="0" borderId="0" xfId="0" applyNumberFormat="1" applyFont="1" applyFill="1" applyBorder="1"/>
    <xf numFmtId="0" fontId="0" fillId="0" borderId="3" xfId="0" applyFont="1" applyFill="1" applyBorder="1"/>
    <xf numFmtId="0" fontId="0" fillId="9" borderId="3" xfId="0" applyFont="1" applyFill="1" applyBorder="1"/>
    <xf numFmtId="49" fontId="19" fillId="9" borderId="0" xfId="0" applyNumberFormat="1" applyFont="1" applyFill="1" applyBorder="1"/>
    <xf numFmtId="0" fontId="0" fillId="9" borderId="0" xfId="0" applyFont="1" applyFill="1" applyBorder="1"/>
    <xf numFmtId="0" fontId="0" fillId="13" borderId="0" xfId="0" applyFont="1" applyFill="1" applyAlignment="1">
      <alignment horizontal="center"/>
    </xf>
    <xf numFmtId="49" fontId="19" fillId="13" borderId="0" xfId="0" applyNumberFormat="1" applyFont="1" applyFill="1" applyBorder="1" applyAlignment="1">
      <alignment horizontal="left"/>
    </xf>
    <xf numFmtId="0" fontId="0" fillId="11"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4"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8" borderId="0" xfId="0" applyNumberFormat="1" applyFont="1" applyFill="1" applyBorder="1" applyAlignment="1">
      <alignment horizontal="left"/>
    </xf>
    <xf numFmtId="49" fontId="19" fillId="12" borderId="0" xfId="0" applyNumberFormat="1" applyFont="1" applyFill="1" applyBorder="1"/>
    <xf numFmtId="49" fontId="19" fillId="13" borderId="0" xfId="0" applyNumberFormat="1" applyFont="1" applyFill="1" applyBorder="1"/>
    <xf numFmtId="0" fontId="5" fillId="0" borderId="0" xfId="0" applyFont="1" applyBorder="1" applyAlignment="1">
      <alignment horizontal="center"/>
    </xf>
    <xf numFmtId="49" fontId="18" fillId="5" borderId="18" xfId="0" applyNumberFormat="1" applyFont="1" applyFill="1" applyBorder="1"/>
    <xf numFmtId="49" fontId="18" fillId="7" borderId="39" xfId="0" applyNumberFormat="1" applyFont="1" applyFill="1" applyBorder="1"/>
    <xf numFmtId="49" fontId="18" fillId="7" borderId="33" xfId="0" applyNumberFormat="1" applyFont="1" applyFill="1" applyBorder="1"/>
    <xf numFmtId="49" fontId="18" fillId="7" borderId="18" xfId="0" applyNumberFormat="1" applyFont="1" applyFill="1" applyBorder="1"/>
    <xf numFmtId="49" fontId="18" fillId="8" borderId="39" xfId="0" applyNumberFormat="1" applyFont="1" applyFill="1" applyBorder="1"/>
    <xf numFmtId="49" fontId="18" fillId="8" borderId="33" xfId="0" applyNumberFormat="1" applyFont="1" applyFill="1" applyBorder="1"/>
    <xf numFmtId="49" fontId="18" fillId="8" borderId="18" xfId="0" applyNumberFormat="1" applyFont="1" applyFill="1" applyBorder="1"/>
    <xf numFmtId="49" fontId="18" fillId="8" borderId="18" xfId="0" applyNumberFormat="1" applyFont="1" applyFill="1" applyBorder="1" applyAlignment="1">
      <alignment horizontal="center"/>
    </xf>
    <xf numFmtId="49" fontId="18" fillId="12" borderId="39" xfId="0" applyNumberFormat="1" applyFont="1" applyFill="1" applyBorder="1"/>
    <xf numFmtId="49" fontId="18" fillId="12" borderId="33" xfId="0" applyNumberFormat="1" applyFont="1" applyFill="1" applyBorder="1"/>
    <xf numFmtId="49" fontId="18" fillId="12" borderId="18" xfId="0" applyNumberFormat="1" applyFont="1" applyFill="1" applyBorder="1"/>
    <xf numFmtId="49" fontId="18" fillId="9" borderId="39" xfId="0" applyNumberFormat="1" applyFont="1" applyFill="1" applyBorder="1"/>
    <xf numFmtId="49" fontId="18" fillId="9" borderId="33" xfId="0" applyNumberFormat="1" applyFont="1" applyFill="1" applyBorder="1"/>
    <xf numFmtId="49" fontId="19" fillId="9" borderId="18" xfId="0" applyNumberFormat="1" applyFont="1" applyFill="1" applyBorder="1"/>
    <xf numFmtId="49" fontId="18" fillId="13" borderId="39" xfId="0" applyNumberFormat="1" applyFont="1" applyFill="1" applyBorder="1" applyAlignment="1">
      <alignment horizontal="left"/>
    </xf>
    <xf numFmtId="49" fontId="18" fillId="13" borderId="33" xfId="0" applyNumberFormat="1" applyFont="1" applyFill="1" applyBorder="1" applyAlignment="1">
      <alignment horizontal="center"/>
    </xf>
    <xf numFmtId="0" fontId="5" fillId="13" borderId="18" xfId="0" applyFont="1" applyFill="1" applyBorder="1" applyAlignment="1">
      <alignment horizontal="center"/>
    </xf>
    <xf numFmtId="49" fontId="18" fillId="11" borderId="39" xfId="0" applyNumberFormat="1" applyFont="1" applyFill="1" applyBorder="1"/>
    <xf numFmtId="49" fontId="18" fillId="5" borderId="41" xfId="0" applyNumberFormat="1" applyFont="1" applyFill="1" applyBorder="1" applyAlignment="1"/>
    <xf numFmtId="49" fontId="18" fillId="5" borderId="43" xfId="0" applyNumberFormat="1" applyFont="1" applyFill="1" applyBorder="1" applyAlignment="1"/>
    <xf numFmtId="49" fontId="18" fillId="9" borderId="28"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0" fillId="0" borderId="2" xfId="0" applyFont="1" applyBorder="1" applyAlignment="1">
      <alignment vertical="center"/>
    </xf>
    <xf numFmtId="49" fontId="11" fillId="0" borderId="32" xfId="0" applyNumberFormat="1" applyFont="1" applyBorder="1" applyAlignment="1"/>
    <xf numFmtId="0" fontId="0" fillId="0" borderId="32" xfId="0" applyBorder="1" applyAlignment="1"/>
    <xf numFmtId="49" fontId="18" fillId="5" borderId="45" xfId="0" applyNumberFormat="1" applyFont="1" applyFill="1" applyBorder="1" applyAlignment="1"/>
    <xf numFmtId="0" fontId="0" fillId="11" borderId="33" xfId="0" applyFont="1" applyFill="1" applyBorder="1" applyAlignment="1">
      <alignment horizontal="center"/>
    </xf>
    <xf numFmtId="0" fontId="0" fillId="4" borderId="38" xfId="0" applyFill="1" applyBorder="1"/>
    <xf numFmtId="0" fontId="0" fillId="4" borderId="38" xfId="0" applyFill="1" applyBorder="1" applyAlignment="1">
      <alignment horizontal="center"/>
    </xf>
    <xf numFmtId="40" fontId="0" fillId="4" borderId="38" xfId="0" applyNumberFormat="1" applyFill="1" applyBorder="1" applyAlignment="1"/>
    <xf numFmtId="40" fontId="0" fillId="4" borderId="49"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9" xfId="1" applyNumberFormat="1" applyFont="1" applyFill="1" applyBorder="1" applyAlignment="1">
      <alignment horizontal="right"/>
    </xf>
    <xf numFmtId="38" fontId="18" fillId="0" borderId="0" xfId="0" applyNumberFormat="1" applyFont="1" applyBorder="1" applyAlignment="1">
      <alignment horizontal="right"/>
    </xf>
    <xf numFmtId="38" fontId="19" fillId="7" borderId="43" xfId="0" applyNumberFormat="1" applyFont="1" applyFill="1" applyBorder="1" applyAlignment="1">
      <alignment horizontal="right"/>
    </xf>
    <xf numFmtId="38" fontId="19" fillId="7" borderId="45" xfId="0" applyNumberFormat="1" applyFont="1" applyFill="1" applyBorder="1" applyAlignment="1">
      <alignment horizontal="right"/>
    </xf>
    <xf numFmtId="38" fontId="19" fillId="7" borderId="41" xfId="0"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8" borderId="43" xfId="1" applyNumberFormat="1" applyFont="1" applyFill="1" applyBorder="1" applyAlignment="1">
      <alignment horizontal="right"/>
    </xf>
    <xf numFmtId="38" fontId="19" fillId="8" borderId="45" xfId="1" applyNumberFormat="1" applyFont="1" applyFill="1" applyBorder="1" applyAlignment="1">
      <alignment horizontal="right"/>
    </xf>
    <xf numFmtId="38" fontId="19" fillId="8" borderId="41"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2" borderId="43" xfId="1" applyNumberFormat="1" applyFont="1" applyFill="1" applyBorder="1" applyAlignment="1">
      <alignment horizontal="right"/>
    </xf>
    <xf numFmtId="38" fontId="19" fillId="12" borderId="45" xfId="1" applyNumberFormat="1" applyFont="1" applyFill="1" applyBorder="1" applyAlignment="1">
      <alignment horizontal="right"/>
    </xf>
    <xf numFmtId="38" fontId="19" fillId="12" borderId="41" xfId="1" applyNumberFormat="1" applyFont="1" applyFill="1" applyBorder="1" applyAlignment="1">
      <alignment horizontal="right"/>
    </xf>
    <xf numFmtId="38" fontId="19" fillId="12" borderId="1"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9" xfId="1" applyNumberFormat="1" applyFont="1" applyFill="1" applyBorder="1" applyAlignment="1">
      <alignment horizontal="right"/>
    </xf>
    <xf numFmtId="38" fontId="19" fillId="9" borderId="43" xfId="1" applyNumberFormat="1" applyFont="1" applyFill="1" applyBorder="1" applyAlignment="1">
      <alignment horizontal="right"/>
    </xf>
    <xf numFmtId="38" fontId="19" fillId="9" borderId="45" xfId="1" applyNumberFormat="1" applyFont="1" applyFill="1" applyBorder="1" applyAlignment="1">
      <alignment horizontal="right"/>
    </xf>
    <xf numFmtId="38" fontId="19" fillId="9" borderId="41" xfId="1" applyNumberFormat="1" applyFont="1" applyFill="1" applyBorder="1" applyAlignment="1">
      <alignment horizontal="right"/>
    </xf>
    <xf numFmtId="38" fontId="19" fillId="9" borderId="1" xfId="1" applyNumberFormat="1" applyFont="1" applyFill="1" applyBorder="1" applyAlignment="1">
      <alignment horizontal="right"/>
    </xf>
    <xf numFmtId="38" fontId="19" fillId="9" borderId="9" xfId="1" applyNumberFormat="1" applyFont="1" applyFill="1" applyBorder="1" applyAlignment="1">
      <alignment horizontal="right"/>
    </xf>
    <xf numFmtId="38" fontId="19" fillId="9" borderId="19" xfId="1" applyNumberFormat="1" applyFont="1" applyFill="1" applyBorder="1" applyAlignment="1">
      <alignment horizontal="right"/>
    </xf>
    <xf numFmtId="38" fontId="18" fillId="9" borderId="43" xfId="1" applyNumberFormat="1" applyFont="1" applyFill="1" applyBorder="1" applyAlignment="1">
      <alignment horizontal="right"/>
    </xf>
    <xf numFmtId="38" fontId="18" fillId="9" borderId="45" xfId="1" applyNumberFormat="1" applyFont="1" applyFill="1" applyBorder="1" applyAlignment="1">
      <alignment horizontal="right"/>
    </xf>
    <xf numFmtId="38" fontId="18" fillId="9" borderId="41" xfId="1" applyNumberFormat="1" applyFont="1" applyFill="1" applyBorder="1" applyAlignment="1">
      <alignment horizontal="right"/>
    </xf>
    <xf numFmtId="38" fontId="18" fillId="13" borderId="43" xfId="1" applyNumberFormat="1" applyFont="1" applyFill="1" applyBorder="1" applyAlignment="1">
      <alignment horizontal="right"/>
    </xf>
    <xf numFmtId="38" fontId="18" fillId="13" borderId="45" xfId="1" applyNumberFormat="1" applyFont="1" applyFill="1" applyBorder="1" applyAlignment="1">
      <alignment horizontal="right"/>
    </xf>
    <xf numFmtId="38" fontId="18" fillId="13" borderId="41" xfId="1" applyNumberFormat="1" applyFont="1" applyFill="1" applyBorder="1" applyAlignment="1">
      <alignment horizontal="right"/>
    </xf>
    <xf numFmtId="38" fontId="19" fillId="13" borderId="1" xfId="1" applyNumberFormat="1" applyFont="1" applyFill="1" applyBorder="1" applyAlignment="1">
      <alignment horizontal="right"/>
    </xf>
    <xf numFmtId="38" fontId="19" fillId="13" borderId="9" xfId="1" applyNumberFormat="1" applyFont="1" applyFill="1" applyBorder="1" applyAlignment="1">
      <alignment horizontal="right"/>
    </xf>
    <xf numFmtId="38" fontId="19" fillId="13" borderId="1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20" xfId="0" applyNumberFormat="1" applyFont="1" applyFill="1" applyBorder="1"/>
    <xf numFmtId="6" fontId="18" fillId="5" borderId="21" xfId="0" applyNumberFormat="1" applyFont="1" applyFill="1" applyBorder="1" applyAlignment="1">
      <alignment horizontal="center"/>
    </xf>
    <xf numFmtId="6" fontId="18" fillId="5" borderId="22" xfId="1" applyNumberFormat="1" applyFont="1" applyFill="1" applyBorder="1" applyAlignment="1">
      <alignment horizontal="right"/>
    </xf>
    <xf numFmtId="6" fontId="18" fillId="5" borderId="23"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7" borderId="20" xfId="0" applyNumberFormat="1" applyFont="1" applyFill="1" applyBorder="1"/>
    <xf numFmtId="6" fontId="18" fillId="7" borderId="21" xfId="0" applyNumberFormat="1" applyFont="1" applyFill="1" applyBorder="1" applyAlignment="1">
      <alignment horizontal="center"/>
    </xf>
    <xf numFmtId="6" fontId="18" fillId="7" borderId="30" xfId="1" applyNumberFormat="1" applyFont="1" applyFill="1" applyBorder="1" applyAlignment="1">
      <alignment horizontal="right"/>
    </xf>
    <xf numFmtId="6" fontId="18" fillId="7" borderId="23" xfId="1" applyNumberFormat="1" applyFont="1" applyFill="1" applyBorder="1" applyAlignment="1">
      <alignment horizontal="right"/>
    </xf>
    <xf numFmtId="6" fontId="0" fillId="7" borderId="0" xfId="0" applyNumberFormat="1" applyFont="1" applyFill="1"/>
    <xf numFmtId="6" fontId="0" fillId="8" borderId="20" xfId="0" applyNumberFormat="1" applyFont="1" applyFill="1" applyBorder="1" applyAlignment="1">
      <alignment horizontal="center"/>
    </xf>
    <xf numFmtId="6" fontId="18" fillId="8" borderId="21" xfId="0" applyNumberFormat="1" applyFont="1" applyFill="1" applyBorder="1" applyAlignment="1">
      <alignment horizontal="center"/>
    </xf>
    <xf numFmtId="6" fontId="18" fillId="8" borderId="30" xfId="1" applyNumberFormat="1" applyFont="1" applyFill="1" applyBorder="1" applyAlignment="1">
      <alignment horizontal="right"/>
    </xf>
    <xf numFmtId="6" fontId="18" fillId="8" borderId="22" xfId="1" applyNumberFormat="1" applyFont="1" applyFill="1" applyBorder="1" applyAlignment="1">
      <alignment horizontal="right"/>
    </xf>
    <xf numFmtId="6" fontId="18" fillId="8" borderId="23"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8" borderId="0" xfId="0" applyNumberFormat="1" applyFont="1" applyFill="1" applyAlignment="1">
      <alignment horizontal="center"/>
    </xf>
    <xf numFmtId="6" fontId="0" fillId="12" borderId="20" xfId="0" applyNumberFormat="1" applyFont="1" applyFill="1" applyBorder="1"/>
    <xf numFmtId="6" fontId="18" fillId="12" borderId="21" xfId="0" applyNumberFormat="1" applyFont="1" applyFill="1" applyBorder="1" applyAlignment="1">
      <alignment horizontal="center"/>
    </xf>
    <xf numFmtId="6" fontId="18" fillId="12" borderId="30" xfId="1" applyNumberFormat="1" applyFont="1" applyFill="1" applyBorder="1" applyAlignment="1">
      <alignment horizontal="right"/>
    </xf>
    <xf numFmtId="6" fontId="18" fillId="12" borderId="22" xfId="1" applyNumberFormat="1" applyFont="1" applyFill="1" applyBorder="1" applyAlignment="1">
      <alignment horizontal="right"/>
    </xf>
    <xf numFmtId="6" fontId="18" fillId="12" borderId="23" xfId="1" applyNumberFormat="1" applyFont="1" applyFill="1" applyBorder="1" applyAlignment="1">
      <alignment horizontal="right"/>
    </xf>
    <xf numFmtId="6" fontId="0" fillId="12" borderId="0" xfId="0" applyNumberFormat="1" applyFont="1" applyFill="1"/>
    <xf numFmtId="6" fontId="0" fillId="9" borderId="40" xfId="0" applyNumberFormat="1" applyFont="1" applyFill="1" applyBorder="1"/>
    <xf numFmtId="6" fontId="18" fillId="9" borderId="21" xfId="0" applyNumberFormat="1" applyFont="1" applyFill="1" applyBorder="1" applyAlignment="1">
      <alignment horizontal="center"/>
    </xf>
    <xf numFmtId="6" fontId="18" fillId="9" borderId="30" xfId="1" applyNumberFormat="1" applyFont="1" applyFill="1" applyBorder="1" applyAlignment="1">
      <alignment horizontal="right"/>
    </xf>
    <xf numFmtId="6" fontId="18" fillId="9" borderId="22" xfId="1" applyNumberFormat="1" applyFont="1" applyFill="1" applyBorder="1" applyAlignment="1">
      <alignment horizontal="right"/>
    </xf>
    <xf numFmtId="6" fontId="18" fillId="9" borderId="23" xfId="1" applyNumberFormat="1" applyFont="1" applyFill="1" applyBorder="1" applyAlignment="1">
      <alignment horizontal="right"/>
    </xf>
    <xf numFmtId="6" fontId="0" fillId="0" borderId="2" xfId="0" applyNumberFormat="1" applyFont="1" applyFill="1" applyBorder="1"/>
    <xf numFmtId="6" fontId="0" fillId="9" borderId="2" xfId="0" applyNumberFormat="1" applyFont="1" applyFill="1" applyBorder="1"/>
    <xf numFmtId="6" fontId="0" fillId="9" borderId="20" xfId="0" applyNumberFormat="1" applyFont="1" applyFill="1" applyBorder="1"/>
    <xf numFmtId="6" fontId="0" fillId="13" borderId="20" xfId="0" applyNumberFormat="1" applyFont="1" applyFill="1" applyBorder="1" applyAlignment="1">
      <alignment horizontal="center"/>
    </xf>
    <xf numFmtId="6" fontId="4" fillId="13" borderId="21" xfId="0" applyNumberFormat="1" applyFont="1" applyFill="1" applyBorder="1" applyAlignment="1">
      <alignment horizontal="center"/>
    </xf>
    <xf numFmtId="6" fontId="18" fillId="13" borderId="30" xfId="1" applyNumberFormat="1" applyFont="1" applyFill="1" applyBorder="1" applyAlignment="1">
      <alignment horizontal="right"/>
    </xf>
    <xf numFmtId="6" fontId="18" fillId="13" borderId="22" xfId="1" applyNumberFormat="1" applyFont="1" applyFill="1" applyBorder="1" applyAlignment="1">
      <alignment horizontal="right"/>
    </xf>
    <xf numFmtId="6" fontId="18" fillId="13" borderId="23" xfId="1" applyNumberFormat="1" applyFont="1" applyFill="1" applyBorder="1" applyAlignment="1">
      <alignment horizontal="right"/>
    </xf>
    <xf numFmtId="6" fontId="0" fillId="13" borderId="0" xfId="0" applyNumberFormat="1" applyFont="1" applyFill="1" applyAlignment="1">
      <alignment horizontal="center"/>
    </xf>
    <xf numFmtId="6" fontId="0" fillId="11" borderId="40" xfId="0" applyNumberFormat="1" applyFont="1" applyFill="1" applyBorder="1"/>
    <xf numFmtId="6" fontId="0" fillId="11" borderId="0" xfId="0" applyNumberFormat="1" applyFont="1" applyFill="1"/>
    <xf numFmtId="6" fontId="18" fillId="15" borderId="37" xfId="0" applyNumberFormat="1" applyFont="1" applyFill="1" applyBorder="1"/>
    <xf numFmtId="6" fontId="18" fillId="15" borderId="38" xfId="0" applyNumberFormat="1" applyFont="1" applyFill="1" applyBorder="1" applyAlignment="1">
      <alignment horizontal="center"/>
    </xf>
    <xf numFmtId="6" fontId="0" fillId="0" borderId="0" xfId="0" applyNumberFormat="1" applyFont="1"/>
    <xf numFmtId="6" fontId="0" fillId="0" borderId="0" xfId="0" applyNumberFormat="1" applyAlignment="1">
      <alignment horizontal="right"/>
    </xf>
    <xf numFmtId="0" fontId="9" fillId="0" borderId="0" xfId="2" applyFont="1"/>
    <xf numFmtId="0" fontId="10" fillId="0" borderId="0" xfId="2" applyFont="1"/>
    <xf numFmtId="0" fontId="10" fillId="0" borderId="0" xfId="2" applyFont="1" applyAlignment="1">
      <alignment horizontal="center"/>
    </xf>
    <xf numFmtId="0" fontId="1" fillId="0" borderId="0" xfId="2" applyFill="1"/>
    <xf numFmtId="0" fontId="1" fillId="0" borderId="0" xfId="2"/>
    <xf numFmtId="0" fontId="1" fillId="14" borderId="0" xfId="2" applyFill="1"/>
    <xf numFmtId="0" fontId="24" fillId="14" borderId="4" xfId="2" applyFont="1" applyFill="1" applyBorder="1" applyAlignment="1">
      <alignment horizontal="center"/>
    </xf>
    <xf numFmtId="0" fontId="24" fillId="14" borderId="2" xfId="2" applyFont="1" applyFill="1" applyBorder="1" applyAlignment="1">
      <alignment horizontal="center"/>
    </xf>
    <xf numFmtId="0" fontId="24" fillId="14" borderId="13" xfId="2" applyFont="1" applyFill="1" applyBorder="1" applyAlignment="1">
      <alignment horizontal="center"/>
    </xf>
    <xf numFmtId="0" fontId="21" fillId="0" borderId="0" xfId="2" applyFont="1" applyFill="1"/>
    <xf numFmtId="0" fontId="21" fillId="14" borderId="0" xfId="2" applyFont="1" applyFill="1"/>
    <xf numFmtId="0" fontId="24" fillId="16" borderId="54" xfId="2" applyFont="1" applyFill="1" applyBorder="1"/>
    <xf numFmtId="0" fontId="24" fillId="16" borderId="55" xfId="2" applyFont="1" applyFill="1" applyBorder="1"/>
    <xf numFmtId="0" fontId="24" fillId="16" borderId="55" xfId="2" applyFont="1" applyFill="1" applyBorder="1" applyAlignment="1">
      <alignment horizontal="center"/>
    </xf>
    <xf numFmtId="0" fontId="24" fillId="16" borderId="56" xfId="2" applyFont="1" applyFill="1" applyBorder="1" applyAlignment="1">
      <alignment horizontal="center"/>
    </xf>
    <xf numFmtId="0" fontId="24" fillId="16" borderId="57" xfId="2" applyFont="1" applyFill="1" applyBorder="1" applyAlignment="1">
      <alignment horizontal="center"/>
    </xf>
    <xf numFmtId="0" fontId="21" fillId="16" borderId="58" xfId="2" applyFont="1" applyFill="1" applyBorder="1"/>
    <xf numFmtId="0" fontId="10" fillId="5" borderId="11" xfId="2" applyFont="1" applyFill="1" applyBorder="1" applyAlignment="1">
      <alignment vertical="center"/>
    </xf>
    <xf numFmtId="0" fontId="10" fillId="5" borderId="11" xfId="2" applyFont="1" applyFill="1" applyBorder="1" applyAlignment="1">
      <alignment horizontal="center" vertical="center"/>
    </xf>
    <xf numFmtId="6" fontId="10" fillId="5" borderId="5" xfId="2" applyNumberFormat="1" applyFont="1" applyFill="1" applyBorder="1" applyAlignment="1">
      <alignment horizontal="center" vertical="center"/>
    </xf>
    <xf numFmtId="0" fontId="10" fillId="5" borderId="5" xfId="2" applyFont="1" applyFill="1" applyBorder="1" applyAlignment="1">
      <alignment vertical="center"/>
    </xf>
    <xf numFmtId="0" fontId="1" fillId="5" borderId="6" xfId="2" applyFont="1" applyFill="1" applyBorder="1" applyAlignment="1">
      <alignment vertical="center"/>
    </xf>
    <xf numFmtId="0" fontId="1" fillId="5" borderId="7" xfId="2" applyFont="1" applyFill="1" applyBorder="1" applyAlignment="1">
      <alignment vertical="center"/>
    </xf>
    <xf numFmtId="0" fontId="1" fillId="0" borderId="6" xfId="2" applyFont="1" applyFill="1" applyBorder="1" applyAlignment="1">
      <alignment vertical="center"/>
    </xf>
    <xf numFmtId="0" fontId="10" fillId="16" borderId="58" xfId="2" applyFont="1" applyFill="1" applyBorder="1"/>
    <xf numFmtId="0" fontId="10" fillId="16" borderId="58" xfId="2" applyFont="1" applyFill="1" applyBorder="1" applyAlignment="1">
      <alignment horizontal="center"/>
    </xf>
    <xf numFmtId="0" fontId="10" fillId="16" borderId="62" xfId="2" applyFont="1" applyFill="1" applyBorder="1" applyAlignment="1">
      <alignment horizontal="center"/>
    </xf>
    <xf numFmtId="0" fontId="10" fillId="16" borderId="63" xfId="2" applyFont="1" applyFill="1" applyBorder="1"/>
    <xf numFmtId="6" fontId="10" fillId="16" borderId="58" xfId="2" applyNumberFormat="1" applyFont="1" applyFill="1" applyBorder="1" applyAlignment="1">
      <alignment horizontal="center"/>
    </xf>
    <xf numFmtId="0" fontId="1" fillId="16" borderId="58" xfId="2" applyFill="1" applyBorder="1"/>
    <xf numFmtId="0" fontId="1" fillId="16" borderId="64" xfId="2" applyFill="1" applyBorder="1"/>
    <xf numFmtId="0" fontId="1" fillId="16" borderId="65" xfId="2" applyFill="1" applyBorder="1"/>
    <xf numFmtId="0" fontId="10" fillId="7" borderId="29" xfId="2" applyFont="1" applyFill="1" applyBorder="1" applyAlignment="1">
      <alignment vertical="center"/>
    </xf>
    <xf numFmtId="0" fontId="10" fillId="7" borderId="3" xfId="2" applyFont="1" applyFill="1" applyBorder="1" applyAlignment="1">
      <alignment vertical="center"/>
    </xf>
    <xf numFmtId="0" fontId="1" fillId="7" borderId="3" xfId="2" applyFill="1" applyBorder="1" applyAlignment="1">
      <alignment vertical="center"/>
    </xf>
    <xf numFmtId="0" fontId="1" fillId="0" borderId="3" xfId="2" applyFill="1" applyBorder="1" applyAlignment="1">
      <alignment vertical="center"/>
    </xf>
    <xf numFmtId="0" fontId="10" fillId="7" borderId="4" xfId="2" applyFont="1" applyFill="1" applyBorder="1" applyAlignment="1">
      <alignment vertical="center"/>
    </xf>
    <xf numFmtId="0" fontId="10" fillId="7" borderId="2" xfId="2" applyFont="1" applyFill="1" applyBorder="1" applyAlignment="1">
      <alignment vertical="center"/>
    </xf>
    <xf numFmtId="0" fontId="10" fillId="7" borderId="2" xfId="2" applyFont="1" applyFill="1" applyBorder="1" applyAlignment="1">
      <alignment horizontal="center" vertical="center"/>
    </xf>
    <xf numFmtId="0" fontId="1" fillId="7" borderId="2" xfId="2" applyFill="1" applyBorder="1" applyAlignment="1">
      <alignment vertical="center"/>
    </xf>
    <xf numFmtId="0" fontId="1" fillId="7" borderId="13" xfId="2" applyFill="1" applyBorder="1" applyAlignment="1">
      <alignment vertical="center"/>
    </xf>
    <xf numFmtId="0" fontId="1" fillId="0" borderId="2" xfId="2" applyFill="1" applyBorder="1" applyAlignment="1">
      <alignment vertical="center"/>
    </xf>
    <xf numFmtId="0" fontId="10" fillId="8" borderId="8" xfId="2" applyFont="1" applyFill="1" applyBorder="1" applyAlignment="1">
      <alignment vertical="center"/>
    </xf>
    <xf numFmtId="0" fontId="10" fillId="8" borderId="8" xfId="2" applyFont="1" applyFill="1" applyBorder="1" applyAlignment="1">
      <alignment horizontal="center" vertical="center"/>
    </xf>
    <xf numFmtId="6" fontId="10" fillId="8" borderId="5" xfId="2" applyNumberFormat="1" applyFont="1" applyFill="1" applyBorder="1" applyAlignment="1">
      <alignment horizontal="center" vertical="center"/>
    </xf>
    <xf numFmtId="0" fontId="10" fillId="8" borderId="5" xfId="2" applyFont="1" applyFill="1" applyBorder="1" applyAlignment="1">
      <alignment vertical="center"/>
    </xf>
    <xf numFmtId="0" fontId="10" fillId="8" borderId="6" xfId="2" applyFont="1" applyFill="1" applyBorder="1" applyAlignment="1">
      <alignment vertical="center"/>
    </xf>
    <xf numFmtId="0" fontId="1" fillId="8" borderId="6" xfId="2" applyFill="1" applyBorder="1" applyAlignment="1">
      <alignment vertical="center"/>
    </xf>
    <xf numFmtId="0" fontId="1" fillId="8" borderId="3" xfId="2" applyFill="1" applyBorder="1" applyAlignment="1">
      <alignment vertical="center"/>
    </xf>
    <xf numFmtId="0" fontId="10" fillId="8" borderId="11" xfId="2" applyFont="1" applyFill="1" applyBorder="1" applyAlignment="1">
      <alignment horizontal="left" vertical="center"/>
    </xf>
    <xf numFmtId="0" fontId="10" fillId="8" borderId="11" xfId="2" applyFont="1" applyFill="1" applyBorder="1" applyAlignment="1">
      <alignment horizontal="center" vertical="center"/>
    </xf>
    <xf numFmtId="0" fontId="1" fillId="8" borderId="0" xfId="2" applyFill="1" applyBorder="1" applyAlignment="1">
      <alignment vertical="center"/>
    </xf>
    <xf numFmtId="0" fontId="10" fillId="8" borderId="10" xfId="2" applyFont="1" applyFill="1" applyBorder="1" applyAlignment="1">
      <alignment horizontal="left" vertical="center"/>
    </xf>
    <xf numFmtId="0" fontId="10" fillId="8" borderId="10" xfId="2" applyFont="1" applyFill="1" applyBorder="1" applyAlignment="1">
      <alignment horizontal="center" vertical="center"/>
    </xf>
    <xf numFmtId="0" fontId="1" fillId="8" borderId="2" xfId="2" applyFill="1" applyBorder="1" applyAlignment="1">
      <alignment vertical="center"/>
    </xf>
    <xf numFmtId="0" fontId="10" fillId="16" borderId="58" xfId="2" applyFont="1" applyFill="1" applyBorder="1" applyAlignment="1">
      <alignment horizontal="right"/>
    </xf>
    <xf numFmtId="0" fontId="10" fillId="6" borderId="11" xfId="2" applyFont="1" applyFill="1" applyBorder="1" applyAlignment="1">
      <alignment vertical="center"/>
    </xf>
    <xf numFmtId="0" fontId="10" fillId="6" borderId="11" xfId="2" applyFont="1" applyFill="1" applyBorder="1" applyAlignment="1">
      <alignment horizontal="center" vertical="center"/>
    </xf>
    <xf numFmtId="0" fontId="10" fillId="6" borderId="5" xfId="2" applyFont="1" applyFill="1" applyBorder="1" applyAlignment="1">
      <alignment horizontal="center" vertical="center"/>
    </xf>
    <xf numFmtId="6" fontId="10" fillId="6" borderId="5" xfId="2" applyNumberFormat="1" applyFont="1" applyFill="1" applyBorder="1" applyAlignment="1">
      <alignment horizontal="center" vertical="center"/>
    </xf>
    <xf numFmtId="0" fontId="1" fillId="6" borderId="6" xfId="2" applyFill="1" applyBorder="1" applyAlignment="1">
      <alignment vertical="center"/>
    </xf>
    <xf numFmtId="0" fontId="1" fillId="0" borderId="6" xfId="2" applyFill="1" applyBorder="1" applyAlignment="1">
      <alignment vertical="center"/>
    </xf>
    <xf numFmtId="6" fontId="10" fillId="16" borderId="63" xfId="2" applyNumberFormat="1" applyFont="1" applyFill="1" applyBorder="1" applyAlignment="1">
      <alignment horizontal="center"/>
    </xf>
    <xf numFmtId="0" fontId="10" fillId="9" borderId="11" xfId="2" applyFont="1" applyFill="1" applyBorder="1" applyAlignment="1">
      <alignment vertical="center"/>
    </xf>
    <xf numFmtId="0" fontId="10" fillId="9" borderId="11" xfId="2" applyFont="1" applyFill="1" applyBorder="1" applyAlignment="1">
      <alignment horizontal="center" vertical="center"/>
    </xf>
    <xf numFmtId="6" fontId="10" fillId="9" borderId="5" xfId="2" applyNumberFormat="1" applyFont="1" applyFill="1" applyBorder="1" applyAlignment="1">
      <alignment horizontal="center" vertical="center"/>
    </xf>
    <xf numFmtId="0" fontId="10" fillId="9" borderId="5" xfId="2" applyFont="1" applyFill="1" applyBorder="1" applyAlignment="1">
      <alignment vertical="center"/>
    </xf>
    <xf numFmtId="0" fontId="10" fillId="9" borderId="6" xfId="2" applyFont="1" applyFill="1" applyBorder="1" applyAlignment="1">
      <alignment vertical="center"/>
    </xf>
    <xf numFmtId="0" fontId="1" fillId="9" borderId="6" xfId="2" applyFill="1" applyBorder="1" applyAlignment="1">
      <alignment vertical="center"/>
    </xf>
    <xf numFmtId="0" fontId="1" fillId="9" borderId="7" xfId="2" applyFill="1" applyBorder="1" applyAlignment="1">
      <alignment vertical="center"/>
    </xf>
    <xf numFmtId="0" fontId="10" fillId="10" borderId="11" xfId="2" applyFont="1" applyFill="1" applyBorder="1" applyAlignment="1">
      <alignment vertical="center"/>
    </xf>
    <xf numFmtId="0" fontId="10" fillId="10" borderId="11" xfId="2" applyFont="1" applyFill="1" applyBorder="1" applyAlignment="1">
      <alignment horizontal="center" vertical="center"/>
    </xf>
    <xf numFmtId="6" fontId="10" fillId="10" borderId="5" xfId="2" applyNumberFormat="1" applyFont="1" applyFill="1" applyBorder="1" applyAlignment="1">
      <alignment horizontal="center" vertical="center"/>
    </xf>
    <xf numFmtId="0" fontId="1" fillId="10" borderId="5" xfId="2" applyFill="1" applyBorder="1" applyAlignment="1">
      <alignment vertical="center"/>
    </xf>
    <xf numFmtId="0" fontId="1" fillId="10" borderId="6" xfId="2" applyFill="1" applyBorder="1" applyAlignment="1">
      <alignment vertical="center"/>
    </xf>
    <xf numFmtId="0" fontId="1" fillId="10" borderId="60" xfId="2" applyFill="1" applyBorder="1" applyAlignment="1">
      <alignment vertical="center"/>
    </xf>
    <xf numFmtId="0" fontId="1" fillId="10" borderId="7" xfId="2" applyFill="1" applyBorder="1" applyAlignment="1">
      <alignment vertical="center"/>
    </xf>
    <xf numFmtId="0" fontId="10" fillId="16" borderId="0" xfId="2" applyFont="1" applyFill="1" applyBorder="1"/>
    <xf numFmtId="0" fontId="10" fillId="16" borderId="0" xfId="2" applyFont="1" applyFill="1" applyBorder="1" applyAlignment="1">
      <alignment horizontal="center"/>
    </xf>
    <xf numFmtId="0" fontId="1" fillId="16" borderId="0" xfId="2" applyFill="1" applyBorder="1"/>
    <xf numFmtId="0" fontId="10" fillId="13" borderId="11" xfId="2" applyFont="1" applyFill="1" applyBorder="1" applyAlignment="1">
      <alignment vertical="center"/>
    </xf>
    <xf numFmtId="0" fontId="10" fillId="13" borderId="11" xfId="2" applyFont="1" applyFill="1" applyBorder="1" applyAlignment="1">
      <alignment horizontal="center" vertical="center"/>
    </xf>
    <xf numFmtId="0" fontId="10" fillId="13" borderId="5" xfId="2" applyFont="1" applyFill="1" applyBorder="1" applyAlignment="1">
      <alignment horizontal="center" vertical="center"/>
    </xf>
    <xf numFmtId="6" fontId="10" fillId="13" borderId="5" xfId="2" applyNumberFormat="1" applyFont="1" applyFill="1" applyBorder="1" applyAlignment="1">
      <alignment horizontal="center" vertical="center"/>
    </xf>
    <xf numFmtId="0" fontId="1" fillId="13" borderId="3" xfId="2" applyFill="1" applyBorder="1" applyAlignment="1">
      <alignment vertical="center"/>
    </xf>
    <xf numFmtId="0" fontId="1" fillId="13" borderId="52" xfId="2" applyFill="1" applyBorder="1" applyAlignment="1">
      <alignment vertical="center"/>
    </xf>
    <xf numFmtId="0" fontId="10" fillId="16" borderId="63" xfId="2" applyFont="1" applyFill="1" applyBorder="1" applyAlignment="1">
      <alignment horizontal="center"/>
    </xf>
    <xf numFmtId="0" fontId="10" fillId="11" borderId="17" xfId="2" applyFont="1" applyFill="1" applyBorder="1" applyAlignment="1">
      <alignment horizontal="left" vertical="center"/>
    </xf>
    <xf numFmtId="0" fontId="1" fillId="11" borderId="6" xfId="2" applyFill="1" applyBorder="1" applyAlignment="1">
      <alignment vertical="center"/>
    </xf>
    <xf numFmtId="0" fontId="1" fillId="11" borderId="7" xfId="2" applyFill="1" applyBorder="1" applyAlignment="1">
      <alignment vertical="center"/>
    </xf>
    <xf numFmtId="0" fontId="10" fillId="16" borderId="61" xfId="2" applyFont="1" applyFill="1" applyBorder="1" applyAlignment="1">
      <alignment horizontal="left"/>
    </xf>
    <xf numFmtId="0" fontId="10" fillId="11" borderId="22" xfId="2" applyFont="1" applyFill="1" applyBorder="1" applyAlignment="1">
      <alignment vertical="center"/>
    </xf>
    <xf numFmtId="0" fontId="10" fillId="11" borderId="22" xfId="2" applyFont="1" applyFill="1" applyBorder="1" applyAlignment="1">
      <alignment horizontal="center" vertical="center"/>
    </xf>
    <xf numFmtId="6" fontId="10" fillId="11" borderId="30" xfId="2" applyNumberFormat="1" applyFont="1" applyFill="1" applyBorder="1" applyAlignment="1">
      <alignment horizontal="center" vertical="center"/>
    </xf>
    <xf numFmtId="0" fontId="10" fillId="11" borderId="30" xfId="2" applyFont="1" applyFill="1" applyBorder="1" applyAlignment="1">
      <alignment vertical="center"/>
    </xf>
    <xf numFmtId="0" fontId="10" fillId="11" borderId="21" xfId="2" applyFont="1" applyFill="1" applyBorder="1" applyAlignment="1">
      <alignment vertical="center"/>
    </xf>
    <xf numFmtId="0" fontId="1" fillId="11" borderId="21" xfId="2" applyFill="1" applyBorder="1" applyAlignment="1">
      <alignment vertical="center"/>
    </xf>
    <xf numFmtId="0" fontId="1" fillId="18" borderId="6" xfId="2" applyFill="1" applyBorder="1" applyAlignment="1">
      <alignment vertical="center"/>
    </xf>
    <xf numFmtId="0" fontId="10" fillId="16" borderId="63" xfId="2" applyFont="1" applyFill="1" applyBorder="1" applyAlignment="1">
      <alignment horizontal="left"/>
    </xf>
    <xf numFmtId="0" fontId="1" fillId="0" borderId="0" xfId="2" applyAlignment="1">
      <alignment horizontal="center"/>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32"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6"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5" xfId="0" applyNumberFormat="1" applyFont="1" applyBorder="1" applyAlignment="1">
      <alignment vertical="center"/>
    </xf>
    <xf numFmtId="41" fontId="15" fillId="0" borderId="32"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6"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0" fontId="10" fillId="16" borderId="67" xfId="2" applyFont="1" applyFill="1" applyBorder="1"/>
    <xf numFmtId="0" fontId="10" fillId="16" borderId="68" xfId="2" applyFont="1" applyFill="1" applyBorder="1" applyAlignment="1">
      <alignment horizontal="center"/>
    </xf>
    <xf numFmtId="0" fontId="10" fillId="16" borderId="62" xfId="2" applyFont="1" applyFill="1" applyBorder="1"/>
    <xf numFmtId="0" fontId="10" fillId="16" borderId="69" xfId="2" applyFont="1" applyFill="1" applyBorder="1"/>
    <xf numFmtId="0" fontId="24" fillId="16" borderId="70" xfId="2" applyFont="1" applyFill="1" applyBorder="1" applyAlignment="1">
      <alignment horizontal="center"/>
    </xf>
    <xf numFmtId="0" fontId="10" fillId="16" borderId="71" xfId="2" applyFont="1" applyFill="1" applyBorder="1" applyAlignment="1">
      <alignment horizontal="center"/>
    </xf>
    <xf numFmtId="0" fontId="10" fillId="16" borderId="70" xfId="2" applyFont="1" applyFill="1" applyBorder="1" applyAlignment="1">
      <alignment horizontal="center"/>
    </xf>
    <xf numFmtId="0" fontId="10" fillId="16" borderId="71" xfId="2" applyFont="1" applyFill="1" applyBorder="1"/>
    <xf numFmtId="0" fontId="10" fillId="16" borderId="72" xfId="2" applyFont="1" applyFill="1" applyBorder="1"/>
    <xf numFmtId="0" fontId="1" fillId="16" borderId="70" xfId="2" applyFill="1" applyBorder="1"/>
    <xf numFmtId="0" fontId="1" fillId="16" borderId="68" xfId="2" applyFill="1" applyBorder="1"/>
    <xf numFmtId="0" fontId="1" fillId="16" borderId="69" xfId="2" applyFill="1" applyBorder="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73" xfId="0" applyNumberFormat="1" applyFont="1" applyFill="1" applyBorder="1" applyAlignment="1">
      <alignment horizontal="center"/>
    </xf>
    <xf numFmtId="40" fontId="3" fillId="0" borderId="66" xfId="0" applyNumberFormat="1" applyFont="1" applyFill="1" applyBorder="1" applyAlignment="1">
      <alignment horizontal="center"/>
    </xf>
    <xf numFmtId="0" fontId="6" fillId="4" borderId="37" xfId="0" applyFont="1" applyFill="1" applyBorder="1" applyAlignment="1">
      <alignment vertical="center"/>
    </xf>
    <xf numFmtId="0" fontId="6" fillId="4" borderId="38" xfId="0" applyFont="1" applyFill="1" applyBorder="1" applyAlignment="1">
      <alignment vertical="center"/>
    </xf>
    <xf numFmtId="0" fontId="6" fillId="4" borderId="49" xfId="0" applyFont="1" applyFill="1" applyBorder="1" applyAlignment="1">
      <alignment vertical="center"/>
    </xf>
    <xf numFmtId="40" fontId="3" fillId="3" borderId="75" xfId="0" applyNumberFormat="1" applyFont="1" applyFill="1" applyBorder="1" applyAlignment="1">
      <alignment horizontal="center" vertical="center" wrapText="1"/>
    </xf>
    <xf numFmtId="0" fontId="6" fillId="3" borderId="40" xfId="0" applyFont="1" applyFill="1" applyBorder="1"/>
    <xf numFmtId="0" fontId="6" fillId="3" borderId="32" xfId="0" applyFont="1" applyFill="1" applyBorder="1"/>
    <xf numFmtId="0" fontId="6" fillId="3" borderId="32" xfId="0" applyFont="1" applyFill="1" applyBorder="1" applyAlignment="1">
      <alignment horizontal="center"/>
    </xf>
    <xf numFmtId="14" fontId="6" fillId="3" borderId="32" xfId="0" applyNumberFormat="1" applyFont="1" applyFill="1" applyBorder="1" applyAlignment="1">
      <alignment horizontal="center"/>
    </xf>
    <xf numFmtId="42" fontId="28"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32"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9" fillId="0" borderId="0" xfId="0" applyFont="1" applyBorder="1"/>
    <xf numFmtId="41" fontId="29"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9" fillId="0" borderId="0" xfId="0" applyNumberFormat="1" applyFont="1" applyBorder="1"/>
    <xf numFmtId="0" fontId="0" fillId="0" borderId="0" xfId="0" applyFill="1" applyBorder="1" applyAlignment="1">
      <alignment horizontal="left"/>
    </xf>
    <xf numFmtId="6" fontId="4" fillId="15" borderId="44" xfId="1" applyNumberFormat="1" applyFont="1" applyFill="1" applyBorder="1" applyAlignment="1">
      <alignment horizontal="right"/>
    </xf>
    <xf numFmtId="0" fontId="30" fillId="0" borderId="0" xfId="0" applyNumberFormat="1" applyFont="1"/>
    <xf numFmtId="38" fontId="15" fillId="0" borderId="0" xfId="0" applyNumberFormat="1" applyFont="1" applyBorder="1" applyAlignment="1">
      <alignment vertical="center"/>
    </xf>
    <xf numFmtId="166" fontId="31" fillId="0" borderId="32" xfId="0" applyNumberFormat="1" applyFont="1" applyBorder="1" applyAlignment="1">
      <alignment horizontal="center"/>
    </xf>
    <xf numFmtId="10" fontId="0" fillId="0" borderId="0" xfId="0" applyNumberFormat="1" applyFill="1" applyBorder="1" applyAlignment="1"/>
    <xf numFmtId="0" fontId="32" fillId="0" borderId="0" xfId="0" applyFont="1" applyFill="1" applyBorder="1" applyAlignment="1">
      <alignment horizontal="left"/>
    </xf>
    <xf numFmtId="42" fontId="6" fillId="3" borderId="74" xfId="1" applyNumberFormat="1" applyFont="1" applyFill="1" applyBorder="1" applyAlignment="1"/>
    <xf numFmtId="0" fontId="10" fillId="16" borderId="57" xfId="2" applyFont="1" applyFill="1" applyBorder="1"/>
    <xf numFmtId="0" fontId="10" fillId="8" borderId="3" xfId="2" applyFont="1" applyFill="1" applyBorder="1" applyAlignment="1">
      <alignment vertical="center"/>
    </xf>
    <xf numFmtId="0" fontId="10" fillId="8" borderId="38" xfId="2" applyFont="1" applyFill="1" applyBorder="1" applyAlignment="1">
      <alignment vertical="center"/>
    </xf>
    <xf numFmtId="0" fontId="10" fillId="8" borderId="49" xfId="2" applyFont="1" applyFill="1" applyBorder="1" applyAlignment="1">
      <alignment vertical="center"/>
    </xf>
    <xf numFmtId="0" fontId="10" fillId="8" borderId="40" xfId="2" applyFont="1" applyFill="1" applyBorder="1" applyAlignment="1">
      <alignment vertical="center"/>
    </xf>
    <xf numFmtId="0" fontId="10" fillId="8" borderId="32" xfId="2" applyFont="1" applyFill="1" applyBorder="1" applyAlignment="1">
      <alignment vertical="center"/>
    </xf>
    <xf numFmtId="42" fontId="3" fillId="3" borderId="40" xfId="0" applyNumberFormat="1" applyFont="1" applyFill="1" applyBorder="1"/>
    <xf numFmtId="0" fontId="0" fillId="0" borderId="77" xfId="0" applyFill="1" applyBorder="1"/>
    <xf numFmtId="0" fontId="0" fillId="0" borderId="74" xfId="0" applyFill="1" applyBorder="1"/>
    <xf numFmtId="42" fontId="3" fillId="3" borderId="32" xfId="0" applyNumberFormat="1" applyFont="1" applyFill="1" applyBorder="1"/>
    <xf numFmtId="42" fontId="3" fillId="3" borderId="32" xfId="0" applyNumberFormat="1" applyFont="1" applyFill="1" applyBorder="1" applyAlignment="1">
      <alignment horizontal="center"/>
    </xf>
    <xf numFmtId="14" fontId="0" fillId="0" borderId="77" xfId="0" applyNumberFormat="1" applyFill="1" applyBorder="1" applyAlignment="1">
      <alignment horizontal="center"/>
    </xf>
    <xf numFmtId="0" fontId="0" fillId="0" borderId="77" xfId="0" applyFill="1" applyBorder="1" applyAlignment="1">
      <alignment horizontal="center"/>
    </xf>
    <xf numFmtId="0" fontId="0" fillId="0" borderId="74" xfId="0" applyFill="1" applyBorder="1" applyAlignment="1">
      <alignment horizontal="center"/>
    </xf>
    <xf numFmtId="42" fontId="3" fillId="3" borderId="46" xfId="0" applyNumberFormat="1" applyFont="1" applyFill="1" applyBorder="1" applyAlignment="1"/>
    <xf numFmtId="41" fontId="0" fillId="0" borderId="77" xfId="1" applyNumberFormat="1" applyFont="1" applyFill="1" applyBorder="1" applyAlignment="1"/>
    <xf numFmtId="41" fontId="0" fillId="0" borderId="74" xfId="1" applyNumberFormat="1" applyFont="1" applyFill="1" applyBorder="1" applyAlignment="1"/>
    <xf numFmtId="42" fontId="3" fillId="3" borderId="32" xfId="0" applyNumberFormat="1" applyFont="1" applyFill="1" applyBorder="1" applyAlignment="1"/>
    <xf numFmtId="42" fontId="3" fillId="3" borderId="80" xfId="0" applyNumberFormat="1" applyFont="1" applyFill="1" applyBorder="1" applyAlignment="1"/>
    <xf numFmtId="42" fontId="3" fillId="3" borderId="81" xfId="0" applyNumberFormat="1" applyFont="1" applyFill="1" applyBorder="1" applyAlignment="1"/>
    <xf numFmtId="0" fontId="6" fillId="4" borderId="39" xfId="0" applyFont="1" applyFill="1" applyBorder="1"/>
    <xf numFmtId="0" fontId="4" fillId="4" borderId="33" xfId="0" applyFont="1" applyFill="1" applyBorder="1"/>
    <xf numFmtId="0" fontId="4" fillId="4" borderId="33" xfId="0" applyFont="1" applyFill="1" applyBorder="1" applyAlignment="1">
      <alignment horizontal="center"/>
    </xf>
    <xf numFmtId="0" fontId="0" fillId="0" borderId="18" xfId="0" applyFill="1" applyBorder="1" applyAlignment="1">
      <alignment horizontal="left"/>
    </xf>
    <xf numFmtId="0" fontId="0" fillId="0" borderId="34" xfId="0" applyFill="1" applyBorder="1" applyAlignment="1">
      <alignment horizontal="left"/>
    </xf>
    <xf numFmtId="40" fontId="4" fillId="4" borderId="33" xfId="0" applyNumberFormat="1" applyFont="1" applyFill="1" applyBorder="1" applyAlignment="1"/>
    <xf numFmtId="41" fontId="0" fillId="0" borderId="77" xfId="1" applyNumberFormat="1" applyFont="1" applyFill="1" applyBorder="1" applyAlignment="1">
      <alignment horizontal="center"/>
    </xf>
    <xf numFmtId="38" fontId="0" fillId="0" borderId="74" xfId="1" applyNumberFormat="1" applyFont="1" applyFill="1" applyBorder="1" applyAlignment="1"/>
    <xf numFmtId="40" fontId="4" fillId="4" borderId="47" xfId="0" applyNumberFormat="1" applyFont="1" applyFill="1" applyBorder="1" applyAlignment="1"/>
    <xf numFmtId="40" fontId="4" fillId="4" borderId="41" xfId="0" applyNumberFormat="1" applyFont="1" applyFill="1" applyBorder="1" applyAlignment="1"/>
    <xf numFmtId="14" fontId="0" fillId="0" borderId="76" xfId="0" applyNumberFormat="1" applyFill="1" applyBorder="1" applyAlignment="1">
      <alignment horizontal="center"/>
    </xf>
    <xf numFmtId="38" fontId="0" fillId="0" borderId="76" xfId="1" applyNumberFormat="1" applyFont="1" applyFill="1" applyBorder="1" applyAlignment="1"/>
    <xf numFmtId="41" fontId="0" fillId="0" borderId="76" xfId="1" applyNumberFormat="1" applyFont="1" applyFill="1" applyBorder="1" applyAlignment="1"/>
    <xf numFmtId="38" fontId="0" fillId="0" borderId="77"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33" fillId="0" borderId="0" xfId="0" applyNumberFormat="1" applyFont="1" applyBorder="1" applyAlignment="1">
      <alignment horizontal="center"/>
    </xf>
    <xf numFmtId="0" fontId="22" fillId="0" borderId="0" xfId="0" applyNumberFormat="1" applyFont="1"/>
    <xf numFmtId="14" fontId="0" fillId="0" borderId="34" xfId="0" applyNumberFormat="1" applyFill="1" applyBorder="1" applyAlignment="1">
      <alignment horizontal="center"/>
    </xf>
    <xf numFmtId="14" fontId="0" fillId="0" borderId="81" xfId="0" applyNumberFormat="1" applyFill="1" applyBorder="1" applyAlignment="1">
      <alignment horizontal="center"/>
    </xf>
    <xf numFmtId="0" fontId="3" fillId="3" borderId="66" xfId="0" applyFont="1" applyFill="1" applyBorder="1" applyAlignment="1">
      <alignment horizontal="center" vertical="center"/>
    </xf>
    <xf numFmtId="42" fontId="3" fillId="3" borderId="37" xfId="0" applyNumberFormat="1" applyFont="1" applyFill="1" applyBorder="1"/>
    <xf numFmtId="42" fontId="3" fillId="3" borderId="38" xfId="0" applyNumberFormat="1" applyFont="1" applyFill="1" applyBorder="1"/>
    <xf numFmtId="42" fontId="3" fillId="3" borderId="49" xfId="0" applyNumberFormat="1" applyFont="1" applyFill="1" applyBorder="1"/>
    <xf numFmtId="40" fontId="3" fillId="3" borderId="66" xfId="0" applyNumberFormat="1" applyFont="1" applyFill="1" applyBorder="1" applyAlignment="1">
      <alignment horizontal="center" vertical="center"/>
    </xf>
    <xf numFmtId="40" fontId="3" fillId="3" borderId="66" xfId="0" applyNumberFormat="1" applyFont="1" applyFill="1" applyBorder="1" applyAlignment="1">
      <alignment horizontal="center" vertical="center" wrapText="1"/>
    </xf>
    <xf numFmtId="41" fontId="13" fillId="0" borderId="35" xfId="0" applyNumberFormat="1" applyFont="1" applyBorder="1" applyAlignment="1">
      <alignment horizontal="center" vertical="center"/>
    </xf>
    <xf numFmtId="0" fontId="0" fillId="0" borderId="76" xfId="0" applyFill="1" applyBorder="1" applyAlignment="1">
      <alignment horizontal="center"/>
    </xf>
    <xf numFmtId="0" fontId="0" fillId="0" borderId="85" xfId="0" applyBorder="1" applyAlignment="1">
      <alignment horizontal="center" vertical="center"/>
    </xf>
    <xf numFmtId="42" fontId="11" fillId="0" borderId="36" xfId="0" applyNumberFormat="1" applyFont="1" applyBorder="1" applyAlignment="1">
      <alignment vertical="center"/>
    </xf>
    <xf numFmtId="41" fontId="15" fillId="0" borderId="0" xfId="0" applyNumberFormat="1" applyFont="1" applyFill="1" applyBorder="1" applyAlignment="1">
      <alignment vertical="center"/>
    </xf>
    <xf numFmtId="166" fontId="31" fillId="0" borderId="0" xfId="0" applyNumberFormat="1" applyFont="1" applyBorder="1" applyAlignment="1">
      <alignment horizontal="center"/>
    </xf>
    <xf numFmtId="41" fontId="13" fillId="0" borderId="85" xfId="0" applyNumberFormat="1" applyFont="1" applyBorder="1" applyAlignment="1">
      <alignment vertical="center"/>
    </xf>
    <xf numFmtId="41" fontId="11" fillId="0" borderId="85" xfId="0" applyNumberFormat="1" applyFont="1" applyBorder="1" applyAlignment="1">
      <alignment vertical="center"/>
    </xf>
    <xf numFmtId="42" fontId="15" fillId="0" borderId="0" xfId="0" applyNumberFormat="1" applyFont="1" applyFill="1" applyBorder="1" applyAlignment="1">
      <alignment vertical="center"/>
    </xf>
    <xf numFmtId="0" fontId="10" fillId="8" borderId="37" xfId="2" applyFont="1" applyFill="1" applyBorder="1" applyAlignment="1">
      <alignment vertical="center"/>
    </xf>
    <xf numFmtId="41" fontId="18" fillId="5" borderId="18"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19" fillId="5" borderId="1" xfId="0" applyNumberFormat="1" applyFont="1" applyFill="1" applyBorder="1" applyAlignment="1"/>
    <xf numFmtId="41" fontId="0" fillId="0" borderId="11" xfId="1" applyNumberFormat="1" applyFont="1" applyFill="1" applyBorder="1" applyAlignment="1"/>
    <xf numFmtId="41" fontId="0" fillId="0" borderId="11" xfId="0" applyNumberFormat="1" applyFill="1" applyBorder="1" applyAlignment="1"/>
    <xf numFmtId="0" fontId="0" fillId="0" borderId="82" xfId="0" applyFill="1" applyBorder="1"/>
    <xf numFmtId="41" fontId="0" fillId="0" borderId="83" xfId="1" applyNumberFormat="1" applyFont="1" applyFill="1" applyBorder="1" applyAlignment="1"/>
    <xf numFmtId="41" fontId="0" fillId="0" borderId="84" xfId="1" applyNumberFormat="1" applyFont="1" applyFill="1" applyBorder="1" applyAlignment="1"/>
    <xf numFmtId="0" fontId="0" fillId="0" borderId="17" xfId="0" applyFill="1" applyBorder="1"/>
    <xf numFmtId="41" fontId="0" fillId="0" borderId="86" xfId="1" applyNumberFormat="1" applyFont="1" applyFill="1" applyBorder="1" applyAlignment="1"/>
    <xf numFmtId="0" fontId="0" fillId="0" borderId="31" xfId="0" applyFill="1" applyBorder="1"/>
    <xf numFmtId="41" fontId="0" fillId="0" borderId="22" xfId="1" applyNumberFormat="1" applyFont="1" applyFill="1" applyBorder="1" applyAlignment="1"/>
    <xf numFmtId="41" fontId="0" fillId="0" borderId="23" xfId="1" applyNumberFormat="1" applyFont="1" applyFill="1" applyBorder="1" applyAlignment="1"/>
    <xf numFmtId="43" fontId="0" fillId="0" borderId="0" xfId="0" applyNumberFormat="1" applyBorder="1" applyAlignment="1">
      <alignment vertical="center"/>
    </xf>
    <xf numFmtId="49" fontId="35" fillId="0" borderId="0" xfId="0" applyNumberFormat="1" applyFont="1" applyBorder="1" applyAlignment="1">
      <alignment vertical="center"/>
    </xf>
    <xf numFmtId="49" fontId="18" fillId="14" borderId="39" xfId="0" applyNumberFormat="1" applyFont="1" applyFill="1" applyBorder="1"/>
    <xf numFmtId="49" fontId="18" fillId="14" borderId="33" xfId="0" applyNumberFormat="1" applyFont="1" applyFill="1" applyBorder="1"/>
    <xf numFmtId="6" fontId="18" fillId="14" borderId="45" xfId="1" applyNumberFormat="1" applyFont="1" applyFill="1" applyBorder="1" applyAlignment="1">
      <alignment horizontal="right"/>
    </xf>
    <xf numFmtId="6" fontId="18" fillId="14" borderId="47" xfId="1" applyNumberFormat="1" applyFont="1" applyFill="1" applyBorder="1" applyAlignment="1">
      <alignment horizontal="right"/>
    </xf>
    <xf numFmtId="49" fontId="18" fillId="14" borderId="18" xfId="0" applyNumberFormat="1" applyFont="1" applyFill="1" applyBorder="1"/>
    <xf numFmtId="49" fontId="18" fillId="14" borderId="28" xfId="0" applyNumberFormat="1" applyFont="1" applyFill="1" applyBorder="1"/>
    <xf numFmtId="6" fontId="18" fillId="14" borderId="46" xfId="1" applyNumberFormat="1" applyFont="1" applyFill="1" applyBorder="1" applyAlignment="1">
      <alignment horizontal="right"/>
    </xf>
    <xf numFmtId="38" fontId="18" fillId="14" borderId="9" xfId="1" applyNumberFormat="1" applyFont="1" applyFill="1" applyBorder="1" applyAlignment="1">
      <alignment horizontal="right"/>
    </xf>
    <xf numFmtId="38" fontId="18" fillId="14" borderId="10" xfId="1" applyNumberFormat="1" applyFont="1" applyFill="1" applyBorder="1" applyAlignment="1">
      <alignment horizontal="right"/>
    </xf>
    <xf numFmtId="49" fontId="19" fillId="14" borderId="0" xfId="0" applyNumberFormat="1" applyFont="1" applyFill="1" applyBorder="1"/>
    <xf numFmtId="49" fontId="19" fillId="14" borderId="2" xfId="0" applyNumberFormat="1" applyFont="1" applyFill="1" applyBorder="1"/>
    <xf numFmtId="38" fontId="18" fillId="14" borderId="34" xfId="1" applyNumberFormat="1" applyFont="1" applyFill="1" applyBorder="1" applyAlignment="1">
      <alignment horizontal="right"/>
    </xf>
    <xf numFmtId="38" fontId="18" fillId="14" borderId="53" xfId="1" applyNumberFormat="1" applyFont="1" applyFill="1" applyBorder="1" applyAlignment="1">
      <alignment horizontal="right"/>
    </xf>
    <xf numFmtId="0" fontId="33"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1" fontId="10" fillId="0" borderId="0" xfId="0" applyNumberFormat="1" applyFont="1" applyBorder="1"/>
    <xf numFmtId="42" fontId="12" fillId="0" borderId="85" xfId="0" applyNumberFormat="1" applyFont="1" applyBorder="1" applyAlignment="1">
      <alignment vertical="center"/>
    </xf>
    <xf numFmtId="0" fontId="0" fillId="0" borderId="77" xfId="0" applyFill="1" applyBorder="1" applyAlignment="1">
      <alignment horizontal="left"/>
    </xf>
    <xf numFmtId="0" fontId="0" fillId="0" borderId="76" xfId="0" applyFill="1" applyBorder="1" applyAlignment="1">
      <alignment horizontal="left"/>
    </xf>
    <xf numFmtId="38" fontId="18" fillId="14" borderId="45" xfId="1" applyNumberFormat="1" applyFont="1" applyFill="1" applyBorder="1" applyAlignment="1">
      <alignment horizontal="right"/>
    </xf>
    <xf numFmtId="41" fontId="13" fillId="0" borderId="35" xfId="0" applyNumberFormat="1" applyFont="1" applyBorder="1" applyAlignment="1">
      <alignment horizontal="center" vertical="center"/>
    </xf>
    <xf numFmtId="49" fontId="18" fillId="9" borderId="18"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0" fontId="0" fillId="0" borderId="76" xfId="0" applyFill="1" applyBorder="1"/>
    <xf numFmtId="0" fontId="0" fillId="0" borderId="87" xfId="0" applyFill="1" applyBorder="1" applyAlignment="1">
      <alignment horizontal="left"/>
    </xf>
    <xf numFmtId="0" fontId="0" fillId="0" borderId="87" xfId="0" applyFill="1" applyBorder="1" applyAlignment="1">
      <alignment horizontal="center"/>
    </xf>
    <xf numFmtId="14" fontId="0" fillId="0" borderId="87" xfId="0" applyNumberFormat="1" applyFill="1" applyBorder="1" applyAlignment="1">
      <alignment horizontal="center"/>
    </xf>
    <xf numFmtId="41" fontId="0" fillId="0" borderId="77" xfId="1" applyNumberFormat="1" applyFont="1" applyFill="1" applyBorder="1" applyAlignment="1">
      <alignment horizontal="right"/>
    </xf>
    <xf numFmtId="41" fontId="0" fillId="0" borderId="87" xfId="1" applyNumberFormat="1" applyFont="1" applyFill="1" applyBorder="1" applyAlignment="1"/>
    <xf numFmtId="41" fontId="0" fillId="0" borderId="76"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1" fontId="15" fillId="0" borderId="21" xfId="0" applyNumberFormat="1" applyFont="1" applyBorder="1" applyAlignment="1">
      <alignment vertical="center"/>
    </xf>
    <xf numFmtId="0" fontId="23" fillId="8" borderId="38" xfId="2" applyFont="1" applyFill="1" applyBorder="1" applyAlignment="1">
      <alignment vertical="center"/>
    </xf>
    <xf numFmtId="0" fontId="24" fillId="8" borderId="38" xfId="2" applyFont="1" applyFill="1" applyBorder="1" applyAlignment="1">
      <alignment vertical="center"/>
    </xf>
    <xf numFmtId="49" fontId="18" fillId="11" borderId="18" xfId="0" applyNumberFormat="1" applyFont="1" applyFill="1" applyBorder="1"/>
    <xf numFmtId="6" fontId="19" fillId="11" borderId="0" xfId="0" applyNumberFormat="1" applyFont="1" applyFill="1" applyBorder="1"/>
    <xf numFmtId="49" fontId="18" fillId="11" borderId="28" xfId="0" applyNumberFormat="1" applyFont="1" applyFill="1" applyBorder="1"/>
    <xf numFmtId="6" fontId="18" fillId="11" borderId="10" xfId="1" applyNumberFormat="1" applyFont="1" applyFill="1" applyBorder="1" applyAlignment="1">
      <alignment horizontal="right"/>
    </xf>
    <xf numFmtId="6" fontId="18" fillId="11" borderId="21" xfId="0" applyNumberFormat="1" applyFont="1" applyFill="1" applyBorder="1" applyAlignment="1">
      <alignment horizontal="center"/>
    </xf>
    <xf numFmtId="38" fontId="0" fillId="11" borderId="8" xfId="0" applyNumberFormat="1" applyFont="1" applyFill="1" applyBorder="1" applyAlignment="1">
      <alignment horizontal="center"/>
    </xf>
    <xf numFmtId="6" fontId="18" fillId="11" borderId="9" xfId="1" applyNumberFormat="1" applyFont="1" applyFill="1" applyBorder="1" applyAlignment="1">
      <alignment horizontal="right"/>
    </xf>
    <xf numFmtId="49" fontId="18" fillId="19" borderId="37" xfId="0" applyNumberFormat="1" applyFont="1" applyFill="1" applyBorder="1"/>
    <xf numFmtId="49" fontId="18" fillId="19" borderId="38" xfId="0" applyNumberFormat="1" applyFont="1" applyFill="1" applyBorder="1"/>
    <xf numFmtId="6" fontId="18" fillId="19" borderId="44" xfId="1" applyNumberFormat="1" applyFont="1" applyFill="1" applyBorder="1" applyAlignment="1">
      <alignment horizontal="right"/>
    </xf>
    <xf numFmtId="38" fontId="18" fillId="19" borderId="44" xfId="1" applyNumberFormat="1" applyFont="1" applyFill="1" applyBorder="1" applyAlignment="1">
      <alignment horizontal="right"/>
    </xf>
    <xf numFmtId="6" fontId="18" fillId="19" borderId="49" xfId="1" applyNumberFormat="1" applyFont="1" applyFill="1" applyBorder="1" applyAlignment="1">
      <alignment horizontal="right"/>
    </xf>
    <xf numFmtId="42" fontId="3" fillId="3" borderId="88" xfId="1" applyNumberFormat="1" applyFont="1" applyFill="1" applyBorder="1" applyAlignment="1"/>
    <xf numFmtId="42" fontId="3" fillId="3" borderId="44" xfId="1" applyNumberFormat="1" applyFont="1" applyFill="1" applyBorder="1" applyAlignment="1"/>
    <xf numFmtId="42" fontId="3" fillId="3" borderId="89" xfId="1" applyNumberFormat="1" applyFont="1" applyFill="1" applyBorder="1" applyAlignment="1"/>
    <xf numFmtId="42" fontId="3" fillId="3" borderId="90" xfId="1" applyNumberFormat="1" applyFont="1" applyFill="1" applyBorder="1" applyAlignment="1"/>
    <xf numFmtId="49" fontId="11" fillId="0" borderId="32" xfId="0" applyNumberFormat="1" applyFont="1" applyBorder="1" applyAlignment="1">
      <alignment horizontal="left" vertical="center" indent="2"/>
    </xf>
    <xf numFmtId="0" fontId="0" fillId="0" borderId="32" xfId="0" applyBorder="1" applyAlignment="1">
      <alignment vertical="center"/>
    </xf>
    <xf numFmtId="0" fontId="29" fillId="0" borderId="0" xfId="0" applyFont="1" applyAlignment="1">
      <alignment vertical="center"/>
    </xf>
    <xf numFmtId="41" fontId="15" fillId="0" borderId="38" xfId="0" applyNumberFormat="1" applyFont="1" applyBorder="1" applyAlignment="1">
      <alignment vertical="center"/>
    </xf>
    <xf numFmtId="41" fontId="29" fillId="0" borderId="32" xfId="0" applyNumberFormat="1" applyFont="1" applyBorder="1" applyAlignment="1">
      <alignment vertical="center"/>
    </xf>
    <xf numFmtId="41" fontId="29" fillId="0" borderId="38" xfId="0" applyNumberFormat="1" applyFont="1" applyBorder="1" applyAlignment="1">
      <alignment vertical="center"/>
    </xf>
    <xf numFmtId="42" fontId="29" fillId="0" borderId="85" xfId="0" applyNumberFormat="1" applyFont="1" applyBorder="1" applyAlignment="1">
      <alignment vertical="center"/>
    </xf>
    <xf numFmtId="42" fontId="29" fillId="0" borderId="0" xfId="0" applyNumberFormat="1" applyFont="1" applyBorder="1" applyAlignment="1">
      <alignment vertical="center"/>
    </xf>
    <xf numFmtId="42" fontId="0" fillId="0" borderId="0" xfId="0" applyNumberFormat="1" applyFont="1" applyBorder="1" applyAlignment="1">
      <alignment vertical="center"/>
    </xf>
    <xf numFmtId="41" fontId="36" fillId="0" borderId="77" xfId="1" applyNumberFormat="1" applyFont="1" applyFill="1" applyBorder="1" applyAlignment="1"/>
    <xf numFmtId="42" fontId="6" fillId="0" borderId="66" xfId="0" applyNumberFormat="1" applyFont="1" applyFill="1" applyBorder="1" applyAlignment="1"/>
    <xf numFmtId="0" fontId="26" fillId="7" borderId="37" xfId="2" applyFont="1" applyFill="1" applyBorder="1" applyAlignment="1">
      <alignment vertical="center"/>
    </xf>
    <xf numFmtId="0" fontId="26" fillId="7" borderId="38" xfId="2" applyFont="1" applyFill="1" applyBorder="1" applyAlignment="1">
      <alignment vertical="center"/>
    </xf>
    <xf numFmtId="0" fontId="10" fillId="16" borderId="91" xfId="2" applyFont="1" applyFill="1" applyBorder="1"/>
    <xf numFmtId="0" fontId="10" fillId="16" borderId="67" xfId="2" applyFont="1" applyFill="1" applyBorder="1" applyAlignment="1">
      <alignment horizontal="center"/>
    </xf>
    <xf numFmtId="0" fontId="1" fillId="16" borderId="57" xfId="2" applyFill="1" applyBorder="1"/>
    <xf numFmtId="0" fontId="1" fillId="16" borderId="62" xfId="2" applyFill="1" applyBorder="1"/>
    <xf numFmtId="0" fontId="24" fillId="14" borderId="0" xfId="2" applyFont="1" applyFill="1" applyBorder="1" applyAlignment="1">
      <alignment horizontal="center"/>
    </xf>
    <xf numFmtId="0" fontId="1" fillId="7" borderId="0" xfId="2" applyFill="1" applyBorder="1" applyAlignment="1">
      <alignment vertical="center"/>
    </xf>
    <xf numFmtId="0" fontId="21" fillId="16" borderId="69" xfId="2" applyFont="1" applyFill="1" applyBorder="1"/>
    <xf numFmtId="0" fontId="25" fillId="14" borderId="33" xfId="2" applyFont="1" applyFill="1" applyBorder="1" applyAlignment="1"/>
    <xf numFmtId="0" fontId="25" fillId="14" borderId="47" xfId="2" applyFont="1" applyFill="1" applyBorder="1" applyAlignment="1"/>
    <xf numFmtId="0" fontId="24" fillId="14" borderId="40" xfId="2" applyFont="1" applyFill="1" applyBorder="1" applyAlignment="1">
      <alignment horizontal="center"/>
    </xf>
    <xf numFmtId="0" fontId="24" fillId="14" borderId="32" xfId="2" applyFont="1" applyFill="1" applyBorder="1" applyAlignment="1">
      <alignment horizontal="center"/>
    </xf>
    <xf numFmtId="0" fontId="24" fillId="14" borderId="81" xfId="2" applyFont="1" applyFill="1" applyBorder="1" applyAlignment="1">
      <alignment horizontal="center"/>
    </xf>
    <xf numFmtId="0" fontId="1" fillId="6" borderId="2" xfId="2" applyFill="1" applyBorder="1" applyAlignment="1">
      <alignment vertical="center"/>
    </xf>
    <xf numFmtId="0" fontId="1" fillId="5" borderId="2" xfId="2" applyFont="1" applyFill="1" applyBorder="1" applyAlignment="1">
      <alignment vertical="center"/>
    </xf>
    <xf numFmtId="0" fontId="21" fillId="16" borderId="92" xfId="2" applyFont="1" applyFill="1" applyBorder="1"/>
    <xf numFmtId="0" fontId="21" fillId="16" borderId="93" xfId="2" applyFont="1" applyFill="1" applyBorder="1"/>
    <xf numFmtId="0" fontId="21" fillId="16" borderId="16" xfId="2" applyFont="1" applyFill="1" applyBorder="1"/>
    <xf numFmtId="0" fontId="1" fillId="7" borderId="12" xfId="2" applyFill="1" applyBorder="1" applyAlignment="1">
      <alignment vertical="center"/>
    </xf>
    <xf numFmtId="0" fontId="1" fillId="16" borderId="95" xfId="2" applyFill="1" applyBorder="1"/>
    <xf numFmtId="0" fontId="1" fillId="16" borderId="6" xfId="2" applyFill="1" applyBorder="1"/>
    <xf numFmtId="0" fontId="1" fillId="16" borderId="96" xfId="2" applyFill="1" applyBorder="1"/>
    <xf numFmtId="0" fontId="1" fillId="16" borderId="94" xfId="2" applyFill="1" applyBorder="1"/>
    <xf numFmtId="0" fontId="1" fillId="7" borderId="28" xfId="2" applyFill="1" applyBorder="1" applyAlignment="1">
      <alignment vertical="center"/>
    </xf>
    <xf numFmtId="0" fontId="1" fillId="16" borderId="97" xfId="2" applyFill="1" applyBorder="1"/>
    <xf numFmtId="0" fontId="1" fillId="16" borderId="98" xfId="2" applyFill="1" applyBorder="1"/>
    <xf numFmtId="0" fontId="1" fillId="16" borderId="2" xfId="2" applyFill="1" applyBorder="1"/>
    <xf numFmtId="0" fontId="1" fillId="8" borderId="27" xfId="2" applyFill="1" applyBorder="1" applyAlignment="1">
      <alignment vertical="center"/>
    </xf>
    <xf numFmtId="0" fontId="1" fillId="8" borderId="7" xfId="2" applyFill="1" applyBorder="1" applyAlignment="1">
      <alignment vertical="center"/>
    </xf>
    <xf numFmtId="0" fontId="1" fillId="6" borderId="13" xfId="2" applyFill="1" applyBorder="1" applyAlignment="1">
      <alignment vertical="center"/>
    </xf>
    <xf numFmtId="0" fontId="1" fillId="16" borderId="99" xfId="2" applyFill="1" applyBorder="1"/>
    <xf numFmtId="0" fontId="1" fillId="16" borderId="92" xfId="2" applyFill="1" applyBorder="1"/>
    <xf numFmtId="0" fontId="1" fillId="11" borderId="81" xfId="2" applyFill="1" applyBorder="1" applyAlignment="1">
      <alignment vertical="center"/>
    </xf>
    <xf numFmtId="0" fontId="1" fillId="16" borderId="55" xfId="2" applyFill="1" applyBorder="1"/>
    <xf numFmtId="0" fontId="24" fillId="5" borderId="17" xfId="2" applyFont="1" applyFill="1" applyBorder="1" applyAlignment="1">
      <alignment vertical="center"/>
    </xf>
    <xf numFmtId="0" fontId="24" fillId="16" borderId="61" xfId="2" applyFont="1" applyFill="1" applyBorder="1"/>
    <xf numFmtId="0" fontId="24" fillId="16" borderId="61" xfId="2" applyFont="1" applyFill="1" applyBorder="1" applyAlignment="1">
      <alignment horizontal="right"/>
    </xf>
    <xf numFmtId="0" fontId="24" fillId="6" borderId="17" xfId="2" applyFont="1" applyFill="1" applyBorder="1" applyAlignment="1">
      <alignment vertical="center" wrapText="1"/>
    </xf>
    <xf numFmtId="0" fontId="24" fillId="9" borderId="17" xfId="2" applyFont="1" applyFill="1" applyBorder="1" applyAlignment="1">
      <alignment vertical="center"/>
    </xf>
    <xf numFmtId="0" fontId="24" fillId="10" borderId="17" xfId="2" applyFont="1" applyFill="1" applyBorder="1" applyAlignment="1">
      <alignment vertical="center"/>
    </xf>
    <xf numFmtId="0" fontId="24" fillId="16" borderId="18" xfId="2" applyFont="1" applyFill="1" applyBorder="1"/>
    <xf numFmtId="0" fontId="24" fillId="13" borderId="11" xfId="2" applyFont="1" applyFill="1" applyBorder="1" applyAlignment="1">
      <alignment vertical="center"/>
    </xf>
    <xf numFmtId="0" fontId="24" fillId="11" borderId="31" xfId="2" applyFont="1" applyFill="1" applyBorder="1" applyAlignment="1">
      <alignment horizontal="left" vertical="center"/>
    </xf>
    <xf numFmtId="38" fontId="0" fillId="0" borderId="77" xfId="1" applyNumberFormat="1" applyFont="1" applyFill="1" applyBorder="1" applyAlignment="1">
      <alignment horizontal="right"/>
    </xf>
    <xf numFmtId="38" fontId="0" fillId="0" borderId="76" xfId="1" applyNumberFormat="1" applyFont="1" applyFill="1" applyBorder="1" applyAlignment="1">
      <alignment horizontal="right"/>
    </xf>
    <xf numFmtId="38" fontId="0" fillId="0" borderId="87" xfId="1" applyNumberFormat="1" applyFont="1" applyFill="1" applyBorder="1" applyAlignment="1"/>
    <xf numFmtId="0" fontId="0" fillId="0" borderId="74" xfId="0" applyFill="1" applyBorder="1" applyAlignment="1"/>
    <xf numFmtId="14" fontId="0" fillId="0" borderId="74" xfId="0" applyNumberFormat="1" applyFill="1" applyBorder="1" applyAlignment="1">
      <alignment horizontal="center"/>
    </xf>
    <xf numFmtId="6" fontId="0" fillId="0" borderId="85" xfId="0" applyNumberFormat="1" applyBorder="1" applyAlignment="1">
      <alignment horizontal="right"/>
    </xf>
    <xf numFmtId="14" fontId="0" fillId="0" borderId="100" xfId="0" applyNumberFormat="1" applyFill="1" applyBorder="1" applyAlignment="1">
      <alignment horizontal="center"/>
    </xf>
    <xf numFmtId="42" fontId="3" fillId="0" borderId="66" xfId="0" applyNumberFormat="1" applyFont="1" applyFill="1" applyBorder="1" applyAlignment="1"/>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1" fontId="15" fillId="0" borderId="36" xfId="0" applyNumberFormat="1" applyFont="1" applyBorder="1" applyAlignment="1">
      <alignment vertical="center"/>
    </xf>
    <xf numFmtId="42" fontId="15" fillId="0" borderId="32" xfId="0" applyNumberFormat="1" applyFont="1" applyBorder="1" applyAlignment="1">
      <alignment vertical="center"/>
    </xf>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74"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32"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9"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15" fontId="30" fillId="0" borderId="0" xfId="0" applyNumberFormat="1" applyFont="1"/>
    <xf numFmtId="0" fontId="3" fillId="3" borderId="75" xfId="0" applyFont="1" applyFill="1" applyBorder="1" applyAlignment="1">
      <alignment horizontal="center" vertical="center"/>
    </xf>
    <xf numFmtId="0" fontId="39" fillId="0" borderId="0" xfId="0" applyFont="1" applyAlignment="1">
      <alignment horizontal="center" vertical="center"/>
    </xf>
    <xf numFmtId="168" fontId="39" fillId="0" borderId="0" xfId="0" applyNumberFormat="1" applyFont="1" applyAlignment="1">
      <alignment horizontal="center" vertical="center"/>
    </xf>
    <xf numFmtId="42" fontId="0" fillId="0" borderId="0" xfId="0" applyNumberFormat="1" applyFill="1" applyBorder="1" applyAlignment="1">
      <alignment horizontal="right"/>
    </xf>
    <xf numFmtId="41" fontId="0" fillId="0" borderId="0" xfId="0" applyNumberFormat="1" applyFill="1" applyAlignment="1">
      <alignment horizontal="right"/>
    </xf>
    <xf numFmtId="42" fontId="8" fillId="0" borderId="0" xfId="0" applyNumberFormat="1" applyFont="1" applyBorder="1" applyAlignment="1">
      <alignment vertical="center"/>
    </xf>
    <xf numFmtId="0" fontId="40" fillId="0" borderId="0" xfId="0" applyFont="1" applyAlignment="1">
      <alignment horizontal="left" vertical="center" wrapText="1" indent="4"/>
    </xf>
    <xf numFmtId="43" fontId="0" fillId="0" borderId="76" xfId="1" applyNumberFormat="1" applyFont="1" applyFill="1" applyBorder="1" applyAlignment="1"/>
    <xf numFmtId="0" fontId="0" fillId="0" borderId="32" xfId="0" applyFont="1" applyBorder="1" applyAlignment="1">
      <alignment vertical="center"/>
    </xf>
    <xf numFmtId="6" fontId="18" fillId="11" borderId="1" xfId="1" applyNumberFormat="1" applyFont="1" applyFill="1" applyBorder="1" applyAlignment="1">
      <alignment horizontal="right"/>
    </xf>
    <xf numFmtId="38" fontId="0" fillId="11" borderId="29" xfId="0" applyNumberFormat="1" applyFont="1" applyFill="1" applyBorder="1" applyAlignment="1">
      <alignment horizontal="center"/>
    </xf>
    <xf numFmtId="6" fontId="18" fillId="11" borderId="4" xfId="1" applyNumberFormat="1" applyFont="1" applyFill="1" applyBorder="1" applyAlignment="1">
      <alignment horizontal="right"/>
    </xf>
    <xf numFmtId="0" fontId="29" fillId="0" borderId="0" xfId="0" applyFont="1" applyBorder="1" applyAlignment="1">
      <alignment vertical="center"/>
    </xf>
    <xf numFmtId="0" fontId="11" fillId="0" borderId="0" xfId="0" applyFont="1" applyBorder="1" applyAlignment="1">
      <alignment vertical="center"/>
    </xf>
    <xf numFmtId="41" fontId="29" fillId="0" borderId="2" xfId="0" applyNumberFormat="1" applyFont="1" applyBorder="1" applyAlignment="1">
      <alignment vertical="center"/>
    </xf>
    <xf numFmtId="0" fontId="29" fillId="0" borderId="32" xfId="0" applyFont="1" applyBorder="1" applyAlignment="1">
      <alignment vertical="center"/>
    </xf>
    <xf numFmtId="0" fontId="40" fillId="0" borderId="0" xfId="0" applyFont="1" applyFill="1" applyAlignment="1">
      <alignment horizontal="left" vertical="center" wrapText="1" indent="4"/>
    </xf>
    <xf numFmtId="41" fontId="2" fillId="0" borderId="77" xfId="1" applyNumberFormat="1" applyFont="1" applyFill="1" applyBorder="1" applyAlignment="1">
      <alignment horizontal="center"/>
    </xf>
    <xf numFmtId="41" fontId="45" fillId="0" borderId="77" xfId="1" applyNumberFormat="1" applyFont="1" applyFill="1" applyBorder="1" applyAlignment="1">
      <alignment horizontal="center" vertic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0" fontId="0" fillId="0" borderId="18" xfId="0" applyFill="1" applyBorder="1" applyAlignment="1">
      <alignment horizontal="left"/>
    </xf>
    <xf numFmtId="0" fontId="0" fillId="0" borderId="0" xfId="0" applyFill="1" applyBorder="1" applyAlignment="1">
      <alignment horizontal="left"/>
    </xf>
    <xf numFmtId="0" fontId="0" fillId="0" borderId="34" xfId="0" applyFill="1" applyBorder="1" applyAlignment="1">
      <alignment horizontal="left"/>
    </xf>
    <xf numFmtId="49" fontId="15" fillId="0" borderId="32" xfId="0" applyNumberFormat="1" applyFont="1" applyBorder="1" applyAlignment="1">
      <alignment vertical="center"/>
    </xf>
    <xf numFmtId="49" fontId="11" fillId="0" borderId="0" xfId="0" applyNumberFormat="1" applyFont="1" applyAlignment="1">
      <alignment wrapText="1"/>
    </xf>
    <xf numFmtId="0" fontId="0" fillId="0" borderId="0" xfId="0" applyBorder="1" applyAlignment="1">
      <alignment wrapText="1"/>
    </xf>
    <xf numFmtId="0" fontId="0" fillId="0" borderId="0" xfId="0" applyAlignment="1">
      <alignment wrapText="1"/>
    </xf>
    <xf numFmtId="42" fontId="15" fillId="2" borderId="0" xfId="0" applyNumberFormat="1" applyFont="1" applyFill="1" applyBorder="1" applyAlignment="1">
      <alignment vertical="center"/>
    </xf>
    <xf numFmtId="41" fontId="15" fillId="2" borderId="0" xfId="0" applyNumberFormat="1" applyFont="1" applyFill="1" applyBorder="1" applyAlignment="1">
      <alignment vertical="center"/>
    </xf>
    <xf numFmtId="41" fontId="15" fillId="2" borderId="0" xfId="0" applyNumberFormat="1" applyFont="1" applyFill="1" applyAlignment="1">
      <alignment vertical="center"/>
    </xf>
    <xf numFmtId="0" fontId="10" fillId="0" borderId="0" xfId="0" applyFont="1" applyBorder="1"/>
    <xf numFmtId="38" fontId="15" fillId="2" borderId="0" xfId="0" applyNumberFormat="1" applyFont="1" applyFill="1" applyBorder="1" applyAlignment="1">
      <alignment vertical="center"/>
    </xf>
    <xf numFmtId="41" fontId="15" fillId="2" borderId="2" xfId="0" applyNumberFormat="1" applyFont="1" applyFill="1" applyBorder="1" applyAlignment="1">
      <alignment vertical="center"/>
    </xf>
    <xf numFmtId="41" fontId="15" fillId="2" borderId="0" xfId="0" applyNumberFormat="1" applyFont="1" applyFill="1" applyBorder="1" applyAlignment="1"/>
    <xf numFmtId="166" fontId="31" fillId="0" borderId="32" xfId="0" applyNumberFormat="1" applyFont="1" applyBorder="1" applyAlignment="1">
      <alignment horizontal="center" vertical="center" wrapText="1"/>
    </xf>
    <xf numFmtId="166" fontId="31" fillId="0" borderId="0" xfId="0" applyNumberFormat="1" applyFont="1" applyBorder="1" applyAlignment="1">
      <alignment horizontal="center" vertical="center" wrapText="1"/>
    </xf>
    <xf numFmtId="0" fontId="0" fillId="0" borderId="0" xfId="0" applyBorder="1" applyAlignment="1">
      <alignment vertical="center" wrapText="1"/>
    </xf>
    <xf numFmtId="41" fontId="8" fillId="0" borderId="0" xfId="0" applyNumberFormat="1" applyFont="1"/>
    <xf numFmtId="41" fontId="0" fillId="0" borderId="77" xfId="1" applyNumberFormat="1" applyFont="1" applyFill="1" applyBorder="1" applyAlignment="1">
      <alignment horizontal="center" vertical="center"/>
    </xf>
    <xf numFmtId="14" fontId="0" fillId="0" borderId="76" xfId="1" applyNumberFormat="1" applyFont="1" applyFill="1" applyBorder="1" applyAlignment="1">
      <alignment horizontal="center"/>
    </xf>
    <xf numFmtId="41" fontId="0" fillId="0" borderId="87" xfId="1" applyNumberFormat="1" applyFont="1" applyFill="1" applyBorder="1" applyAlignment="1">
      <alignment horizontal="center"/>
    </xf>
    <xf numFmtId="38" fontId="0" fillId="0" borderId="77" xfId="1" applyNumberFormat="1" applyFont="1" applyFill="1" applyBorder="1" applyAlignment="1">
      <alignment horizontal="center"/>
    </xf>
    <xf numFmtId="38" fontId="0" fillId="0" borderId="76" xfId="1" applyNumberFormat="1" applyFont="1" applyFill="1" applyBorder="1" applyAlignment="1">
      <alignment horizontal="center"/>
    </xf>
    <xf numFmtId="38" fontId="0" fillId="0" borderId="74" xfId="1" applyNumberFormat="1" applyFont="1" applyFill="1" applyBorder="1" applyAlignment="1">
      <alignment horizontal="center"/>
    </xf>
    <xf numFmtId="14" fontId="0" fillId="0" borderId="77" xfId="1" applyNumberFormat="1" applyFont="1" applyFill="1" applyBorder="1" applyAlignment="1">
      <alignment horizontal="center"/>
    </xf>
    <xf numFmtId="38" fontId="0" fillId="0" borderId="0" xfId="0" applyNumberFormat="1" applyFill="1" applyAlignment="1">
      <alignment horizontal="center"/>
    </xf>
    <xf numFmtId="38" fontId="0" fillId="0" borderId="0" xfId="0" applyNumberFormat="1" applyFill="1" applyAlignment="1">
      <alignment horizontal="right"/>
    </xf>
    <xf numFmtId="38" fontId="0" fillId="0" borderId="0" xfId="0" applyNumberFormat="1" applyFill="1" applyBorder="1" applyAlignment="1">
      <alignment horizontal="right"/>
    </xf>
    <xf numFmtId="37" fontId="0" fillId="0" borderId="0" xfId="0" applyNumberFormat="1" applyFill="1" applyAlignment="1">
      <alignment horizontal="right"/>
    </xf>
    <xf numFmtId="167" fontId="0" fillId="0" borderId="0" xfId="0" applyNumberFormat="1" applyFill="1" applyAlignment="1">
      <alignment horizontal="center"/>
    </xf>
    <xf numFmtId="0" fontId="0" fillId="0" borderId="76" xfId="0" applyFill="1" applyBorder="1" applyAlignment="1">
      <alignment vertical="center"/>
    </xf>
    <xf numFmtId="0" fontId="0" fillId="0" borderId="76" xfId="0" applyFill="1" applyBorder="1" applyAlignment="1">
      <alignment horizontal="center" vertical="center"/>
    </xf>
    <xf numFmtId="14" fontId="0" fillId="0" borderId="76" xfId="0" applyNumberFormat="1" applyFill="1" applyBorder="1" applyAlignment="1">
      <alignment horizontal="center" vertical="center"/>
    </xf>
    <xf numFmtId="38" fontId="0" fillId="0" borderId="76" xfId="1" applyNumberFormat="1" applyFont="1" applyFill="1" applyBorder="1" applyAlignment="1">
      <alignment vertical="center"/>
    </xf>
    <xf numFmtId="41" fontId="0" fillId="0" borderId="76" xfId="1" applyNumberFormat="1" applyFont="1" applyFill="1" applyBorder="1" applyAlignment="1">
      <alignment horizontal="center" vertical="center"/>
    </xf>
    <xf numFmtId="14" fontId="0" fillId="0" borderId="76" xfId="1" applyNumberFormat="1" applyFont="1" applyFill="1" applyBorder="1" applyAlignment="1">
      <alignment horizontal="center" vertical="center"/>
    </xf>
    <xf numFmtId="41" fontId="45" fillId="0" borderId="76" xfId="1" applyNumberFormat="1" applyFont="1" applyFill="1" applyBorder="1" applyAlignment="1">
      <alignment horizontal="center" vertical="center"/>
    </xf>
    <xf numFmtId="41" fontId="0" fillId="0" borderId="76" xfId="1" applyNumberFormat="1" applyFont="1" applyFill="1" applyBorder="1" applyAlignment="1">
      <alignment horizontal="center" vertical="center" wrapText="1"/>
    </xf>
    <xf numFmtId="43" fontId="0" fillId="0" borderId="76" xfId="1" applyNumberFormat="1" applyFont="1" applyFill="1" applyBorder="1" applyAlignment="1">
      <alignment horizontal="center" vertical="center"/>
    </xf>
    <xf numFmtId="38" fontId="0" fillId="0" borderId="76" xfId="1" applyNumberFormat="1" applyFont="1" applyFill="1" applyBorder="1" applyAlignment="1">
      <alignment horizontal="right" vertical="center"/>
    </xf>
    <xf numFmtId="41" fontId="0" fillId="0" borderId="0" xfId="0" applyNumberFormat="1" applyFill="1" applyAlignment="1">
      <alignment horizontal="center"/>
    </xf>
    <xf numFmtId="40" fontId="0" fillId="0" borderId="0" xfId="0" applyNumberFormat="1" applyFill="1" applyAlignment="1">
      <alignment horizontal="center"/>
    </xf>
    <xf numFmtId="41" fontId="0" fillId="2" borderId="0" xfId="0" applyNumberFormat="1" applyFill="1" applyAlignment="1">
      <alignment horizontal="center"/>
    </xf>
    <xf numFmtId="38" fontId="0" fillId="0" borderId="0" xfId="0" applyNumberFormat="1" applyFill="1" applyAlignment="1"/>
    <xf numFmtId="41" fontId="0" fillId="2" borderId="0" xfId="0" applyNumberFormat="1" applyFill="1" applyAlignment="1"/>
    <xf numFmtId="0" fontId="0" fillId="0" borderId="73" xfId="0" applyFill="1" applyBorder="1"/>
    <xf numFmtId="167" fontId="0" fillId="0" borderId="100" xfId="0" applyNumberFormat="1" applyFill="1" applyBorder="1" applyAlignment="1">
      <alignment horizontal="center"/>
    </xf>
    <xf numFmtId="167" fontId="0" fillId="0" borderId="101" xfId="0" applyNumberFormat="1" applyFill="1" applyBorder="1" applyAlignment="1">
      <alignment horizontal="center"/>
    </xf>
    <xf numFmtId="0" fontId="0" fillId="0" borderId="73" xfId="0" applyFill="1" applyBorder="1" applyAlignment="1">
      <alignment horizontal="center"/>
    </xf>
    <xf numFmtId="164" fontId="0" fillId="0" borderId="77" xfId="0" applyNumberFormat="1" applyFill="1" applyBorder="1" applyAlignment="1">
      <alignment horizontal="center"/>
    </xf>
    <xf numFmtId="41" fontId="0" fillId="0" borderId="73" xfId="0" applyNumberFormat="1" applyFill="1" applyBorder="1" applyAlignment="1"/>
    <xf numFmtId="41" fontId="0" fillId="0" borderId="77" xfId="0" applyNumberFormat="1" applyFill="1" applyBorder="1" applyAlignment="1"/>
    <xf numFmtId="40" fontId="0" fillId="0" borderId="77" xfId="0" applyNumberFormat="1" applyFill="1" applyBorder="1" applyAlignment="1"/>
    <xf numFmtId="0" fontId="0" fillId="0" borderId="77" xfId="0" applyFill="1" applyBorder="1" applyAlignment="1">
      <alignment vertical="center"/>
    </xf>
    <xf numFmtId="0" fontId="0" fillId="0" borderId="77" xfId="0" applyFill="1" applyBorder="1" applyAlignment="1">
      <alignment horizontal="center" vertical="center"/>
    </xf>
    <xf numFmtId="14" fontId="0" fillId="0" borderId="77" xfId="0" applyNumberFormat="1" applyFill="1" applyBorder="1" applyAlignment="1">
      <alignment horizontal="center" vertical="center"/>
    </xf>
    <xf numFmtId="38" fontId="0" fillId="0" borderId="77" xfId="1" applyNumberFormat="1" applyFont="1" applyFill="1" applyBorder="1" applyAlignment="1">
      <alignment vertical="center"/>
    </xf>
    <xf numFmtId="38" fontId="0" fillId="0" borderId="100" xfId="0" applyNumberFormat="1" applyFill="1" applyBorder="1" applyAlignment="1">
      <alignment horizontal="center"/>
    </xf>
    <xf numFmtId="37" fontId="0" fillId="0" borderId="100" xfId="0" applyNumberFormat="1" applyFill="1" applyBorder="1" applyAlignment="1">
      <alignment horizontal="center"/>
    </xf>
    <xf numFmtId="38" fontId="0" fillId="0" borderId="101" xfId="0" applyNumberFormat="1" applyFill="1" applyBorder="1" applyAlignment="1">
      <alignment horizontal="center"/>
    </xf>
    <xf numFmtId="37" fontId="0" fillId="0" borderId="101" xfId="0" applyNumberFormat="1" applyFill="1" applyBorder="1" applyAlignment="1">
      <alignment horizontal="center"/>
    </xf>
    <xf numFmtId="10" fontId="11" fillId="0" borderId="0" xfId="0" applyNumberFormat="1" applyFont="1" applyAlignment="1">
      <alignment vertic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0" fontId="29" fillId="0" borderId="35"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32"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 xfId="0" applyNumberFormat="1" applyFont="1" applyBorder="1" applyAlignment="1">
      <alignment horizontal="center" vertical="center"/>
    </xf>
    <xf numFmtId="0" fontId="29" fillId="0" borderId="35" xfId="0" applyFont="1" applyBorder="1" applyAlignment="1">
      <alignment horizontal="right" vertical="center"/>
    </xf>
    <xf numFmtId="0" fontId="48" fillId="0" borderId="0" xfId="0" applyFont="1" applyFill="1" applyAlignment="1">
      <alignment horizontal="center" wrapText="1"/>
    </xf>
    <xf numFmtId="0" fontId="48" fillId="0" borderId="0" xfId="0" applyFont="1" applyFill="1" applyAlignment="1">
      <alignment horizontal="center" vertical="center" wrapText="1"/>
    </xf>
    <xf numFmtId="0" fontId="0" fillId="0" borderId="18" xfId="0" applyFill="1" applyBorder="1" applyAlignment="1">
      <alignment horizontal="left"/>
    </xf>
    <xf numFmtId="0" fontId="0" fillId="0" borderId="0" xfId="0" applyFill="1" applyBorder="1" applyAlignment="1">
      <alignment horizontal="left"/>
    </xf>
    <xf numFmtId="0" fontId="0" fillId="0" borderId="34" xfId="0" applyFill="1" applyBorder="1" applyAlignment="1">
      <alignment horizontal="left"/>
    </xf>
    <xf numFmtId="0" fontId="0" fillId="0" borderId="26" xfId="0" applyFont="1" applyFill="1" applyBorder="1" applyAlignment="1">
      <alignment horizontal="left"/>
    </xf>
    <xf numFmtId="0" fontId="0" fillId="0" borderId="19" xfId="0" applyFont="1" applyFill="1" applyBorder="1" applyAlignment="1">
      <alignment horizontal="left"/>
    </xf>
    <xf numFmtId="0" fontId="3" fillId="3" borderId="3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8" xfId="0" applyFont="1" applyFill="1" applyBorder="1" applyAlignment="1">
      <alignment horizontal="center" vertical="center"/>
    </xf>
    <xf numFmtId="0" fontId="0" fillId="0" borderId="78" xfId="0" applyFill="1" applyBorder="1" applyAlignment="1">
      <alignment horizontal="left"/>
    </xf>
    <xf numFmtId="0" fontId="0" fillId="0" borderId="79" xfId="0" applyFill="1" applyBorder="1" applyAlignment="1">
      <alignment horizontal="left"/>
    </xf>
    <xf numFmtId="0" fontId="0" fillId="0" borderId="26" xfId="0" applyFill="1" applyBorder="1" applyAlignment="1">
      <alignment horizontal="left"/>
    </xf>
    <xf numFmtId="0" fontId="0" fillId="0" borderId="19" xfId="0" applyFill="1" applyBorder="1" applyAlignment="1">
      <alignment horizontal="left"/>
    </xf>
    <xf numFmtId="0" fontId="0" fillId="0" borderId="22" xfId="0" applyFill="1" applyBorder="1" applyAlignment="1">
      <alignment horizontal="left"/>
    </xf>
    <xf numFmtId="0" fontId="0" fillId="0" borderId="11" xfId="0" applyFill="1" applyBorder="1" applyAlignment="1">
      <alignment horizontal="left"/>
    </xf>
    <xf numFmtId="0" fontId="0" fillId="0" borderId="83"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10" fillId="9" borderId="37" xfId="2" applyFont="1" applyFill="1" applyBorder="1" applyAlignment="1">
      <alignment horizontal="center" vertical="center"/>
    </xf>
    <xf numFmtId="0" fontId="10" fillId="9" borderId="49" xfId="2" applyFont="1" applyFill="1" applyBorder="1" applyAlignment="1">
      <alignment horizontal="center" vertical="center"/>
    </xf>
    <xf numFmtId="0" fontId="23" fillId="9" borderId="37" xfId="2" applyFont="1" applyFill="1" applyBorder="1" applyAlignment="1">
      <alignment horizontal="left" vertical="center"/>
    </xf>
    <xf numFmtId="0" fontId="23" fillId="9" borderId="38" xfId="2" applyFont="1" applyFill="1" applyBorder="1" applyAlignment="1">
      <alignment horizontal="left" vertical="center"/>
    </xf>
    <xf numFmtId="0" fontId="23" fillId="9" borderId="49" xfId="2" applyFont="1" applyFill="1" applyBorder="1" applyAlignment="1">
      <alignment horizontal="left" vertical="center"/>
    </xf>
    <xf numFmtId="0" fontId="10" fillId="13" borderId="37" xfId="2" applyFont="1" applyFill="1" applyBorder="1" applyAlignment="1">
      <alignment horizontal="center" vertical="center"/>
    </xf>
    <xf numFmtId="0" fontId="10" fillId="13" borderId="38" xfId="2" applyFont="1" applyFill="1" applyBorder="1" applyAlignment="1">
      <alignment horizontal="center" vertical="center"/>
    </xf>
    <xf numFmtId="0" fontId="10" fillId="13" borderId="49" xfId="2" applyFont="1" applyFill="1" applyBorder="1" applyAlignment="1">
      <alignment horizontal="center" vertical="center"/>
    </xf>
    <xf numFmtId="0" fontId="23" fillId="11" borderId="37" xfId="2" applyFont="1" applyFill="1" applyBorder="1" applyAlignment="1">
      <alignment horizontal="left" vertical="center"/>
    </xf>
    <xf numFmtId="0" fontId="23" fillId="11" borderId="38" xfId="2" applyFont="1" applyFill="1" applyBorder="1" applyAlignment="1">
      <alignment horizontal="left" vertical="center"/>
    </xf>
    <xf numFmtId="0" fontId="23" fillId="11" borderId="49" xfId="2" applyFont="1" applyFill="1" applyBorder="1" applyAlignment="1">
      <alignment horizontal="left" vertical="center"/>
    </xf>
    <xf numFmtId="0" fontId="26" fillId="7" borderId="38" xfId="2" applyFont="1" applyFill="1" applyBorder="1" applyAlignment="1">
      <alignment horizontal="center" vertical="center"/>
    </xf>
    <xf numFmtId="0" fontId="26" fillId="7" borderId="49" xfId="2" applyFont="1" applyFill="1" applyBorder="1" applyAlignment="1">
      <alignment horizontal="center" vertical="center"/>
    </xf>
    <xf numFmtId="6" fontId="10" fillId="6" borderId="37" xfId="2" applyNumberFormat="1" applyFont="1" applyFill="1" applyBorder="1" applyAlignment="1">
      <alignment horizontal="center" vertical="center"/>
    </xf>
    <xf numFmtId="0" fontId="10" fillId="6" borderId="38" xfId="2" applyFont="1" applyFill="1" applyBorder="1" applyAlignment="1">
      <alignment horizontal="center" vertical="center"/>
    </xf>
    <xf numFmtId="0" fontId="10" fillId="6" borderId="49" xfId="2" applyFont="1" applyFill="1" applyBorder="1" applyAlignment="1">
      <alignment horizontal="center" vertical="center"/>
    </xf>
    <xf numFmtId="0" fontId="10" fillId="8" borderId="37" xfId="2" applyFont="1" applyFill="1" applyBorder="1" applyAlignment="1">
      <alignment horizontal="center" vertical="center"/>
    </xf>
    <xf numFmtId="0" fontId="10" fillId="8" borderId="38" xfId="2" applyFont="1" applyFill="1" applyBorder="1" applyAlignment="1">
      <alignment horizontal="center" vertical="center"/>
    </xf>
    <xf numFmtId="0" fontId="10" fillId="8" borderId="49" xfId="2" applyFont="1" applyFill="1" applyBorder="1" applyAlignment="1">
      <alignment horizontal="center" vertical="center"/>
    </xf>
    <xf numFmtId="9" fontId="9" fillId="11" borderId="37" xfId="2" applyNumberFormat="1" applyFont="1" applyFill="1" applyBorder="1" applyAlignment="1">
      <alignment horizontal="center" vertical="center"/>
    </xf>
    <xf numFmtId="0" fontId="9" fillId="11" borderId="38" xfId="2" applyFont="1" applyFill="1" applyBorder="1" applyAlignment="1">
      <alignment horizontal="center" vertical="center"/>
    </xf>
    <xf numFmtId="0" fontId="9" fillId="11" borderId="49" xfId="2" applyFont="1" applyFill="1" applyBorder="1" applyAlignment="1">
      <alignment horizontal="center" vertical="center"/>
    </xf>
    <xf numFmtId="6" fontId="10" fillId="6" borderId="42" xfId="2" applyNumberFormat="1" applyFont="1" applyFill="1" applyBorder="1" applyAlignment="1">
      <alignment horizontal="center" vertical="center"/>
    </xf>
    <xf numFmtId="6" fontId="10" fillId="6" borderId="38" xfId="2" applyNumberFormat="1" applyFont="1" applyFill="1" applyBorder="1" applyAlignment="1">
      <alignment horizontal="center" vertical="center"/>
    </xf>
    <xf numFmtId="6" fontId="10" fillId="6" borderId="49" xfId="2" applyNumberFormat="1" applyFont="1" applyFill="1" applyBorder="1" applyAlignment="1">
      <alignment horizontal="center" vertical="center"/>
    </xf>
    <xf numFmtId="6" fontId="10" fillId="10" borderId="37" xfId="2" applyNumberFormat="1" applyFont="1" applyFill="1" applyBorder="1" applyAlignment="1">
      <alignment horizontal="center" vertical="center"/>
    </xf>
    <xf numFmtId="6" fontId="10" fillId="10" borderId="38" xfId="2" applyNumberFormat="1" applyFont="1" applyFill="1" applyBorder="1" applyAlignment="1">
      <alignment horizontal="center" vertical="center"/>
    </xf>
    <xf numFmtId="6" fontId="10" fillId="10" borderId="49" xfId="2" applyNumberFormat="1" applyFont="1" applyFill="1" applyBorder="1" applyAlignment="1">
      <alignment horizontal="center" vertical="center"/>
    </xf>
    <xf numFmtId="9" fontId="27" fillId="17" borderId="42" xfId="2" applyNumberFormat="1" applyFont="1" applyFill="1" applyBorder="1" applyAlignment="1">
      <alignment horizontal="center" vertical="center"/>
    </xf>
    <xf numFmtId="0" fontId="27" fillId="17" borderId="38" xfId="2" applyFont="1" applyFill="1" applyBorder="1" applyAlignment="1">
      <alignment horizontal="center" vertical="center"/>
    </xf>
    <xf numFmtId="0" fontId="27" fillId="17" borderId="49" xfId="2" applyFont="1" applyFill="1" applyBorder="1" applyAlignment="1">
      <alignment horizontal="center" vertical="center"/>
    </xf>
    <xf numFmtId="6" fontId="10" fillId="13" borderId="37" xfId="2" applyNumberFormat="1" applyFont="1" applyFill="1" applyBorder="1" applyAlignment="1">
      <alignment horizontal="center" vertical="center"/>
    </xf>
    <xf numFmtId="0" fontId="10" fillId="11" borderId="37" xfId="2" applyFont="1" applyFill="1" applyBorder="1" applyAlignment="1">
      <alignment horizontal="center" vertical="center"/>
    </xf>
    <xf numFmtId="0" fontId="10" fillId="11" borderId="38" xfId="2" applyFont="1" applyFill="1" applyBorder="1" applyAlignment="1">
      <alignment horizontal="center" vertical="center"/>
    </xf>
    <xf numFmtId="0" fontId="10" fillId="11" borderId="49" xfId="2" applyFont="1" applyFill="1" applyBorder="1" applyAlignment="1">
      <alignment horizontal="center" vertical="center"/>
    </xf>
    <xf numFmtId="0" fontId="24" fillId="8" borderId="24" xfId="2" applyFont="1" applyFill="1" applyBorder="1" applyAlignment="1">
      <alignment horizontal="left" vertical="center" wrapText="1"/>
    </xf>
    <xf numFmtId="0" fontId="24" fillId="8" borderId="26" xfId="2" applyFont="1" applyFill="1" applyBorder="1" applyAlignment="1">
      <alignment horizontal="left" vertical="center" wrapText="1"/>
    </xf>
    <xf numFmtId="0" fontId="24" fillId="8" borderId="48" xfId="2" applyFont="1" applyFill="1" applyBorder="1" applyAlignment="1">
      <alignment horizontal="left" vertical="center" wrapText="1"/>
    </xf>
    <xf numFmtId="6" fontId="10" fillId="8" borderId="27" xfId="2" applyNumberFormat="1" applyFont="1" applyFill="1" applyBorder="1" applyAlignment="1">
      <alignment horizontal="center" vertical="center"/>
    </xf>
    <xf numFmtId="0" fontId="10" fillId="8" borderId="6" xfId="2" applyFont="1" applyFill="1" applyBorder="1" applyAlignment="1">
      <alignment horizontal="center" vertical="center"/>
    </xf>
    <xf numFmtId="0" fontId="10" fillId="8" borderId="60" xfId="2" applyFont="1" applyFill="1" applyBorder="1" applyAlignment="1">
      <alignment horizontal="center" vertical="center"/>
    </xf>
    <xf numFmtId="0" fontId="10" fillId="8" borderId="2" xfId="2" applyFont="1" applyFill="1" applyBorder="1" applyAlignment="1">
      <alignment horizontal="center" vertical="center"/>
    </xf>
    <xf numFmtId="0" fontId="10" fillId="8" borderId="53" xfId="2" applyFont="1" applyFill="1" applyBorder="1" applyAlignment="1">
      <alignment horizontal="center" vertical="center"/>
    </xf>
    <xf numFmtId="6" fontId="10" fillId="7" borderId="39" xfId="2" applyNumberFormat="1" applyFont="1" applyFill="1" applyBorder="1" applyAlignment="1">
      <alignment horizontal="center" vertical="center"/>
    </xf>
    <xf numFmtId="0" fontId="10" fillId="7" borderId="33" xfId="2" applyFont="1" applyFill="1" applyBorder="1" applyAlignment="1">
      <alignment horizontal="center" vertical="center"/>
    </xf>
    <xf numFmtId="0" fontId="10" fillId="7" borderId="47" xfId="2" applyFont="1" applyFill="1" applyBorder="1" applyAlignment="1">
      <alignment horizontal="center" vertical="center"/>
    </xf>
    <xf numFmtId="0" fontId="23" fillId="14" borderId="50" xfId="2" applyFont="1" applyFill="1" applyBorder="1" applyAlignment="1">
      <alignment horizontal="left" vertical="center"/>
    </xf>
    <xf numFmtId="0" fontId="23" fillId="14" borderId="48" xfId="2" applyFont="1" applyFill="1" applyBorder="1" applyAlignment="1">
      <alignment horizontal="left" vertical="center"/>
    </xf>
    <xf numFmtId="0" fontId="23" fillId="14" borderId="45" xfId="2" applyFont="1" applyFill="1" applyBorder="1" applyAlignment="1">
      <alignment horizontal="left" vertical="center"/>
    </xf>
    <xf numFmtId="0" fontId="23" fillId="14" borderId="10" xfId="2" applyFont="1" applyFill="1" applyBorder="1" applyAlignment="1">
      <alignment horizontal="left" vertical="center"/>
    </xf>
    <xf numFmtId="0" fontId="24" fillId="14" borderId="45" xfId="2" applyFont="1" applyFill="1" applyBorder="1" applyAlignment="1">
      <alignment horizontal="center" vertical="center" wrapText="1"/>
    </xf>
    <xf numFmtId="0" fontId="24" fillId="14" borderId="10" xfId="2" applyFont="1" applyFill="1" applyBorder="1" applyAlignment="1">
      <alignment horizontal="center" vertical="center" wrapText="1"/>
    </xf>
    <xf numFmtId="0" fontId="24" fillId="14" borderId="43" xfId="2" applyFont="1" applyFill="1" applyBorder="1" applyAlignment="1">
      <alignment horizontal="center" vertical="center" wrapText="1"/>
    </xf>
    <xf numFmtId="0" fontId="24" fillId="14" borderId="4" xfId="2" applyFont="1" applyFill="1" applyBorder="1" applyAlignment="1">
      <alignment horizontal="center" vertical="center" wrapText="1"/>
    </xf>
    <xf numFmtId="0" fontId="24" fillId="7" borderId="24" xfId="2" applyFont="1" applyFill="1" applyBorder="1" applyAlignment="1">
      <alignment horizontal="left" vertical="center"/>
    </xf>
    <xf numFmtId="0" fontId="21" fillId="0" borderId="48" xfId="2" applyFont="1" applyBorder="1"/>
    <xf numFmtId="0" fontId="10" fillId="7" borderId="8" xfId="2" applyFont="1" applyFill="1" applyBorder="1" applyAlignment="1">
      <alignment horizontal="left" vertical="center"/>
    </xf>
    <xf numFmtId="0" fontId="10" fillId="7" borderId="10" xfId="2" applyFont="1" applyFill="1" applyBorder="1" applyAlignment="1">
      <alignment horizontal="left" vertical="center"/>
    </xf>
    <xf numFmtId="0" fontId="10" fillId="7" borderId="8" xfId="2" applyFont="1" applyFill="1" applyBorder="1" applyAlignment="1">
      <alignment horizontal="center" vertical="center"/>
    </xf>
    <xf numFmtId="0" fontId="10" fillId="7" borderId="10" xfId="2" applyFont="1" applyFill="1" applyBorder="1" applyAlignment="1">
      <alignment horizontal="center" vertical="center"/>
    </xf>
    <xf numFmtId="6" fontId="10" fillId="7" borderId="29" xfId="2" applyNumberFormat="1" applyFont="1" applyFill="1" applyBorder="1" applyAlignment="1">
      <alignment horizontal="center" vertical="center"/>
    </xf>
    <xf numFmtId="6" fontId="10" fillId="7" borderId="4" xfId="2" applyNumberFormat="1" applyFont="1" applyFill="1" applyBorder="1" applyAlignment="1">
      <alignment horizontal="center" vertical="center"/>
    </xf>
    <xf numFmtId="0" fontId="25" fillId="14" borderId="39" xfId="2" applyFont="1" applyFill="1" applyBorder="1" applyAlignment="1">
      <alignment horizontal="center"/>
    </xf>
    <xf numFmtId="0" fontId="25" fillId="14" borderId="33" xfId="2" applyFont="1" applyFill="1" applyBorder="1" applyAlignment="1">
      <alignment horizontal="center"/>
    </xf>
    <xf numFmtId="0" fontId="25" fillId="14" borderId="43" xfId="2" applyFont="1" applyFill="1" applyBorder="1" applyAlignment="1">
      <alignment horizontal="center"/>
    </xf>
    <xf numFmtId="6" fontId="10" fillId="5" borderId="37" xfId="2" applyNumberFormat="1" applyFont="1" applyFill="1" applyBorder="1" applyAlignment="1">
      <alignment horizontal="center" vertical="center"/>
    </xf>
    <xf numFmtId="0" fontId="10" fillId="5" borderId="38" xfId="2" applyFont="1" applyFill="1" applyBorder="1" applyAlignment="1">
      <alignment horizontal="center" vertical="center"/>
    </xf>
    <xf numFmtId="0" fontId="10" fillId="5" borderId="49" xfId="2" applyFont="1" applyFill="1" applyBorder="1" applyAlignment="1">
      <alignment horizontal="center" vertical="center"/>
    </xf>
    <xf numFmtId="6" fontId="10" fillId="5" borderId="18" xfId="2" applyNumberFormat="1" applyFont="1" applyFill="1" applyBorder="1" applyAlignment="1">
      <alignment horizontal="center" vertical="center"/>
    </xf>
    <xf numFmtId="6" fontId="10" fillId="5" borderId="0" xfId="2" applyNumberFormat="1" applyFont="1" applyFill="1" applyBorder="1" applyAlignment="1">
      <alignment horizontal="center" vertical="center"/>
    </xf>
    <xf numFmtId="6" fontId="10" fillId="5" borderId="59" xfId="2" applyNumberFormat="1" applyFont="1" applyFill="1" applyBorder="1" applyAlignment="1">
      <alignment horizontal="center" vertical="center"/>
    </xf>
    <xf numFmtId="6" fontId="10" fillId="19" borderId="39" xfId="2" applyNumberFormat="1" applyFont="1" applyFill="1" applyBorder="1" applyAlignment="1">
      <alignment horizontal="center" vertical="center"/>
    </xf>
    <xf numFmtId="0" fontId="10" fillId="19" borderId="33" xfId="2" applyFont="1" applyFill="1" applyBorder="1" applyAlignment="1">
      <alignment horizontal="center" vertical="center"/>
    </xf>
    <xf numFmtId="0" fontId="10" fillId="19" borderId="47" xfId="2" applyFont="1" applyFill="1" applyBorder="1" applyAlignment="1">
      <alignment horizontal="center" vertical="center"/>
    </xf>
    <xf numFmtId="6" fontId="26" fillId="7" borderId="4" xfId="2" applyNumberFormat="1" applyFont="1" applyFill="1" applyBorder="1" applyAlignment="1">
      <alignment horizontal="center" vertical="center"/>
    </xf>
    <xf numFmtId="0" fontId="26" fillId="7" borderId="2" xfId="2" applyFont="1" applyFill="1" applyBorder="1" applyAlignment="1">
      <alignment horizontal="center" vertical="center"/>
    </xf>
    <xf numFmtId="0" fontId="26" fillId="7" borderId="13" xfId="2" applyFont="1" applyFill="1" applyBorder="1" applyAlignment="1">
      <alignment horizontal="center" vertical="center"/>
    </xf>
    <xf numFmtId="6" fontId="26" fillId="7" borderId="2" xfId="2" applyNumberFormat="1" applyFont="1" applyFill="1" applyBorder="1" applyAlignment="1">
      <alignment horizontal="center" vertical="center"/>
    </xf>
    <xf numFmtId="6" fontId="26" fillId="7" borderId="13" xfId="2" applyNumberFormat="1" applyFont="1" applyFill="1" applyBorder="1" applyAlignment="1">
      <alignment horizontal="center" vertical="center"/>
    </xf>
    <xf numFmtId="9" fontId="34" fillId="7" borderId="4" xfId="2" applyNumberFormat="1" applyFont="1" applyFill="1" applyBorder="1" applyAlignment="1">
      <alignment horizontal="center" vertical="center" wrapText="1"/>
    </xf>
    <xf numFmtId="0" fontId="34" fillId="7" borderId="2" xfId="2" applyFont="1" applyFill="1" applyBorder="1" applyAlignment="1">
      <alignment horizontal="center" vertical="center" wrapText="1"/>
    </xf>
    <xf numFmtId="0" fontId="10" fillId="7" borderId="3" xfId="2" applyFont="1" applyFill="1" applyBorder="1" applyAlignment="1">
      <alignment horizontal="center" vertical="center"/>
    </xf>
    <xf numFmtId="0" fontId="25" fillId="14" borderId="51" xfId="2" applyFont="1" applyFill="1" applyBorder="1" applyAlignment="1">
      <alignment horizontal="center"/>
    </xf>
    <xf numFmtId="6" fontId="10" fillId="7" borderId="37" xfId="3" applyNumberFormat="1" applyFont="1" applyFill="1" applyBorder="1" applyAlignment="1">
      <alignment horizontal="center" vertical="center"/>
    </xf>
    <xf numFmtId="6" fontId="10" fillId="7" borderId="38" xfId="3" applyNumberFormat="1" applyFont="1" applyFill="1" applyBorder="1" applyAlignment="1">
      <alignment horizontal="center" vertical="center"/>
    </xf>
    <xf numFmtId="6" fontId="10" fillId="7" borderId="49" xfId="3" applyNumberFormat="1" applyFont="1" applyFill="1" applyBorder="1" applyAlignment="1">
      <alignment horizontal="center" vertical="center"/>
    </xf>
    <xf numFmtId="44" fontId="10" fillId="7" borderId="38" xfId="3" applyFont="1" applyFill="1" applyBorder="1" applyAlignment="1">
      <alignment horizontal="center" vertical="center"/>
    </xf>
    <xf numFmtId="44" fontId="10" fillId="7" borderId="49" xfId="3" applyFont="1" applyFill="1" applyBorder="1" applyAlignment="1">
      <alignment horizontal="center" vertical="center"/>
    </xf>
    <xf numFmtId="49" fontId="18" fillId="5" borderId="39" xfId="0" applyNumberFormat="1" applyFont="1" applyFill="1" applyBorder="1" applyAlignment="1">
      <alignment horizontal="left"/>
    </xf>
    <xf numFmtId="49" fontId="18" fillId="5" borderId="33" xfId="0" applyNumberFormat="1" applyFont="1" applyFill="1" applyBorder="1" applyAlignment="1">
      <alignment horizontal="left"/>
    </xf>
    <xf numFmtId="49" fontId="18" fillId="14" borderId="40" xfId="0" applyNumberFormat="1" applyFont="1" applyFill="1" applyBorder="1" applyAlignment="1">
      <alignment horizontal="center"/>
    </xf>
    <xf numFmtId="49" fontId="18" fillId="14" borderId="80" xfId="0" applyNumberFormat="1" applyFont="1" applyFill="1" applyBorder="1" applyAlignment="1">
      <alignment horizont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0" fontId="0" fillId="0" borderId="32" xfId="0" applyBorder="1" applyAlignment="1">
      <alignment horizontal="center"/>
    </xf>
    <xf numFmtId="49" fontId="11" fillId="0" borderId="0" xfId="0" applyNumberFormat="1" applyFont="1" applyBorder="1" applyAlignment="1">
      <alignment horizontal="center" vertical="center"/>
    </xf>
    <xf numFmtId="49" fontId="11" fillId="0" borderId="0" xfId="0" applyNumberFormat="1" applyFont="1" applyAlignment="1">
      <alignment horizontal="left" vertical="center"/>
    </xf>
    <xf numFmtId="49" fontId="11" fillId="0" borderId="32" xfId="0" applyNumberFormat="1" applyFont="1" applyBorder="1" applyAlignment="1">
      <alignment horizontal="center" wrapText="1"/>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 15 AR Aging '!$B$158</c:f>
              <c:strCache>
                <c:ptCount val="1"/>
                <c:pt idx="0">
                  <c:v>Current Month</c:v>
                </c:pt>
              </c:strCache>
            </c:strRef>
          </c:tx>
          <c:spPr>
            <a:solidFill>
              <a:srgbClr val="0070C0"/>
            </a:solidFill>
          </c:spPr>
          <c:invertIfNegative val="0"/>
          <c:val>
            <c:numRef>
              <c:f>'June 15 AR Aging '!$C$158:$N$158</c:f>
            </c:numRef>
          </c:val>
          <c:extLst>
            <c:ext xmlns:c15="http://schemas.microsoft.com/office/drawing/2012/chart" uri="{02D57815-91ED-43cb-92C2-25804820EDAC}">
              <c15:filteredCategoryTitle>
                <c15:cat>
                  <c:multiLvlStrRef>
                    <c:extLst>
                      <c:ext uri="{02D57815-91ED-43cb-92C2-25804820EDAC}">
                        <c15:formulaRef>
                          <c15:sqref>'June 15 AR Aging '!$C$157:$N$157</c15:sqref>
                        </c15:formulaRef>
                      </c:ext>
                    </c:extLst>
                  </c:multiLvlStrRef>
                </c15:cat>
              </c15:filteredCategoryTitle>
            </c:ext>
          </c:extLst>
        </c:ser>
        <c:ser>
          <c:idx val="1"/>
          <c:order val="1"/>
          <c:tx>
            <c:strRef>
              <c:f>'June 15 AR Aging '!$B$159</c:f>
              <c:strCache>
                <c:ptCount val="1"/>
                <c:pt idx="0">
                  <c:v>Previous Month</c:v>
                </c:pt>
              </c:strCache>
            </c:strRef>
          </c:tx>
          <c:spPr>
            <a:solidFill>
              <a:schemeClr val="accent6">
                <a:lumMod val="40000"/>
                <a:lumOff val="60000"/>
              </a:schemeClr>
            </a:solidFill>
          </c:spPr>
          <c:invertIfNegative val="0"/>
          <c:val>
            <c:numRef>
              <c:f>'June 15 AR Aging '!$C$159:$N$159</c:f>
            </c:numRef>
          </c:val>
          <c:extLst>
            <c:ext xmlns:c15="http://schemas.microsoft.com/office/drawing/2012/chart" uri="{02D57815-91ED-43cb-92C2-25804820EDAC}">
              <c15:filteredCategoryTitle>
                <c15:cat>
                  <c:multiLvlStrRef>
                    <c:extLst>
                      <c:ext uri="{02D57815-91ED-43cb-92C2-25804820EDAC}">
                        <c15:formulaRef>
                          <c15:sqref>'June 15 AR Aging '!$C$157:$N$157</c15:sqref>
                        </c15:formulaRef>
                      </c:ext>
                    </c:extLst>
                  </c:multiLvlStrRef>
                </c15:cat>
              </c15:filteredCategoryTitle>
            </c:ext>
          </c:extLst>
        </c:ser>
        <c:ser>
          <c:idx val="2"/>
          <c:order val="2"/>
          <c:tx>
            <c:strRef>
              <c:f>'June 15 AR Aging '!$B$160</c:f>
              <c:strCache>
                <c:ptCount val="1"/>
                <c:pt idx="0">
                  <c:v>Three Months Ago</c:v>
                </c:pt>
              </c:strCache>
            </c:strRef>
          </c:tx>
          <c:spPr>
            <a:solidFill>
              <a:schemeClr val="accent3">
                <a:lumMod val="75000"/>
              </a:schemeClr>
            </a:solidFill>
          </c:spPr>
          <c:invertIfNegative val="0"/>
          <c:val>
            <c:numRef>
              <c:f>'June 15 AR Aging '!$C$160:$N$160</c:f>
            </c:numRef>
          </c:val>
          <c:extLst>
            <c:ext xmlns:c15="http://schemas.microsoft.com/office/drawing/2012/chart" uri="{02D57815-91ED-43cb-92C2-25804820EDAC}">
              <c15:filteredCategoryTitle>
                <c15:cat>
                  <c:multiLvlStrRef>
                    <c:extLst>
                      <c:ext uri="{02D57815-91ED-43cb-92C2-25804820EDAC}">
                        <c15:formulaRef>
                          <c15:sqref>'June 15 AR Aging '!$C$157:$N$157</c15:sqref>
                        </c15:formulaRef>
                      </c:ext>
                    </c:extLst>
                  </c:multiLvlStrRef>
                </c15:cat>
              </c15:filteredCategoryTitle>
            </c:ext>
          </c:extLst>
        </c:ser>
        <c:ser>
          <c:idx val="3"/>
          <c:order val="3"/>
          <c:tx>
            <c:strRef>
              <c:f>'June 15 AR Aging '!$B$161</c:f>
              <c:strCache>
                <c:ptCount val="1"/>
                <c:pt idx="0">
                  <c:v>Older than Three Months</c:v>
                </c:pt>
              </c:strCache>
            </c:strRef>
          </c:tx>
          <c:spPr>
            <a:solidFill>
              <a:schemeClr val="accent4">
                <a:lumMod val="40000"/>
                <a:lumOff val="60000"/>
              </a:schemeClr>
            </a:solidFill>
          </c:spPr>
          <c:invertIfNegative val="0"/>
          <c:val>
            <c:numRef>
              <c:f>'June 15 AR Aging '!$C$161:$N$161</c:f>
            </c:numRef>
          </c:val>
          <c:extLst>
            <c:ext xmlns:c15="http://schemas.microsoft.com/office/drawing/2012/chart" uri="{02D57815-91ED-43cb-92C2-25804820EDAC}">
              <c15:filteredCategoryTitle>
                <c15:cat>
                  <c:multiLvlStrRef>
                    <c:extLst>
                      <c:ext uri="{02D57815-91ED-43cb-92C2-25804820EDAC}">
                        <c15:formulaRef>
                          <c15:sqref>'June 15 AR Aging '!$C$157:$N$157</c15:sqref>
                        </c15:formulaRef>
                      </c:ext>
                    </c:extLst>
                  </c:multiLvlStrRef>
                </c15:cat>
              </c15:filteredCategoryTitle>
            </c:ext>
          </c:extLst>
        </c:ser>
        <c:dLbls>
          <c:showLegendKey val="0"/>
          <c:showVal val="0"/>
          <c:showCatName val="0"/>
          <c:showSerName val="0"/>
          <c:showPercent val="0"/>
          <c:showBubbleSize val="0"/>
        </c:dLbls>
        <c:gapWidth val="56"/>
        <c:overlap val="100"/>
        <c:axId val="221785696"/>
        <c:axId val="203468328"/>
      </c:barChart>
      <c:catAx>
        <c:axId val="221785696"/>
        <c:scaling>
          <c:orientation val="minMax"/>
        </c:scaling>
        <c:delete val="0"/>
        <c:axPos val="b"/>
        <c:numFmt formatCode="[$-409]mmmm\-yy;@" sourceLinked="1"/>
        <c:majorTickMark val="none"/>
        <c:minorTickMark val="none"/>
        <c:tickLblPos val="nextTo"/>
        <c:spPr>
          <a:noFill/>
          <a:ln w="22225"/>
        </c:spPr>
        <c:crossAx val="203468328"/>
        <c:crosses val="autoZero"/>
        <c:auto val="0"/>
        <c:lblAlgn val="ctr"/>
        <c:lblOffset val="100"/>
        <c:tickLblSkip val="1"/>
        <c:noMultiLvlLbl val="0"/>
      </c:catAx>
      <c:valAx>
        <c:axId val="203468328"/>
        <c:scaling>
          <c:orientation val="minMax"/>
        </c:scaling>
        <c:delete val="0"/>
        <c:axPos val="l"/>
        <c:majorGridlines/>
        <c:numFmt formatCode="&quot;$&quot;#,##0_);[Red]\(&quot;$&quot;#,##0\)" sourceLinked="1"/>
        <c:majorTickMark val="none"/>
        <c:minorTickMark val="none"/>
        <c:tickLblPos val="nextTo"/>
        <c:crossAx val="22178569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ColumbiaCounty  Community Healthcare</a:t>
            </a:r>
            <a:r>
              <a:rPr lang="en-US" baseline="0"/>
              <a:t> Consortium</a:t>
            </a:r>
          </a:p>
          <a:p>
            <a:pPr>
              <a:defRPr/>
            </a:pPr>
            <a:r>
              <a:rPr lang="en-US" baseline="0"/>
              <a:t>Monthly CART Trips by Classification</a:t>
            </a:r>
          </a:p>
          <a:p>
            <a:pPr>
              <a:defRPr/>
            </a:pPr>
            <a:r>
              <a:rPr lang="en-US" baseline="0"/>
              <a:t>For the Twenty Four Months Ended June 2012</a:t>
            </a:r>
            <a:endParaRPr lang="en-US"/>
          </a:p>
        </c:rich>
      </c:tx>
      <c:layout>
        <c:manualLayout>
          <c:xMode val="edge"/>
          <c:yMode val="edge"/>
          <c:x val="0.13328314097724206"/>
          <c:y val="1.8912526030318639E-2"/>
        </c:manualLayout>
      </c:layout>
      <c:overlay val="0"/>
    </c:title>
    <c:autoTitleDeleted val="0"/>
    <c:plotArea>
      <c:layout/>
      <c:lineChart>
        <c:grouping val="standard"/>
        <c:varyColors val="0"/>
        <c:ser>
          <c:idx val="0"/>
          <c:order val="0"/>
          <c:tx>
            <c:strRef>
              <c:f>[1]Sheet2!$B$4</c:f>
              <c:strCache>
                <c:ptCount val="1"/>
                <c:pt idx="0">
                  <c:v>Total Trips</c:v>
                </c:pt>
              </c:strCache>
            </c:strRef>
          </c:tx>
          <c:trendline>
            <c:trendlineType val="linear"/>
            <c:dispRSqr val="0"/>
            <c:dispEq val="0"/>
          </c:trendline>
          <c:trendline>
            <c:trendlineType val="log"/>
            <c:dispRSqr val="0"/>
            <c:dispEq val="0"/>
          </c:trendline>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[1]Sheet2!$B$5:$B$28</c:f>
              <c:numCache>
                <c:formatCode>General</c:formatCode>
                <c:ptCount val="24"/>
                <c:pt idx="0">
                  <c:v>717</c:v>
                </c:pt>
                <c:pt idx="1">
                  <c:v>733</c:v>
                </c:pt>
                <c:pt idx="2">
                  <c:v>828</c:v>
                </c:pt>
                <c:pt idx="3">
                  <c:v>710</c:v>
                </c:pt>
                <c:pt idx="4">
                  <c:v>703</c:v>
                </c:pt>
                <c:pt idx="5">
                  <c:v>646</c:v>
                </c:pt>
                <c:pt idx="6">
                  <c:v>701</c:v>
                </c:pt>
                <c:pt idx="7">
                  <c:v>590</c:v>
                </c:pt>
                <c:pt idx="8">
                  <c:v>818</c:v>
                </c:pt>
                <c:pt idx="9">
                  <c:v>720</c:v>
                </c:pt>
                <c:pt idx="10">
                  <c:v>737</c:v>
                </c:pt>
                <c:pt idx="11">
                  <c:v>773</c:v>
                </c:pt>
                <c:pt idx="12">
                  <c:v>555</c:v>
                </c:pt>
                <c:pt idx="13">
                  <c:v>551</c:v>
                </c:pt>
                <c:pt idx="14">
                  <c:v>758</c:v>
                </c:pt>
                <c:pt idx="15">
                  <c:v>733</c:v>
                </c:pt>
                <c:pt idx="16">
                  <c:v>719</c:v>
                </c:pt>
                <c:pt idx="17">
                  <c:v>738</c:v>
                </c:pt>
                <c:pt idx="18">
                  <c:v>704</c:v>
                </c:pt>
                <c:pt idx="19">
                  <c:v>692</c:v>
                </c:pt>
                <c:pt idx="20">
                  <c:v>705</c:v>
                </c:pt>
                <c:pt idx="21">
                  <c:v>757</c:v>
                </c:pt>
                <c:pt idx="22">
                  <c:v>682</c:v>
                </c:pt>
                <c:pt idx="23">
                  <c:v>667</c:v>
                </c:pt>
              </c:numCache>
            </c:numRef>
          </c:val>
          <c:smooth val="0"/>
        </c:ser>
        <c:ser>
          <c:idx val="1"/>
          <c:order val="1"/>
          <c:tx>
            <c:strRef>
              <c:f>[1]Sheet2!$C$4</c:f>
              <c:strCache>
                <c:ptCount val="1"/>
                <c:pt idx="0">
                  <c:v>Medicaid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[1]Sheet2!$C$5:$C$28</c:f>
              <c:numCache>
                <c:formatCode>General</c:formatCode>
                <c:ptCount val="24"/>
                <c:pt idx="0">
                  <c:v>515</c:v>
                </c:pt>
                <c:pt idx="1">
                  <c:v>569</c:v>
                </c:pt>
                <c:pt idx="2">
                  <c:v>606</c:v>
                </c:pt>
                <c:pt idx="3">
                  <c:v>497</c:v>
                </c:pt>
                <c:pt idx="4">
                  <c:v>498</c:v>
                </c:pt>
                <c:pt idx="5">
                  <c:v>449</c:v>
                </c:pt>
                <c:pt idx="6">
                  <c:v>406</c:v>
                </c:pt>
                <c:pt idx="7">
                  <c:v>402</c:v>
                </c:pt>
                <c:pt idx="8">
                  <c:v>570</c:v>
                </c:pt>
                <c:pt idx="9">
                  <c:v>445</c:v>
                </c:pt>
                <c:pt idx="10">
                  <c:v>505</c:v>
                </c:pt>
                <c:pt idx="11">
                  <c:v>528</c:v>
                </c:pt>
                <c:pt idx="12">
                  <c:v>327</c:v>
                </c:pt>
                <c:pt idx="13">
                  <c:v>279</c:v>
                </c:pt>
                <c:pt idx="14">
                  <c:v>353</c:v>
                </c:pt>
                <c:pt idx="15">
                  <c:v>406</c:v>
                </c:pt>
                <c:pt idx="16">
                  <c:v>422</c:v>
                </c:pt>
                <c:pt idx="17">
                  <c:v>425</c:v>
                </c:pt>
                <c:pt idx="18">
                  <c:v>412</c:v>
                </c:pt>
                <c:pt idx="19">
                  <c:v>426</c:v>
                </c:pt>
                <c:pt idx="20">
                  <c:v>420</c:v>
                </c:pt>
                <c:pt idx="21">
                  <c:v>446</c:v>
                </c:pt>
                <c:pt idx="22">
                  <c:v>441</c:v>
                </c:pt>
                <c:pt idx="23">
                  <c:v>376</c:v>
                </c:pt>
              </c:numCache>
            </c:numRef>
          </c:val>
          <c:smooth val="0"/>
        </c:ser>
        <c:ser>
          <c:idx val="2"/>
          <c:order val="2"/>
          <c:tx>
            <c:strRef>
              <c:f>[1]Sheet2!$D$4</c:f>
              <c:strCache>
                <c:ptCount val="1"/>
                <c:pt idx="0">
                  <c:v>OFA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[1]Sheet2!$D$5:$D$28</c:f>
              <c:numCache>
                <c:formatCode>General</c:formatCode>
                <c:ptCount val="24"/>
                <c:pt idx="0">
                  <c:v>207</c:v>
                </c:pt>
                <c:pt idx="1">
                  <c:v>179</c:v>
                </c:pt>
                <c:pt idx="2">
                  <c:v>164</c:v>
                </c:pt>
                <c:pt idx="3">
                  <c:v>178</c:v>
                </c:pt>
                <c:pt idx="4">
                  <c:v>156</c:v>
                </c:pt>
                <c:pt idx="5">
                  <c:v>169</c:v>
                </c:pt>
                <c:pt idx="6">
                  <c:v>146</c:v>
                </c:pt>
                <c:pt idx="7">
                  <c:v>148</c:v>
                </c:pt>
                <c:pt idx="8">
                  <c:v>193</c:v>
                </c:pt>
                <c:pt idx="9">
                  <c:v>202</c:v>
                </c:pt>
                <c:pt idx="10">
                  <c:v>167</c:v>
                </c:pt>
                <c:pt idx="11">
                  <c:v>175</c:v>
                </c:pt>
                <c:pt idx="12">
                  <c:v>186</c:v>
                </c:pt>
                <c:pt idx="13">
                  <c:v>190</c:v>
                </c:pt>
                <c:pt idx="14">
                  <c:v>279</c:v>
                </c:pt>
                <c:pt idx="15">
                  <c:v>272</c:v>
                </c:pt>
                <c:pt idx="16">
                  <c:v>248</c:v>
                </c:pt>
                <c:pt idx="17">
                  <c:v>246</c:v>
                </c:pt>
                <c:pt idx="18">
                  <c:v>253</c:v>
                </c:pt>
                <c:pt idx="19">
                  <c:v>218</c:v>
                </c:pt>
                <c:pt idx="20">
                  <c:v>189</c:v>
                </c:pt>
                <c:pt idx="21">
                  <c:v>237</c:v>
                </c:pt>
                <c:pt idx="22">
                  <c:v>226</c:v>
                </c:pt>
                <c:pt idx="23">
                  <c:v>213</c:v>
                </c:pt>
              </c:numCache>
            </c:numRef>
          </c:val>
          <c:smooth val="0"/>
        </c:ser>
        <c:ser>
          <c:idx val="3"/>
          <c:order val="3"/>
          <c:tx>
            <c:strRef>
              <c:f>[1]Sheet2!$E$4</c:f>
              <c:strCache>
                <c:ptCount val="1"/>
                <c:pt idx="0">
                  <c:v>Unbillable Trips</c:v>
                </c:pt>
              </c:strCache>
            </c:strRef>
          </c:tx>
          <c:marker>
            <c:symbol val="none"/>
          </c:marker>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[1]Sheet2!$E$5:$E$28</c:f>
              <c:numCache>
                <c:formatCode>General</c:formatCode>
                <c:ptCount val="24"/>
                <c:pt idx="0">
                  <c:v>-5</c:v>
                </c:pt>
                <c:pt idx="1">
                  <c:v>-15</c:v>
                </c:pt>
                <c:pt idx="2">
                  <c:v>58</c:v>
                </c:pt>
                <c:pt idx="3">
                  <c:v>35</c:v>
                </c:pt>
                <c:pt idx="4">
                  <c:v>49</c:v>
                </c:pt>
                <c:pt idx="5">
                  <c:v>28</c:v>
                </c:pt>
                <c:pt idx="6">
                  <c:v>149</c:v>
                </c:pt>
                <c:pt idx="7">
                  <c:v>40</c:v>
                </c:pt>
                <c:pt idx="8">
                  <c:v>55</c:v>
                </c:pt>
                <c:pt idx="9">
                  <c:v>73</c:v>
                </c:pt>
                <c:pt idx="10">
                  <c:v>65</c:v>
                </c:pt>
                <c:pt idx="11">
                  <c:v>70</c:v>
                </c:pt>
                <c:pt idx="12">
                  <c:v>42</c:v>
                </c:pt>
                <c:pt idx="13">
                  <c:v>82</c:v>
                </c:pt>
                <c:pt idx="14">
                  <c:v>126</c:v>
                </c:pt>
                <c:pt idx="15">
                  <c:v>55</c:v>
                </c:pt>
                <c:pt idx="16">
                  <c:v>49</c:v>
                </c:pt>
                <c:pt idx="17">
                  <c:v>67</c:v>
                </c:pt>
                <c:pt idx="18">
                  <c:v>39</c:v>
                </c:pt>
                <c:pt idx="19">
                  <c:v>48</c:v>
                </c:pt>
                <c:pt idx="20">
                  <c:v>96</c:v>
                </c:pt>
                <c:pt idx="21">
                  <c:v>74</c:v>
                </c:pt>
                <c:pt idx="22">
                  <c:v>15</c:v>
                </c:pt>
                <c:pt idx="23">
                  <c:v>78</c:v>
                </c:pt>
              </c:numCache>
            </c:numRef>
          </c:val>
          <c:smooth val="0"/>
        </c:ser>
        <c:dLbls>
          <c:showLegendKey val="0"/>
          <c:showVal val="0"/>
          <c:showCatName val="0"/>
          <c:showSerName val="0"/>
          <c:showPercent val="0"/>
          <c:showBubbleSize val="0"/>
        </c:dLbls>
        <c:marker val="1"/>
        <c:smooth val="0"/>
        <c:axId val="203583000"/>
        <c:axId val="203277216"/>
      </c:lineChart>
      <c:catAx>
        <c:axId val="203583000"/>
        <c:scaling>
          <c:orientation val="minMax"/>
        </c:scaling>
        <c:delete val="0"/>
        <c:axPos val="b"/>
        <c:numFmt formatCode="General" sourceLinked="1"/>
        <c:majorTickMark val="none"/>
        <c:minorTickMark val="none"/>
        <c:tickLblPos val="nextTo"/>
        <c:crossAx val="203277216"/>
        <c:crosses val="autoZero"/>
        <c:auto val="1"/>
        <c:lblAlgn val="ctr"/>
        <c:lblOffset val="100"/>
        <c:noMultiLvlLbl val="0"/>
      </c:catAx>
      <c:valAx>
        <c:axId val="203277216"/>
        <c:scaling>
          <c:orientation val="minMax"/>
        </c:scaling>
        <c:delete val="0"/>
        <c:axPos val="l"/>
        <c:majorGridlines/>
        <c:title>
          <c:tx>
            <c:rich>
              <a:bodyPr/>
              <a:lstStyle/>
              <a:p>
                <a:pPr>
                  <a:defRPr/>
                </a:pPr>
                <a:r>
                  <a:rPr lang="en-US"/>
                  <a:t>Number of Trips</a:t>
                </a:r>
              </a:p>
            </c:rich>
          </c:tx>
          <c:overlay val="0"/>
        </c:title>
        <c:numFmt formatCode="General" sourceLinked="1"/>
        <c:majorTickMark val="none"/>
        <c:minorTickMark val="none"/>
        <c:tickLblPos val="nextTo"/>
        <c:crossAx val="203583000"/>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Average Miles Traveled per Trip</a:t>
            </a:r>
          </a:p>
          <a:p>
            <a:pPr>
              <a:defRPr/>
            </a:pPr>
            <a:r>
              <a:rPr lang="en-US"/>
              <a:t>For the Twenty Four Months Ended June 2012 </a:t>
            </a:r>
          </a:p>
        </c:rich>
      </c:tx>
      <c:layout>
        <c:manualLayout>
          <c:xMode val="edge"/>
          <c:yMode val="edge"/>
          <c:x val="0.13611045013505579"/>
          <c:y val="2.5263157894736838E-2"/>
        </c:manualLayout>
      </c:layout>
      <c:overlay val="0"/>
    </c:title>
    <c:autoTitleDeleted val="0"/>
    <c:plotArea>
      <c:layout/>
      <c:lineChart>
        <c:grouping val="standard"/>
        <c:varyColors val="0"/>
        <c:ser>
          <c:idx val="0"/>
          <c:order val="0"/>
          <c:tx>
            <c:strRef>
              <c:f>[1]Sheet2!$B$31</c:f>
              <c:strCache>
                <c:ptCount val="1"/>
                <c:pt idx="0">
                  <c:v>Average Trip In Miles</c:v>
                </c:pt>
              </c:strCache>
            </c:strRef>
          </c:tx>
          <c:trendline>
            <c:trendlineType val="linear"/>
            <c:dispRSqr val="0"/>
            <c:dispEq val="0"/>
          </c:trendline>
          <c:cat>
            <c:numRef>
              <c:f>[1]Sheet2!$A$32:$A$55</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[1]Sheet2!$B$32:$B$55</c:f>
              <c:numCache>
                <c:formatCode>General</c:formatCode>
                <c:ptCount val="24"/>
                <c:pt idx="0">
                  <c:v>16.715481171548117</c:v>
                </c:pt>
                <c:pt idx="1">
                  <c:v>16.060027285129603</c:v>
                </c:pt>
                <c:pt idx="2">
                  <c:v>14.182367149758454</c:v>
                </c:pt>
                <c:pt idx="3">
                  <c:v>17.092957746478874</c:v>
                </c:pt>
                <c:pt idx="4">
                  <c:v>16.884779516358464</c:v>
                </c:pt>
                <c:pt idx="5">
                  <c:v>16.808049535603715</c:v>
                </c:pt>
                <c:pt idx="6">
                  <c:v>15.982881597717546</c:v>
                </c:pt>
                <c:pt idx="7">
                  <c:v>17.577966101694916</c:v>
                </c:pt>
                <c:pt idx="8">
                  <c:v>16.0440097799511</c:v>
                </c:pt>
                <c:pt idx="9">
                  <c:v>17.152777777777779</c:v>
                </c:pt>
                <c:pt idx="10">
                  <c:v>18.029850746268657</c:v>
                </c:pt>
                <c:pt idx="11">
                  <c:v>17.106080206985769</c:v>
                </c:pt>
                <c:pt idx="12">
                  <c:v>15.911711711711712</c:v>
                </c:pt>
                <c:pt idx="13">
                  <c:v>15.551724137931034</c:v>
                </c:pt>
                <c:pt idx="14">
                  <c:v>13.434036939313984</c:v>
                </c:pt>
                <c:pt idx="15">
                  <c:v>15.015006821282402</c:v>
                </c:pt>
                <c:pt idx="16">
                  <c:v>14.809457579972184</c:v>
                </c:pt>
                <c:pt idx="17">
                  <c:v>15.03929539295393</c:v>
                </c:pt>
                <c:pt idx="18">
                  <c:v>14.958806818181818</c:v>
                </c:pt>
                <c:pt idx="19">
                  <c:v>13.979768786127167</c:v>
                </c:pt>
                <c:pt idx="20">
                  <c:v>15.961702127659574</c:v>
                </c:pt>
                <c:pt idx="21">
                  <c:v>14.597093791281374</c:v>
                </c:pt>
                <c:pt idx="22">
                  <c:v>14.964809384164223</c:v>
                </c:pt>
                <c:pt idx="23">
                  <c:v>17.058470764617692</c:v>
                </c:pt>
              </c:numCache>
            </c:numRef>
          </c:val>
          <c:smooth val="0"/>
        </c:ser>
        <c:dLbls>
          <c:showLegendKey val="0"/>
          <c:showVal val="0"/>
          <c:showCatName val="0"/>
          <c:showSerName val="0"/>
          <c:showPercent val="0"/>
          <c:showBubbleSize val="0"/>
        </c:dLbls>
        <c:marker val="1"/>
        <c:smooth val="0"/>
        <c:axId val="199797208"/>
        <c:axId val="221851712"/>
      </c:lineChart>
      <c:catAx>
        <c:axId val="199797208"/>
        <c:scaling>
          <c:orientation val="minMax"/>
        </c:scaling>
        <c:delete val="0"/>
        <c:axPos val="b"/>
        <c:numFmt formatCode="General" sourceLinked="1"/>
        <c:majorTickMark val="none"/>
        <c:minorTickMark val="none"/>
        <c:tickLblPos val="nextTo"/>
        <c:crossAx val="221851712"/>
        <c:crosses val="autoZero"/>
        <c:auto val="1"/>
        <c:lblAlgn val="ctr"/>
        <c:lblOffset val="100"/>
        <c:noMultiLvlLbl val="0"/>
      </c:catAx>
      <c:valAx>
        <c:axId val="221851712"/>
        <c:scaling>
          <c:orientation val="minMax"/>
          <c:min val="12"/>
        </c:scaling>
        <c:delete val="0"/>
        <c:axPos val="l"/>
        <c:majorGridlines/>
        <c:title>
          <c:tx>
            <c:rich>
              <a:bodyPr/>
              <a:lstStyle/>
              <a:p>
                <a:pPr>
                  <a:defRPr/>
                </a:pPr>
                <a:r>
                  <a:rPr lang="en-US"/>
                  <a:t>Average Miles per Trip </a:t>
                </a:r>
              </a:p>
            </c:rich>
          </c:tx>
          <c:overlay val="0"/>
        </c:title>
        <c:numFmt formatCode="General" sourceLinked="1"/>
        <c:majorTickMark val="none"/>
        <c:minorTickMark val="none"/>
        <c:tickLblPos val="nextTo"/>
        <c:crossAx val="199797208"/>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8</xdr:row>
      <xdr:rowOff>3</xdr:rowOff>
    </xdr:from>
    <xdr:to>
      <xdr:col>18</xdr:col>
      <xdr:colOff>19050</xdr:colOff>
      <xdr:row>9</xdr:row>
      <xdr:rowOff>38102</xdr:rowOff>
    </xdr:to>
    <xdr:grpSp>
      <xdr:nvGrpSpPr>
        <xdr:cNvPr id="2" name="Group 1"/>
        <xdr:cNvGrpSpPr/>
      </xdr:nvGrpSpPr>
      <xdr:grpSpPr>
        <a:xfrm>
          <a:off x="10096500" y="3524253"/>
          <a:ext cx="4591050" cy="666749"/>
          <a:chOff x="11080750" y="3557988"/>
          <a:chExt cx="4587875" cy="491513"/>
        </a:xfrm>
      </xdr:grpSpPr>
      <xdr:sp macro="" textlink="">
        <xdr:nvSpPr>
          <xdr:cNvPr id="3" name="Rectangle 2"/>
          <xdr:cNvSpPr/>
        </xdr:nvSpPr>
        <xdr:spPr>
          <a:xfrm>
            <a:off x="11112500" y="3578826"/>
            <a:ext cx="4540250" cy="470675"/>
          </a:xfrm>
          <a:prstGeom prst="rect">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 name="Rectangle 3"/>
          <xdr:cNvSpPr/>
        </xdr:nvSpPr>
        <xdr:spPr>
          <a:xfrm>
            <a:off x="11080750" y="3557988"/>
            <a:ext cx="4587875" cy="486701"/>
          </a:xfrm>
          <a:prstGeom prst="rect">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99.9%</a:t>
            </a:r>
          </a:p>
        </xdr:txBody>
      </xdr:sp>
    </xdr:grpSp>
    <xdr:clientData/>
  </xdr:twoCellAnchor>
  <xdr:twoCellAnchor>
    <xdr:from>
      <xdr:col>5</xdr:col>
      <xdr:colOff>31750</xdr:colOff>
      <xdr:row>17</xdr:row>
      <xdr:rowOff>0</xdr:rowOff>
    </xdr:from>
    <xdr:to>
      <xdr:col>17</xdr:col>
      <xdr:colOff>0</xdr:colOff>
      <xdr:row>18</xdr:row>
      <xdr:rowOff>0</xdr:rowOff>
    </xdr:to>
    <xdr:sp macro="" textlink="">
      <xdr:nvSpPr>
        <xdr:cNvPr id="5" name="Rectangle 4"/>
        <xdr:cNvSpPr/>
      </xdr:nvSpPr>
      <xdr:spPr>
        <a:xfrm>
          <a:off x="9747250" y="8839200"/>
          <a:ext cx="4540250" cy="62865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ysClr val="windowText" lastClr="000000"/>
              </a:solidFill>
            </a:rPr>
            <a:t>99.9%</a:t>
          </a:r>
        </a:p>
      </xdr:txBody>
    </xdr:sp>
    <xdr:clientData/>
  </xdr:twoCellAnchor>
  <xdr:twoCellAnchor>
    <xdr:from>
      <xdr:col>10</xdr:col>
      <xdr:colOff>380999</xdr:colOff>
      <xdr:row>11</xdr:row>
      <xdr:rowOff>9961</xdr:rowOff>
    </xdr:from>
    <xdr:to>
      <xdr:col>20</xdr:col>
      <xdr:colOff>15875</xdr:colOff>
      <xdr:row>12</xdr:row>
      <xdr:rowOff>5913</xdr:rowOff>
    </xdr:to>
    <xdr:grpSp>
      <xdr:nvGrpSpPr>
        <xdr:cNvPr id="6" name="Group 5"/>
        <xdr:cNvGrpSpPr/>
      </xdr:nvGrpSpPr>
      <xdr:grpSpPr>
        <a:xfrm>
          <a:off x="12001499" y="5305861"/>
          <a:ext cx="3444876" cy="624602"/>
          <a:chOff x="13001624" y="4581961"/>
          <a:chExt cx="4556126" cy="503952"/>
        </a:xfrm>
      </xdr:grpSpPr>
      <xdr:sp macro="" textlink="">
        <xdr:nvSpPr>
          <xdr:cNvPr id="7" name="Rectangle 6"/>
          <xdr:cNvSpPr/>
        </xdr:nvSpPr>
        <xdr:spPr>
          <a:xfrm>
            <a:off x="13001624" y="4587874"/>
            <a:ext cx="4556126" cy="49803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8" name="Rectangle 7"/>
          <xdr:cNvSpPr/>
        </xdr:nvSpPr>
        <xdr:spPr>
          <a:xfrm>
            <a:off x="13001624" y="4581961"/>
            <a:ext cx="3442089" cy="498039"/>
          </a:xfrm>
          <a:prstGeom prst="rect">
            <a:avLst/>
          </a:prstGeom>
          <a:solidFill>
            <a:schemeClr val="accent6">
              <a:lumMod val="40000"/>
              <a:lumOff val="6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75.8%</a:t>
            </a:r>
          </a:p>
        </xdr:txBody>
      </xdr:sp>
    </xdr:grpSp>
    <xdr:clientData/>
  </xdr:twoCellAnchor>
  <xdr:twoCellAnchor>
    <xdr:from>
      <xdr:col>13</xdr:col>
      <xdr:colOff>0</xdr:colOff>
      <xdr:row>21</xdr:row>
      <xdr:rowOff>10058</xdr:rowOff>
    </xdr:from>
    <xdr:to>
      <xdr:col>25</xdr:col>
      <xdr:colOff>0</xdr:colOff>
      <xdr:row>21</xdr:row>
      <xdr:rowOff>502920</xdr:rowOff>
    </xdr:to>
    <xdr:sp macro="" textlink="">
      <xdr:nvSpPr>
        <xdr:cNvPr id="9" name="Rectangle 8"/>
        <xdr:cNvSpPr/>
      </xdr:nvSpPr>
      <xdr:spPr>
        <a:xfrm>
          <a:off x="13754100" y="10344683"/>
          <a:ext cx="4572000" cy="492862"/>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18</xdr:col>
      <xdr:colOff>15540</xdr:colOff>
      <xdr:row>7</xdr:row>
      <xdr:rowOff>495300</xdr:rowOff>
    </xdr:from>
    <xdr:to>
      <xdr:col>31</xdr:col>
      <xdr:colOff>361950</xdr:colOff>
      <xdr:row>9</xdr:row>
      <xdr:rowOff>38100</xdr:rowOff>
    </xdr:to>
    <xdr:grpSp>
      <xdr:nvGrpSpPr>
        <xdr:cNvPr id="10" name="Group 9"/>
        <xdr:cNvGrpSpPr/>
      </xdr:nvGrpSpPr>
      <xdr:grpSpPr>
        <a:xfrm>
          <a:off x="14684040" y="3505200"/>
          <a:ext cx="5299410" cy="685800"/>
          <a:chOff x="15667684" y="3702996"/>
          <a:chExt cx="7423434" cy="1605064"/>
        </a:xfrm>
        <a:solidFill>
          <a:schemeClr val="accent2">
            <a:lumMod val="20000"/>
            <a:lumOff val="80000"/>
          </a:schemeClr>
        </a:solidFill>
      </xdr:grpSpPr>
      <xdr:sp macro="" textlink="">
        <xdr:nvSpPr>
          <xdr:cNvPr id="11" name="Rectangle 10"/>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12" name="Rectangle 11"/>
          <xdr:cNvSpPr/>
        </xdr:nvSpPr>
        <xdr:spPr>
          <a:xfrm>
            <a:off x="15694839" y="3756498"/>
            <a:ext cx="7396279"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99.9%</a:t>
            </a:r>
          </a:p>
        </xdr:txBody>
      </xdr:sp>
    </xdr:grpSp>
    <xdr:clientData/>
  </xdr:twoCellAnchor>
  <xdr:twoCellAnchor>
    <xdr:from>
      <xdr:col>10</xdr:col>
      <xdr:colOff>380998</xdr:colOff>
      <xdr:row>11</xdr:row>
      <xdr:rowOff>9961</xdr:rowOff>
    </xdr:from>
    <xdr:to>
      <xdr:col>19</xdr:col>
      <xdr:colOff>380999</xdr:colOff>
      <xdr:row>12</xdr:row>
      <xdr:rowOff>4881</xdr:rowOff>
    </xdr:to>
    <xdr:sp macro="" textlink="">
      <xdr:nvSpPr>
        <xdr:cNvPr id="13" name="Rectangle 12"/>
        <xdr:cNvSpPr/>
      </xdr:nvSpPr>
      <xdr:spPr>
        <a:xfrm>
          <a:off x="12992098" y="5296336"/>
          <a:ext cx="3429001" cy="499745"/>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100%</a:t>
          </a:r>
        </a:p>
      </xdr:txBody>
    </xdr:sp>
    <xdr:clientData/>
  </xdr:twoCellAnchor>
  <xdr:twoCellAnchor>
    <xdr:from>
      <xdr:col>20</xdr:col>
      <xdr:colOff>11202</xdr:colOff>
      <xdr:row>10</xdr:row>
      <xdr:rowOff>609599</xdr:rowOff>
    </xdr:from>
    <xdr:to>
      <xdr:col>32</xdr:col>
      <xdr:colOff>19046</xdr:colOff>
      <xdr:row>11</xdr:row>
      <xdr:rowOff>609600</xdr:rowOff>
    </xdr:to>
    <xdr:grpSp>
      <xdr:nvGrpSpPr>
        <xdr:cNvPr id="14" name="Group 13"/>
        <xdr:cNvGrpSpPr/>
      </xdr:nvGrpSpPr>
      <xdr:grpSpPr>
        <a:xfrm>
          <a:off x="15441702" y="5276849"/>
          <a:ext cx="4579844" cy="628651"/>
          <a:chOff x="16425955" y="5326388"/>
          <a:chExt cx="4630645" cy="588923"/>
        </a:xfrm>
      </xdr:grpSpPr>
      <xdr:sp macro="" textlink="">
        <xdr:nvSpPr>
          <xdr:cNvPr id="15" name="Rectangle 14"/>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16" name="Rectangle 15"/>
          <xdr:cNvSpPr/>
        </xdr:nvSpPr>
        <xdr:spPr>
          <a:xfrm>
            <a:off x="16425955" y="5343148"/>
            <a:ext cx="4611386" cy="572163"/>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 </a:t>
            </a:r>
          </a:p>
        </xdr:txBody>
      </xdr:sp>
    </xdr:grpSp>
    <xdr:clientData/>
  </xdr:twoCellAnchor>
  <xdr:twoCellAnchor>
    <xdr:from>
      <xdr:col>8</xdr:col>
      <xdr:colOff>15873</xdr:colOff>
      <xdr:row>13</xdr:row>
      <xdr:rowOff>14941</xdr:rowOff>
    </xdr:from>
    <xdr:to>
      <xdr:col>20</xdr:col>
      <xdr:colOff>15873</xdr:colOff>
      <xdr:row>14</xdr:row>
      <xdr:rowOff>0</xdr:rowOff>
    </xdr:to>
    <xdr:grpSp>
      <xdr:nvGrpSpPr>
        <xdr:cNvPr id="17" name="Group 16"/>
        <xdr:cNvGrpSpPr/>
      </xdr:nvGrpSpPr>
      <xdr:grpSpPr>
        <a:xfrm>
          <a:off x="10874373" y="6453841"/>
          <a:ext cx="4572000" cy="613709"/>
          <a:chOff x="11842750" y="6428441"/>
          <a:chExt cx="4022912" cy="503854"/>
        </a:xfrm>
        <a:solidFill>
          <a:srgbClr val="FFFFCC"/>
        </a:solidFill>
      </xdr:grpSpPr>
      <xdr:sp macro="" textlink="">
        <xdr:nvSpPr>
          <xdr:cNvPr id="18" name="Rectangle 17"/>
          <xdr:cNvSpPr/>
        </xdr:nvSpPr>
        <xdr:spPr>
          <a:xfrm>
            <a:off x="11842750" y="6428441"/>
            <a:ext cx="40229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19" name="Rectangle 18"/>
          <xdr:cNvSpPr/>
        </xdr:nvSpPr>
        <xdr:spPr>
          <a:xfrm>
            <a:off x="11842750" y="6429375"/>
            <a:ext cx="3507441"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87%</a:t>
            </a:r>
          </a:p>
        </xdr:txBody>
      </xdr:sp>
    </xdr:grpSp>
    <xdr:clientData/>
  </xdr:twoCellAnchor>
  <xdr:twoCellAnchor>
    <xdr:from>
      <xdr:col>13</xdr:col>
      <xdr:colOff>0</xdr:colOff>
      <xdr:row>21</xdr:row>
      <xdr:rowOff>10058</xdr:rowOff>
    </xdr:from>
    <xdr:to>
      <xdr:col>25</xdr:col>
      <xdr:colOff>0</xdr:colOff>
      <xdr:row>22</xdr:row>
      <xdr:rowOff>11515</xdr:rowOff>
    </xdr:to>
    <xdr:grpSp>
      <xdr:nvGrpSpPr>
        <xdr:cNvPr id="20" name="Group 19"/>
        <xdr:cNvGrpSpPr/>
      </xdr:nvGrpSpPr>
      <xdr:grpSpPr>
        <a:xfrm>
          <a:off x="13735050" y="11135258"/>
          <a:ext cx="4572000" cy="630107"/>
          <a:chOff x="13747750" y="10439933"/>
          <a:chExt cx="2263588" cy="509457"/>
        </a:xfrm>
        <a:solidFill>
          <a:schemeClr val="accent4">
            <a:lumMod val="40000"/>
            <a:lumOff val="60000"/>
          </a:schemeClr>
        </a:solidFill>
      </xdr:grpSpPr>
      <xdr:sp macro="" textlink="">
        <xdr:nvSpPr>
          <xdr:cNvPr id="21" name="Rectangle 20"/>
          <xdr:cNvSpPr/>
        </xdr:nvSpPr>
        <xdr:spPr>
          <a:xfrm>
            <a:off x="13747750" y="10446470"/>
            <a:ext cx="2263588"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2" name="Rectangle 21"/>
          <xdr:cNvSpPr/>
        </xdr:nvSpPr>
        <xdr:spPr>
          <a:xfrm>
            <a:off x="13747750" y="10439933"/>
            <a:ext cx="2169272" cy="502920"/>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1100" b="0" i="0" u="none" strike="noStrike">
                <a:solidFill>
                  <a:schemeClr val="lt1"/>
                </a:solidFill>
                <a:latin typeface="+mn-lt"/>
                <a:ea typeface="+mn-ea"/>
                <a:cs typeface="+mn-cs"/>
              </a:rPr>
              <a:t>0.00%</a:t>
            </a:r>
            <a:r>
              <a:rPr lang="en-US" sz="2000"/>
              <a:t> </a:t>
            </a:r>
            <a:r>
              <a:rPr lang="en-US" sz="1100" b="0" i="0" u="none" strike="noStrike">
                <a:solidFill>
                  <a:schemeClr val="lt1"/>
                </a:solidFill>
                <a:latin typeface="+mn-lt"/>
                <a:ea typeface="+mn-ea"/>
                <a:cs typeface="+mn-cs"/>
              </a:rPr>
              <a:t>0.00 </a:t>
            </a:r>
            <a:endParaRPr lang="en-US" sz="2000" b="1">
              <a:solidFill>
                <a:schemeClr val="tx1"/>
              </a:solidFill>
            </a:endParaRPr>
          </a:p>
        </xdr:txBody>
      </xdr:sp>
    </xdr:grpSp>
    <xdr:clientData/>
  </xdr:twoCellAnchor>
  <xdr:twoCellAnchor>
    <xdr:from>
      <xdr:col>14</xdr:col>
      <xdr:colOff>0</xdr:colOff>
      <xdr:row>25</xdr:row>
      <xdr:rowOff>2241</xdr:rowOff>
    </xdr:from>
    <xdr:to>
      <xdr:col>26</xdr:col>
      <xdr:colOff>0</xdr:colOff>
      <xdr:row>26</xdr:row>
      <xdr:rowOff>19050</xdr:rowOff>
    </xdr:to>
    <xdr:grpSp>
      <xdr:nvGrpSpPr>
        <xdr:cNvPr id="23" name="Group 22"/>
        <xdr:cNvGrpSpPr/>
      </xdr:nvGrpSpPr>
      <xdr:grpSpPr>
        <a:xfrm>
          <a:off x="13144500" y="12270441"/>
          <a:ext cx="4572000" cy="645459"/>
          <a:chOff x="14128750" y="12524441"/>
          <a:chExt cx="1243853" cy="503854"/>
        </a:xfrm>
        <a:solidFill>
          <a:schemeClr val="bg2">
            <a:lumMod val="90000"/>
          </a:schemeClr>
        </a:solidFill>
      </xdr:grpSpPr>
      <xdr:sp macro="" textlink="">
        <xdr:nvSpPr>
          <xdr:cNvPr id="24" name="Rectangle 23"/>
          <xdr:cNvSpPr/>
        </xdr:nvSpPr>
        <xdr:spPr>
          <a:xfrm>
            <a:off x="14128750" y="12524441"/>
            <a:ext cx="1243853"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25" name="Rectangle 24"/>
          <xdr:cNvSpPr/>
        </xdr:nvSpPr>
        <xdr:spPr>
          <a:xfrm>
            <a:off x="14128750" y="12525375"/>
            <a:ext cx="1228305" cy="50292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a:t>
            </a:r>
          </a:p>
        </xdr:txBody>
      </xdr:sp>
    </xdr:grpSp>
    <xdr:clientData/>
  </xdr:twoCellAnchor>
  <xdr:twoCellAnchor>
    <xdr:from>
      <xdr:col>17</xdr:col>
      <xdr:colOff>1</xdr:colOff>
      <xdr:row>21</xdr:row>
      <xdr:rowOff>0</xdr:rowOff>
    </xdr:from>
    <xdr:to>
      <xdr:col>29</xdr:col>
      <xdr:colOff>19050</xdr:colOff>
      <xdr:row>24</xdr:row>
      <xdr:rowOff>0</xdr:rowOff>
    </xdr:to>
    <xdr:grpSp>
      <xdr:nvGrpSpPr>
        <xdr:cNvPr id="26" name="Group 25"/>
        <xdr:cNvGrpSpPr/>
      </xdr:nvGrpSpPr>
      <xdr:grpSpPr>
        <a:xfrm>
          <a:off x="14287501" y="11125200"/>
          <a:ext cx="4591049" cy="628650"/>
          <a:chOff x="15271750" y="11427199"/>
          <a:chExt cx="683558" cy="1777996"/>
        </a:xfrm>
        <a:solidFill>
          <a:schemeClr val="accent4">
            <a:lumMod val="60000"/>
            <a:lumOff val="40000"/>
          </a:schemeClr>
        </a:solidFill>
      </xdr:grpSpPr>
      <xdr:sp macro="" textlink="">
        <xdr:nvSpPr>
          <xdr:cNvPr id="27" name="Rectangle 26"/>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8" name="Rectangle 27"/>
          <xdr:cNvSpPr/>
        </xdr:nvSpPr>
        <xdr:spPr>
          <a:xfrm>
            <a:off x="15271750" y="11427199"/>
            <a:ext cx="680722" cy="1777996"/>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chemeClr val="bg1"/>
                </a:solidFill>
              </a:rPr>
              <a:t>100%</a:t>
            </a:r>
          </a:p>
        </xdr:txBody>
      </xdr:sp>
    </xdr:grpSp>
    <xdr:clientData/>
  </xdr:twoCellAnchor>
  <xdr:twoCellAnchor>
    <xdr:from>
      <xdr:col>16</xdr:col>
      <xdr:colOff>380998</xdr:colOff>
      <xdr:row>17</xdr:row>
      <xdr:rowOff>0</xdr:rowOff>
    </xdr:from>
    <xdr:to>
      <xdr:col>29</xdr:col>
      <xdr:colOff>19050</xdr:colOff>
      <xdr:row>18</xdr:row>
      <xdr:rowOff>0</xdr:rowOff>
    </xdr:to>
    <xdr:grpSp>
      <xdr:nvGrpSpPr>
        <xdr:cNvPr id="32" name="Group 31"/>
        <xdr:cNvGrpSpPr/>
      </xdr:nvGrpSpPr>
      <xdr:grpSpPr>
        <a:xfrm>
          <a:off x="14287498" y="8839200"/>
          <a:ext cx="4591052" cy="628650"/>
          <a:chOff x="15271749" y="8382000"/>
          <a:chExt cx="4370295" cy="514124"/>
        </a:xfrm>
      </xdr:grpSpPr>
      <xdr:sp macro="" textlink="">
        <xdr:nvSpPr>
          <xdr:cNvPr id="33" name="Rectangle 32"/>
          <xdr:cNvSpPr/>
        </xdr:nvSpPr>
        <xdr:spPr>
          <a:xfrm>
            <a:off x="15282956" y="838200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4" name="Rectangle 33"/>
          <xdr:cNvSpPr/>
        </xdr:nvSpPr>
        <xdr:spPr>
          <a:xfrm>
            <a:off x="15271749" y="8393204"/>
            <a:ext cx="3372925" cy="50292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77%</a:t>
            </a:r>
          </a:p>
        </xdr:txBody>
      </xdr:sp>
    </xdr:grpSp>
    <xdr:clientData/>
  </xdr:twoCellAnchor>
  <xdr:oneCellAnchor>
    <xdr:from>
      <xdr:col>20</xdr:col>
      <xdr:colOff>317500</xdr:colOff>
      <xdr:row>11</xdr:row>
      <xdr:rowOff>79375</xdr:rowOff>
    </xdr:from>
    <xdr:ext cx="1317625" cy="508000"/>
    <xdr:sp macro="" textlink="">
      <xdr:nvSpPr>
        <xdr:cNvPr id="35" name="TextBox 34"/>
        <xdr:cNvSpPr txBox="1"/>
      </xdr:nvSpPr>
      <xdr:spPr>
        <a:xfrm>
          <a:off x="16738600" y="5365750"/>
          <a:ext cx="1317625"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000" b="1">
            <a:solidFill>
              <a:schemeClr val="tx1"/>
            </a:solidFill>
          </a:endParaRPr>
        </a:p>
      </xdr:txBody>
    </xdr:sp>
    <xdr:clientData/>
  </xdr:oneCellAnchor>
  <xdr:twoCellAnchor>
    <xdr:from>
      <xdr:col>11</xdr:col>
      <xdr:colOff>15875</xdr:colOff>
      <xdr:row>15</xdr:row>
      <xdr:rowOff>12694</xdr:rowOff>
    </xdr:from>
    <xdr:to>
      <xdr:col>23</xdr:col>
      <xdr:colOff>31750</xdr:colOff>
      <xdr:row>16</xdr:row>
      <xdr:rowOff>19044</xdr:rowOff>
    </xdr:to>
    <xdr:grpSp>
      <xdr:nvGrpSpPr>
        <xdr:cNvPr id="36" name="Group 35"/>
        <xdr:cNvGrpSpPr/>
      </xdr:nvGrpSpPr>
      <xdr:grpSpPr>
        <a:xfrm>
          <a:off x="12017375" y="7708894"/>
          <a:ext cx="4587875" cy="635000"/>
          <a:chOff x="12985750" y="8382000"/>
          <a:chExt cx="2375647" cy="618549"/>
        </a:xfrm>
        <a:solidFill>
          <a:srgbClr val="FFFFCC"/>
        </a:solidFill>
      </xdr:grpSpPr>
      <xdr:sp macro="" textlink="">
        <xdr:nvSpPr>
          <xdr:cNvPr id="37" name="Rectangle 36"/>
          <xdr:cNvSpPr/>
        </xdr:nvSpPr>
        <xdr:spPr>
          <a:xfrm>
            <a:off x="12985750" y="8382000"/>
            <a:ext cx="2375647" cy="47749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8" name="Rectangle 37"/>
          <xdr:cNvSpPr/>
        </xdr:nvSpPr>
        <xdr:spPr>
          <a:xfrm>
            <a:off x="12985751" y="8382001"/>
            <a:ext cx="2319748" cy="618548"/>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98%</a:t>
            </a:r>
          </a:p>
        </xdr:txBody>
      </xdr:sp>
    </xdr:grpSp>
    <xdr:clientData/>
  </xdr:twoCellAnchor>
  <xdr:twoCellAnchor>
    <xdr:from>
      <xdr:col>8</xdr:col>
      <xdr:colOff>11206</xdr:colOff>
      <xdr:row>14</xdr:row>
      <xdr:rowOff>13073</xdr:rowOff>
    </xdr:from>
    <xdr:to>
      <xdr:col>20</xdr:col>
      <xdr:colOff>19050</xdr:colOff>
      <xdr:row>15</xdr:row>
      <xdr:rowOff>0</xdr:rowOff>
    </xdr:to>
    <xdr:grpSp>
      <xdr:nvGrpSpPr>
        <xdr:cNvPr id="39" name="Group 38"/>
        <xdr:cNvGrpSpPr/>
      </xdr:nvGrpSpPr>
      <xdr:grpSpPr>
        <a:xfrm>
          <a:off x="10869706" y="7080623"/>
          <a:ext cx="4579844" cy="615577"/>
          <a:chOff x="14997206" y="6839323"/>
          <a:chExt cx="4599081" cy="505722"/>
        </a:xfrm>
        <a:solidFill>
          <a:srgbClr val="FFFFCC"/>
        </a:solidFill>
      </xdr:grpSpPr>
      <xdr:sp macro="" textlink="">
        <xdr:nvSpPr>
          <xdr:cNvPr id="40" name="Rectangle 39"/>
          <xdr:cNvSpPr/>
        </xdr:nvSpPr>
        <xdr:spPr>
          <a:xfrm>
            <a:off x="15001875" y="6839323"/>
            <a:ext cx="45944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1" name="Rectangle 40"/>
          <xdr:cNvSpPr/>
        </xdr:nvSpPr>
        <xdr:spPr>
          <a:xfrm>
            <a:off x="14997206" y="6842125"/>
            <a:ext cx="3283323"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72%</a:t>
            </a:r>
          </a:p>
        </xdr:txBody>
      </xdr:sp>
    </xdr:grpSp>
    <xdr:clientData/>
  </xdr:twoCellAnchor>
  <xdr:twoCellAnchor>
    <xdr:from>
      <xdr:col>20</xdr:col>
      <xdr:colOff>0</xdr:colOff>
      <xdr:row>13</xdr:row>
      <xdr:rowOff>15881</xdr:rowOff>
    </xdr:from>
    <xdr:to>
      <xdr:col>32</xdr:col>
      <xdr:colOff>0</xdr:colOff>
      <xdr:row>14</xdr:row>
      <xdr:rowOff>19051</xdr:rowOff>
    </xdr:to>
    <xdr:grpSp>
      <xdr:nvGrpSpPr>
        <xdr:cNvPr id="42" name="Group 41"/>
        <xdr:cNvGrpSpPr/>
      </xdr:nvGrpSpPr>
      <xdr:grpSpPr>
        <a:xfrm>
          <a:off x="15430500" y="6454781"/>
          <a:ext cx="4572000" cy="631820"/>
          <a:chOff x="12223750" y="7080257"/>
          <a:chExt cx="7776882" cy="652286"/>
        </a:xfrm>
        <a:solidFill>
          <a:srgbClr val="FFFFCC"/>
        </a:solidFill>
      </xdr:grpSpPr>
      <xdr:sp macro="" textlink="">
        <xdr:nvSpPr>
          <xdr:cNvPr id="43" name="Rectangle 42"/>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44" name="Rectangle 43"/>
          <xdr:cNvSpPr/>
        </xdr:nvSpPr>
        <xdr:spPr>
          <a:xfrm>
            <a:off x="12256154" y="7080257"/>
            <a:ext cx="7128809" cy="652286"/>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93 %</a:t>
            </a:r>
          </a:p>
        </xdr:txBody>
      </xdr:sp>
    </xdr:grpSp>
    <xdr:clientData/>
  </xdr:twoCellAnchor>
  <xdr:twoCellAnchor>
    <xdr:from>
      <xdr:col>20</xdr:col>
      <xdr:colOff>285750</xdr:colOff>
      <xdr:row>13</xdr:row>
      <xdr:rowOff>47625</xdr:rowOff>
    </xdr:from>
    <xdr:to>
      <xdr:col>24</xdr:col>
      <xdr:colOff>47625</xdr:colOff>
      <xdr:row>13</xdr:row>
      <xdr:rowOff>476250</xdr:rowOff>
    </xdr:to>
    <xdr:sp macro="" textlink="">
      <xdr:nvSpPr>
        <xdr:cNvPr id="45" name="TextBox 44"/>
        <xdr:cNvSpPr txBox="1"/>
      </xdr:nvSpPr>
      <xdr:spPr>
        <a:xfrm>
          <a:off x="16706850" y="6343650"/>
          <a:ext cx="12858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2000" b="1">
            <a:solidFill>
              <a:schemeClr val="tx1"/>
            </a:solidFill>
          </a:endParaRPr>
        </a:p>
      </xdr:txBody>
    </xdr:sp>
    <xdr:clientData/>
  </xdr:twoCellAnchor>
  <xdr:twoCellAnchor>
    <xdr:from>
      <xdr:col>20</xdr:col>
      <xdr:colOff>16270</xdr:colOff>
      <xdr:row>14</xdr:row>
      <xdr:rowOff>11428</xdr:rowOff>
    </xdr:from>
    <xdr:to>
      <xdr:col>30</xdr:col>
      <xdr:colOff>152400</xdr:colOff>
      <xdr:row>14</xdr:row>
      <xdr:rowOff>609599</xdr:rowOff>
    </xdr:to>
    <xdr:sp macro="" textlink="">
      <xdr:nvSpPr>
        <xdr:cNvPr id="46" name="Rectangle 45"/>
        <xdr:cNvSpPr/>
      </xdr:nvSpPr>
      <xdr:spPr>
        <a:xfrm>
          <a:off x="15446770" y="7078978"/>
          <a:ext cx="3946130" cy="59817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a:t>
          </a:r>
        </a:p>
        <a:p>
          <a:pPr algn="ctr"/>
          <a:r>
            <a:rPr lang="en-US" sz="2000" b="1">
              <a:solidFill>
                <a:sysClr val="windowText" lastClr="000000"/>
              </a:solidFill>
            </a:rPr>
            <a:t>87%</a:t>
          </a:r>
        </a:p>
        <a:p>
          <a:pPr algn="ctr"/>
          <a:endParaRPr lang="en-US" sz="2000" b="1">
            <a:solidFill>
              <a:sysClr val="windowText" lastClr="000000"/>
            </a:solidFill>
          </a:endParaRPr>
        </a:p>
      </xdr:txBody>
    </xdr:sp>
    <xdr:clientData/>
  </xdr:twoCellAnchor>
  <xdr:twoCellAnchor>
    <xdr:from>
      <xdr:col>23</xdr:col>
      <xdr:colOff>19050</xdr:colOff>
      <xdr:row>15</xdr:row>
      <xdr:rowOff>0</xdr:rowOff>
    </xdr:from>
    <xdr:to>
      <xdr:col>34</xdr:col>
      <xdr:colOff>342900</xdr:colOff>
      <xdr:row>16</xdr:row>
      <xdr:rowOff>0</xdr:rowOff>
    </xdr:to>
    <xdr:sp macro="" textlink="">
      <xdr:nvSpPr>
        <xdr:cNvPr id="47" name="Rectangle 46"/>
        <xdr:cNvSpPr/>
      </xdr:nvSpPr>
      <xdr:spPr>
        <a:xfrm>
          <a:off x="16592550" y="7696200"/>
          <a:ext cx="4514850" cy="6286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100%</a:t>
          </a:r>
        </a:p>
      </xdr:txBody>
    </xdr:sp>
    <xdr:clientData/>
  </xdr:twoCellAnchor>
  <xdr:twoCellAnchor>
    <xdr:from>
      <xdr:col>25</xdr:col>
      <xdr:colOff>342900</xdr:colOff>
      <xdr:row>24</xdr:row>
      <xdr:rowOff>496323</xdr:rowOff>
    </xdr:from>
    <xdr:to>
      <xdr:col>37</xdr:col>
      <xdr:colOff>19050</xdr:colOff>
      <xdr:row>26</xdr:row>
      <xdr:rowOff>16812</xdr:rowOff>
    </xdr:to>
    <xdr:sp macro="" textlink="">
      <xdr:nvSpPr>
        <xdr:cNvPr id="50" name="Rectangle 49"/>
        <xdr:cNvSpPr/>
      </xdr:nvSpPr>
      <xdr:spPr>
        <a:xfrm>
          <a:off x="18649950" y="10192773"/>
          <a:ext cx="4248150" cy="549189"/>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91.7%</a:t>
          </a:r>
        </a:p>
      </xdr:txBody>
    </xdr:sp>
    <xdr:clientData/>
  </xdr:twoCellAnchor>
  <xdr:twoCellAnchor>
    <xdr:from>
      <xdr:col>29</xdr:col>
      <xdr:colOff>0</xdr:colOff>
      <xdr:row>16</xdr:row>
      <xdr:rowOff>506518</xdr:rowOff>
    </xdr:from>
    <xdr:to>
      <xdr:col>41</xdr:col>
      <xdr:colOff>19052</xdr:colOff>
      <xdr:row>17</xdr:row>
      <xdr:rowOff>609602</xdr:rowOff>
    </xdr:to>
    <xdr:grpSp>
      <xdr:nvGrpSpPr>
        <xdr:cNvPr id="49" name="Group 48"/>
        <xdr:cNvGrpSpPr/>
      </xdr:nvGrpSpPr>
      <xdr:grpSpPr>
        <a:xfrm>
          <a:off x="18859500" y="8831368"/>
          <a:ext cx="4591052" cy="617434"/>
          <a:chOff x="15271749" y="8374162"/>
          <a:chExt cx="4370295" cy="617162"/>
        </a:xfrm>
      </xdr:grpSpPr>
      <xdr:sp macro="" textlink="">
        <xdr:nvSpPr>
          <xdr:cNvPr id="51" name="Rectangle 50"/>
          <xdr:cNvSpPr/>
        </xdr:nvSpPr>
        <xdr:spPr>
          <a:xfrm>
            <a:off x="15282956" y="840104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113%</a:t>
            </a:r>
          </a:p>
        </xdr:txBody>
      </xdr:sp>
      <xdr:sp macro="" textlink="">
        <xdr:nvSpPr>
          <xdr:cNvPr id="52" name="Rectangle 51"/>
          <xdr:cNvSpPr/>
        </xdr:nvSpPr>
        <xdr:spPr>
          <a:xfrm>
            <a:off x="15271749" y="8374162"/>
            <a:ext cx="2865171" cy="617162"/>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65.4%</a:t>
            </a:r>
          </a:p>
        </xdr:txBody>
      </xdr:sp>
    </xdr:grpSp>
    <xdr:clientData/>
  </xdr:twoCellAnchor>
  <xdr:oneCellAnchor>
    <xdr:from>
      <xdr:col>32</xdr:col>
      <xdr:colOff>57150</xdr:colOff>
      <xdr:row>16</xdr:row>
      <xdr:rowOff>476250</xdr:rowOff>
    </xdr:from>
    <xdr:ext cx="704850" cy="664610"/>
    <xdr:sp macro="" textlink="">
      <xdr:nvSpPr>
        <xdr:cNvPr id="53" name="TextBox 52"/>
        <xdr:cNvSpPr txBox="1"/>
      </xdr:nvSpPr>
      <xdr:spPr>
        <a:xfrm>
          <a:off x="21031200" y="8115300"/>
          <a:ext cx="704850" cy="664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endParaRPr lang="en-US" sz="1800" b="1"/>
        </a:p>
      </xdr:txBody>
    </xdr:sp>
    <xdr:clientData/>
  </xdr:oneCellAnchor>
  <xdr:twoCellAnchor>
    <xdr:from>
      <xdr:col>29</xdr:col>
      <xdr:colOff>19050</xdr:colOff>
      <xdr:row>23</xdr:row>
      <xdr:rowOff>19049</xdr:rowOff>
    </xdr:from>
    <xdr:to>
      <xdr:col>41</xdr:col>
      <xdr:colOff>38099</xdr:colOff>
      <xdr:row>23</xdr:row>
      <xdr:rowOff>609599</xdr:rowOff>
    </xdr:to>
    <xdr:grpSp>
      <xdr:nvGrpSpPr>
        <xdr:cNvPr id="54" name="Group 53"/>
        <xdr:cNvGrpSpPr/>
      </xdr:nvGrpSpPr>
      <xdr:grpSpPr>
        <a:xfrm>
          <a:off x="18878550" y="11144249"/>
          <a:ext cx="4591049" cy="590550"/>
          <a:chOff x="15271750" y="11427199"/>
          <a:chExt cx="683558" cy="1704090"/>
        </a:xfrm>
        <a:solidFill>
          <a:schemeClr val="accent4">
            <a:lumMod val="60000"/>
            <a:lumOff val="40000"/>
          </a:schemeClr>
        </a:solidFill>
      </xdr:grpSpPr>
      <xdr:sp macro="" textlink="">
        <xdr:nvSpPr>
          <xdr:cNvPr id="55" name="Rectangle 54"/>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56" name="Rectangle 55"/>
          <xdr:cNvSpPr/>
        </xdr:nvSpPr>
        <xdr:spPr>
          <a:xfrm>
            <a:off x="15271750" y="11427199"/>
            <a:ext cx="567268" cy="1704090"/>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bg1"/>
                </a:solidFill>
              </a:rPr>
              <a:t>83.3%</a:t>
            </a:r>
          </a:p>
        </xdr:txBody>
      </xdr:sp>
    </xdr:grpSp>
    <xdr:clientData/>
  </xdr:twoCellAnchor>
  <xdr:twoCellAnchor>
    <xdr:from>
      <xdr:col>31</xdr:col>
      <xdr:colOff>378220</xdr:colOff>
      <xdr:row>13</xdr:row>
      <xdr:rowOff>11429</xdr:rowOff>
    </xdr:from>
    <xdr:to>
      <xdr:col>35</xdr:col>
      <xdr:colOff>19050</xdr:colOff>
      <xdr:row>13</xdr:row>
      <xdr:rowOff>502919</xdr:rowOff>
    </xdr:to>
    <xdr:sp macro="" textlink="">
      <xdr:nvSpPr>
        <xdr:cNvPr id="57" name="Rectangle 56"/>
        <xdr:cNvSpPr/>
      </xdr:nvSpPr>
      <xdr:spPr>
        <a:xfrm>
          <a:off x="20971270" y="6107429"/>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a:p>
          <a:pPr algn="r"/>
          <a:endParaRPr lang="en-US" sz="2000" b="1">
            <a:solidFill>
              <a:sysClr val="windowText" lastClr="000000"/>
            </a:solidFill>
          </a:endParaRPr>
        </a:p>
        <a:p>
          <a:pPr algn="r"/>
          <a:endParaRPr lang="en-US" sz="2000" b="1">
            <a:solidFill>
              <a:sysClr val="windowText" lastClr="000000"/>
            </a:solidFill>
          </a:endParaRPr>
        </a:p>
      </xdr:txBody>
    </xdr:sp>
    <xdr:clientData/>
  </xdr:twoCellAnchor>
  <xdr:twoCellAnchor>
    <xdr:from>
      <xdr:col>32</xdr:col>
      <xdr:colOff>0</xdr:colOff>
      <xdr:row>14</xdr:row>
      <xdr:rowOff>0</xdr:rowOff>
    </xdr:from>
    <xdr:to>
      <xdr:col>35</xdr:col>
      <xdr:colOff>21830</xdr:colOff>
      <xdr:row>14</xdr:row>
      <xdr:rowOff>491490</xdr:rowOff>
    </xdr:to>
    <xdr:sp macro="" textlink="">
      <xdr:nvSpPr>
        <xdr:cNvPr id="58" name="Rectangle 57"/>
        <xdr:cNvSpPr/>
      </xdr:nvSpPr>
      <xdr:spPr>
        <a:xfrm>
          <a:off x="20974050" y="6610350"/>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xdr:txBody>
    </xdr:sp>
    <xdr:clientData/>
  </xdr:twoCellAnchor>
  <xdr:twoCellAnchor>
    <xdr:from>
      <xdr:col>32</xdr:col>
      <xdr:colOff>0</xdr:colOff>
      <xdr:row>8</xdr:row>
      <xdr:rowOff>0</xdr:rowOff>
    </xdr:from>
    <xdr:to>
      <xdr:col>45</xdr:col>
      <xdr:colOff>117810</xdr:colOff>
      <xdr:row>9</xdr:row>
      <xdr:rowOff>57150</xdr:rowOff>
    </xdr:to>
    <xdr:grpSp>
      <xdr:nvGrpSpPr>
        <xdr:cNvPr id="59" name="Group 58"/>
        <xdr:cNvGrpSpPr/>
      </xdr:nvGrpSpPr>
      <xdr:grpSpPr>
        <a:xfrm>
          <a:off x="20002500" y="3524250"/>
          <a:ext cx="5299410" cy="685800"/>
          <a:chOff x="15667684" y="3702996"/>
          <a:chExt cx="7423434" cy="1605064"/>
        </a:xfrm>
        <a:solidFill>
          <a:schemeClr val="accent2">
            <a:lumMod val="20000"/>
            <a:lumOff val="80000"/>
          </a:schemeClr>
        </a:solidFill>
      </xdr:grpSpPr>
      <xdr:sp macro="" textlink="">
        <xdr:nvSpPr>
          <xdr:cNvPr id="60" name="Rectangle 59"/>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100" baseline="0">
                <a:solidFill>
                  <a:sysClr val="windowText" lastClr="000000"/>
                </a:solidFill>
              </a:rPr>
              <a:t>                                                 </a:t>
            </a:r>
            <a:endParaRPr lang="en-US" sz="1800" b="1">
              <a:solidFill>
                <a:sysClr val="windowText" lastClr="000000"/>
              </a:solidFill>
            </a:endParaRPr>
          </a:p>
        </xdr:txBody>
      </xdr:sp>
      <xdr:sp macro="" textlink="">
        <xdr:nvSpPr>
          <xdr:cNvPr id="61" name="Rectangle 60"/>
          <xdr:cNvSpPr/>
        </xdr:nvSpPr>
        <xdr:spPr>
          <a:xfrm>
            <a:off x="15668153" y="3702996"/>
            <a:ext cx="3175083"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49.5 %</a:t>
            </a:r>
          </a:p>
        </xdr:txBody>
      </xdr:sp>
    </xdr:grpSp>
    <xdr:clientData/>
  </xdr:twoCellAnchor>
  <xdr:twoCellAnchor>
    <xdr:from>
      <xdr:col>32</xdr:col>
      <xdr:colOff>0</xdr:colOff>
      <xdr:row>10</xdr:row>
      <xdr:rowOff>628648</xdr:rowOff>
    </xdr:from>
    <xdr:to>
      <xdr:col>35</xdr:col>
      <xdr:colOff>0</xdr:colOff>
      <xdr:row>12</xdr:row>
      <xdr:rowOff>19050</xdr:rowOff>
    </xdr:to>
    <xdr:grpSp>
      <xdr:nvGrpSpPr>
        <xdr:cNvPr id="62" name="Group 61"/>
        <xdr:cNvGrpSpPr/>
      </xdr:nvGrpSpPr>
      <xdr:grpSpPr>
        <a:xfrm>
          <a:off x="20002500" y="5295898"/>
          <a:ext cx="1143000" cy="647702"/>
          <a:chOff x="16445216" y="5326388"/>
          <a:chExt cx="17292694" cy="664031"/>
        </a:xfrm>
      </xdr:grpSpPr>
      <xdr:sp macro="" textlink="">
        <xdr:nvSpPr>
          <xdr:cNvPr id="63" name="Rectangle 62"/>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64" name="Rectangle 63"/>
          <xdr:cNvSpPr/>
        </xdr:nvSpPr>
        <xdr:spPr>
          <a:xfrm>
            <a:off x="16445216" y="5352822"/>
            <a:ext cx="17292694" cy="637597"/>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a:t>
            </a:r>
          </a:p>
        </xdr:txBody>
      </xdr:sp>
    </xdr:grpSp>
    <xdr:clientData/>
  </xdr:twoCellAnchor>
  <xdr:twoCellAnchor>
    <xdr:from>
      <xdr:col>31</xdr:col>
      <xdr:colOff>378220</xdr:colOff>
      <xdr:row>13</xdr:row>
      <xdr:rowOff>11430</xdr:rowOff>
    </xdr:from>
    <xdr:to>
      <xdr:col>34</xdr:col>
      <xdr:colOff>133350</xdr:colOff>
      <xdr:row>13</xdr:row>
      <xdr:rowOff>609601</xdr:rowOff>
    </xdr:to>
    <xdr:grpSp>
      <xdr:nvGrpSpPr>
        <xdr:cNvPr id="65" name="Group 64"/>
        <xdr:cNvGrpSpPr/>
      </xdr:nvGrpSpPr>
      <xdr:grpSpPr>
        <a:xfrm>
          <a:off x="19999720" y="6450330"/>
          <a:ext cx="898130" cy="598171"/>
          <a:chOff x="12223750" y="7080256"/>
          <a:chExt cx="19150196" cy="617547"/>
        </a:xfrm>
        <a:solidFill>
          <a:srgbClr val="FFFFCC"/>
        </a:solidFill>
      </xdr:grpSpPr>
      <xdr:sp macro="" textlink="">
        <xdr:nvSpPr>
          <xdr:cNvPr id="66" name="Rectangle 65"/>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67" name="Rectangle 66"/>
          <xdr:cNvSpPr/>
        </xdr:nvSpPr>
        <xdr:spPr>
          <a:xfrm>
            <a:off x="12256160" y="7080256"/>
            <a:ext cx="19117786" cy="617547"/>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78.8%</a:t>
            </a:r>
          </a:p>
          <a:p>
            <a:pPr algn="r"/>
            <a:endParaRPr lang="en-US" sz="2000" b="1">
              <a:solidFill>
                <a:sysClr val="windowText" lastClr="000000"/>
              </a:solidFill>
            </a:endParaRPr>
          </a:p>
        </xdr:txBody>
      </xdr:sp>
    </xdr:grpSp>
    <xdr:clientData/>
  </xdr:twoCellAnchor>
  <xdr:twoCellAnchor>
    <xdr:from>
      <xdr:col>32</xdr:col>
      <xdr:colOff>0</xdr:colOff>
      <xdr:row>13</xdr:row>
      <xdr:rowOff>628646</xdr:rowOff>
    </xdr:from>
    <xdr:to>
      <xdr:col>34</xdr:col>
      <xdr:colOff>209549</xdr:colOff>
      <xdr:row>15</xdr:row>
      <xdr:rowOff>1</xdr:rowOff>
    </xdr:to>
    <xdr:grpSp>
      <xdr:nvGrpSpPr>
        <xdr:cNvPr id="68" name="Group 67"/>
        <xdr:cNvGrpSpPr/>
      </xdr:nvGrpSpPr>
      <xdr:grpSpPr>
        <a:xfrm>
          <a:off x="20002500" y="7067546"/>
          <a:ext cx="971549" cy="628655"/>
          <a:chOff x="12223750" y="7080257"/>
          <a:chExt cx="36056416" cy="649019"/>
        </a:xfrm>
        <a:solidFill>
          <a:srgbClr val="FFFFCC"/>
        </a:solidFill>
      </xdr:grpSpPr>
      <xdr:sp macro="" textlink="">
        <xdr:nvSpPr>
          <xdr:cNvPr id="69" name="Rectangle 68"/>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70" name="Rectangle 69"/>
          <xdr:cNvSpPr/>
        </xdr:nvSpPr>
        <xdr:spPr>
          <a:xfrm>
            <a:off x="12256112" y="7080257"/>
            <a:ext cx="36024054" cy="649019"/>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90.7%</a:t>
            </a:r>
          </a:p>
          <a:p>
            <a:pPr algn="r"/>
            <a:endParaRPr lang="en-US" sz="2000" b="1">
              <a:solidFill>
                <a:sysClr val="windowText" lastClr="000000"/>
              </a:solidFill>
            </a:endParaRPr>
          </a:p>
        </xdr:txBody>
      </xdr:sp>
    </xdr:grpSp>
    <xdr:clientData/>
  </xdr:twoCellAnchor>
  <xdr:twoCellAnchor>
    <xdr:from>
      <xdr:col>35</xdr:col>
      <xdr:colOff>0</xdr:colOff>
      <xdr:row>11</xdr:row>
      <xdr:rowOff>19050</xdr:rowOff>
    </xdr:from>
    <xdr:to>
      <xdr:col>38</xdr:col>
      <xdr:colOff>361950</xdr:colOff>
      <xdr:row>12</xdr:row>
      <xdr:rowOff>0</xdr:rowOff>
    </xdr:to>
    <xdr:sp macro="" textlink="">
      <xdr:nvSpPr>
        <xdr:cNvPr id="71" name="Rectangle 70"/>
        <xdr:cNvSpPr/>
      </xdr:nvSpPr>
      <xdr:spPr>
        <a:xfrm>
          <a:off x="22117050" y="5086350"/>
          <a:ext cx="1504950" cy="49530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32.1%</a:t>
          </a:r>
        </a:p>
      </xdr:txBody>
    </xdr:sp>
    <xdr:clientData/>
  </xdr:twoCellAnchor>
  <xdr:twoCellAnchor>
    <xdr:from>
      <xdr:col>35</xdr:col>
      <xdr:colOff>0</xdr:colOff>
      <xdr:row>15</xdr:row>
      <xdr:rowOff>0</xdr:rowOff>
    </xdr:from>
    <xdr:to>
      <xdr:col>38</xdr:col>
      <xdr:colOff>38100</xdr:colOff>
      <xdr:row>15</xdr:row>
      <xdr:rowOff>590550</xdr:rowOff>
    </xdr:to>
    <xdr:sp macro="" textlink="">
      <xdr:nvSpPr>
        <xdr:cNvPr id="72" name="Rectangle 71"/>
        <xdr:cNvSpPr/>
      </xdr:nvSpPr>
      <xdr:spPr>
        <a:xfrm>
          <a:off x="21145500" y="7696200"/>
          <a:ext cx="1181100" cy="5905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26.4%</a:t>
          </a:r>
        </a:p>
      </xdr:txBody>
    </xdr:sp>
    <xdr:clientData/>
  </xdr:twoCellAnchor>
  <xdr:twoCellAnchor>
    <xdr:from>
      <xdr:col>35</xdr:col>
      <xdr:colOff>38100</xdr:colOff>
      <xdr:row>14</xdr:row>
      <xdr:rowOff>0</xdr:rowOff>
    </xdr:from>
    <xdr:to>
      <xdr:col>37</xdr:col>
      <xdr:colOff>76200</xdr:colOff>
      <xdr:row>14</xdr:row>
      <xdr:rowOff>609600</xdr:rowOff>
    </xdr:to>
    <xdr:sp macro="" textlink="">
      <xdr:nvSpPr>
        <xdr:cNvPr id="73" name="Rectangle 72"/>
        <xdr:cNvSpPr/>
      </xdr:nvSpPr>
      <xdr:spPr>
        <a:xfrm>
          <a:off x="21183600" y="7067550"/>
          <a:ext cx="800100" cy="60960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tx1"/>
              </a:solidFill>
            </a:rPr>
            <a:t>24.8%</a:t>
          </a:r>
        </a:p>
      </xdr:txBody>
    </xdr:sp>
    <xdr:clientData/>
  </xdr:twoCellAnchor>
  <xdr:twoCellAnchor>
    <xdr:from>
      <xdr:col>35</xdr:col>
      <xdr:colOff>19050</xdr:colOff>
      <xdr:row>13</xdr:row>
      <xdr:rowOff>0</xdr:rowOff>
    </xdr:from>
    <xdr:to>
      <xdr:col>37</xdr:col>
      <xdr:colOff>247650</xdr:colOff>
      <xdr:row>14</xdr:row>
      <xdr:rowOff>0</xdr:rowOff>
    </xdr:to>
    <xdr:sp macro="" textlink="">
      <xdr:nvSpPr>
        <xdr:cNvPr id="74" name="Rectangle 73"/>
        <xdr:cNvSpPr/>
      </xdr:nvSpPr>
      <xdr:spPr>
        <a:xfrm>
          <a:off x="21164550" y="6438900"/>
          <a:ext cx="990600" cy="6286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29.1%</a:t>
          </a:r>
        </a:p>
      </xdr:txBody>
    </xdr:sp>
    <xdr:clientData/>
  </xdr:twoCellAnchor>
  <xdr:twoCellAnchor>
    <xdr:from>
      <xdr:col>38</xdr:col>
      <xdr:colOff>0</xdr:colOff>
      <xdr:row>25</xdr:row>
      <xdr:rowOff>0</xdr:rowOff>
    </xdr:from>
    <xdr:to>
      <xdr:col>39</xdr:col>
      <xdr:colOff>0</xdr:colOff>
      <xdr:row>26</xdr:row>
      <xdr:rowOff>38100</xdr:rowOff>
    </xdr:to>
    <xdr:sp macro="" textlink="">
      <xdr:nvSpPr>
        <xdr:cNvPr id="76" name="Rectangle 75"/>
        <xdr:cNvSpPr/>
      </xdr:nvSpPr>
      <xdr:spPr>
        <a:xfrm>
          <a:off x="23260050" y="11239500"/>
          <a:ext cx="381000" cy="55245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37</xdr:col>
      <xdr:colOff>0</xdr:colOff>
      <xdr:row>19</xdr:row>
      <xdr:rowOff>19050</xdr:rowOff>
    </xdr:from>
    <xdr:to>
      <xdr:col>37</xdr:col>
      <xdr:colOff>361950</xdr:colOff>
      <xdr:row>20</xdr:row>
      <xdr:rowOff>0</xdr:rowOff>
    </xdr:to>
    <xdr:sp macro="" textlink="">
      <xdr:nvSpPr>
        <xdr:cNvPr id="83" name="Rectangle 82"/>
        <xdr:cNvSpPr/>
      </xdr:nvSpPr>
      <xdr:spPr>
        <a:xfrm>
          <a:off x="21907500" y="10001250"/>
          <a:ext cx="361950" cy="60960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35</xdr:col>
      <xdr:colOff>0</xdr:colOff>
      <xdr:row>19</xdr:row>
      <xdr:rowOff>0</xdr:rowOff>
    </xdr:from>
    <xdr:to>
      <xdr:col>36</xdr:col>
      <xdr:colOff>247650</xdr:colOff>
      <xdr:row>19</xdr:row>
      <xdr:rowOff>590550</xdr:rowOff>
    </xdr:to>
    <xdr:sp macro="" textlink="">
      <xdr:nvSpPr>
        <xdr:cNvPr id="84" name="Rectangle 83"/>
        <xdr:cNvSpPr/>
      </xdr:nvSpPr>
      <xdr:spPr>
        <a:xfrm>
          <a:off x="21145500" y="9982200"/>
          <a:ext cx="628650" cy="59055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600" b="1">
              <a:solidFill>
                <a:schemeClr val="tx1"/>
              </a:solidFill>
            </a:rPr>
            <a:t>92%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151</xdr:row>
      <xdr:rowOff>47625</xdr:rowOff>
    </xdr:from>
    <xdr:to>
      <xdr:col>8</xdr:col>
      <xdr:colOff>523875</xdr:colOff>
      <xdr:row>188</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3</xdr:row>
      <xdr:rowOff>104775</xdr:rowOff>
    </xdr:from>
    <xdr:to>
      <xdr:col>11</xdr:col>
      <xdr:colOff>504824</xdr:colOff>
      <xdr:row>37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41</xdr:row>
      <xdr:rowOff>0</xdr:rowOff>
    </xdr:from>
    <xdr:to>
      <xdr:col>11</xdr:col>
      <xdr:colOff>476249</xdr:colOff>
      <xdr:row>69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udit%20&amp;%20Finanace%20Committe\Driver's%20Hours%20&amp;%20P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udit%20&amp;%20Finanace%20Committe\CCCHC%20Financial%20Report%2002%2028%202013%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4"/>
      <sheetName val="Budget"/>
      <sheetName val="Sheet5"/>
      <sheetName val="Insurance"/>
      <sheetName val="Revenue"/>
      <sheetName val="Sheet2"/>
    </sheetNames>
    <sheetDataSet>
      <sheetData sheetId="0"/>
      <sheetData sheetId="1"/>
      <sheetData sheetId="2"/>
      <sheetData sheetId="3"/>
      <sheetData sheetId="4"/>
      <sheetData sheetId="5"/>
      <sheetData sheetId="6"/>
      <sheetData sheetId="7">
        <row r="4">
          <cell r="B4" t="str">
            <v>Total Trips</v>
          </cell>
          <cell r="C4" t="str">
            <v>Medicaid Trips</v>
          </cell>
          <cell r="D4" t="str">
            <v>OFA Trips</v>
          </cell>
          <cell r="E4" t="str">
            <v>Unbillable Trips</v>
          </cell>
        </row>
        <row r="5">
          <cell r="A5">
            <v>40360</v>
          </cell>
          <cell r="B5">
            <v>717</v>
          </cell>
          <cell r="C5">
            <v>515</v>
          </cell>
          <cell r="D5">
            <v>207</v>
          </cell>
          <cell r="E5">
            <v>-5</v>
          </cell>
        </row>
        <row r="6">
          <cell r="A6">
            <v>40391</v>
          </cell>
          <cell r="B6">
            <v>733</v>
          </cell>
          <cell r="C6">
            <v>569</v>
          </cell>
          <cell r="D6">
            <v>179</v>
          </cell>
          <cell r="E6">
            <v>-15</v>
          </cell>
        </row>
        <row r="7">
          <cell r="A7">
            <v>40422</v>
          </cell>
          <cell r="B7">
            <v>828</v>
          </cell>
          <cell r="C7">
            <v>606</v>
          </cell>
          <cell r="D7">
            <v>164</v>
          </cell>
          <cell r="E7">
            <v>58</v>
          </cell>
        </row>
        <row r="8">
          <cell r="A8">
            <v>40452</v>
          </cell>
          <cell r="B8">
            <v>710</v>
          </cell>
          <cell r="C8">
            <v>497</v>
          </cell>
          <cell r="D8">
            <v>178</v>
          </cell>
          <cell r="E8">
            <v>35</v>
          </cell>
        </row>
        <row r="9">
          <cell r="A9">
            <v>40483</v>
          </cell>
          <cell r="B9">
            <v>703</v>
          </cell>
          <cell r="C9">
            <v>498</v>
          </cell>
          <cell r="D9">
            <v>156</v>
          </cell>
          <cell r="E9">
            <v>49</v>
          </cell>
        </row>
        <row r="10">
          <cell r="A10">
            <v>40513</v>
          </cell>
          <cell r="B10">
            <v>646</v>
          </cell>
          <cell r="C10">
            <v>449</v>
          </cell>
          <cell r="D10">
            <v>169</v>
          </cell>
          <cell r="E10">
            <v>28</v>
          </cell>
        </row>
        <row r="11">
          <cell r="A11">
            <v>40544</v>
          </cell>
          <cell r="B11">
            <v>701</v>
          </cell>
          <cell r="C11">
            <v>406</v>
          </cell>
          <cell r="D11">
            <v>146</v>
          </cell>
          <cell r="E11">
            <v>149</v>
          </cell>
        </row>
        <row r="12">
          <cell r="A12">
            <v>40575</v>
          </cell>
          <cell r="B12">
            <v>590</v>
          </cell>
          <cell r="C12">
            <v>402</v>
          </cell>
          <cell r="D12">
            <v>148</v>
          </cell>
          <cell r="E12">
            <v>40</v>
          </cell>
        </row>
        <row r="13">
          <cell r="A13">
            <v>40603</v>
          </cell>
          <cell r="B13">
            <v>818</v>
          </cell>
          <cell r="C13">
            <v>570</v>
          </cell>
          <cell r="D13">
            <v>193</v>
          </cell>
          <cell r="E13">
            <v>55</v>
          </cell>
        </row>
        <row r="14">
          <cell r="A14">
            <v>40634</v>
          </cell>
          <cell r="B14">
            <v>720</v>
          </cell>
          <cell r="C14">
            <v>445</v>
          </cell>
          <cell r="D14">
            <v>202</v>
          </cell>
          <cell r="E14">
            <v>73</v>
          </cell>
        </row>
        <row r="15">
          <cell r="A15">
            <v>40664</v>
          </cell>
          <cell r="B15">
            <v>737</v>
          </cell>
          <cell r="C15">
            <v>505</v>
          </cell>
          <cell r="D15">
            <v>167</v>
          </cell>
          <cell r="E15">
            <v>65</v>
          </cell>
        </row>
        <row r="16">
          <cell r="A16">
            <v>40695</v>
          </cell>
          <cell r="B16">
            <v>773</v>
          </cell>
          <cell r="C16">
            <v>528</v>
          </cell>
          <cell r="D16">
            <v>175</v>
          </cell>
          <cell r="E16">
            <v>70</v>
          </cell>
        </row>
        <row r="17">
          <cell r="A17">
            <v>40725</v>
          </cell>
          <cell r="B17">
            <v>555</v>
          </cell>
          <cell r="C17">
            <v>327</v>
          </cell>
          <cell r="D17">
            <v>186</v>
          </cell>
          <cell r="E17">
            <v>42</v>
          </cell>
        </row>
        <row r="18">
          <cell r="A18">
            <v>40756</v>
          </cell>
          <cell r="B18">
            <v>551</v>
          </cell>
          <cell r="C18">
            <v>279</v>
          </cell>
          <cell r="D18">
            <v>190</v>
          </cell>
          <cell r="E18">
            <v>82</v>
          </cell>
        </row>
        <row r="19">
          <cell r="A19">
            <v>40787</v>
          </cell>
          <cell r="B19">
            <v>758</v>
          </cell>
          <cell r="C19">
            <v>353</v>
          </cell>
          <cell r="D19">
            <v>279</v>
          </cell>
          <cell r="E19">
            <v>126</v>
          </cell>
        </row>
        <row r="20">
          <cell r="A20">
            <v>40817</v>
          </cell>
          <cell r="B20">
            <v>733</v>
          </cell>
          <cell r="C20">
            <v>406</v>
          </cell>
          <cell r="D20">
            <v>272</v>
          </cell>
          <cell r="E20">
            <v>55</v>
          </cell>
        </row>
        <row r="21">
          <cell r="A21">
            <v>40848</v>
          </cell>
          <cell r="B21">
            <v>719</v>
          </cell>
          <cell r="C21">
            <v>422</v>
          </cell>
          <cell r="D21">
            <v>248</v>
          </cell>
          <cell r="E21">
            <v>49</v>
          </cell>
        </row>
        <row r="22">
          <cell r="A22">
            <v>40878</v>
          </cell>
          <cell r="B22">
            <v>738</v>
          </cell>
          <cell r="C22">
            <v>425</v>
          </cell>
          <cell r="D22">
            <v>246</v>
          </cell>
          <cell r="E22">
            <v>67</v>
          </cell>
        </row>
        <row r="23">
          <cell r="A23">
            <v>40909</v>
          </cell>
          <cell r="B23">
            <v>704</v>
          </cell>
          <cell r="C23">
            <v>412</v>
          </cell>
          <cell r="D23">
            <v>253</v>
          </cell>
          <cell r="E23">
            <v>39</v>
          </cell>
        </row>
        <row r="24">
          <cell r="A24">
            <v>40940</v>
          </cell>
          <cell r="B24">
            <v>692</v>
          </cell>
          <cell r="C24">
            <v>426</v>
          </cell>
          <cell r="D24">
            <v>218</v>
          </cell>
          <cell r="E24">
            <v>48</v>
          </cell>
        </row>
        <row r="25">
          <cell r="A25">
            <v>40969</v>
          </cell>
          <cell r="B25">
            <v>705</v>
          </cell>
          <cell r="C25">
            <v>420</v>
          </cell>
          <cell r="D25">
            <v>189</v>
          </cell>
          <cell r="E25">
            <v>96</v>
          </cell>
        </row>
        <row r="26">
          <cell r="A26">
            <v>41000</v>
          </cell>
          <cell r="B26">
            <v>757</v>
          </cell>
          <cell r="C26">
            <v>446</v>
          </cell>
          <cell r="D26">
            <v>237</v>
          </cell>
          <cell r="E26">
            <v>74</v>
          </cell>
        </row>
        <row r="27">
          <cell r="A27">
            <v>41030</v>
          </cell>
          <cell r="B27">
            <v>682</v>
          </cell>
          <cell r="C27">
            <v>441</v>
          </cell>
          <cell r="D27">
            <v>226</v>
          </cell>
          <cell r="E27">
            <v>15</v>
          </cell>
        </row>
        <row r="28">
          <cell r="A28">
            <v>41061</v>
          </cell>
          <cell r="B28">
            <v>667</v>
          </cell>
          <cell r="C28">
            <v>376</v>
          </cell>
          <cell r="D28">
            <v>213</v>
          </cell>
          <cell r="E28">
            <v>78</v>
          </cell>
        </row>
        <row r="31">
          <cell r="B31" t="str">
            <v>Average Trip In Miles</v>
          </cell>
        </row>
        <row r="32">
          <cell r="A32">
            <v>40360</v>
          </cell>
          <cell r="B32">
            <v>16.715481171548117</v>
          </cell>
        </row>
        <row r="33">
          <cell r="A33">
            <v>40391</v>
          </cell>
          <cell r="B33">
            <v>16.060027285129603</v>
          </cell>
        </row>
        <row r="34">
          <cell r="A34">
            <v>40422</v>
          </cell>
          <cell r="B34">
            <v>14.182367149758454</v>
          </cell>
        </row>
        <row r="35">
          <cell r="A35">
            <v>40452</v>
          </cell>
          <cell r="B35">
            <v>17.092957746478874</v>
          </cell>
        </row>
        <row r="36">
          <cell r="A36">
            <v>40483</v>
          </cell>
          <cell r="B36">
            <v>16.884779516358464</v>
          </cell>
        </row>
        <row r="37">
          <cell r="A37">
            <v>40513</v>
          </cell>
          <cell r="B37">
            <v>16.808049535603715</v>
          </cell>
        </row>
        <row r="38">
          <cell r="A38">
            <v>40544</v>
          </cell>
          <cell r="B38">
            <v>15.982881597717546</v>
          </cell>
        </row>
        <row r="39">
          <cell r="A39">
            <v>40575</v>
          </cell>
          <cell r="B39">
            <v>17.577966101694916</v>
          </cell>
        </row>
        <row r="40">
          <cell r="A40">
            <v>40603</v>
          </cell>
          <cell r="B40">
            <v>16.0440097799511</v>
          </cell>
        </row>
        <row r="41">
          <cell r="A41">
            <v>40634</v>
          </cell>
          <cell r="B41">
            <v>17.152777777777779</v>
          </cell>
        </row>
        <row r="42">
          <cell r="A42">
            <v>40664</v>
          </cell>
          <cell r="B42">
            <v>18.029850746268657</v>
          </cell>
        </row>
        <row r="43">
          <cell r="A43">
            <v>40695</v>
          </cell>
          <cell r="B43">
            <v>17.106080206985769</v>
          </cell>
        </row>
        <row r="44">
          <cell r="A44">
            <v>40725</v>
          </cell>
          <cell r="B44">
            <v>15.911711711711712</v>
          </cell>
        </row>
        <row r="45">
          <cell r="A45">
            <v>40756</v>
          </cell>
          <cell r="B45">
            <v>15.551724137931034</v>
          </cell>
        </row>
        <row r="46">
          <cell r="A46">
            <v>40787</v>
          </cell>
          <cell r="B46">
            <v>13.434036939313984</v>
          </cell>
        </row>
        <row r="47">
          <cell r="A47">
            <v>40817</v>
          </cell>
          <cell r="B47">
            <v>15.015006821282402</v>
          </cell>
        </row>
        <row r="48">
          <cell r="A48">
            <v>40848</v>
          </cell>
          <cell r="B48">
            <v>14.809457579972184</v>
          </cell>
        </row>
        <row r="49">
          <cell r="A49">
            <v>40878</v>
          </cell>
          <cell r="B49">
            <v>15.03929539295393</v>
          </cell>
        </row>
        <row r="50">
          <cell r="A50">
            <v>40909</v>
          </cell>
          <cell r="B50">
            <v>14.958806818181818</v>
          </cell>
        </row>
        <row r="51">
          <cell r="A51">
            <v>40940</v>
          </cell>
          <cell r="B51">
            <v>13.979768786127167</v>
          </cell>
        </row>
        <row r="52">
          <cell r="A52">
            <v>40969</v>
          </cell>
          <cell r="B52">
            <v>15.961702127659574</v>
          </cell>
        </row>
        <row r="53">
          <cell r="A53">
            <v>41000</v>
          </cell>
          <cell r="B53">
            <v>14.597093791281374</v>
          </cell>
        </row>
        <row r="54">
          <cell r="A54">
            <v>41030</v>
          </cell>
          <cell r="B54">
            <v>14.964809384164223</v>
          </cell>
        </row>
        <row r="55">
          <cell r="A55">
            <v>41061</v>
          </cell>
          <cell r="B55">
            <v>17.058470764617692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Revenues &amp; Expenses"/>
      <sheetName val="Feb Grants Timeline"/>
      <sheetName val="Feb AR Aging "/>
      <sheetName val="Charts"/>
      <sheetName val="Feb Financial Position"/>
      <sheetName val="Feb State of Activities"/>
      <sheetName val="Feb Cash Flow"/>
    </sheetNames>
    <sheetDataSet>
      <sheetData sheetId="0"/>
      <sheetData sheetId="1"/>
      <sheetData sheetId="2"/>
      <sheetData sheetId="3"/>
      <sheetData sheetId="4">
        <row r="16">
          <cell r="G16">
            <v>156809.12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4"/>
  <sheetViews>
    <sheetView tabSelected="1" workbookViewId="0">
      <selection sqref="A1:A24"/>
    </sheetView>
  </sheetViews>
  <sheetFormatPr defaultRowHeight="14.25" x14ac:dyDescent="0.2"/>
  <cols>
    <col min="1" max="1" width="88.125" customWidth="1"/>
  </cols>
  <sheetData>
    <row r="1" spans="1:1" ht="23.25" x14ac:dyDescent="0.2">
      <c r="A1" s="654" t="s">
        <v>310</v>
      </c>
    </row>
    <row r="2" spans="1:1" ht="23.25" x14ac:dyDescent="0.2">
      <c r="A2" s="654" t="s">
        <v>311</v>
      </c>
    </row>
    <row r="3" spans="1:1" ht="23.25" x14ac:dyDescent="0.2">
      <c r="A3" s="655">
        <v>42206</v>
      </c>
    </row>
    <row r="4" spans="1:1" ht="36" customHeight="1" x14ac:dyDescent="0.25">
      <c r="A4" s="744" t="s">
        <v>471</v>
      </c>
    </row>
    <row r="5" spans="1:1" ht="57.75" customHeight="1" x14ac:dyDescent="0.2">
      <c r="A5" s="659" t="s">
        <v>486</v>
      </c>
    </row>
    <row r="6" spans="1:1" ht="48" customHeight="1" x14ac:dyDescent="0.2">
      <c r="A6" s="659" t="s">
        <v>476</v>
      </c>
    </row>
    <row r="7" spans="1:1" ht="57.75" customHeight="1" x14ac:dyDescent="0.2">
      <c r="A7" s="659" t="s">
        <v>375</v>
      </c>
    </row>
    <row r="8" spans="1:1" ht="57.75" customHeight="1" x14ac:dyDescent="0.2">
      <c r="A8" s="659" t="s">
        <v>481</v>
      </c>
    </row>
    <row r="9" spans="1:1" ht="66.75" customHeight="1" x14ac:dyDescent="0.2">
      <c r="A9" s="659" t="s">
        <v>475</v>
      </c>
    </row>
    <row r="10" spans="1:1" ht="55.5" customHeight="1" x14ac:dyDescent="0.2">
      <c r="A10" s="669" t="s">
        <v>478</v>
      </c>
    </row>
    <row r="11" spans="1:1" ht="51.75" customHeight="1" x14ac:dyDescent="0.2">
      <c r="A11" s="669" t="s">
        <v>477</v>
      </c>
    </row>
    <row r="12" spans="1:1" ht="29.25" customHeight="1" x14ac:dyDescent="0.25">
      <c r="A12" s="744" t="s">
        <v>379</v>
      </c>
    </row>
    <row r="13" spans="1:1" ht="48" customHeight="1" x14ac:dyDescent="0.2">
      <c r="A13" s="659" t="s">
        <v>480</v>
      </c>
    </row>
    <row r="14" spans="1:1" ht="72.75" customHeight="1" x14ac:dyDescent="0.2">
      <c r="A14" s="659" t="s">
        <v>485</v>
      </c>
    </row>
    <row r="15" spans="1:1" ht="38.25" customHeight="1" x14ac:dyDescent="0.2">
      <c r="A15" s="659" t="s">
        <v>479</v>
      </c>
    </row>
    <row r="16" spans="1:1" ht="42" customHeight="1" x14ac:dyDescent="0.2">
      <c r="A16" s="659" t="s">
        <v>484</v>
      </c>
    </row>
    <row r="17" spans="1:1" ht="47.25" customHeight="1" x14ac:dyDescent="0.2">
      <c r="A17" s="659" t="s">
        <v>482</v>
      </c>
    </row>
    <row r="18" spans="1:1" ht="24" customHeight="1" x14ac:dyDescent="0.25">
      <c r="A18" s="744" t="s">
        <v>376</v>
      </c>
    </row>
    <row r="19" spans="1:1" ht="57.75" customHeight="1" x14ac:dyDescent="0.2">
      <c r="A19" s="669" t="s">
        <v>487</v>
      </c>
    </row>
    <row r="20" spans="1:1" ht="55.5" customHeight="1" x14ac:dyDescent="0.2">
      <c r="A20" s="669" t="s">
        <v>483</v>
      </c>
    </row>
    <row r="21" spans="1:1" ht="53.25" customHeight="1" x14ac:dyDescent="0.2">
      <c r="A21" s="669" t="s">
        <v>474</v>
      </c>
    </row>
    <row r="22" spans="1:1" ht="33" customHeight="1" x14ac:dyDescent="0.2">
      <c r="A22" s="745" t="s">
        <v>472</v>
      </c>
    </row>
    <row r="23" spans="1:1" ht="68.25" customHeight="1" x14ac:dyDescent="0.2">
      <c r="A23" s="669" t="s">
        <v>473</v>
      </c>
    </row>
    <row r="24" spans="1:1" ht="31.5" x14ac:dyDescent="0.2">
      <c r="A24" s="669" t="s">
        <v>488</v>
      </c>
    </row>
  </sheetData>
  <pageMargins left="0.7" right="0.45" top="0.25" bottom="0.5" header="0.3" footer="0.3"/>
  <pageSetup scale="9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5"/>
  <sheetViews>
    <sheetView zoomScaleNormal="100" workbookViewId="0">
      <selection activeCell="B15" sqref="B15"/>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43</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451</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395" t="s">
        <v>282</v>
      </c>
      <c r="B5" s="396"/>
      <c r="C5" s="396"/>
      <c r="D5" s="396"/>
      <c r="E5" s="396"/>
      <c r="F5" s="396"/>
      <c r="G5" s="396"/>
      <c r="H5" s="396"/>
      <c r="I5" s="396"/>
      <c r="J5" s="396"/>
      <c r="K5" s="397"/>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53" t="s">
        <v>35</v>
      </c>
      <c r="B6" s="653" t="s">
        <v>21</v>
      </c>
      <c r="C6" s="653" t="s">
        <v>1</v>
      </c>
      <c r="D6" s="653" t="s">
        <v>2</v>
      </c>
      <c r="E6" s="653" t="s">
        <v>3</v>
      </c>
      <c r="F6" s="398" t="s">
        <v>16</v>
      </c>
      <c r="G6" s="398" t="s">
        <v>40</v>
      </c>
      <c r="H6" s="398" t="s">
        <v>75</v>
      </c>
      <c r="I6" s="398" t="s">
        <v>39</v>
      </c>
      <c r="J6" s="398" t="s">
        <v>31</v>
      </c>
      <c r="K6" s="398" t="s">
        <v>146</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435" t="s">
        <v>5</v>
      </c>
      <c r="B7" s="524" t="s">
        <v>23</v>
      </c>
      <c r="C7" s="440" t="s">
        <v>233</v>
      </c>
      <c r="D7" s="439">
        <v>41730</v>
      </c>
      <c r="E7" s="439">
        <v>42094</v>
      </c>
      <c r="F7" s="461"/>
      <c r="G7" s="443"/>
      <c r="H7" s="443"/>
      <c r="I7" s="443"/>
      <c r="J7" s="443">
        <f>F7-I7</f>
        <v>0</v>
      </c>
      <c r="K7" s="454"/>
      <c r="L7" s="46"/>
      <c r="M7" s="29"/>
      <c r="N7" s="29"/>
    </row>
    <row r="8" spans="1:48" x14ac:dyDescent="0.2">
      <c r="A8" s="531" t="s">
        <v>340</v>
      </c>
      <c r="B8" s="525" t="s">
        <v>23</v>
      </c>
      <c r="C8" s="478" t="s">
        <v>233</v>
      </c>
      <c r="D8" s="458">
        <v>42095</v>
      </c>
      <c r="E8" s="458">
        <v>42460</v>
      </c>
      <c r="F8" s="459">
        <v>240000</v>
      </c>
      <c r="G8" s="460">
        <f>+(+I8-H8)</f>
        <v>15000</v>
      </c>
      <c r="H8" s="460">
        <f>'June 15 AR Aging '!G7</f>
        <v>40147.160000000003</v>
      </c>
      <c r="I8" s="460">
        <v>55147.16</v>
      </c>
      <c r="J8" s="660">
        <f>+F8-I8</f>
        <v>184852.84</v>
      </c>
      <c r="K8" s="537">
        <v>45000</v>
      </c>
      <c r="L8" s="376"/>
      <c r="M8" s="425"/>
      <c r="N8" s="29"/>
    </row>
    <row r="9" spans="1:48" hidden="1" x14ac:dyDescent="0.2">
      <c r="A9" s="435" t="s">
        <v>7</v>
      </c>
      <c r="B9" s="524" t="s">
        <v>22</v>
      </c>
      <c r="C9" s="440" t="s">
        <v>19</v>
      </c>
      <c r="D9" s="439">
        <v>41000</v>
      </c>
      <c r="E9" s="439">
        <v>41364</v>
      </c>
      <c r="F9" s="461"/>
      <c r="G9" s="443"/>
      <c r="H9" s="443"/>
      <c r="I9" s="443"/>
      <c r="J9" s="443"/>
      <c r="K9" s="443"/>
      <c r="L9" s="376"/>
      <c r="M9" s="425"/>
      <c r="N9" s="29"/>
    </row>
    <row r="10" spans="1:48" hidden="1" x14ac:dyDescent="0.2">
      <c r="A10" s="435" t="s">
        <v>7</v>
      </c>
      <c r="B10" s="524" t="s">
        <v>22</v>
      </c>
      <c r="C10" s="440" t="s">
        <v>19</v>
      </c>
      <c r="D10" s="439">
        <v>41456</v>
      </c>
      <c r="E10" s="439">
        <v>41820</v>
      </c>
      <c r="F10" s="461"/>
      <c r="G10" s="443"/>
      <c r="H10" s="443"/>
      <c r="I10" s="443"/>
      <c r="J10" s="443"/>
      <c r="K10" s="443"/>
      <c r="L10" s="376"/>
      <c r="M10" s="425"/>
      <c r="N10" s="29"/>
    </row>
    <row r="11" spans="1:48" x14ac:dyDescent="0.2">
      <c r="A11" s="531" t="s">
        <v>339</v>
      </c>
      <c r="B11" s="525" t="s">
        <v>22</v>
      </c>
      <c r="C11" s="478" t="s">
        <v>286</v>
      </c>
      <c r="D11" s="458">
        <v>41821</v>
      </c>
      <c r="E11" s="458">
        <v>42185</v>
      </c>
      <c r="F11" s="459">
        <v>319000</v>
      </c>
      <c r="G11" s="460">
        <f>I11-H11</f>
        <v>204132.33</v>
      </c>
      <c r="H11" s="460">
        <f>'June 15 AR Aging '!G13</f>
        <v>59622.16</v>
      </c>
      <c r="I11" s="460">
        <v>263754.49</v>
      </c>
      <c r="J11" s="460">
        <f>F11-I11</f>
        <v>55245.510000000009</v>
      </c>
      <c r="K11" s="537">
        <v>0</v>
      </c>
      <c r="L11" s="376"/>
      <c r="M11" s="425"/>
      <c r="N11" s="29"/>
    </row>
    <row r="12" spans="1:48" hidden="1" x14ac:dyDescent="0.2">
      <c r="A12" s="435" t="s">
        <v>25</v>
      </c>
      <c r="B12" s="524" t="s">
        <v>22</v>
      </c>
      <c r="C12" s="440" t="s">
        <v>6</v>
      </c>
      <c r="D12" s="439">
        <v>41000</v>
      </c>
      <c r="E12" s="439">
        <v>41364</v>
      </c>
      <c r="F12" s="461"/>
      <c r="G12" s="443"/>
      <c r="H12" s="443"/>
      <c r="I12" s="443"/>
      <c r="J12" s="443"/>
      <c r="K12" s="443"/>
      <c r="L12" s="376"/>
      <c r="M12" s="425" t="e">
        <f t="shared" ref="M12:M22" si="0">I12/F12</f>
        <v>#DIV/0!</v>
      </c>
      <c r="N12" s="29" t="e">
        <f t="shared" ref="N12:N22" si="1">M12*12</f>
        <v>#DIV/0!</v>
      </c>
    </row>
    <row r="13" spans="1:48" hidden="1" x14ac:dyDescent="0.2">
      <c r="A13" s="435" t="s">
        <v>209</v>
      </c>
      <c r="B13" s="524" t="s">
        <v>22</v>
      </c>
      <c r="C13" s="440" t="s">
        <v>6</v>
      </c>
      <c r="D13" s="439">
        <v>41365</v>
      </c>
      <c r="E13" s="439">
        <v>41455</v>
      </c>
      <c r="F13" s="461"/>
      <c r="G13" s="443"/>
      <c r="H13" s="443"/>
      <c r="I13" s="443"/>
      <c r="J13" s="443"/>
      <c r="K13" s="443"/>
      <c r="L13" s="376"/>
      <c r="M13" s="425" t="e">
        <f t="shared" si="0"/>
        <v>#DIV/0!</v>
      </c>
      <c r="N13" s="29" t="e">
        <f t="shared" si="1"/>
        <v>#DIV/0!</v>
      </c>
    </row>
    <row r="14" spans="1:48" hidden="1" x14ac:dyDescent="0.2">
      <c r="A14" s="435" t="s">
        <v>226</v>
      </c>
      <c r="B14" s="524" t="s">
        <v>22</v>
      </c>
      <c r="C14" s="440" t="s">
        <v>287</v>
      </c>
      <c r="D14" s="439">
        <v>41730</v>
      </c>
      <c r="E14" s="439">
        <v>42094</v>
      </c>
      <c r="F14" s="461"/>
      <c r="G14" s="443"/>
      <c r="H14" s="443"/>
      <c r="I14" s="443"/>
      <c r="J14" s="443"/>
      <c r="K14" s="670"/>
      <c r="L14" s="376"/>
      <c r="M14" s="425"/>
      <c r="N14" s="29"/>
    </row>
    <row r="15" spans="1:48" s="4" customFormat="1" x14ac:dyDescent="0.2">
      <c r="A15" s="435" t="s">
        <v>341</v>
      </c>
      <c r="B15" s="524" t="s">
        <v>22</v>
      </c>
      <c r="C15" s="440" t="s">
        <v>287</v>
      </c>
      <c r="D15" s="439">
        <v>42095</v>
      </c>
      <c r="E15" s="439">
        <v>42460</v>
      </c>
      <c r="F15" s="461">
        <v>140000</v>
      </c>
      <c r="G15" s="443">
        <f>+(+I15-H15)</f>
        <v>0</v>
      </c>
      <c r="H15" s="443">
        <f>'June 15 AR Aging '!G18</f>
        <v>33073.94</v>
      </c>
      <c r="I15" s="443">
        <f>H15</f>
        <v>33073.94</v>
      </c>
      <c r="J15" s="443">
        <f t="shared" ref="J15:J32" si="2">+F15-I15</f>
        <v>106926.06</v>
      </c>
      <c r="K15" s="671"/>
      <c r="L15" s="376"/>
      <c r="M15" s="425"/>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hidden="1" x14ac:dyDescent="0.2">
      <c r="A16" s="435" t="s">
        <v>210</v>
      </c>
      <c r="B16" s="524" t="s">
        <v>22</v>
      </c>
      <c r="C16" s="440" t="s">
        <v>59</v>
      </c>
      <c r="D16" s="439">
        <v>41365</v>
      </c>
      <c r="E16" s="439">
        <v>41455</v>
      </c>
      <c r="F16" s="623"/>
      <c r="G16" s="443"/>
      <c r="H16" s="443"/>
      <c r="I16" s="443"/>
      <c r="J16" s="443"/>
      <c r="K16" s="443"/>
      <c r="L16" s="376"/>
      <c r="M16" s="425"/>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4" customFormat="1" hidden="1" x14ac:dyDescent="0.2">
      <c r="A17" s="435" t="s">
        <v>26</v>
      </c>
      <c r="B17" s="524" t="s">
        <v>22</v>
      </c>
      <c r="C17" s="440" t="s">
        <v>288</v>
      </c>
      <c r="D17" s="439">
        <v>41730</v>
      </c>
      <c r="E17" s="439">
        <v>42094</v>
      </c>
      <c r="F17" s="623"/>
      <c r="G17" s="443"/>
      <c r="H17" s="443"/>
      <c r="I17" s="443"/>
      <c r="J17" s="443"/>
      <c r="K17" s="443"/>
      <c r="L17" s="376"/>
      <c r="M17" s="425"/>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4" customFormat="1" hidden="1" x14ac:dyDescent="0.2">
      <c r="A18" s="435" t="s">
        <v>27</v>
      </c>
      <c r="B18" s="524" t="s">
        <v>236</v>
      </c>
      <c r="C18" s="440" t="s">
        <v>147</v>
      </c>
      <c r="D18" s="439">
        <v>41090</v>
      </c>
      <c r="E18" s="439">
        <v>41454</v>
      </c>
      <c r="F18" s="461"/>
      <c r="G18" s="443"/>
      <c r="H18" s="443"/>
      <c r="I18" s="443"/>
      <c r="J18" s="443"/>
      <c r="K18" s="443"/>
      <c r="L18" s="376"/>
      <c r="M18" s="425" t="e">
        <f t="shared" si="0"/>
        <v>#DIV/0!</v>
      </c>
      <c r="N18" s="29" t="e">
        <f t="shared" si="1"/>
        <v>#DIV/0!</v>
      </c>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4" customFormat="1" x14ac:dyDescent="0.2">
      <c r="A19" s="435" t="s">
        <v>342</v>
      </c>
      <c r="B19" s="524" t="s">
        <v>22</v>
      </c>
      <c r="C19" s="440" t="s">
        <v>288</v>
      </c>
      <c r="D19" s="439">
        <v>42095</v>
      </c>
      <c r="E19" s="439">
        <v>42460</v>
      </c>
      <c r="F19" s="623">
        <v>25000</v>
      </c>
      <c r="G19" s="443">
        <f>+(+I19-H19)</f>
        <v>179.90999999999985</v>
      </c>
      <c r="H19" s="443">
        <f>'June 15 AR Aging '!G20</f>
        <v>3207.15</v>
      </c>
      <c r="I19" s="443">
        <v>3387.06</v>
      </c>
      <c r="J19" s="443">
        <f t="shared" ref="J19" si="3">+F19-I19</f>
        <v>21612.94</v>
      </c>
      <c r="K19" s="443"/>
      <c r="L19" s="376"/>
      <c r="M19" s="425"/>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x14ac:dyDescent="0.2">
      <c r="A20" s="531" t="s">
        <v>343</v>
      </c>
      <c r="B20" s="525" t="s">
        <v>236</v>
      </c>
      <c r="C20" s="478" t="s">
        <v>305</v>
      </c>
      <c r="D20" s="458">
        <v>41820</v>
      </c>
      <c r="E20" s="458">
        <v>42184</v>
      </c>
      <c r="F20" s="624">
        <v>44033</v>
      </c>
      <c r="G20" s="460">
        <f>+(+I20-H20)</f>
        <v>25104.92</v>
      </c>
      <c r="H20" s="460">
        <f>'June 15 AR Aging '!G21</f>
        <v>3316.65</v>
      </c>
      <c r="I20" s="460">
        <v>28421.57</v>
      </c>
      <c r="J20" s="460">
        <f>+F20-I20</f>
        <v>15611.43</v>
      </c>
      <c r="K20" s="460"/>
      <c r="L20" s="376"/>
      <c r="M20" s="425"/>
      <c r="N20" s="29"/>
    </row>
    <row r="21" spans="1:48" hidden="1" x14ac:dyDescent="0.2">
      <c r="A21" s="435" t="s">
        <v>8</v>
      </c>
      <c r="B21" s="524" t="s">
        <v>22</v>
      </c>
      <c r="C21" s="440" t="s">
        <v>9</v>
      </c>
      <c r="D21" s="439">
        <v>40544</v>
      </c>
      <c r="E21" s="439">
        <v>40908</v>
      </c>
      <c r="F21" s="461"/>
      <c r="G21" s="443"/>
      <c r="H21" s="443"/>
      <c r="I21" s="443"/>
      <c r="J21" s="443"/>
      <c r="K21" s="443"/>
      <c r="L21" s="376"/>
      <c r="M21" s="425" t="e">
        <f t="shared" si="0"/>
        <v>#DIV/0!</v>
      </c>
      <c r="N21" s="29" t="e">
        <f t="shared" si="1"/>
        <v>#DIV/0!</v>
      </c>
    </row>
    <row r="22" spans="1:48" hidden="1" x14ac:dyDescent="0.2">
      <c r="A22" s="435" t="s">
        <v>67</v>
      </c>
      <c r="B22" s="524" t="s">
        <v>22</v>
      </c>
      <c r="C22" s="440" t="e">
        <f>#REF!</f>
        <v>#REF!</v>
      </c>
      <c r="D22" s="439" t="e">
        <f>#REF!</f>
        <v>#REF!</v>
      </c>
      <c r="E22" s="439">
        <v>40999</v>
      </c>
      <c r="F22" s="461"/>
      <c r="G22" s="535"/>
      <c r="H22" s="443"/>
      <c r="I22" s="443"/>
      <c r="J22" s="443"/>
      <c r="K22" s="443"/>
      <c r="L22" s="376"/>
      <c r="M22" s="425" t="e">
        <f t="shared" si="0"/>
        <v>#DIV/0!</v>
      </c>
      <c r="N22" s="29" t="e">
        <f t="shared" si="1"/>
        <v>#DIV/0!</v>
      </c>
    </row>
    <row r="23" spans="1:48" hidden="1" x14ac:dyDescent="0.2">
      <c r="A23" s="435"/>
      <c r="B23" s="532"/>
      <c r="C23" s="533"/>
      <c r="D23" s="534"/>
      <c r="E23" s="534"/>
      <c r="F23" s="625"/>
      <c r="G23" s="443"/>
      <c r="H23" s="536"/>
      <c r="I23" s="536"/>
      <c r="J23" s="536"/>
      <c r="K23" s="536"/>
      <c r="L23" s="376"/>
      <c r="M23" s="425"/>
      <c r="N23" s="29"/>
    </row>
    <row r="24" spans="1:48" hidden="1" x14ac:dyDescent="0.2">
      <c r="A24" s="435" t="s">
        <v>281</v>
      </c>
      <c r="B24" s="524" t="s">
        <v>22</v>
      </c>
      <c r="C24" s="440" t="s">
        <v>234</v>
      </c>
      <c r="D24" s="534">
        <v>41487</v>
      </c>
      <c r="E24" s="439">
        <v>41912</v>
      </c>
      <c r="F24" s="461"/>
      <c r="G24" s="443"/>
      <c r="H24" s="443">
        <f>'June 15 AR Aging '!G29</f>
        <v>0</v>
      </c>
      <c r="I24" s="443"/>
      <c r="J24" s="443">
        <f>+F24-I24</f>
        <v>0</v>
      </c>
      <c r="K24" s="454">
        <v>0</v>
      </c>
      <c r="L24" s="376"/>
      <c r="M24" s="425"/>
      <c r="N24" s="29"/>
    </row>
    <row r="25" spans="1:48" x14ac:dyDescent="0.2">
      <c r="A25" s="531" t="s">
        <v>281</v>
      </c>
      <c r="B25" s="525" t="s">
        <v>22</v>
      </c>
      <c r="C25" s="478" t="s">
        <v>234</v>
      </c>
      <c r="D25" s="458">
        <v>41913</v>
      </c>
      <c r="E25" s="458">
        <v>42277</v>
      </c>
      <c r="F25" s="459">
        <v>315000</v>
      </c>
      <c r="G25" s="460">
        <f>+(+I25-H25)</f>
        <v>159265.58999999997</v>
      </c>
      <c r="H25" s="460">
        <f>'June 15 AR Aging '!G30</f>
        <v>44440.270000000004</v>
      </c>
      <c r="I25" s="460">
        <v>203705.86</v>
      </c>
      <c r="J25" s="460">
        <f>+F25-I25</f>
        <v>111294.14000000001</v>
      </c>
      <c r="K25" s="460"/>
      <c r="L25" s="376"/>
      <c r="M25" s="425"/>
      <c r="N25" s="29"/>
    </row>
    <row r="26" spans="1:48" hidden="1" x14ac:dyDescent="0.2">
      <c r="A26" s="435" t="s">
        <v>280</v>
      </c>
      <c r="B26" s="524" t="s">
        <v>28</v>
      </c>
      <c r="C26" s="440" t="s">
        <v>10</v>
      </c>
      <c r="D26" s="439">
        <v>41640</v>
      </c>
      <c r="E26" s="439">
        <v>42004</v>
      </c>
      <c r="F26" s="461"/>
      <c r="G26" s="443"/>
      <c r="H26" s="443"/>
      <c r="I26" s="443"/>
      <c r="J26" s="443"/>
      <c r="K26" s="443"/>
      <c r="L26" s="376"/>
      <c r="M26" s="425"/>
      <c r="N26" s="29"/>
    </row>
    <row r="27" spans="1:48" s="3" customFormat="1" x14ac:dyDescent="0.2">
      <c r="A27" s="435" t="s">
        <v>331</v>
      </c>
      <c r="B27" s="524" t="s">
        <v>28</v>
      </c>
      <c r="C27" s="440" t="s">
        <v>10</v>
      </c>
      <c r="D27" s="439">
        <v>42005</v>
      </c>
      <c r="E27" s="439">
        <v>42369</v>
      </c>
      <c r="F27" s="461">
        <v>36000</v>
      </c>
      <c r="G27" s="443">
        <f>+(+I27-H27)</f>
        <v>15000</v>
      </c>
      <c r="H27" s="461">
        <f>'June 15 AR Aging '!G38</f>
        <v>3000</v>
      </c>
      <c r="I27" s="443">
        <f>3000*6</f>
        <v>18000</v>
      </c>
      <c r="J27" s="443">
        <f>+F27-I27</f>
        <v>18000</v>
      </c>
      <c r="K27" s="443"/>
      <c r="L27" s="376"/>
      <c r="M27" s="425"/>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435" t="s">
        <v>362</v>
      </c>
      <c r="B28" s="524" t="s">
        <v>28</v>
      </c>
      <c r="C28" s="440" t="s">
        <v>33</v>
      </c>
      <c r="D28" s="439">
        <v>42005</v>
      </c>
      <c r="E28" s="439">
        <v>42276</v>
      </c>
      <c r="F28" s="461">
        <v>5000</v>
      </c>
      <c r="G28" s="443">
        <f>I28-H28</f>
        <v>0</v>
      </c>
      <c r="H28" s="461">
        <f>'June 15 AR Aging '!G44</f>
        <v>1606.15</v>
      </c>
      <c r="I28" s="443">
        <f>H28</f>
        <v>1606.15</v>
      </c>
      <c r="J28" s="443">
        <f t="shared" si="2"/>
        <v>3393.85</v>
      </c>
      <c r="K28" s="443"/>
      <c r="L28" s="376"/>
      <c r="M28" s="425"/>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531" t="s">
        <v>316</v>
      </c>
      <c r="B29" s="525" t="s">
        <v>28</v>
      </c>
      <c r="C29" s="478" t="s">
        <v>33</v>
      </c>
      <c r="D29" s="458">
        <v>41913</v>
      </c>
      <c r="E29" s="458">
        <v>42277</v>
      </c>
      <c r="F29" s="459">
        <v>43987</v>
      </c>
      <c r="G29" s="460">
        <f>+(+I29-H29)</f>
        <v>22144.04</v>
      </c>
      <c r="H29" s="459">
        <f>'June 15 AR Aging '!G46</f>
        <v>10389.66</v>
      </c>
      <c r="I29" s="460">
        <v>32533.7</v>
      </c>
      <c r="J29" s="460">
        <f t="shared" ref="J29" si="4">+F29-I29</f>
        <v>11453.3</v>
      </c>
      <c r="K29" s="460"/>
      <c r="L29" s="376"/>
      <c r="M29" s="425"/>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idden="1" x14ac:dyDescent="0.2">
      <c r="A30" s="531" t="s">
        <v>325</v>
      </c>
      <c r="B30" s="525" t="s">
        <v>28</v>
      </c>
      <c r="C30" s="478" t="s">
        <v>33</v>
      </c>
      <c r="D30" s="458"/>
      <c r="E30" s="458"/>
      <c r="F30" s="459"/>
      <c r="G30" s="460"/>
      <c r="H30" s="459"/>
      <c r="I30" s="460"/>
      <c r="J30" s="460"/>
      <c r="K30" s="460"/>
      <c r="L30" s="376"/>
      <c r="M30" s="425"/>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x14ac:dyDescent="0.2">
      <c r="A31" s="531" t="s">
        <v>296</v>
      </c>
      <c r="B31" s="525" t="s">
        <v>306</v>
      </c>
      <c r="C31" s="478" t="s">
        <v>33</v>
      </c>
      <c r="D31" s="629">
        <v>42005</v>
      </c>
      <c r="E31" s="458">
        <v>42369</v>
      </c>
      <c r="F31" s="459">
        <v>13000</v>
      </c>
      <c r="G31" s="460">
        <f>+(+I31-H31)</f>
        <v>1625</v>
      </c>
      <c r="H31" s="459">
        <f>'June 15 AR Aging '!G53</f>
        <v>1927.5</v>
      </c>
      <c r="I31" s="460">
        <v>3552.5</v>
      </c>
      <c r="J31" s="460">
        <f t="shared" si="2"/>
        <v>9447.5</v>
      </c>
      <c r="K31" s="460"/>
      <c r="L31" s="376"/>
      <c r="M31" s="425"/>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t="15" thickBot="1" x14ac:dyDescent="0.25">
      <c r="A32" s="626" t="s">
        <v>361</v>
      </c>
      <c r="B32" s="626" t="s">
        <v>205</v>
      </c>
      <c r="C32" s="441" t="s">
        <v>33</v>
      </c>
      <c r="D32" s="627">
        <v>42104</v>
      </c>
      <c r="E32" s="627">
        <v>42246</v>
      </c>
      <c r="F32" s="639">
        <v>13664.29</v>
      </c>
      <c r="G32" s="444">
        <f>+(+I32-H32)</f>
        <v>2375.4300000000003</v>
      </c>
      <c r="H32" s="455">
        <f>'June 15 AR Aging '!G55</f>
        <v>1518.62</v>
      </c>
      <c r="I32" s="444">
        <v>3894.05</v>
      </c>
      <c r="J32" s="444">
        <f t="shared" si="2"/>
        <v>9770.2400000000016</v>
      </c>
      <c r="K32" s="444"/>
      <c r="L32" s="376"/>
      <c r="M32" s="425"/>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17" customFormat="1" ht="16.5" thickBot="1" x14ac:dyDescent="0.3">
      <c r="A33" s="399" t="s">
        <v>50</v>
      </c>
      <c r="B33" s="400"/>
      <c r="C33" s="401"/>
      <c r="D33" s="402"/>
      <c r="E33" s="402"/>
      <c r="F33" s="427"/>
      <c r="G33" s="427">
        <f>SUM(G8:G32)-G21</f>
        <v>444827.21999999991</v>
      </c>
      <c r="H33" s="427">
        <f>SUM(H7:H32)-H21</f>
        <v>202249.26</v>
      </c>
      <c r="I33" s="427">
        <f>SUM(I8:I32)-I21</f>
        <v>647076.4800000001</v>
      </c>
      <c r="J33" s="427">
        <f>SUM(J8:J32)-J21</f>
        <v>547607.81000000006</v>
      </c>
      <c r="K33" s="427">
        <f>SUM(K8:K32)-K21</f>
        <v>45000</v>
      </c>
      <c r="L33" s="47"/>
      <c r="M33" s="37"/>
      <c r="N33" s="37"/>
      <c r="O33" s="37"/>
      <c r="P33" s="37"/>
      <c r="Q33" s="37"/>
      <c r="R33" s="37"/>
      <c r="S33" s="37"/>
      <c r="T33" s="37"/>
      <c r="U33" s="37"/>
      <c r="V33" s="37"/>
      <c r="W33" s="37"/>
      <c r="X33" s="37"/>
      <c r="Y33" s="37"/>
      <c r="Z33" s="37"/>
      <c r="AA33" s="37"/>
      <c r="AB33" s="38"/>
      <c r="AC33" s="38"/>
      <c r="AD33" s="38"/>
      <c r="AE33" s="38"/>
      <c r="AF33" s="38"/>
      <c r="AG33" s="38"/>
      <c r="AH33" s="38"/>
      <c r="AI33" s="38"/>
      <c r="AJ33" s="38"/>
      <c r="AK33" s="38"/>
      <c r="AL33" s="38"/>
      <c r="AM33" s="39"/>
      <c r="AN33" s="39"/>
      <c r="AO33" s="39"/>
      <c r="AP33" s="39"/>
      <c r="AQ33" s="39"/>
      <c r="AR33" s="39"/>
      <c r="AS33" s="39"/>
      <c r="AT33" s="39"/>
      <c r="AU33" s="39"/>
      <c r="AV33" s="39"/>
    </row>
    <row r="34" spans="1:48" s="18" customFormat="1" x14ac:dyDescent="0.2">
      <c r="A34" s="55"/>
      <c r="B34" s="55"/>
      <c r="C34" s="19"/>
      <c r="D34" s="55"/>
      <c r="E34" s="426"/>
      <c r="F34" s="29"/>
      <c r="G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18" customFormat="1" ht="10.5" customHeight="1" thickBot="1" x14ac:dyDescent="0.25">
      <c r="A35" s="1"/>
      <c r="B35" s="44"/>
      <c r="C35" s="6"/>
      <c r="D35" s="6"/>
      <c r="E35" s="6"/>
      <c r="F35" s="29"/>
      <c r="G35" s="29"/>
      <c r="H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2" customFormat="1" ht="16.5" thickBot="1" x14ac:dyDescent="0.3">
      <c r="A36" s="448" t="s">
        <v>52</v>
      </c>
      <c r="B36" s="159"/>
      <c r="C36" s="160"/>
      <c r="D36" s="160"/>
      <c r="E36" s="160"/>
      <c r="F36" s="161"/>
      <c r="G36" s="161"/>
      <c r="H36" s="161"/>
      <c r="I36" s="161"/>
      <c r="J36" s="161"/>
      <c r="K36" s="162"/>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0" customFormat="1" ht="45.75" thickBot="1" x14ac:dyDescent="0.25">
      <c r="A37" s="471" t="s">
        <v>35</v>
      </c>
      <c r="B37" s="751" t="s">
        <v>21</v>
      </c>
      <c r="C37" s="752"/>
      <c r="D37" s="471" t="s">
        <v>2</v>
      </c>
      <c r="E37" s="471" t="s">
        <v>3</v>
      </c>
      <c r="F37" s="476" t="s">
        <v>36</v>
      </c>
      <c r="G37" s="476" t="s">
        <v>344</v>
      </c>
      <c r="H37" s="476" t="s">
        <v>294</v>
      </c>
      <c r="I37" s="476" t="s">
        <v>31</v>
      </c>
      <c r="J37" s="476" t="s">
        <v>15</v>
      </c>
      <c r="K37" s="476" t="s">
        <v>4</v>
      </c>
      <c r="L37" s="35"/>
      <c r="M37" s="35"/>
      <c r="N37" s="35"/>
      <c r="O37" s="35"/>
      <c r="P37" s="35"/>
      <c r="Q37" s="35"/>
      <c r="R37" s="35"/>
      <c r="S37" s="35"/>
      <c r="T37" s="35"/>
      <c r="U37" s="6"/>
      <c r="V37" s="35"/>
      <c r="W37" s="35"/>
      <c r="X37" s="35"/>
      <c r="Y37" s="35"/>
      <c r="Z37" s="35"/>
      <c r="AA37" s="35"/>
      <c r="AB37" s="36"/>
      <c r="AC37" s="36"/>
      <c r="AD37" s="36"/>
      <c r="AE37" s="36"/>
      <c r="AF37" s="36"/>
      <c r="AG37" s="36"/>
      <c r="AH37" s="36"/>
      <c r="AI37" s="36"/>
      <c r="AJ37" s="36"/>
      <c r="AK37" s="36"/>
      <c r="AL37" s="36"/>
      <c r="AM37" s="6"/>
      <c r="AN37" s="6"/>
      <c r="AO37" s="6"/>
      <c r="AP37" s="6"/>
      <c r="AQ37" s="6"/>
      <c r="AR37" s="6"/>
      <c r="AS37" s="6"/>
      <c r="AT37" s="6"/>
      <c r="AU37" s="6"/>
      <c r="AV37" s="6"/>
    </row>
    <row r="38" spans="1:48" hidden="1" x14ac:dyDescent="0.2">
      <c r="A38" s="435" t="s">
        <v>24</v>
      </c>
      <c r="B38" s="749" t="s">
        <v>18</v>
      </c>
      <c r="C38" s="750"/>
      <c r="D38" s="469">
        <v>41275</v>
      </c>
      <c r="E38" s="439">
        <v>41639</v>
      </c>
      <c r="F38" s="443"/>
      <c r="G38" s="443">
        <v>0</v>
      </c>
      <c r="H38" s="443"/>
      <c r="I38" s="443">
        <f>F38-H38</f>
        <v>0</v>
      </c>
      <c r="J38" s="443">
        <v>0</v>
      </c>
      <c r="K38" s="443">
        <f>I38</f>
        <v>0</v>
      </c>
      <c r="L38" s="29"/>
      <c r="M38" s="29"/>
      <c r="N38" s="29"/>
    </row>
    <row r="39" spans="1:48" hidden="1" x14ac:dyDescent="0.2">
      <c r="A39" s="435"/>
      <c r="B39" s="749"/>
      <c r="C39" s="750"/>
      <c r="D39" s="469"/>
      <c r="E39" s="439"/>
      <c r="F39" s="443"/>
      <c r="G39" s="443"/>
      <c r="H39" s="443"/>
      <c r="I39" s="443"/>
      <c r="J39" s="443"/>
      <c r="K39" s="577"/>
      <c r="L39" s="29"/>
      <c r="M39" s="29"/>
      <c r="N39" s="29"/>
    </row>
    <row r="40" spans="1:48" x14ac:dyDescent="0.2">
      <c r="A40" s="435" t="s">
        <v>327</v>
      </c>
      <c r="B40" s="749" t="s">
        <v>18</v>
      </c>
      <c r="C40" s="750"/>
      <c r="D40" s="469">
        <v>42005</v>
      </c>
      <c r="E40" s="439">
        <v>42369</v>
      </c>
      <c r="F40" s="443">
        <v>25000</v>
      </c>
      <c r="G40" s="443"/>
      <c r="H40" s="443">
        <v>11649.95</v>
      </c>
      <c r="I40" s="443">
        <f>F40-H40</f>
        <v>13350.05</v>
      </c>
      <c r="J40" s="443"/>
      <c r="K40" s="577">
        <f>I40</f>
        <v>13350.05</v>
      </c>
      <c r="L40" s="29"/>
      <c r="M40" s="29"/>
      <c r="N40" s="29"/>
    </row>
    <row r="41" spans="1:48" x14ac:dyDescent="0.2">
      <c r="A41" s="435" t="s">
        <v>307</v>
      </c>
      <c r="B41" s="749" t="s">
        <v>18</v>
      </c>
      <c r="C41" s="750"/>
      <c r="D41" s="469">
        <v>41883</v>
      </c>
      <c r="E41" s="439">
        <v>42369</v>
      </c>
      <c r="F41" s="443">
        <v>13500</v>
      </c>
      <c r="G41" s="443">
        <v>8926.74</v>
      </c>
      <c r="H41" s="443">
        <v>6111.48</v>
      </c>
      <c r="I41" s="443">
        <f>G41-H41</f>
        <v>2815.26</v>
      </c>
      <c r="J41" s="443">
        <v>0</v>
      </c>
      <c r="K41" s="443">
        <f>I41</f>
        <v>2815.26</v>
      </c>
      <c r="L41" s="29"/>
      <c r="M41" s="29"/>
      <c r="N41" s="29"/>
    </row>
    <row r="42" spans="1:48" x14ac:dyDescent="0.2">
      <c r="A42" s="435" t="s">
        <v>345</v>
      </c>
      <c r="B42" s="749" t="s">
        <v>18</v>
      </c>
      <c r="C42" s="750"/>
      <c r="D42" s="469"/>
      <c r="E42" s="439"/>
      <c r="F42" s="443">
        <v>14250</v>
      </c>
      <c r="G42" s="443">
        <v>0</v>
      </c>
      <c r="H42" s="443"/>
      <c r="I42" s="443">
        <f>F42</f>
        <v>14250</v>
      </c>
      <c r="J42" s="443">
        <v>0</v>
      </c>
      <c r="K42" s="443">
        <f>F42</f>
        <v>14250</v>
      </c>
      <c r="L42" s="29"/>
      <c r="M42" s="29"/>
      <c r="N42" s="29"/>
    </row>
    <row r="43" spans="1:48" x14ac:dyDescent="0.2">
      <c r="A43" s="435" t="s">
        <v>208</v>
      </c>
      <c r="B43" s="749" t="s">
        <v>18</v>
      </c>
      <c r="C43" s="750"/>
      <c r="D43" s="469">
        <v>41275</v>
      </c>
      <c r="E43" s="439">
        <v>42735</v>
      </c>
      <c r="F43" s="443">
        <f>18392.5*2</f>
        <v>36785</v>
      </c>
      <c r="G43" s="443">
        <v>25330.06</v>
      </c>
      <c r="H43" s="443">
        <v>3498.61</v>
      </c>
      <c r="I43" s="443">
        <f>G43-H43</f>
        <v>21831.45</v>
      </c>
      <c r="J43" s="443">
        <v>0</v>
      </c>
      <c r="K43" s="443">
        <f>I43</f>
        <v>21831.45</v>
      </c>
      <c r="L43" s="29"/>
      <c r="M43" s="29"/>
      <c r="N43" s="29"/>
    </row>
    <row r="44" spans="1:48" x14ac:dyDescent="0.2">
      <c r="A44" s="435" t="s">
        <v>346</v>
      </c>
      <c r="B44" s="749" t="s">
        <v>18</v>
      </c>
      <c r="C44" s="750"/>
      <c r="D44" s="469">
        <v>42005</v>
      </c>
      <c r="E44" s="439">
        <v>42369</v>
      </c>
      <c r="F44" s="443">
        <v>50000</v>
      </c>
      <c r="G44" s="443"/>
      <c r="H44" s="443">
        <v>50000</v>
      </c>
      <c r="I44" s="443">
        <f>F44-H44</f>
        <v>0</v>
      </c>
      <c r="J44" s="443">
        <v>0</v>
      </c>
      <c r="K44" s="443">
        <v>0</v>
      </c>
      <c r="L44" s="29"/>
      <c r="M44" s="29"/>
      <c r="N44" s="29"/>
    </row>
    <row r="45" spans="1:48" x14ac:dyDescent="0.2">
      <c r="A45" s="435" t="s">
        <v>193</v>
      </c>
      <c r="B45" s="746" t="s">
        <v>192</v>
      </c>
      <c r="C45" s="748"/>
      <c r="D45" s="469">
        <v>41275</v>
      </c>
      <c r="E45" s="439" t="s">
        <v>207</v>
      </c>
      <c r="F45" s="443">
        <v>25000</v>
      </c>
      <c r="G45" s="443">
        <v>25000</v>
      </c>
      <c r="H45" s="443">
        <v>660</v>
      </c>
      <c r="I45" s="443">
        <f>G45-H45</f>
        <v>24340</v>
      </c>
      <c r="J45" s="443">
        <f>I45</f>
        <v>24340</v>
      </c>
      <c r="K45" s="443"/>
      <c r="L45" s="29"/>
      <c r="M45" s="29"/>
      <c r="N45" s="29"/>
    </row>
    <row r="46" spans="1:48" s="4" customFormat="1" hidden="1" x14ac:dyDescent="0.2">
      <c r="A46" s="435" t="s">
        <v>329</v>
      </c>
      <c r="B46" s="756" t="s">
        <v>29</v>
      </c>
      <c r="C46" s="757"/>
      <c r="D46" s="469"/>
      <c r="E46" s="439"/>
      <c r="F46" s="443"/>
      <c r="G46" s="443"/>
      <c r="H46" s="443"/>
      <c r="I46" s="443"/>
      <c r="J46" s="443"/>
      <c r="K46" s="443"/>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4" customFormat="1" x14ac:dyDescent="0.2">
      <c r="A47" s="435" t="s">
        <v>330</v>
      </c>
      <c r="B47" s="756" t="s">
        <v>29</v>
      </c>
      <c r="C47" s="757"/>
      <c r="D47" s="469">
        <v>42005</v>
      </c>
      <c r="E47" s="439">
        <v>43100</v>
      </c>
      <c r="F47" s="443">
        <v>50000</v>
      </c>
      <c r="G47" s="443">
        <v>0</v>
      </c>
      <c r="H47" s="443">
        <v>14751.55</v>
      </c>
      <c r="I47" s="443">
        <f>25000-H47</f>
        <v>10248.450000000001</v>
      </c>
      <c r="J47" s="443"/>
      <c r="K47" s="443">
        <f>I47</f>
        <v>10248.450000000001</v>
      </c>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 thickBot="1" x14ac:dyDescent="0.25">
      <c r="A48" s="435" t="s">
        <v>30</v>
      </c>
      <c r="B48" s="746" t="s">
        <v>57</v>
      </c>
      <c r="C48" s="748"/>
      <c r="D48" s="469">
        <v>40226</v>
      </c>
      <c r="E48" s="440" t="s">
        <v>38</v>
      </c>
      <c r="F48" s="443">
        <f>8007.78+5000+50</f>
        <v>13057.779999999999</v>
      </c>
      <c r="G48" s="443">
        <v>7605</v>
      </c>
      <c r="H48" s="443">
        <v>650</v>
      </c>
      <c r="I48" s="443">
        <f>+G48-H48</f>
        <v>6955</v>
      </c>
      <c r="J48" s="443">
        <f>I48</f>
        <v>6955</v>
      </c>
      <c r="K48" s="443">
        <v>0</v>
      </c>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 customFormat="1" ht="15.75" thickBot="1" x14ac:dyDescent="0.3">
      <c r="A49" s="436"/>
      <c r="B49" s="754"/>
      <c r="C49" s="755"/>
      <c r="D49" s="470"/>
      <c r="E49" s="441"/>
      <c r="F49" s="444"/>
      <c r="G49" s="444"/>
      <c r="H49" s="444">
        <v>0</v>
      </c>
      <c r="I49" s="444"/>
      <c r="J49" s="444"/>
      <c r="K49" s="444">
        <v>0</v>
      </c>
      <c r="L49" s="394" t="s">
        <v>154</v>
      </c>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392" customFormat="1" ht="15.75" thickBot="1" x14ac:dyDescent="0.3">
      <c r="A50" s="434" t="s">
        <v>41</v>
      </c>
      <c r="B50" s="437"/>
      <c r="C50" s="437"/>
      <c r="D50" s="438"/>
      <c r="E50" s="438"/>
      <c r="F50" s="442">
        <f t="shared" ref="F50:K50" si="5">SUM(F38:F49)</f>
        <v>227592.78</v>
      </c>
      <c r="G50" s="445">
        <f t="shared" si="5"/>
        <v>66861.8</v>
      </c>
      <c r="H50" s="442">
        <f t="shared" si="5"/>
        <v>87321.590000000011</v>
      </c>
      <c r="I50" s="442">
        <f t="shared" si="5"/>
        <v>93790.209999999992</v>
      </c>
      <c r="J50" s="446">
        <f t="shared" si="5"/>
        <v>31295</v>
      </c>
      <c r="K50" s="447">
        <f t="shared" si="5"/>
        <v>62495.209999999992</v>
      </c>
      <c r="L50" s="630">
        <f>K33+K50</f>
        <v>107495.20999999999</v>
      </c>
      <c r="M50" s="390">
        <f>L50-104690.48</f>
        <v>2804.7299999999959</v>
      </c>
      <c r="N50" s="390"/>
      <c r="O50" s="390"/>
      <c r="P50" s="390"/>
      <c r="Q50" s="390"/>
      <c r="R50" s="390"/>
      <c r="S50" s="390"/>
      <c r="T50" s="390"/>
      <c r="U50" s="391"/>
      <c r="V50" s="390"/>
      <c r="W50" s="390"/>
      <c r="X50" s="390"/>
      <c r="Y50" s="390"/>
      <c r="Z50" s="390"/>
      <c r="AA50" s="390"/>
      <c r="AB50" s="390"/>
      <c r="AC50" s="390"/>
      <c r="AD50" s="390"/>
      <c r="AE50" s="390"/>
      <c r="AF50" s="390"/>
      <c r="AG50" s="390"/>
      <c r="AH50" s="390"/>
      <c r="AI50" s="390"/>
      <c r="AJ50" s="390"/>
      <c r="AK50" s="390"/>
      <c r="AL50" s="390"/>
      <c r="AM50" s="391"/>
      <c r="AN50" s="391"/>
      <c r="AO50" s="391"/>
      <c r="AP50" s="391"/>
      <c r="AQ50" s="391"/>
      <c r="AR50" s="391"/>
      <c r="AS50" s="391"/>
      <c r="AT50" s="391"/>
      <c r="AU50" s="391"/>
      <c r="AV50" s="391"/>
    </row>
    <row r="51" spans="1:48" s="18" customFormat="1" ht="15" thickBot="1" x14ac:dyDescent="0.25">
      <c r="B51" s="1"/>
      <c r="C51" s="6"/>
      <c r="D51" s="6"/>
      <c r="E51" s="6"/>
      <c r="F51" s="29"/>
      <c r="G51" s="29"/>
      <c r="H51" s="29"/>
      <c r="I51" s="29"/>
      <c r="J51" s="29"/>
      <c r="K51" s="29"/>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1" customFormat="1" ht="18.75" thickBot="1" x14ac:dyDescent="0.3">
      <c r="A52" s="448" t="s">
        <v>204</v>
      </c>
      <c r="B52" s="449"/>
      <c r="C52" s="450"/>
      <c r="D52" s="450"/>
      <c r="E52" s="450"/>
      <c r="F52" s="453"/>
      <c r="G52" s="453"/>
      <c r="H52" s="453"/>
      <c r="I52" s="453"/>
      <c r="J52" s="453"/>
      <c r="K52" s="456"/>
      <c r="L52" s="453"/>
      <c r="M52" s="457"/>
      <c r="N52" s="40"/>
      <c r="O52" s="40"/>
      <c r="P52" s="40"/>
      <c r="Q52" s="40"/>
      <c r="R52" s="40"/>
      <c r="S52" s="40"/>
      <c r="T52" s="40"/>
      <c r="U52" s="41"/>
      <c r="V52" s="40"/>
      <c r="W52" s="40"/>
      <c r="X52" s="40"/>
      <c r="Y52" s="40"/>
      <c r="Z52" s="40"/>
      <c r="AA52" s="40"/>
      <c r="AB52" s="42"/>
      <c r="AC52" s="42"/>
      <c r="AD52" s="42"/>
      <c r="AE52" s="42"/>
      <c r="AF52" s="42"/>
      <c r="AG52" s="42"/>
      <c r="AH52" s="42"/>
      <c r="AI52" s="42"/>
      <c r="AJ52" s="42"/>
      <c r="AK52" s="42"/>
      <c r="AL52" s="42"/>
      <c r="AM52" s="41"/>
      <c r="AN52" s="41"/>
      <c r="AO52" s="41"/>
      <c r="AP52" s="41"/>
      <c r="AQ52" s="41"/>
      <c r="AR52" s="41"/>
      <c r="AS52" s="41"/>
      <c r="AT52" s="41"/>
      <c r="AU52" s="41"/>
      <c r="AV52" s="41"/>
    </row>
    <row r="53" spans="1:48" s="23" customFormat="1" ht="33" customHeight="1" thickBot="1" x14ac:dyDescent="0.25">
      <c r="A53" s="471" t="s">
        <v>44</v>
      </c>
      <c r="B53" s="751" t="s">
        <v>37</v>
      </c>
      <c r="C53" s="753"/>
      <c r="D53" s="753"/>
      <c r="E53" s="752"/>
      <c r="F53" s="475" t="s">
        <v>53</v>
      </c>
      <c r="G53" s="398" t="s">
        <v>344</v>
      </c>
      <c r="H53" s="398" t="s">
        <v>293</v>
      </c>
      <c r="I53" s="398" t="s">
        <v>75</v>
      </c>
      <c r="J53" s="398" t="s">
        <v>58</v>
      </c>
      <c r="K53" s="398" t="s">
        <v>17</v>
      </c>
      <c r="L53" s="398" t="s">
        <v>14</v>
      </c>
      <c r="M53" s="398" t="s">
        <v>4</v>
      </c>
      <c r="N53" s="35"/>
      <c r="O53" s="35"/>
      <c r="P53" s="35"/>
      <c r="Q53" s="35"/>
      <c r="R53" s="35"/>
      <c r="S53" s="35"/>
      <c r="T53" s="35"/>
      <c r="U53" s="6"/>
      <c r="V53" s="35"/>
      <c r="W53" s="35"/>
      <c r="X53" s="35"/>
      <c r="Y53" s="35"/>
      <c r="Z53" s="35"/>
      <c r="AA53" s="35"/>
      <c r="AB53" s="36"/>
      <c r="AC53" s="36"/>
      <c r="AD53" s="36"/>
      <c r="AE53" s="36"/>
      <c r="AF53" s="36"/>
      <c r="AG53" s="36"/>
      <c r="AH53" s="36"/>
      <c r="AI53" s="36"/>
      <c r="AJ53" s="36"/>
      <c r="AK53" s="36"/>
      <c r="AL53" s="36"/>
      <c r="AM53" s="6"/>
      <c r="AN53" s="6"/>
      <c r="AO53" s="6"/>
      <c r="AP53" s="6"/>
      <c r="AQ53" s="6"/>
      <c r="AR53" s="6"/>
      <c r="AS53" s="6"/>
      <c r="AT53" s="6"/>
      <c r="AU53" s="6"/>
      <c r="AV53" s="6"/>
    </row>
    <row r="54" spans="1:48" s="18" customFormat="1" hidden="1" x14ac:dyDescent="0.2">
      <c r="A54" s="435" t="s">
        <v>45</v>
      </c>
      <c r="B54" s="746" t="s">
        <v>48</v>
      </c>
      <c r="C54" s="747"/>
      <c r="D54" s="747"/>
      <c r="E54" s="748"/>
      <c r="F54" s="443"/>
      <c r="G54" s="443"/>
      <c r="H54" s="443">
        <v>0</v>
      </c>
      <c r="I54" s="443"/>
      <c r="J54" s="443"/>
      <c r="K54" s="443"/>
      <c r="L54" s="443"/>
      <c r="M54" s="443">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435" t="s">
        <v>46</v>
      </c>
      <c r="B55" s="746" t="s">
        <v>49</v>
      </c>
      <c r="C55" s="747"/>
      <c r="D55" s="747"/>
      <c r="E55" s="748"/>
      <c r="F55" s="443"/>
      <c r="G55" s="443"/>
      <c r="H55" s="443"/>
      <c r="I55" s="454"/>
      <c r="J55" s="443"/>
      <c r="K55" s="443"/>
      <c r="L55" s="443"/>
      <c r="M55" s="443">
        <v>0</v>
      </c>
      <c r="N55" s="29"/>
    </row>
    <row r="56" spans="1:48" x14ac:dyDescent="0.2">
      <c r="A56" s="435" t="s">
        <v>334</v>
      </c>
      <c r="B56" s="746" t="s">
        <v>332</v>
      </c>
      <c r="C56" s="747"/>
      <c r="D56" s="747"/>
      <c r="E56" s="748"/>
      <c r="F56" s="443">
        <v>49000</v>
      </c>
      <c r="G56" s="443">
        <v>0</v>
      </c>
      <c r="H56" s="443">
        <f>49000/2</f>
        <v>24500</v>
      </c>
      <c r="I56" s="454"/>
      <c r="J56" s="443">
        <v>24499.98</v>
      </c>
      <c r="K56" s="443">
        <f t="shared" ref="K56:K57" si="6">+G56+H56-J56</f>
        <v>2.0000000000436557E-2</v>
      </c>
      <c r="L56" s="443">
        <f>K56</f>
        <v>2.0000000000436557E-2</v>
      </c>
      <c r="M56" s="443"/>
      <c r="N56" s="29"/>
    </row>
    <row r="57" spans="1:48" s="18" customFormat="1" x14ac:dyDescent="0.2">
      <c r="A57" s="435" t="s">
        <v>335</v>
      </c>
      <c r="B57" s="746" t="s">
        <v>333</v>
      </c>
      <c r="C57" s="747"/>
      <c r="D57" s="747"/>
      <c r="E57" s="748"/>
      <c r="F57" s="443">
        <f>6500+3500+2000+3500+3500</f>
        <v>19000</v>
      </c>
      <c r="G57" s="443"/>
      <c r="H57" s="443">
        <v>19000</v>
      </c>
      <c r="I57" s="443"/>
      <c r="J57" s="443">
        <f>1583.33*6</f>
        <v>9499.98</v>
      </c>
      <c r="K57" s="443">
        <f t="shared" si="6"/>
        <v>9500.02</v>
      </c>
      <c r="L57" s="443">
        <f>K57</f>
        <v>9500.02</v>
      </c>
      <c r="M57" s="443"/>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435" t="s">
        <v>32</v>
      </c>
      <c r="B58" s="746" t="s">
        <v>206</v>
      </c>
      <c r="C58" s="747"/>
      <c r="D58" s="747"/>
      <c r="E58" s="748"/>
      <c r="F58" s="443"/>
      <c r="G58" s="443">
        <v>0</v>
      </c>
      <c r="H58" s="443">
        <v>4429.43</v>
      </c>
      <c r="I58" s="443"/>
      <c r="J58" s="443">
        <f>H58</f>
        <v>4429.43</v>
      </c>
      <c r="K58" s="443">
        <f t="shared" ref="K58:K62" si="7">+G58+H58-J58</f>
        <v>0</v>
      </c>
      <c r="L58" s="443">
        <v>0</v>
      </c>
      <c r="M58" s="443">
        <v>0</v>
      </c>
      <c r="N58" s="29"/>
    </row>
    <row r="59" spans="1:48" x14ac:dyDescent="0.2">
      <c r="A59" s="435" t="s">
        <v>32</v>
      </c>
      <c r="B59" s="746" t="s">
        <v>11</v>
      </c>
      <c r="C59" s="747"/>
      <c r="D59" s="747"/>
      <c r="E59" s="748"/>
      <c r="F59" s="443"/>
      <c r="G59" s="443">
        <v>1319.17</v>
      </c>
      <c r="H59" s="443">
        <v>500</v>
      </c>
      <c r="I59" s="443"/>
      <c r="J59" s="443">
        <v>918.55</v>
      </c>
      <c r="K59" s="443">
        <f t="shared" si="7"/>
        <v>900.62000000000012</v>
      </c>
      <c r="L59" s="443">
        <f>K59</f>
        <v>900.62000000000012</v>
      </c>
      <c r="M59" s="443">
        <v>0</v>
      </c>
      <c r="N59" s="29"/>
    </row>
    <row r="60" spans="1:48" x14ac:dyDescent="0.2">
      <c r="A60" s="435" t="s">
        <v>32</v>
      </c>
      <c r="B60" s="746" t="s">
        <v>12</v>
      </c>
      <c r="C60" s="747"/>
      <c r="D60" s="747"/>
      <c r="E60" s="748"/>
      <c r="F60" s="443"/>
      <c r="G60" s="443">
        <v>10337.75</v>
      </c>
      <c r="H60" s="443">
        <v>3480</v>
      </c>
      <c r="I60" s="443"/>
      <c r="J60" s="443">
        <v>6794.04</v>
      </c>
      <c r="K60" s="443">
        <f>+G60+H60-J60</f>
        <v>7023.71</v>
      </c>
      <c r="L60" s="443">
        <f>K60</f>
        <v>7023.71</v>
      </c>
      <c r="M60" s="443">
        <v>0</v>
      </c>
      <c r="N60" s="29"/>
    </row>
    <row r="61" spans="1:48" x14ac:dyDescent="0.2">
      <c r="A61" s="435" t="s">
        <v>32</v>
      </c>
      <c r="B61" s="746" t="s">
        <v>13</v>
      </c>
      <c r="C61" s="747"/>
      <c r="D61" s="747"/>
      <c r="E61" s="748"/>
      <c r="F61" s="443"/>
      <c r="G61" s="443">
        <v>10186.61</v>
      </c>
      <c r="H61" s="443">
        <v>500</v>
      </c>
      <c r="I61" s="443"/>
      <c r="J61" s="443">
        <v>3142.06</v>
      </c>
      <c r="K61" s="443">
        <f t="shared" ref="K61" si="8">+G61+H61-J61</f>
        <v>7544.5500000000011</v>
      </c>
      <c r="L61" s="443">
        <f>K61</f>
        <v>7544.5500000000011</v>
      </c>
      <c r="M61" s="443">
        <v>0</v>
      </c>
      <c r="N61" s="29"/>
    </row>
    <row r="62" spans="1:48" s="25" customFormat="1" ht="15" thickBot="1" x14ac:dyDescent="0.25">
      <c r="A62" s="435" t="s">
        <v>32</v>
      </c>
      <c r="B62" s="746" t="s">
        <v>328</v>
      </c>
      <c r="C62" s="747"/>
      <c r="D62" s="747"/>
      <c r="E62" s="748"/>
      <c r="F62" s="443"/>
      <c r="G62" s="443">
        <v>918.9</v>
      </c>
      <c r="H62" s="443"/>
      <c r="I62" s="443"/>
      <c r="J62" s="443">
        <v>919</v>
      </c>
      <c r="K62" s="443">
        <f t="shared" si="7"/>
        <v>-0.10000000000002274</v>
      </c>
      <c r="L62" s="443">
        <f>K62</f>
        <v>-0.10000000000002274</v>
      </c>
      <c r="M62" s="443">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435" t="s">
        <v>32</v>
      </c>
      <c r="B63" s="451" t="s">
        <v>100</v>
      </c>
      <c r="C63" s="420"/>
      <c r="D63" s="420"/>
      <c r="E63" s="452"/>
      <c r="F63" s="443"/>
      <c r="G63" s="443"/>
      <c r="H63" s="443"/>
      <c r="I63" s="443"/>
      <c r="J63" s="443"/>
      <c r="K63" s="443"/>
      <c r="L63" s="443"/>
      <c r="M63" s="44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436"/>
      <c r="B64" s="746"/>
      <c r="C64" s="747"/>
      <c r="D64" s="747"/>
      <c r="E64" s="748"/>
      <c r="F64" s="444"/>
      <c r="G64" s="444">
        <v>0</v>
      </c>
      <c r="H64" s="444"/>
      <c r="I64" s="455"/>
      <c r="J64" s="444"/>
      <c r="K64" s="444"/>
      <c r="L64" s="444"/>
      <c r="M64" s="444">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392" customFormat="1" ht="15.75" thickBot="1" x14ac:dyDescent="0.3">
      <c r="A65" s="472" t="s">
        <v>51</v>
      </c>
      <c r="B65" s="473"/>
      <c r="C65" s="473"/>
      <c r="D65" s="473"/>
      <c r="E65" s="474"/>
      <c r="F65" s="564">
        <f t="shared" ref="F65:M65" si="9">SUM(F54:F64)</f>
        <v>68000</v>
      </c>
      <c r="G65" s="565">
        <f t="shared" si="9"/>
        <v>22762.43</v>
      </c>
      <c r="H65" s="565">
        <f t="shared" si="9"/>
        <v>52409.43</v>
      </c>
      <c r="I65" s="565">
        <f t="shared" si="9"/>
        <v>0</v>
      </c>
      <c r="J65" s="565">
        <f t="shared" si="9"/>
        <v>50203.040000000001</v>
      </c>
      <c r="K65" s="566">
        <f t="shared" si="9"/>
        <v>24968.820000000007</v>
      </c>
      <c r="L65" s="567">
        <f t="shared" si="9"/>
        <v>24968.820000000007</v>
      </c>
      <c r="M65" s="566">
        <f t="shared" si="9"/>
        <v>0</v>
      </c>
      <c r="N65" s="390"/>
      <c r="O65" s="390"/>
      <c r="P65" s="390"/>
      <c r="Q65" s="390"/>
      <c r="R65" s="390"/>
      <c r="S65" s="390"/>
      <c r="T65" s="390"/>
      <c r="U65" s="391"/>
      <c r="V65" s="390"/>
      <c r="W65" s="390"/>
      <c r="X65" s="390"/>
      <c r="Y65" s="390"/>
      <c r="Z65" s="390"/>
      <c r="AA65" s="390"/>
      <c r="AB65" s="390"/>
      <c r="AC65" s="390"/>
      <c r="AD65" s="390"/>
      <c r="AE65" s="390"/>
      <c r="AF65" s="390"/>
      <c r="AG65" s="390"/>
      <c r="AH65" s="390"/>
      <c r="AI65" s="390"/>
      <c r="AJ65" s="390"/>
      <c r="AK65" s="390"/>
      <c r="AL65" s="390"/>
      <c r="AM65" s="391"/>
      <c r="AN65" s="391"/>
      <c r="AO65" s="391"/>
      <c r="AP65" s="391"/>
      <c r="AQ65" s="391"/>
      <c r="AR65" s="391"/>
      <c r="AS65" s="391"/>
      <c r="AT65" s="391"/>
      <c r="AU65" s="391"/>
      <c r="AV65" s="391"/>
    </row>
    <row r="66" spans="1:48" ht="15.75" thickBot="1" x14ac:dyDescent="0.3">
      <c r="H66" s="28"/>
      <c r="L66" s="393" t="s">
        <v>155</v>
      </c>
      <c r="N66" s="29"/>
    </row>
    <row r="67" spans="1:48" s="48" customFormat="1" ht="16.5" thickBot="1" x14ac:dyDescent="0.3">
      <c r="A67" s="52"/>
      <c r="B67" s="53"/>
      <c r="C67" s="53"/>
      <c r="D67" s="53"/>
      <c r="E67" s="53"/>
      <c r="F67" s="53"/>
      <c r="G67" s="53"/>
      <c r="H67" s="53"/>
      <c r="I67" s="53"/>
      <c r="J67" s="53"/>
      <c r="K67" s="53"/>
      <c r="L67" s="578">
        <f>L65+J50</f>
        <v>56263.820000000007</v>
      </c>
      <c r="M67" s="49"/>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2.25" hidden="1" thickBot="1" x14ac:dyDescent="0.3">
      <c r="A68" s="54"/>
      <c r="B68" s="50"/>
      <c r="C68" s="50"/>
      <c r="D68" s="50"/>
      <c r="E68" s="50"/>
      <c r="F68" s="50"/>
      <c r="G68" s="151" t="s">
        <v>308</v>
      </c>
      <c r="H68" s="152" t="s">
        <v>293</v>
      </c>
      <c r="I68" s="152" t="s">
        <v>153</v>
      </c>
      <c r="J68" s="152" t="s">
        <v>75</v>
      </c>
      <c r="K68" s="153" t="s">
        <v>61</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496" t="s">
        <v>95</v>
      </c>
      <c r="B69" s="760" t="s">
        <v>60</v>
      </c>
      <c r="C69" s="760"/>
      <c r="D69" s="760"/>
      <c r="E69" s="760"/>
      <c r="F69" s="497"/>
      <c r="G69" s="497">
        <f>104647.76-J57-1250-1250</f>
        <v>92647.78</v>
      </c>
      <c r="H69" s="497">
        <f>90450.47-J69-H72</f>
        <v>58290.82</v>
      </c>
      <c r="I69" s="497">
        <f>H58</f>
        <v>4429.43</v>
      </c>
      <c r="J69" s="497">
        <f>'June 15 AR Aging '!G40</f>
        <v>32159.65</v>
      </c>
      <c r="K69" s="498">
        <f>+I69+J69+H69-G69</f>
        <v>2232.1199999999953</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499" t="s">
        <v>47</v>
      </c>
      <c r="B70" s="759" t="s">
        <v>42</v>
      </c>
      <c r="C70" s="759"/>
      <c r="D70" s="759"/>
      <c r="E70" s="759"/>
      <c r="F70" s="494"/>
      <c r="G70" s="494"/>
      <c r="H70" s="494">
        <v>0</v>
      </c>
      <c r="I70" s="495"/>
      <c r="J70" s="494">
        <v>0</v>
      </c>
      <c r="K70" s="500"/>
      <c r="L70" s="462"/>
      <c r="M70" s="462">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499" t="s">
        <v>32</v>
      </c>
      <c r="B71" s="761" t="s">
        <v>220</v>
      </c>
      <c r="C71" s="762"/>
      <c r="D71" s="762"/>
      <c r="E71" s="763"/>
      <c r="F71" s="494"/>
      <c r="G71" s="494"/>
      <c r="H71" s="494"/>
      <c r="I71" s="495"/>
      <c r="J71" s="494"/>
      <c r="K71" s="500"/>
      <c r="L71" s="462"/>
      <c r="M71" s="462"/>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501" t="s">
        <v>219</v>
      </c>
      <c r="B72" s="758" t="s">
        <v>60</v>
      </c>
      <c r="C72" s="758"/>
      <c r="D72" s="758"/>
      <c r="E72" s="758"/>
      <c r="F72" s="502"/>
      <c r="G72" s="502"/>
      <c r="H72" s="502">
        <v>0</v>
      </c>
      <c r="I72" s="502"/>
      <c r="J72" s="502">
        <f>'June 15 AR Aging '!G39</f>
        <v>0</v>
      </c>
      <c r="K72" s="503"/>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x14ac:dyDescent="0.2">
      <c r="F73" s="354"/>
      <c r="G73" s="355"/>
      <c r="H73" s="354"/>
      <c r="I73" s="354"/>
      <c r="J73" s="354">
        <f>J69+I65+H33+J72</f>
        <v>234408.91</v>
      </c>
      <c r="K73" s="354" t="s">
        <v>66</v>
      </c>
      <c r="N73" s="29"/>
    </row>
    <row r="74" spans="1:48" x14ac:dyDescent="0.2">
      <c r="F74" s="354"/>
      <c r="G74" s="355"/>
      <c r="H74" s="354"/>
      <c r="I74" s="354"/>
      <c r="J74" s="375">
        <f>'June 15 AR Aging '!G57</f>
        <v>234408.91</v>
      </c>
      <c r="K74" s="354" t="s">
        <v>363</v>
      </c>
      <c r="N74" s="29"/>
    </row>
    <row r="75" spans="1:48" ht="15" customHeight="1" x14ac:dyDescent="0.2">
      <c r="F75" s="354"/>
      <c r="G75" s="355"/>
      <c r="H75" s="354"/>
      <c r="I75" s="354"/>
      <c r="J75" s="355">
        <f>J73-J74</f>
        <v>0</v>
      </c>
      <c r="K75" s="354"/>
      <c r="N75" s="29"/>
    </row>
    <row r="76" spans="1:48" ht="15" customHeight="1" x14ac:dyDescent="0.2">
      <c r="C76" s="8"/>
      <c r="E76" s="9"/>
    </row>
    <row r="85" spans="1:12" x14ac:dyDescent="0.2">
      <c r="A85" s="10"/>
      <c r="B85" s="1"/>
      <c r="C85" s="6"/>
      <c r="D85" s="6"/>
      <c r="E85" s="7"/>
      <c r="F85" s="29"/>
      <c r="G85" s="29"/>
      <c r="I85" s="29"/>
      <c r="J85" s="29"/>
      <c r="K85" s="29"/>
      <c r="L85" s="29"/>
    </row>
  </sheetData>
  <mergeCells count="28">
    <mergeCell ref="B56:E56"/>
    <mergeCell ref="B57:E57"/>
    <mergeCell ref="B46:C46"/>
    <mergeCell ref="B42:C42"/>
    <mergeCell ref="B44:C44"/>
    <mergeCell ref="B45:C45"/>
    <mergeCell ref="B72:E72"/>
    <mergeCell ref="B62:E62"/>
    <mergeCell ref="B70:E70"/>
    <mergeCell ref="B64:E64"/>
    <mergeCell ref="B69:E69"/>
    <mergeCell ref="B71:E71"/>
    <mergeCell ref="B61:E61"/>
    <mergeCell ref="B41:C41"/>
    <mergeCell ref="B37:C37"/>
    <mergeCell ref="B60:E60"/>
    <mergeCell ref="B53:E53"/>
    <mergeCell ref="B39:C39"/>
    <mergeCell ref="B48:C48"/>
    <mergeCell ref="B49:C49"/>
    <mergeCell ref="B54:E54"/>
    <mergeCell ref="B55:E55"/>
    <mergeCell ref="B58:E58"/>
    <mergeCell ref="B59:E59"/>
    <mergeCell ref="B38:C38"/>
    <mergeCell ref="B43:C43"/>
    <mergeCell ref="B40:C40"/>
    <mergeCell ref="B47:C47"/>
  </mergeCells>
  <pageMargins left="0.45" right="0" top="1" bottom="0" header="0.3" footer="0.05"/>
  <pageSetup paperSize="5"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9"/>
  <sheetViews>
    <sheetView zoomScale="50" zoomScaleNormal="50" workbookViewId="0">
      <selection activeCell="A2" sqref="A2"/>
    </sheetView>
  </sheetViews>
  <sheetFormatPr defaultRowHeight="15" x14ac:dyDescent="0.25"/>
  <cols>
    <col min="1" max="1" width="29.25" style="258" customWidth="1"/>
    <col min="2" max="2" width="43.5" style="258" customWidth="1"/>
    <col min="3" max="3" width="15.5" style="353" customWidth="1"/>
    <col min="4" max="4" width="22.875" style="353" customWidth="1"/>
    <col min="5" max="5" width="16.125" style="353" customWidth="1"/>
    <col min="6" max="41" width="5" style="258" customWidth="1"/>
    <col min="42" max="53" width="5.625" style="257" customWidth="1"/>
    <col min="54" max="130" width="9" style="257"/>
    <col min="131" max="16384" width="9" style="258"/>
  </cols>
  <sheetData>
    <row r="1" spans="1:130" ht="35.1" customHeight="1" x14ac:dyDescent="0.4">
      <c r="A1" s="254" t="s">
        <v>68</v>
      </c>
      <c r="B1" s="255"/>
      <c r="C1" s="256"/>
      <c r="D1" s="256"/>
      <c r="E1" s="256"/>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row>
    <row r="2" spans="1:130" ht="35.1" customHeight="1" x14ac:dyDescent="0.4">
      <c r="A2" s="254" t="s">
        <v>101</v>
      </c>
      <c r="B2" s="255"/>
      <c r="C2" s="256"/>
      <c r="D2" s="256"/>
      <c r="E2" s="256"/>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row>
    <row r="3" spans="1:130" ht="35.1" customHeight="1" x14ac:dyDescent="0.4">
      <c r="A3" s="254" t="s">
        <v>276</v>
      </c>
      <c r="B3" s="255"/>
      <c r="C3" s="256"/>
      <c r="D3" s="256"/>
      <c r="E3" s="256"/>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row>
    <row r="4" spans="1:130" ht="12" customHeight="1" x14ac:dyDescent="0.4">
      <c r="A4" s="254"/>
      <c r="B4" s="255"/>
      <c r="C4" s="256"/>
      <c r="D4" s="256"/>
      <c r="E4" s="256"/>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row>
    <row r="5" spans="1:130" ht="39.950000000000003" customHeight="1" thickBot="1" x14ac:dyDescent="0.45">
      <c r="A5" s="254"/>
      <c r="B5" s="255"/>
      <c r="C5" s="256"/>
      <c r="D5" s="256"/>
      <c r="E5" s="256"/>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row>
    <row r="6" spans="1:130" s="259" customFormat="1" ht="39.950000000000003" customHeight="1" x14ac:dyDescent="0.35">
      <c r="A6" s="810" t="s">
        <v>35</v>
      </c>
      <c r="B6" s="812" t="s">
        <v>21</v>
      </c>
      <c r="C6" s="814" t="s">
        <v>102</v>
      </c>
      <c r="D6" s="814" t="s">
        <v>103</v>
      </c>
      <c r="E6" s="816" t="s">
        <v>104</v>
      </c>
      <c r="F6" s="828">
        <v>2011</v>
      </c>
      <c r="G6" s="827"/>
      <c r="H6" s="827"/>
      <c r="I6" s="827"/>
      <c r="J6" s="827"/>
      <c r="K6" s="827"/>
      <c r="L6" s="827"/>
      <c r="M6" s="827"/>
      <c r="N6" s="827"/>
      <c r="O6" s="827"/>
      <c r="P6" s="827"/>
      <c r="Q6" s="846"/>
      <c r="R6" s="828">
        <v>2012</v>
      </c>
      <c r="S6" s="827"/>
      <c r="T6" s="827"/>
      <c r="U6" s="827"/>
      <c r="V6" s="827"/>
      <c r="W6" s="827"/>
      <c r="X6" s="827"/>
      <c r="Y6" s="827"/>
      <c r="Z6" s="827"/>
      <c r="AA6" s="827"/>
      <c r="AB6" s="827"/>
      <c r="AC6" s="846"/>
      <c r="AD6" s="828">
        <v>2013</v>
      </c>
      <c r="AE6" s="827"/>
      <c r="AF6" s="827"/>
      <c r="AG6" s="827"/>
      <c r="AH6" s="827"/>
      <c r="AI6" s="827"/>
      <c r="AJ6" s="827"/>
      <c r="AK6" s="827"/>
      <c r="AL6" s="827"/>
      <c r="AM6" s="827"/>
      <c r="AN6" s="827"/>
      <c r="AO6" s="827"/>
      <c r="AP6" s="826">
        <v>2014</v>
      </c>
      <c r="AQ6" s="827"/>
      <c r="AR6" s="827"/>
      <c r="AS6" s="827"/>
      <c r="AT6" s="827"/>
      <c r="AU6" s="827"/>
      <c r="AV6" s="827"/>
      <c r="AW6" s="588"/>
      <c r="AX6" s="588"/>
      <c r="AY6" s="588"/>
      <c r="AZ6" s="588"/>
      <c r="BA6" s="589"/>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row>
    <row r="7" spans="1:130" s="264" customFormat="1" ht="39.950000000000003" customHeight="1" thickBot="1" x14ac:dyDescent="0.4">
      <c r="A7" s="811"/>
      <c r="B7" s="813"/>
      <c r="C7" s="815"/>
      <c r="D7" s="815"/>
      <c r="E7" s="817"/>
      <c r="F7" s="260" t="s">
        <v>105</v>
      </c>
      <c r="G7" s="261" t="s">
        <v>106</v>
      </c>
      <c r="H7" s="261" t="s">
        <v>107</v>
      </c>
      <c r="I7" s="261" t="s">
        <v>108</v>
      </c>
      <c r="J7" s="261" t="s">
        <v>109</v>
      </c>
      <c r="K7" s="261" t="s">
        <v>110</v>
      </c>
      <c r="L7" s="261" t="s">
        <v>111</v>
      </c>
      <c r="M7" s="261" t="s">
        <v>112</v>
      </c>
      <c r="N7" s="261" t="s">
        <v>113</v>
      </c>
      <c r="O7" s="261" t="s">
        <v>114</v>
      </c>
      <c r="P7" s="261" t="s">
        <v>115</v>
      </c>
      <c r="Q7" s="262" t="s">
        <v>116</v>
      </c>
      <c r="R7" s="260" t="s">
        <v>105</v>
      </c>
      <c r="S7" s="261" t="s">
        <v>106</v>
      </c>
      <c r="T7" s="261" t="s">
        <v>107</v>
      </c>
      <c r="U7" s="261" t="s">
        <v>108</v>
      </c>
      <c r="V7" s="261" t="s">
        <v>109</v>
      </c>
      <c r="W7" s="261" t="s">
        <v>110</v>
      </c>
      <c r="X7" s="261" t="s">
        <v>111</v>
      </c>
      <c r="Y7" s="261" t="s">
        <v>112</v>
      </c>
      <c r="Z7" s="261" t="s">
        <v>113</v>
      </c>
      <c r="AA7" s="261" t="s">
        <v>114</v>
      </c>
      <c r="AB7" s="261" t="s">
        <v>115</v>
      </c>
      <c r="AC7" s="262" t="s">
        <v>116</v>
      </c>
      <c r="AD7" s="260" t="s">
        <v>105</v>
      </c>
      <c r="AE7" s="261" t="s">
        <v>106</v>
      </c>
      <c r="AF7" s="261" t="s">
        <v>107</v>
      </c>
      <c r="AG7" s="261" t="s">
        <v>108</v>
      </c>
      <c r="AH7" s="261" t="s">
        <v>109</v>
      </c>
      <c r="AI7" s="261" t="s">
        <v>110</v>
      </c>
      <c r="AJ7" s="261" t="s">
        <v>111</v>
      </c>
      <c r="AK7" s="261" t="s">
        <v>112</v>
      </c>
      <c r="AL7" s="261" t="s">
        <v>113</v>
      </c>
      <c r="AM7" s="261" t="s">
        <v>114</v>
      </c>
      <c r="AN7" s="261" t="s">
        <v>115</v>
      </c>
      <c r="AO7" s="261" t="s">
        <v>116</v>
      </c>
      <c r="AP7" s="590" t="s">
        <v>105</v>
      </c>
      <c r="AQ7" s="591" t="s">
        <v>106</v>
      </c>
      <c r="AR7" s="591" t="s">
        <v>107</v>
      </c>
      <c r="AS7" s="591" t="s">
        <v>108</v>
      </c>
      <c r="AT7" s="591" t="s">
        <v>109</v>
      </c>
      <c r="AU7" s="591" t="s">
        <v>110</v>
      </c>
      <c r="AV7" s="591" t="s">
        <v>111</v>
      </c>
      <c r="AW7" s="585" t="s">
        <v>112</v>
      </c>
      <c r="AX7" s="591" t="s">
        <v>113</v>
      </c>
      <c r="AY7" s="591" t="s">
        <v>114</v>
      </c>
      <c r="AZ7" s="591" t="s">
        <v>115</v>
      </c>
      <c r="BA7" s="592" t="s">
        <v>116</v>
      </c>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row>
    <row r="8" spans="1:130" s="270" customFormat="1" ht="39.75" customHeight="1" thickBot="1" x14ac:dyDescent="0.4">
      <c r="A8" s="265"/>
      <c r="B8" s="266"/>
      <c r="C8" s="267"/>
      <c r="D8" s="267"/>
      <c r="E8" s="268"/>
      <c r="F8" s="269"/>
      <c r="G8" s="267"/>
      <c r="H8" s="267"/>
      <c r="I8" s="267"/>
      <c r="J8" s="267"/>
      <c r="K8" s="267"/>
      <c r="L8" s="267"/>
      <c r="M8" s="267"/>
      <c r="N8" s="267"/>
      <c r="O8" s="267"/>
      <c r="P8" s="267"/>
      <c r="Q8" s="268"/>
      <c r="R8" s="381"/>
      <c r="S8" s="267"/>
      <c r="T8" s="267"/>
      <c r="U8" s="267"/>
      <c r="V8" s="267"/>
      <c r="W8" s="267"/>
      <c r="X8" s="267"/>
      <c r="Y8" s="267"/>
      <c r="Z8" s="267"/>
      <c r="AA8" s="267"/>
      <c r="AB8" s="267"/>
      <c r="AC8" s="268"/>
      <c r="AD8" s="269"/>
      <c r="AE8" s="267"/>
      <c r="AF8" s="267"/>
      <c r="AG8" s="267"/>
      <c r="AH8" s="267"/>
      <c r="AI8" s="267"/>
      <c r="AJ8" s="267"/>
      <c r="AK8" s="267"/>
      <c r="AL8" s="267"/>
      <c r="AM8" s="267"/>
      <c r="AN8" s="267"/>
      <c r="AO8" s="268"/>
      <c r="AP8" s="587"/>
      <c r="AS8" s="595"/>
      <c r="AT8" s="595"/>
      <c r="AU8" s="595"/>
      <c r="AV8" s="596"/>
      <c r="AW8" s="595"/>
      <c r="AX8" s="597"/>
      <c r="AY8" s="595"/>
      <c r="AZ8" s="595"/>
      <c r="BA8" s="595"/>
    </row>
    <row r="9" spans="1:130" s="275" customFormat="1" ht="50.1" customHeight="1" thickBot="1" x14ac:dyDescent="0.25">
      <c r="A9" s="614" t="s">
        <v>88</v>
      </c>
      <c r="B9" s="271" t="s">
        <v>117</v>
      </c>
      <c r="C9" s="272" t="s">
        <v>120</v>
      </c>
      <c r="D9" s="272" t="s">
        <v>233</v>
      </c>
      <c r="E9" s="273">
        <v>240000</v>
      </c>
      <c r="F9" s="274"/>
      <c r="G9" s="829"/>
      <c r="H9" s="830"/>
      <c r="I9" s="830"/>
      <c r="J9" s="830"/>
      <c r="K9" s="830"/>
      <c r="L9" s="830"/>
      <c r="M9" s="830"/>
      <c r="N9" s="830"/>
      <c r="O9" s="830"/>
      <c r="P9" s="830"/>
      <c r="Q9" s="830"/>
      <c r="R9" s="831"/>
      <c r="S9" s="832">
        <v>223485</v>
      </c>
      <c r="T9" s="833"/>
      <c r="U9" s="833"/>
      <c r="V9" s="833"/>
      <c r="W9" s="833"/>
      <c r="X9" s="833"/>
      <c r="Y9" s="833"/>
      <c r="Z9" s="833"/>
      <c r="AA9" s="833"/>
      <c r="AB9" s="833"/>
      <c r="AC9" s="833"/>
      <c r="AD9" s="833"/>
      <c r="AE9" s="833"/>
      <c r="AF9" s="834"/>
      <c r="AG9" s="835"/>
      <c r="AH9" s="836"/>
      <c r="AI9" s="836"/>
      <c r="AJ9" s="836"/>
      <c r="AK9" s="836"/>
      <c r="AL9" s="836"/>
      <c r="AM9" s="836"/>
      <c r="AN9" s="836"/>
      <c r="AO9" s="836"/>
      <c r="AP9" s="836"/>
      <c r="AQ9" s="836"/>
      <c r="AR9" s="837"/>
      <c r="AS9" s="594"/>
      <c r="AW9" s="594"/>
      <c r="BA9" s="276"/>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row>
    <row r="10" spans="1:130" s="283" customFormat="1" ht="40.5" customHeight="1" thickBot="1" x14ac:dyDescent="0.4">
      <c r="A10" s="615"/>
      <c r="B10" s="278"/>
      <c r="C10" s="279"/>
      <c r="D10" s="279"/>
      <c r="E10" s="280"/>
      <c r="F10" s="281"/>
      <c r="G10" s="282"/>
      <c r="H10" s="279"/>
      <c r="I10" s="279"/>
      <c r="J10" s="279"/>
      <c r="K10" s="279"/>
      <c r="L10" s="279"/>
      <c r="M10" s="279"/>
      <c r="N10" s="279"/>
      <c r="O10" s="279"/>
      <c r="P10" s="279"/>
      <c r="Q10" s="280"/>
      <c r="R10" s="382"/>
      <c r="S10" s="282"/>
      <c r="T10" s="279"/>
      <c r="U10" s="279"/>
      <c r="V10" s="279"/>
      <c r="W10" s="279"/>
      <c r="X10" s="279"/>
      <c r="Y10" s="279"/>
      <c r="Z10" s="279"/>
      <c r="AA10" s="279"/>
      <c r="AB10" s="279"/>
      <c r="AC10" s="280"/>
      <c r="AD10" s="377"/>
      <c r="AE10" s="278"/>
      <c r="AF10" s="278"/>
      <c r="AG10" s="278"/>
      <c r="AH10" s="278"/>
      <c r="AI10" s="278"/>
      <c r="AJ10" s="278"/>
      <c r="AK10" s="278"/>
      <c r="AL10" s="278"/>
      <c r="AM10" s="278"/>
      <c r="AN10" s="278"/>
      <c r="AO10" s="379"/>
      <c r="AP10" s="386"/>
      <c r="AV10" s="599"/>
      <c r="AW10" s="602"/>
      <c r="AX10" s="600"/>
      <c r="AY10" s="602"/>
      <c r="AZ10" s="602"/>
      <c r="BA10" s="602"/>
    </row>
    <row r="11" spans="1:130" s="288" customFormat="1" ht="50.1" customHeight="1" thickBot="1" x14ac:dyDescent="0.25">
      <c r="A11" s="818" t="s">
        <v>89</v>
      </c>
      <c r="B11" s="820" t="s">
        <v>119</v>
      </c>
      <c r="C11" s="822" t="s">
        <v>118</v>
      </c>
      <c r="D11" s="822" t="s">
        <v>19</v>
      </c>
      <c r="E11" s="824">
        <v>143550</v>
      </c>
      <c r="F11" s="286"/>
      <c r="G11" s="287"/>
      <c r="H11" s="287"/>
      <c r="I11" s="845"/>
      <c r="J11" s="845"/>
      <c r="K11" s="845"/>
      <c r="L11" s="847">
        <v>143550</v>
      </c>
      <c r="M11" s="848"/>
      <c r="N11" s="848"/>
      <c r="O11" s="848"/>
      <c r="P11" s="848"/>
      <c r="Q11" s="848"/>
      <c r="R11" s="848"/>
      <c r="S11" s="848"/>
      <c r="T11" s="848"/>
      <c r="U11" s="848"/>
      <c r="V11" s="848"/>
      <c r="W11" s="849"/>
      <c r="X11" s="847">
        <v>143550</v>
      </c>
      <c r="Y11" s="850"/>
      <c r="Z11" s="850"/>
      <c r="AA11" s="850"/>
      <c r="AB11" s="850"/>
      <c r="AC11" s="850"/>
      <c r="AD11" s="850"/>
      <c r="AE11" s="850"/>
      <c r="AF11" s="850"/>
      <c r="AG11" s="850"/>
      <c r="AH11" s="850"/>
      <c r="AI11" s="851"/>
      <c r="AJ11" s="807">
        <v>143550</v>
      </c>
      <c r="AK11" s="808"/>
      <c r="AL11" s="808"/>
      <c r="AM11" s="808"/>
      <c r="AN11" s="808"/>
      <c r="AO11" s="808"/>
      <c r="AP11" s="808"/>
      <c r="AQ11" s="808"/>
      <c r="AR11" s="808"/>
      <c r="AS11" s="808"/>
      <c r="AT11" s="808"/>
      <c r="AU11" s="809"/>
      <c r="AV11" s="586"/>
      <c r="AW11" s="586"/>
      <c r="AX11" s="586"/>
      <c r="AY11" s="586"/>
      <c r="AZ11" s="586"/>
      <c r="BA11" s="598"/>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row>
    <row r="12" spans="1:130" s="293" customFormat="1" ht="50.1" customHeight="1" thickBot="1" x14ac:dyDescent="0.25">
      <c r="A12" s="819"/>
      <c r="B12" s="821"/>
      <c r="C12" s="823"/>
      <c r="D12" s="823"/>
      <c r="E12" s="825"/>
      <c r="F12" s="290"/>
      <c r="G12" s="291"/>
      <c r="H12" s="291"/>
      <c r="I12" s="292"/>
      <c r="J12" s="292"/>
      <c r="K12" s="292"/>
      <c r="L12" s="838" t="s">
        <v>121</v>
      </c>
      <c r="M12" s="839"/>
      <c r="N12" s="839"/>
      <c r="O12" s="839"/>
      <c r="P12" s="839"/>
      <c r="Q12" s="839"/>
      <c r="R12" s="839"/>
      <c r="S12" s="839"/>
      <c r="T12" s="840"/>
      <c r="U12" s="838" t="s">
        <v>122</v>
      </c>
      <c r="V12" s="841"/>
      <c r="W12" s="841"/>
      <c r="X12" s="841"/>
      <c r="Y12" s="841"/>
      <c r="Z12" s="841"/>
      <c r="AA12" s="841"/>
      <c r="AB12" s="841"/>
      <c r="AC12" s="841"/>
      <c r="AD12" s="841"/>
      <c r="AE12" s="841"/>
      <c r="AF12" s="842"/>
      <c r="AG12" s="843" t="s">
        <v>221</v>
      </c>
      <c r="AH12" s="844"/>
      <c r="AI12" s="844"/>
      <c r="AJ12" s="579"/>
      <c r="AK12" s="580"/>
      <c r="AL12" s="580"/>
      <c r="AM12" s="580"/>
      <c r="AN12" s="580"/>
      <c r="AO12" s="580"/>
      <c r="AP12" s="580"/>
      <c r="AQ12" s="580"/>
      <c r="AR12" s="580"/>
      <c r="AS12" s="775"/>
      <c r="AT12" s="775"/>
      <c r="AU12" s="776"/>
      <c r="AV12" s="603"/>
      <c r="BA12" s="294"/>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row>
    <row r="13" spans="1:130" s="283" customFormat="1" ht="40.5" customHeight="1" thickBot="1" x14ac:dyDescent="0.4">
      <c r="A13" s="615"/>
      <c r="B13" s="278"/>
      <c r="C13" s="279"/>
      <c r="D13" s="279"/>
      <c r="E13" s="280"/>
      <c r="F13" s="281"/>
      <c r="G13" s="278"/>
      <c r="H13" s="278"/>
      <c r="I13" s="279"/>
      <c r="J13" s="279"/>
      <c r="K13" s="279"/>
      <c r="L13" s="282"/>
      <c r="M13" s="279"/>
      <c r="N13" s="279"/>
      <c r="O13" s="279"/>
      <c r="P13" s="279"/>
      <c r="Q13" s="280"/>
      <c r="R13" s="378"/>
      <c r="S13" s="279"/>
      <c r="T13" s="279"/>
      <c r="U13" s="282"/>
      <c r="V13" s="279"/>
      <c r="W13" s="279"/>
      <c r="X13" s="279"/>
      <c r="Y13" s="279"/>
      <c r="Z13" s="279"/>
      <c r="AA13" s="279"/>
      <c r="AB13" s="279"/>
      <c r="AC13" s="280"/>
      <c r="AD13" s="378"/>
      <c r="AE13" s="279"/>
      <c r="AF13" s="279"/>
      <c r="AG13" s="282"/>
      <c r="AH13" s="279"/>
      <c r="AI13" s="279"/>
      <c r="AJ13" s="278"/>
      <c r="AK13" s="278"/>
      <c r="AL13" s="278"/>
      <c r="AM13" s="278"/>
      <c r="AN13" s="278"/>
      <c r="AO13" s="379"/>
      <c r="AP13" s="388"/>
      <c r="AS13" s="604"/>
      <c r="AT13" s="604"/>
      <c r="AU13" s="604"/>
      <c r="AV13" s="605"/>
      <c r="AW13" s="602"/>
      <c r="AX13" s="606"/>
      <c r="AY13" s="602"/>
      <c r="AZ13" s="604"/>
      <c r="BA13" s="604"/>
    </row>
    <row r="14" spans="1:130" s="302" customFormat="1" ht="50.1" customHeight="1" thickBot="1" x14ac:dyDescent="0.25">
      <c r="A14" s="799" t="s">
        <v>123</v>
      </c>
      <c r="B14" s="296" t="s">
        <v>124</v>
      </c>
      <c r="C14" s="297" t="s">
        <v>118</v>
      </c>
      <c r="D14" s="297" t="s">
        <v>6</v>
      </c>
      <c r="E14" s="298">
        <v>105000</v>
      </c>
      <c r="F14" s="299"/>
      <c r="G14" s="300"/>
      <c r="H14" s="300"/>
      <c r="I14" s="802">
        <v>142190</v>
      </c>
      <c r="J14" s="803"/>
      <c r="K14" s="803"/>
      <c r="L14" s="803"/>
      <c r="M14" s="803"/>
      <c r="N14" s="803"/>
      <c r="O14" s="803"/>
      <c r="P14" s="803"/>
      <c r="Q14" s="803"/>
      <c r="R14" s="803"/>
      <c r="S14" s="803"/>
      <c r="T14" s="804"/>
      <c r="U14" s="429"/>
      <c r="V14" s="429"/>
      <c r="W14" s="429"/>
      <c r="X14" s="429"/>
      <c r="Y14" s="429"/>
      <c r="Z14" s="429"/>
      <c r="AA14" s="429"/>
      <c r="AB14" s="429"/>
      <c r="AC14" s="429"/>
      <c r="AD14" s="429"/>
      <c r="AE14" s="429"/>
      <c r="AF14" s="429"/>
      <c r="AG14" s="486"/>
      <c r="AH14" s="430"/>
      <c r="AI14" s="430"/>
      <c r="AJ14" s="430"/>
      <c r="AK14" s="550"/>
      <c r="AL14" s="551"/>
      <c r="AM14" s="551"/>
      <c r="AN14" s="430"/>
      <c r="AO14" s="430"/>
      <c r="AP14" s="430"/>
      <c r="AQ14" s="430"/>
      <c r="AR14" s="431"/>
      <c r="AS14" s="607"/>
      <c r="AT14" s="301"/>
      <c r="AU14" s="301"/>
      <c r="AV14" s="301"/>
      <c r="AW14" s="301"/>
      <c r="AX14" s="301"/>
      <c r="AY14" s="301"/>
      <c r="AZ14" s="301"/>
      <c r="BA14" s="608"/>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289"/>
      <c r="DH14" s="289"/>
      <c r="DI14" s="289"/>
      <c r="DJ14" s="289"/>
      <c r="DK14" s="289"/>
      <c r="DL14" s="289"/>
      <c r="DM14" s="289"/>
      <c r="DN14" s="289"/>
      <c r="DO14" s="289"/>
      <c r="DP14" s="289"/>
      <c r="DQ14" s="289"/>
      <c r="DR14" s="289"/>
      <c r="DS14" s="289"/>
      <c r="DT14" s="289"/>
      <c r="DU14" s="289"/>
      <c r="DV14" s="289"/>
      <c r="DW14" s="289"/>
      <c r="DX14" s="289"/>
      <c r="DY14" s="289"/>
      <c r="DZ14" s="289"/>
    </row>
    <row r="15" spans="1:130" s="305" customFormat="1" ht="50.1" customHeight="1" thickBot="1" x14ac:dyDescent="0.25">
      <c r="A15" s="800"/>
      <c r="B15" s="303" t="s">
        <v>125</v>
      </c>
      <c r="C15" s="304" t="s">
        <v>118</v>
      </c>
      <c r="D15" s="304" t="s">
        <v>59</v>
      </c>
      <c r="E15" s="298">
        <v>42548</v>
      </c>
      <c r="F15" s="299"/>
      <c r="G15" s="300"/>
      <c r="H15" s="300"/>
      <c r="I15" s="802"/>
      <c r="J15" s="803"/>
      <c r="K15" s="803"/>
      <c r="L15" s="803"/>
      <c r="M15" s="803"/>
      <c r="N15" s="803"/>
      <c r="O15" s="803"/>
      <c r="P15" s="803"/>
      <c r="Q15" s="803"/>
      <c r="R15" s="803"/>
      <c r="S15" s="803"/>
      <c r="T15" s="803"/>
      <c r="U15" s="780" t="s">
        <v>148</v>
      </c>
      <c r="V15" s="781"/>
      <c r="W15" s="781"/>
      <c r="X15" s="781"/>
      <c r="Y15" s="781"/>
      <c r="Z15" s="781"/>
      <c r="AA15" s="781"/>
      <c r="AB15" s="781"/>
      <c r="AC15" s="781"/>
      <c r="AD15" s="781"/>
      <c r="AE15" s="781"/>
      <c r="AF15" s="782"/>
      <c r="AG15" s="429"/>
      <c r="AH15" s="429"/>
      <c r="AI15" s="429" t="s">
        <v>243</v>
      </c>
      <c r="AJ15" s="550"/>
      <c r="AK15" s="430"/>
      <c r="AL15" s="430"/>
      <c r="AM15" s="430"/>
      <c r="AN15" s="430"/>
      <c r="AO15" s="430"/>
      <c r="AP15" s="430"/>
      <c r="AQ15" s="430"/>
      <c r="AR15" s="431"/>
      <c r="AV15" s="301"/>
      <c r="AW15" s="301"/>
      <c r="AX15" s="301"/>
      <c r="AY15" s="301"/>
      <c r="AZ15" s="301"/>
      <c r="BA15" s="608"/>
    </row>
    <row r="16" spans="1:130" s="308" customFormat="1" ht="50.1" customHeight="1" thickBot="1" x14ac:dyDescent="0.25">
      <c r="A16" s="801"/>
      <c r="B16" s="306" t="s">
        <v>91</v>
      </c>
      <c r="C16" s="307" t="s">
        <v>120</v>
      </c>
      <c r="D16" s="307" t="s">
        <v>232</v>
      </c>
      <c r="E16" s="298">
        <v>40232</v>
      </c>
      <c r="F16" s="299"/>
      <c r="G16" s="300"/>
      <c r="H16" s="300"/>
      <c r="I16" s="300"/>
      <c r="J16" s="300"/>
      <c r="K16" s="300"/>
      <c r="L16" s="802">
        <v>35755</v>
      </c>
      <c r="M16" s="803"/>
      <c r="N16" s="803"/>
      <c r="O16" s="803"/>
      <c r="P16" s="803"/>
      <c r="Q16" s="803"/>
      <c r="R16" s="803"/>
      <c r="S16" s="803"/>
      <c r="T16" s="803"/>
      <c r="U16" s="805"/>
      <c r="V16" s="805"/>
      <c r="W16" s="806"/>
      <c r="X16" s="432"/>
      <c r="Y16" s="433"/>
      <c r="Z16" s="433"/>
      <c r="AA16" s="433"/>
      <c r="AB16" s="433"/>
      <c r="AC16" s="433"/>
      <c r="AD16" s="433"/>
      <c r="AE16" s="433"/>
      <c r="AF16" s="433"/>
      <c r="AG16" s="430"/>
      <c r="AH16" s="430"/>
      <c r="AI16" s="431"/>
      <c r="AJ16" s="780"/>
      <c r="AK16" s="781"/>
      <c r="AL16" s="781"/>
      <c r="AM16" s="781"/>
      <c r="AN16" s="781"/>
      <c r="AO16" s="781"/>
      <c r="AP16" s="781"/>
      <c r="AQ16" s="781"/>
      <c r="AR16" s="781"/>
      <c r="AS16" s="781"/>
      <c r="AT16" s="781"/>
      <c r="AU16" s="782"/>
      <c r="AV16" s="607"/>
      <c r="AW16" s="301"/>
      <c r="AX16" s="301"/>
      <c r="AY16" s="301"/>
      <c r="AZ16" s="301"/>
      <c r="BA16" s="608"/>
    </row>
    <row r="17" spans="1:130" s="283" customFormat="1" ht="40.5" customHeight="1" thickBot="1" x14ac:dyDescent="0.4">
      <c r="A17" s="616"/>
      <c r="B17" s="309"/>
      <c r="C17" s="279"/>
      <c r="D17" s="279"/>
      <c r="E17" s="280"/>
      <c r="F17" s="281"/>
      <c r="G17" s="278"/>
      <c r="H17" s="278"/>
      <c r="I17" s="279"/>
      <c r="J17" s="279"/>
      <c r="K17" s="279"/>
      <c r="L17" s="279"/>
      <c r="M17" s="279"/>
      <c r="N17" s="279"/>
      <c r="O17" s="279"/>
      <c r="P17" s="279"/>
      <c r="Q17" s="280"/>
      <c r="R17" s="383"/>
      <c r="S17" s="279"/>
      <c r="T17" s="279"/>
      <c r="U17" s="278"/>
      <c r="V17" s="278"/>
      <c r="W17" s="278"/>
      <c r="X17" s="278"/>
      <c r="Y17" s="278"/>
      <c r="Z17" s="278"/>
      <c r="AA17" s="278"/>
      <c r="AB17" s="278"/>
      <c r="AC17" s="379"/>
      <c r="AD17" s="281"/>
      <c r="AE17" s="278"/>
      <c r="AF17" s="278"/>
      <c r="AG17" s="278"/>
      <c r="AH17" s="278"/>
      <c r="AI17" s="278"/>
      <c r="AJ17" s="278"/>
      <c r="AK17" s="278"/>
      <c r="AL17" s="278"/>
      <c r="AM17" s="278"/>
      <c r="AN17" s="278"/>
      <c r="AO17" s="379"/>
      <c r="AP17" s="388"/>
      <c r="AV17" s="599"/>
      <c r="AW17" s="602"/>
      <c r="AX17" s="602"/>
      <c r="AY17" s="601"/>
      <c r="AZ17" s="602"/>
      <c r="BA17" s="602"/>
    </row>
    <row r="18" spans="1:130" s="314" customFormat="1" ht="50.1" customHeight="1" thickBot="1" x14ac:dyDescent="0.25">
      <c r="A18" s="617" t="s">
        <v>8</v>
      </c>
      <c r="B18" s="310" t="s">
        <v>119</v>
      </c>
      <c r="C18" s="311" t="s">
        <v>120</v>
      </c>
      <c r="D18" s="312" t="s">
        <v>34</v>
      </c>
      <c r="E18" s="313">
        <v>154100</v>
      </c>
      <c r="F18" s="786">
        <v>155000</v>
      </c>
      <c r="G18" s="778"/>
      <c r="H18" s="778"/>
      <c r="I18" s="778"/>
      <c r="J18" s="778"/>
      <c r="K18" s="778"/>
      <c r="L18" s="778"/>
      <c r="M18" s="778"/>
      <c r="N18" s="778"/>
      <c r="O18" s="778"/>
      <c r="P18" s="778"/>
      <c r="Q18" s="779"/>
      <c r="R18" s="777">
        <v>154100</v>
      </c>
      <c r="S18" s="787"/>
      <c r="T18" s="787"/>
      <c r="U18" s="787"/>
      <c r="V18" s="787"/>
      <c r="W18" s="787"/>
      <c r="X18" s="787"/>
      <c r="Y18" s="787"/>
      <c r="Z18" s="787"/>
      <c r="AA18" s="787"/>
      <c r="AB18" s="787"/>
      <c r="AC18" s="788"/>
      <c r="AD18" s="777" t="s">
        <v>194</v>
      </c>
      <c r="AE18" s="778"/>
      <c r="AF18" s="778"/>
      <c r="AG18" s="778"/>
      <c r="AH18" s="778"/>
      <c r="AI18" s="778"/>
      <c r="AJ18" s="778"/>
      <c r="AK18" s="778"/>
      <c r="AL18" s="778"/>
      <c r="AM18" s="778"/>
      <c r="AN18" s="778"/>
      <c r="AO18" s="779"/>
      <c r="AW18" s="593"/>
      <c r="AX18" s="593"/>
      <c r="AY18" s="593"/>
      <c r="AZ18" s="593"/>
      <c r="BA18" s="609"/>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row>
    <row r="19" spans="1:130" s="283" customFormat="1" ht="40.5" customHeight="1" thickBot="1" x14ac:dyDescent="0.4">
      <c r="A19" s="615"/>
      <c r="B19" s="278"/>
      <c r="C19" s="279"/>
      <c r="D19" s="279"/>
      <c r="E19" s="280"/>
      <c r="F19" s="316"/>
      <c r="G19" s="279"/>
      <c r="H19" s="279"/>
      <c r="I19" s="279"/>
      <c r="J19" s="279"/>
      <c r="K19" s="279"/>
      <c r="L19" s="279"/>
      <c r="M19" s="279"/>
      <c r="N19" s="279"/>
      <c r="O19" s="279"/>
      <c r="P19" s="279"/>
      <c r="Q19" s="280"/>
      <c r="R19" s="581"/>
      <c r="S19" s="278"/>
      <c r="T19" s="278"/>
      <c r="U19" s="278"/>
      <c r="V19" s="278"/>
      <c r="W19" s="278"/>
      <c r="X19" s="278"/>
      <c r="Y19" s="278"/>
      <c r="Z19" s="278"/>
      <c r="AA19" s="278"/>
      <c r="AB19" s="278"/>
      <c r="AC19" s="379"/>
      <c r="AD19" s="281"/>
      <c r="AE19" s="278"/>
      <c r="AF19" s="278"/>
      <c r="AG19" s="278"/>
      <c r="AH19" s="278"/>
      <c r="AI19" s="278"/>
      <c r="AJ19" s="278"/>
      <c r="AK19" s="278"/>
      <c r="AL19" s="278"/>
      <c r="AM19" s="278"/>
      <c r="AN19" s="278"/>
      <c r="AO19" s="379"/>
      <c r="AP19" s="583"/>
      <c r="AV19" s="584"/>
      <c r="AW19" s="610"/>
    </row>
    <row r="20" spans="1:130" s="322" customFormat="1" ht="50.1" customHeight="1" thickBot="1" x14ac:dyDescent="0.25">
      <c r="A20" s="618" t="s">
        <v>272</v>
      </c>
      <c r="B20" s="317" t="s">
        <v>119</v>
      </c>
      <c r="C20" s="318" t="s">
        <v>120</v>
      </c>
      <c r="D20" s="318" t="s">
        <v>234</v>
      </c>
      <c r="E20" s="319">
        <v>315000</v>
      </c>
      <c r="F20" s="320"/>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764"/>
      <c r="AK20" s="765"/>
      <c r="AL20" s="766" t="s">
        <v>275</v>
      </c>
      <c r="AM20" s="767"/>
      <c r="AN20" s="767"/>
      <c r="AO20" s="767"/>
      <c r="AP20" s="767"/>
      <c r="AQ20" s="767"/>
      <c r="AR20" s="767"/>
      <c r="AS20" s="767"/>
      <c r="AT20" s="767"/>
      <c r="AU20" s="767"/>
      <c r="AV20" s="767"/>
      <c r="AW20" s="767"/>
      <c r="AX20" s="768"/>
      <c r="BA20" s="323"/>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row>
    <row r="21" spans="1:130" s="283" customFormat="1" ht="40.5" customHeight="1" thickBot="1" x14ac:dyDescent="0.4">
      <c r="A21" s="615"/>
      <c r="B21" s="278"/>
      <c r="C21" s="279"/>
      <c r="D21" s="279"/>
      <c r="E21" s="280"/>
      <c r="F21" s="281"/>
      <c r="G21" s="278"/>
      <c r="H21" s="278"/>
      <c r="I21" s="278"/>
      <c r="J21" s="278"/>
      <c r="K21" s="278"/>
      <c r="L21" s="278"/>
      <c r="M21" s="278"/>
      <c r="N21" s="278"/>
      <c r="O21" s="279"/>
      <c r="P21" s="279"/>
      <c r="Q21" s="280"/>
      <c r="R21" s="582"/>
      <c r="S21" s="279"/>
      <c r="T21" s="279"/>
      <c r="U21" s="279"/>
      <c r="V21" s="279"/>
      <c r="W21" s="279"/>
      <c r="X21" s="279"/>
      <c r="Y21" s="279"/>
      <c r="Z21" s="279"/>
      <c r="AA21" s="278"/>
      <c r="AB21" s="278"/>
      <c r="AC21" s="379"/>
      <c r="AD21" s="380"/>
      <c r="AE21" s="278"/>
      <c r="AF21" s="278"/>
      <c r="AG21" s="278"/>
      <c r="AH21" s="278"/>
      <c r="AI21" s="278"/>
      <c r="AJ21" s="278"/>
      <c r="AK21" s="278"/>
      <c r="AL21" s="278"/>
      <c r="AM21" s="278"/>
      <c r="AN21" s="278"/>
      <c r="AO21" s="379"/>
      <c r="AP21" s="388"/>
      <c r="AV21" s="611"/>
      <c r="AW21" s="285"/>
    </row>
    <row r="22" spans="1:130" s="328" customFormat="1" ht="50.1" hidden="1" customHeight="1" thickBot="1" x14ac:dyDescent="0.25">
      <c r="A22" s="619" t="s">
        <v>126</v>
      </c>
      <c r="B22" s="324" t="s">
        <v>55</v>
      </c>
      <c r="C22" s="325" t="s">
        <v>120</v>
      </c>
      <c r="D22" s="325" t="s">
        <v>56</v>
      </c>
      <c r="E22" s="326">
        <v>80000</v>
      </c>
      <c r="F22" s="327"/>
      <c r="N22" s="789">
        <v>80000</v>
      </c>
      <c r="O22" s="790"/>
      <c r="P22" s="790"/>
      <c r="Q22" s="790"/>
      <c r="R22" s="790"/>
      <c r="S22" s="790"/>
      <c r="T22" s="790"/>
      <c r="U22" s="790"/>
      <c r="V22" s="790"/>
      <c r="W22" s="790"/>
      <c r="X22" s="790"/>
      <c r="Y22" s="791"/>
      <c r="AV22" s="329"/>
      <c r="BA22" s="330"/>
    </row>
    <row r="23" spans="1:130" s="333" customFormat="1" ht="40.5" hidden="1" customHeight="1" thickBot="1" x14ac:dyDescent="0.4">
      <c r="A23" s="620"/>
      <c r="B23" s="331"/>
      <c r="C23" s="332"/>
      <c r="D23" s="332"/>
      <c r="E23" s="332"/>
      <c r="F23" s="281"/>
      <c r="G23" s="278"/>
      <c r="H23" s="278"/>
      <c r="I23" s="278"/>
      <c r="J23" s="278"/>
      <c r="K23" s="278"/>
      <c r="L23" s="278"/>
      <c r="M23" s="278"/>
      <c r="N23" s="278"/>
      <c r="O23" s="279"/>
      <c r="P23" s="279"/>
      <c r="Q23" s="280"/>
      <c r="R23" s="382"/>
      <c r="S23" s="279"/>
      <c r="T23" s="279"/>
      <c r="U23" s="279"/>
      <c r="V23" s="279"/>
      <c r="W23" s="279"/>
      <c r="X23" s="279"/>
      <c r="Y23" s="279"/>
      <c r="Z23" s="279"/>
      <c r="AA23" s="278"/>
      <c r="AB23" s="278"/>
      <c r="AC23" s="379"/>
      <c r="AD23" s="428"/>
      <c r="AE23" s="278"/>
      <c r="AF23" s="278"/>
      <c r="AG23" s="278"/>
      <c r="AH23" s="278"/>
      <c r="AI23" s="278"/>
      <c r="AJ23" s="278"/>
      <c r="AK23" s="278"/>
      <c r="AL23" s="278"/>
      <c r="AM23" s="278"/>
      <c r="AN23" s="278"/>
      <c r="AO23" s="379"/>
      <c r="AP23" s="387"/>
      <c r="AQ23" s="283"/>
      <c r="AR23" s="283"/>
      <c r="AS23" s="283"/>
      <c r="AT23" s="283"/>
      <c r="AU23" s="283"/>
      <c r="AV23" s="284"/>
    </row>
    <row r="24" spans="1:130" s="338" customFormat="1" ht="50.1" customHeight="1" thickBot="1" x14ac:dyDescent="0.25">
      <c r="A24" s="621" t="s">
        <v>274</v>
      </c>
      <c r="B24" s="334" t="s">
        <v>20</v>
      </c>
      <c r="C24" s="335" t="s">
        <v>120</v>
      </c>
      <c r="D24" s="336" t="s">
        <v>127</v>
      </c>
      <c r="E24" s="337">
        <v>30000</v>
      </c>
      <c r="F24" s="792">
        <v>1</v>
      </c>
      <c r="G24" s="793"/>
      <c r="H24" s="793"/>
      <c r="I24" s="793"/>
      <c r="J24" s="793"/>
      <c r="K24" s="793"/>
      <c r="L24" s="793"/>
      <c r="M24" s="793"/>
      <c r="N24" s="793"/>
      <c r="O24" s="793"/>
      <c r="P24" s="793"/>
      <c r="Q24" s="794"/>
      <c r="R24" s="795">
        <v>23000</v>
      </c>
      <c r="S24" s="770"/>
      <c r="T24" s="770"/>
      <c r="U24" s="770"/>
      <c r="V24" s="770"/>
      <c r="W24" s="770"/>
      <c r="X24" s="770"/>
      <c r="Y24" s="770"/>
      <c r="Z24" s="770"/>
      <c r="AA24" s="770"/>
      <c r="AB24" s="770"/>
      <c r="AC24" s="771"/>
      <c r="AD24" s="769" t="s">
        <v>195</v>
      </c>
      <c r="AE24" s="770"/>
      <c r="AF24" s="770"/>
      <c r="AG24" s="770"/>
      <c r="AH24" s="770"/>
      <c r="AI24" s="770"/>
      <c r="AJ24" s="770"/>
      <c r="AK24" s="770"/>
      <c r="AL24" s="770"/>
      <c r="AM24" s="770"/>
      <c r="AN24" s="770"/>
      <c r="AO24" s="771"/>
      <c r="BA24" s="339"/>
    </row>
    <row r="25" spans="1:130" s="283" customFormat="1" ht="40.5" customHeight="1" thickBot="1" x14ac:dyDescent="0.4">
      <c r="A25" s="615"/>
      <c r="B25" s="278"/>
      <c r="C25" s="279"/>
      <c r="D25" s="279"/>
      <c r="E25" s="280"/>
      <c r="F25" s="340"/>
      <c r="G25" s="279"/>
      <c r="H25" s="279"/>
      <c r="I25" s="279"/>
      <c r="J25" s="279"/>
      <c r="K25" s="279"/>
      <c r="L25" s="279"/>
      <c r="M25" s="279"/>
      <c r="N25" s="279"/>
      <c r="O25" s="279"/>
      <c r="P25" s="279"/>
      <c r="Q25" s="280"/>
      <c r="R25" s="384"/>
      <c r="S25" s="278"/>
      <c r="T25" s="278"/>
      <c r="U25" s="278"/>
      <c r="V25" s="278"/>
      <c r="W25" s="278"/>
      <c r="X25" s="278"/>
      <c r="Y25" s="278"/>
      <c r="Z25" s="278"/>
      <c r="AA25" s="278"/>
      <c r="AB25" s="278"/>
      <c r="AC25" s="379"/>
      <c r="AD25" s="380"/>
      <c r="AE25" s="278"/>
      <c r="AF25" s="278"/>
      <c r="AG25" s="278"/>
      <c r="AH25" s="278"/>
      <c r="AI25" s="278"/>
      <c r="AJ25" s="278"/>
      <c r="AK25" s="278"/>
      <c r="AL25" s="278"/>
      <c r="AM25" s="278"/>
      <c r="AN25" s="278"/>
      <c r="AO25" s="379"/>
      <c r="AP25" s="388"/>
      <c r="AV25" s="604"/>
      <c r="AW25" s="285"/>
    </row>
    <row r="26" spans="1:130" s="342" customFormat="1" ht="50.1" customHeight="1" thickBot="1" x14ac:dyDescent="0.25">
      <c r="A26" s="622" t="s">
        <v>273</v>
      </c>
      <c r="B26" s="345" t="s">
        <v>20</v>
      </c>
      <c r="C26" s="346" t="s">
        <v>120</v>
      </c>
      <c r="D26" s="346" t="s">
        <v>127</v>
      </c>
      <c r="E26" s="347">
        <v>43987</v>
      </c>
      <c r="F26" s="348"/>
      <c r="G26" s="349"/>
      <c r="H26" s="349"/>
      <c r="I26" s="349"/>
      <c r="J26" s="349"/>
      <c r="K26" s="349"/>
      <c r="L26" s="349"/>
      <c r="M26" s="349"/>
      <c r="N26" s="349"/>
      <c r="O26" s="796"/>
      <c r="P26" s="797"/>
      <c r="Q26" s="797"/>
      <c r="R26" s="797"/>
      <c r="S26" s="797"/>
      <c r="T26" s="797"/>
      <c r="U26" s="797"/>
      <c r="V26" s="797"/>
      <c r="W26" s="797"/>
      <c r="X26" s="797"/>
      <c r="Y26" s="797"/>
      <c r="Z26" s="798"/>
      <c r="AA26" s="349"/>
      <c r="AB26" s="349"/>
      <c r="AC26" s="349"/>
      <c r="AD26" s="349"/>
      <c r="AE26" s="349"/>
      <c r="AF26" s="349"/>
      <c r="AG26" s="349"/>
      <c r="AH26" s="349"/>
      <c r="AI26" s="349"/>
      <c r="AJ26" s="349"/>
      <c r="AK26" s="349"/>
      <c r="AL26" s="349"/>
      <c r="AM26" s="772" t="s">
        <v>271</v>
      </c>
      <c r="AN26" s="773"/>
      <c r="AO26" s="773"/>
      <c r="AP26" s="773"/>
      <c r="AQ26" s="773"/>
      <c r="AR26" s="773"/>
      <c r="AS26" s="773"/>
      <c r="AT26" s="773"/>
      <c r="AU26" s="774"/>
      <c r="AX26" s="343"/>
      <c r="BA26" s="343"/>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row>
    <row r="27" spans="1:130" s="283" customFormat="1" ht="35.25" customHeight="1" thickBot="1" x14ac:dyDescent="0.4">
      <c r="A27" s="344"/>
      <c r="B27" s="278"/>
      <c r="C27" s="279"/>
      <c r="D27" s="279"/>
      <c r="E27" s="280"/>
      <c r="F27" s="340"/>
      <c r="G27" s="279"/>
      <c r="H27" s="279"/>
      <c r="I27" s="279"/>
      <c r="J27" s="279"/>
      <c r="K27" s="279"/>
      <c r="L27" s="279"/>
      <c r="M27" s="279"/>
      <c r="N27" s="279"/>
      <c r="O27" s="279"/>
      <c r="P27" s="279"/>
      <c r="Q27" s="280"/>
      <c r="R27" s="382"/>
      <c r="S27" s="279"/>
      <c r="T27" s="279"/>
      <c r="U27" s="279"/>
      <c r="V27" s="279"/>
      <c r="W27" s="279"/>
      <c r="X27" s="279"/>
      <c r="Y27" s="279"/>
      <c r="Z27" s="279"/>
      <c r="AA27" s="278"/>
      <c r="AB27" s="278"/>
      <c r="AC27" s="379"/>
      <c r="AD27" s="385"/>
      <c r="AE27" s="278"/>
      <c r="AF27" s="278"/>
      <c r="AG27" s="278"/>
      <c r="AH27" s="278"/>
      <c r="AI27" s="278"/>
      <c r="AJ27" s="278"/>
      <c r="AK27" s="278"/>
      <c r="AL27" s="278"/>
      <c r="AM27" s="278"/>
      <c r="AN27" s="278"/>
      <c r="AO27" s="278"/>
      <c r="AV27" s="613"/>
      <c r="AW27" s="285"/>
    </row>
    <row r="28" spans="1:130" s="351" customFormat="1" ht="39.950000000000003" hidden="1" customHeight="1" thickBot="1" x14ac:dyDescent="0.25">
      <c r="A28" s="341" t="s">
        <v>152</v>
      </c>
      <c r="B28" s="345" t="s">
        <v>20</v>
      </c>
      <c r="C28" s="346" t="s">
        <v>120</v>
      </c>
      <c r="D28" s="346" t="s">
        <v>127</v>
      </c>
      <c r="E28" s="347"/>
      <c r="F28" s="348"/>
      <c r="G28" s="349"/>
      <c r="H28" s="349"/>
      <c r="I28" s="349"/>
      <c r="J28" s="349"/>
      <c r="K28" s="349"/>
      <c r="L28" s="349"/>
      <c r="M28" s="349"/>
      <c r="N28" s="349"/>
      <c r="O28" s="783">
        <v>0</v>
      </c>
      <c r="P28" s="784"/>
      <c r="Q28" s="784"/>
      <c r="R28" s="784"/>
      <c r="S28" s="784"/>
      <c r="T28" s="784"/>
      <c r="U28" s="784"/>
      <c r="V28" s="784"/>
      <c r="W28" s="784"/>
      <c r="X28" s="784"/>
      <c r="Y28" s="784"/>
      <c r="Z28" s="785"/>
      <c r="AA28" s="349"/>
      <c r="AB28" s="349"/>
      <c r="AC28" s="349"/>
      <c r="AD28" s="349"/>
      <c r="AE28" s="349"/>
      <c r="AF28" s="349"/>
      <c r="AG28" s="349"/>
      <c r="AH28" s="349"/>
      <c r="AI28" s="349"/>
      <c r="AJ28" s="349"/>
      <c r="AK28" s="349"/>
      <c r="AL28" s="349"/>
      <c r="AM28" s="349"/>
      <c r="AN28" s="349"/>
      <c r="AO28" s="349"/>
      <c r="AP28" s="350"/>
      <c r="AQ28" s="350"/>
      <c r="AR28" s="350"/>
      <c r="AS28" s="350"/>
      <c r="AT28" s="350"/>
      <c r="AU28" s="350"/>
      <c r="AV28" s="612"/>
      <c r="AW28" s="342"/>
      <c r="AX28" s="342"/>
      <c r="AY28" s="342"/>
      <c r="AZ28" s="342"/>
      <c r="BA28" s="343"/>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row>
    <row r="29" spans="1:130" s="283" customFormat="1" ht="21" x14ac:dyDescent="0.35">
      <c r="A29" s="352"/>
      <c r="B29" s="278"/>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8"/>
      <c r="AB29" s="278"/>
      <c r="AC29" s="278"/>
      <c r="AD29" s="278"/>
      <c r="AE29" s="278"/>
      <c r="AF29" s="278"/>
      <c r="AG29" s="278"/>
      <c r="AH29" s="278"/>
      <c r="AI29" s="278"/>
      <c r="AJ29" s="278"/>
      <c r="AK29" s="278"/>
      <c r="AL29" s="278"/>
      <c r="AM29" s="278"/>
      <c r="AN29" s="278"/>
      <c r="AO29" s="278"/>
    </row>
  </sheetData>
  <mergeCells count="43">
    <mergeCell ref="L12:T12"/>
    <mergeCell ref="U12:AF12"/>
    <mergeCell ref="AG12:AI12"/>
    <mergeCell ref="I11:K11"/>
    <mergeCell ref="F6:Q6"/>
    <mergeCell ref="L11:W11"/>
    <mergeCell ref="R6:AC6"/>
    <mergeCell ref="X11:AI11"/>
    <mergeCell ref="AJ11:AU11"/>
    <mergeCell ref="A6:A7"/>
    <mergeCell ref="B6:B7"/>
    <mergeCell ref="C6:C7"/>
    <mergeCell ref="D6:D7"/>
    <mergeCell ref="E6:E7"/>
    <mergeCell ref="A11:A12"/>
    <mergeCell ref="B11:B12"/>
    <mergeCell ref="C11:C12"/>
    <mergeCell ref="D11:D12"/>
    <mergeCell ref="E11:E12"/>
    <mergeCell ref="AP6:AV6"/>
    <mergeCell ref="AD6:AO6"/>
    <mergeCell ref="G9:R9"/>
    <mergeCell ref="S9:AF9"/>
    <mergeCell ref="AG9:AR9"/>
    <mergeCell ref="A14:A16"/>
    <mergeCell ref="I14:T14"/>
    <mergeCell ref="I15:T15"/>
    <mergeCell ref="U15:AF15"/>
    <mergeCell ref="L16:W16"/>
    <mergeCell ref="O28:Z28"/>
    <mergeCell ref="F18:Q18"/>
    <mergeCell ref="R18:AC18"/>
    <mergeCell ref="N22:Y22"/>
    <mergeCell ref="F24:Q24"/>
    <mergeCell ref="R24:AC24"/>
    <mergeCell ref="O26:Z26"/>
    <mergeCell ref="AJ20:AK20"/>
    <mergeCell ref="AL20:AX20"/>
    <mergeCell ref="AD24:AO24"/>
    <mergeCell ref="AM26:AU26"/>
    <mergeCell ref="AS12:AU12"/>
    <mergeCell ref="AD18:AO18"/>
    <mergeCell ref="AJ16:AU16"/>
  </mergeCells>
  <pageMargins left="0.45" right="0.45" top="0.5" bottom="0" header="0.3" footer="0.3"/>
  <pageSetup paperSize="5"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13"/>
  <sheetViews>
    <sheetView zoomScale="75" zoomScaleNormal="75" workbookViewId="0">
      <selection activeCell="D13" sqref="D13:E13"/>
    </sheetView>
  </sheetViews>
  <sheetFormatPr defaultRowHeight="14.25" x14ac:dyDescent="0.2"/>
  <cols>
    <col min="1" max="1" width="1.875" style="58" customWidth="1"/>
    <col min="2" max="2" width="51.125" style="58" bestFit="1"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441</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442</v>
      </c>
      <c r="D4" s="93" t="s">
        <v>109</v>
      </c>
      <c r="E4" s="93" t="s">
        <v>353</v>
      </c>
      <c r="F4" s="93" t="s">
        <v>443</v>
      </c>
      <c r="G4" s="93" t="s">
        <v>94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52" t="s">
        <v>88</v>
      </c>
      <c r="B5" s="853"/>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492" customFormat="1" ht="24.95" hidden="1" customHeight="1" x14ac:dyDescent="0.25">
      <c r="A6" s="487"/>
      <c r="B6" s="125" t="s">
        <v>351</v>
      </c>
      <c r="C6" s="488"/>
      <c r="D6" s="493"/>
      <c r="E6" s="488"/>
      <c r="F6" s="489"/>
      <c r="G6" s="167">
        <f>ROUND(SUM(C6:F6),5)</f>
        <v>0</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1"/>
      <c r="CW6" s="491"/>
      <c r="CX6" s="491"/>
      <c r="CY6" s="491"/>
      <c r="CZ6" s="491"/>
      <c r="DA6" s="491"/>
      <c r="DB6" s="491"/>
      <c r="DC6" s="491"/>
      <c r="DD6" s="491"/>
      <c r="DE6" s="491"/>
      <c r="DF6" s="491"/>
      <c r="DG6" s="491"/>
      <c r="DH6" s="491"/>
      <c r="DI6" s="491"/>
      <c r="DJ6" s="491"/>
      <c r="DK6" s="491"/>
      <c r="DL6" s="491"/>
      <c r="DM6" s="491"/>
      <c r="DN6" s="491"/>
      <c r="DO6" s="491"/>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c r="EU6" s="491"/>
      <c r="EV6" s="491"/>
      <c r="EW6" s="491"/>
      <c r="EX6" s="491"/>
      <c r="EY6" s="491"/>
      <c r="EZ6" s="491"/>
      <c r="FA6" s="491"/>
      <c r="FB6" s="491"/>
      <c r="FC6" s="491"/>
      <c r="FD6" s="491"/>
      <c r="FE6" s="491"/>
      <c r="FF6" s="491"/>
      <c r="FG6" s="491"/>
      <c r="FH6" s="491"/>
      <c r="FI6" s="491"/>
      <c r="FJ6" s="491"/>
      <c r="FK6" s="491"/>
      <c r="FL6" s="491"/>
      <c r="FM6" s="491"/>
      <c r="FN6" s="491"/>
      <c r="FO6" s="491"/>
      <c r="FP6" s="491"/>
      <c r="FQ6" s="491"/>
      <c r="FR6" s="491"/>
      <c r="FS6" s="491"/>
      <c r="FT6" s="491"/>
      <c r="FU6" s="491"/>
      <c r="FV6" s="491"/>
      <c r="FW6" s="491"/>
      <c r="FX6" s="491"/>
      <c r="FY6" s="491"/>
      <c r="FZ6" s="491"/>
      <c r="GA6" s="491"/>
      <c r="GB6" s="491"/>
      <c r="GC6" s="491"/>
      <c r="GD6" s="491"/>
      <c r="GE6" s="491"/>
      <c r="GF6" s="491"/>
      <c r="GG6" s="491"/>
      <c r="GH6" s="491"/>
      <c r="GI6" s="491"/>
      <c r="GJ6" s="491"/>
      <c r="GK6" s="491"/>
      <c r="GL6" s="491"/>
      <c r="GM6" s="491"/>
      <c r="GN6" s="491"/>
      <c r="GO6" s="491"/>
      <c r="GP6" s="491"/>
      <c r="GQ6" s="491"/>
      <c r="GR6" s="491"/>
      <c r="GS6" s="491"/>
      <c r="GT6" s="491"/>
      <c r="GU6" s="491"/>
      <c r="GV6" s="491"/>
      <c r="GW6" s="491"/>
      <c r="GX6" s="491"/>
      <c r="GY6" s="491"/>
      <c r="GZ6" s="491"/>
      <c r="HA6" s="491"/>
      <c r="HB6" s="491"/>
      <c r="HC6" s="491"/>
      <c r="HD6" s="491"/>
      <c r="HE6" s="491"/>
      <c r="HF6" s="491"/>
      <c r="HG6" s="491"/>
      <c r="HH6" s="491"/>
      <c r="HI6" s="491"/>
      <c r="HJ6" s="491"/>
      <c r="HK6" s="491"/>
      <c r="HL6" s="491"/>
      <c r="HM6" s="491"/>
      <c r="HN6" s="491"/>
      <c r="HO6" s="491"/>
      <c r="HP6" s="491"/>
      <c r="HQ6" s="491"/>
      <c r="HR6" s="491"/>
      <c r="HS6" s="491"/>
      <c r="HT6" s="491"/>
      <c r="HU6" s="491"/>
      <c r="HV6" s="491"/>
      <c r="HW6" s="491"/>
      <c r="HX6" s="491"/>
      <c r="HY6" s="491"/>
      <c r="HZ6" s="491"/>
      <c r="IA6" s="491"/>
      <c r="IB6" s="491"/>
      <c r="IC6" s="491"/>
      <c r="ID6" s="491"/>
      <c r="IE6" s="491"/>
      <c r="IF6" s="491"/>
      <c r="IG6" s="491"/>
      <c r="IH6" s="491"/>
      <c r="II6" s="491"/>
      <c r="IJ6" s="491"/>
      <c r="IK6" s="491"/>
      <c r="IL6" s="491"/>
      <c r="IM6" s="491"/>
      <c r="IN6" s="491"/>
      <c r="IO6" s="491"/>
      <c r="IP6" s="491"/>
      <c r="IQ6" s="491"/>
      <c r="IR6" s="491"/>
      <c r="IS6" s="491"/>
      <c r="IT6" s="491"/>
      <c r="IU6" s="491"/>
      <c r="IV6" s="491"/>
      <c r="IW6" s="491"/>
      <c r="IX6" s="491"/>
      <c r="IY6" s="491"/>
      <c r="IZ6" s="491"/>
      <c r="JA6" s="491"/>
      <c r="JB6" s="491"/>
      <c r="JC6" s="491"/>
      <c r="JD6" s="491"/>
      <c r="JE6" s="491"/>
      <c r="JF6" s="491"/>
      <c r="JG6" s="491"/>
      <c r="JH6" s="491"/>
      <c r="JI6" s="491"/>
      <c r="JJ6" s="491"/>
      <c r="JK6" s="491"/>
      <c r="JL6" s="491"/>
      <c r="JM6" s="491"/>
      <c r="JN6" s="491"/>
      <c r="JO6" s="491"/>
      <c r="JP6" s="491"/>
      <c r="JQ6" s="491"/>
      <c r="JR6" s="491"/>
      <c r="JS6" s="491"/>
      <c r="JT6" s="491"/>
      <c r="JU6" s="491"/>
      <c r="JV6" s="491"/>
      <c r="JW6" s="491"/>
      <c r="JX6" s="491"/>
      <c r="JY6" s="491"/>
      <c r="JZ6" s="491"/>
      <c r="KA6" s="491"/>
      <c r="KB6" s="491"/>
      <c r="KC6" s="491"/>
      <c r="KD6" s="491"/>
      <c r="KE6" s="491"/>
      <c r="KF6" s="491"/>
      <c r="KG6" s="491"/>
      <c r="KH6" s="491"/>
      <c r="KI6" s="491"/>
      <c r="KJ6" s="491"/>
      <c r="KK6" s="491"/>
      <c r="KL6" s="491"/>
      <c r="KM6" s="491"/>
      <c r="KN6" s="491"/>
      <c r="KO6" s="491"/>
      <c r="KP6" s="491"/>
      <c r="KQ6" s="491"/>
      <c r="KR6" s="491"/>
      <c r="KS6" s="491"/>
      <c r="KT6" s="491"/>
      <c r="KU6" s="491"/>
      <c r="KV6" s="491"/>
      <c r="KW6" s="491"/>
      <c r="KX6" s="491"/>
      <c r="KY6" s="491"/>
      <c r="KZ6" s="491"/>
      <c r="LA6" s="491"/>
      <c r="LB6" s="491"/>
      <c r="LC6" s="491"/>
      <c r="LD6" s="491"/>
      <c r="LE6" s="491"/>
      <c r="LF6" s="491"/>
      <c r="LG6" s="491"/>
      <c r="LH6" s="491"/>
      <c r="LI6" s="491"/>
      <c r="LJ6" s="491"/>
      <c r="LK6" s="491"/>
      <c r="LL6" s="491"/>
      <c r="LM6" s="491"/>
      <c r="LN6" s="491"/>
      <c r="LO6" s="491"/>
      <c r="LP6" s="491"/>
      <c r="LQ6" s="491"/>
      <c r="LR6" s="491"/>
      <c r="LS6" s="491"/>
      <c r="LT6" s="491"/>
      <c r="LU6" s="491"/>
      <c r="LV6" s="491"/>
      <c r="LW6" s="491"/>
      <c r="LX6" s="491"/>
      <c r="LY6" s="491"/>
      <c r="LZ6" s="491"/>
      <c r="MA6" s="491"/>
      <c r="MB6" s="491"/>
      <c r="MC6" s="491"/>
      <c r="MD6" s="491"/>
      <c r="ME6" s="491"/>
      <c r="MF6" s="491"/>
      <c r="MG6" s="491"/>
      <c r="MH6" s="491"/>
      <c r="MI6" s="491"/>
      <c r="MJ6" s="491"/>
      <c r="MK6" s="491"/>
      <c r="ML6" s="491"/>
      <c r="MM6" s="491"/>
      <c r="MN6" s="491"/>
      <c r="MO6" s="491"/>
      <c r="MP6" s="491"/>
      <c r="MQ6" s="491"/>
      <c r="MR6" s="491"/>
      <c r="MS6" s="491"/>
      <c r="MT6" s="491"/>
      <c r="MU6" s="491"/>
      <c r="MV6" s="491"/>
      <c r="MW6" s="491"/>
      <c r="MX6" s="491"/>
      <c r="MY6" s="491"/>
      <c r="MZ6" s="491"/>
      <c r="NA6" s="491"/>
      <c r="NB6" s="491"/>
      <c r="NC6" s="491"/>
      <c r="ND6" s="491"/>
      <c r="NE6" s="491"/>
      <c r="NF6" s="491"/>
      <c r="NG6" s="491"/>
      <c r="NH6" s="491"/>
      <c r="NI6" s="491"/>
      <c r="NJ6" s="491"/>
      <c r="NK6" s="491"/>
      <c r="NL6" s="491"/>
      <c r="NM6" s="491"/>
      <c r="NN6" s="491"/>
      <c r="NO6" s="491"/>
      <c r="NP6" s="491"/>
      <c r="NQ6" s="491"/>
      <c r="NR6" s="491"/>
      <c r="NS6" s="491"/>
      <c r="NT6" s="491"/>
      <c r="NU6" s="491"/>
      <c r="NV6" s="491"/>
      <c r="NW6" s="491"/>
      <c r="NX6" s="491"/>
      <c r="NY6" s="491"/>
      <c r="NZ6" s="491"/>
      <c r="OA6" s="491"/>
      <c r="OB6" s="491"/>
      <c r="OC6" s="491"/>
      <c r="OD6" s="491"/>
      <c r="OE6" s="491"/>
      <c r="OF6" s="491"/>
      <c r="OG6" s="491"/>
      <c r="OH6" s="491"/>
      <c r="OI6" s="491"/>
      <c r="OJ6" s="491"/>
      <c r="OK6" s="491"/>
      <c r="OL6" s="491"/>
      <c r="OM6" s="491"/>
      <c r="ON6" s="491"/>
      <c r="OO6" s="491"/>
      <c r="OP6" s="491"/>
      <c r="OQ6" s="491"/>
      <c r="OR6" s="491"/>
      <c r="OS6" s="491"/>
      <c r="OT6" s="491"/>
      <c r="OU6" s="491"/>
      <c r="OV6" s="491"/>
      <c r="OW6" s="491"/>
      <c r="OX6" s="491"/>
      <c r="OY6" s="491"/>
      <c r="OZ6" s="491"/>
      <c r="PA6" s="491"/>
      <c r="PB6" s="491"/>
      <c r="PC6" s="491"/>
      <c r="PD6" s="491"/>
      <c r="PE6" s="491"/>
      <c r="PF6" s="491"/>
      <c r="PG6" s="491"/>
      <c r="PH6" s="491"/>
      <c r="PI6" s="491"/>
      <c r="PJ6" s="491"/>
      <c r="PK6" s="491"/>
      <c r="PL6" s="491"/>
      <c r="PM6" s="491"/>
      <c r="PN6" s="491"/>
      <c r="PO6" s="491"/>
      <c r="PP6" s="491"/>
      <c r="PQ6" s="491"/>
      <c r="PR6" s="491"/>
      <c r="PS6" s="491"/>
      <c r="PT6" s="491"/>
      <c r="PU6" s="491"/>
      <c r="PV6" s="491"/>
      <c r="PW6" s="491"/>
      <c r="PX6" s="491"/>
      <c r="PY6" s="491"/>
      <c r="PZ6" s="491"/>
      <c r="QA6" s="491"/>
      <c r="QB6" s="491"/>
      <c r="QC6" s="491"/>
      <c r="QD6" s="491"/>
      <c r="QE6" s="491"/>
      <c r="QF6" s="491"/>
      <c r="QG6" s="491"/>
      <c r="QH6" s="491"/>
      <c r="QI6" s="491"/>
      <c r="QJ6" s="491"/>
      <c r="QK6" s="491"/>
      <c r="QL6" s="491"/>
      <c r="QM6" s="491"/>
      <c r="QN6" s="491"/>
      <c r="QO6" s="491"/>
      <c r="QP6" s="491"/>
      <c r="QQ6" s="491"/>
      <c r="QR6" s="491"/>
      <c r="QS6" s="491"/>
      <c r="QT6" s="491"/>
      <c r="QU6" s="491"/>
      <c r="QV6" s="491"/>
      <c r="QW6" s="491"/>
      <c r="QX6" s="491"/>
      <c r="QY6" s="491"/>
      <c r="QZ6" s="491"/>
      <c r="RA6" s="491"/>
      <c r="RB6" s="491"/>
      <c r="RC6" s="491"/>
      <c r="RD6" s="491"/>
      <c r="RE6" s="491"/>
      <c r="RF6" s="491"/>
      <c r="RG6" s="491"/>
      <c r="RH6" s="491"/>
      <c r="RI6" s="491"/>
      <c r="RJ6" s="491"/>
      <c r="RK6" s="491"/>
      <c r="RL6" s="491"/>
      <c r="RM6" s="491"/>
      <c r="RN6" s="491"/>
      <c r="RO6" s="491"/>
      <c r="RP6" s="491"/>
      <c r="RQ6" s="491"/>
      <c r="RR6" s="491"/>
      <c r="RS6" s="491"/>
      <c r="RT6" s="491"/>
      <c r="RU6" s="491"/>
      <c r="RV6" s="491"/>
      <c r="RW6" s="491"/>
      <c r="RX6" s="491"/>
      <c r="RY6" s="491"/>
      <c r="RZ6" s="491"/>
      <c r="SA6" s="491"/>
      <c r="SB6" s="491"/>
      <c r="SC6" s="491"/>
      <c r="SD6" s="491"/>
      <c r="SE6" s="491"/>
      <c r="SF6" s="491"/>
      <c r="SG6" s="491"/>
      <c r="SH6" s="491"/>
      <c r="SI6" s="491"/>
      <c r="SJ6" s="491"/>
      <c r="SK6" s="491"/>
      <c r="SL6" s="491"/>
      <c r="SM6" s="491"/>
      <c r="SN6" s="491"/>
      <c r="SO6" s="491"/>
      <c r="SP6" s="491"/>
      <c r="SQ6" s="491"/>
      <c r="SR6" s="491"/>
      <c r="SS6" s="491"/>
      <c r="ST6" s="491"/>
      <c r="SU6" s="491"/>
      <c r="SV6" s="491"/>
      <c r="SW6" s="491"/>
      <c r="SX6" s="491"/>
      <c r="SY6" s="491"/>
      <c r="SZ6" s="491"/>
      <c r="TA6" s="491"/>
      <c r="TB6" s="491"/>
      <c r="TC6" s="491"/>
      <c r="TD6" s="491"/>
      <c r="TE6" s="491"/>
      <c r="TF6" s="491"/>
      <c r="TG6" s="491"/>
      <c r="TH6" s="491"/>
      <c r="TI6" s="491"/>
      <c r="TJ6" s="491"/>
      <c r="TK6" s="491"/>
      <c r="TL6" s="491"/>
      <c r="TM6" s="491"/>
      <c r="TN6" s="491"/>
      <c r="TO6" s="491"/>
      <c r="TP6" s="491"/>
      <c r="TQ6" s="491"/>
      <c r="TR6" s="491"/>
      <c r="TS6" s="491"/>
      <c r="TT6" s="491"/>
      <c r="TU6" s="491"/>
      <c r="TV6" s="491"/>
      <c r="TW6" s="491"/>
      <c r="TX6" s="491"/>
      <c r="TY6" s="491"/>
      <c r="TZ6" s="491"/>
      <c r="UA6" s="491"/>
      <c r="UB6" s="491"/>
      <c r="UC6" s="491"/>
      <c r="UD6" s="491"/>
      <c r="UE6" s="491"/>
      <c r="UF6" s="491"/>
      <c r="UG6" s="491"/>
      <c r="UH6" s="491"/>
      <c r="UI6" s="491"/>
      <c r="UJ6" s="491"/>
      <c r="UK6" s="491"/>
      <c r="UL6" s="491"/>
      <c r="UM6" s="491"/>
      <c r="UN6" s="491"/>
      <c r="UO6" s="491"/>
      <c r="UP6" s="491"/>
      <c r="UQ6" s="491"/>
      <c r="UR6" s="491"/>
      <c r="US6" s="491"/>
      <c r="UT6" s="491"/>
      <c r="UU6" s="491"/>
      <c r="UV6" s="491"/>
      <c r="UW6" s="491"/>
      <c r="UX6" s="491"/>
      <c r="UY6" s="491"/>
      <c r="UZ6" s="491"/>
      <c r="VA6" s="491"/>
      <c r="VB6" s="491"/>
      <c r="VC6" s="491"/>
      <c r="VD6" s="491"/>
      <c r="VE6" s="491"/>
      <c r="VF6" s="491"/>
      <c r="VG6" s="491"/>
      <c r="VH6" s="491"/>
      <c r="VI6" s="491"/>
      <c r="VJ6" s="491"/>
      <c r="VK6" s="491"/>
      <c r="VL6" s="491"/>
      <c r="VM6" s="491"/>
      <c r="VN6" s="491"/>
      <c r="VO6" s="491"/>
      <c r="VP6" s="491"/>
      <c r="VQ6" s="491"/>
      <c r="VR6" s="491"/>
      <c r="VS6" s="491"/>
      <c r="VT6" s="491"/>
      <c r="VU6" s="491"/>
      <c r="VV6" s="491"/>
      <c r="VW6" s="491"/>
      <c r="VX6" s="491"/>
      <c r="VY6" s="491"/>
      <c r="VZ6" s="491"/>
      <c r="WA6" s="491"/>
      <c r="WB6" s="491"/>
      <c r="WC6" s="491"/>
      <c r="WD6" s="491"/>
      <c r="WE6" s="491"/>
      <c r="WF6" s="491"/>
      <c r="WG6" s="491"/>
      <c r="WH6" s="491"/>
      <c r="WI6" s="491"/>
      <c r="WJ6" s="491"/>
      <c r="WK6" s="491"/>
      <c r="WL6" s="491"/>
      <c r="WM6" s="491"/>
      <c r="WN6" s="491"/>
      <c r="WO6" s="491"/>
      <c r="WP6" s="491"/>
      <c r="WQ6" s="491"/>
      <c r="WR6" s="491"/>
      <c r="WS6" s="491"/>
      <c r="WT6" s="491"/>
      <c r="WU6" s="491"/>
      <c r="WV6" s="491"/>
      <c r="WW6" s="491"/>
      <c r="WX6" s="491"/>
      <c r="WY6" s="491"/>
      <c r="WZ6" s="491"/>
      <c r="XA6" s="491"/>
      <c r="XB6" s="491"/>
      <c r="XC6" s="491"/>
      <c r="XD6" s="491"/>
      <c r="XE6" s="491"/>
      <c r="XF6" s="491"/>
      <c r="XG6" s="491"/>
      <c r="XH6" s="491"/>
      <c r="XI6" s="491"/>
      <c r="XJ6" s="491"/>
      <c r="XK6" s="491"/>
      <c r="XL6" s="491"/>
      <c r="XM6" s="491"/>
      <c r="XN6" s="491"/>
      <c r="XO6" s="491"/>
      <c r="XP6" s="491"/>
      <c r="XQ6" s="491"/>
      <c r="XR6" s="491"/>
      <c r="XS6" s="491"/>
      <c r="XT6" s="491"/>
      <c r="XU6" s="491"/>
      <c r="XV6" s="491"/>
      <c r="XW6" s="491"/>
      <c r="XX6" s="491"/>
      <c r="XY6" s="491"/>
      <c r="XZ6" s="491"/>
      <c r="YA6" s="491"/>
      <c r="YB6" s="491"/>
      <c r="YC6" s="491"/>
      <c r="YD6" s="491"/>
      <c r="YE6" s="491"/>
      <c r="YF6" s="491"/>
      <c r="YG6" s="491"/>
      <c r="YH6" s="491"/>
      <c r="YI6" s="491"/>
      <c r="YJ6" s="491"/>
      <c r="YK6" s="491"/>
      <c r="YL6" s="491"/>
      <c r="YM6" s="491"/>
      <c r="YN6" s="491"/>
      <c r="YO6" s="491"/>
      <c r="YP6" s="491"/>
      <c r="YQ6" s="491"/>
      <c r="YR6" s="491"/>
      <c r="YS6" s="491"/>
      <c r="YT6" s="491"/>
      <c r="YU6" s="491"/>
      <c r="YV6" s="491"/>
      <c r="YW6" s="491"/>
      <c r="YX6" s="491"/>
      <c r="YY6" s="491"/>
      <c r="YZ6" s="491"/>
      <c r="ZA6" s="491"/>
      <c r="ZB6" s="491"/>
      <c r="ZC6" s="491"/>
      <c r="ZD6" s="491"/>
      <c r="ZE6" s="491"/>
      <c r="ZF6" s="491"/>
      <c r="ZG6" s="491"/>
      <c r="ZH6" s="491"/>
      <c r="ZI6" s="491"/>
      <c r="ZJ6" s="491"/>
      <c r="ZK6" s="491"/>
      <c r="ZL6" s="491"/>
      <c r="ZM6" s="491"/>
      <c r="ZN6" s="491"/>
      <c r="ZO6" s="491"/>
      <c r="ZP6" s="491"/>
      <c r="ZQ6" s="491"/>
      <c r="ZR6" s="491"/>
      <c r="ZS6" s="491"/>
      <c r="ZT6" s="491"/>
      <c r="ZU6" s="491"/>
      <c r="ZV6" s="491"/>
      <c r="ZW6" s="491"/>
      <c r="ZX6" s="491"/>
      <c r="ZY6" s="491"/>
      <c r="ZZ6" s="491"/>
      <c r="AAA6" s="491"/>
      <c r="AAB6" s="491"/>
      <c r="AAC6" s="491"/>
      <c r="AAD6" s="491"/>
      <c r="AAE6" s="491"/>
      <c r="AAF6" s="491"/>
      <c r="AAG6" s="491"/>
      <c r="AAH6" s="491"/>
      <c r="AAI6" s="491"/>
      <c r="AAJ6" s="491"/>
      <c r="AAK6" s="491"/>
      <c r="AAL6" s="491"/>
      <c r="AAM6" s="491"/>
      <c r="AAN6" s="491"/>
      <c r="AAO6" s="491"/>
      <c r="AAP6" s="491"/>
      <c r="AAQ6" s="491"/>
      <c r="AAR6" s="491"/>
      <c r="AAS6" s="491"/>
      <c r="AAT6" s="491"/>
      <c r="AAU6" s="491"/>
      <c r="AAV6" s="491"/>
      <c r="AAW6" s="491"/>
      <c r="AAX6" s="491"/>
      <c r="AAY6" s="491"/>
      <c r="AAZ6" s="491"/>
      <c r="ABA6" s="491"/>
      <c r="ABB6" s="491"/>
      <c r="ABC6" s="491"/>
      <c r="ABD6" s="491"/>
      <c r="ABE6" s="491"/>
      <c r="ABF6" s="491"/>
      <c r="ABG6" s="491"/>
      <c r="ABH6" s="491"/>
      <c r="ABI6" s="491"/>
      <c r="ABJ6" s="491"/>
      <c r="ABK6" s="491"/>
      <c r="ABL6" s="491"/>
      <c r="ABM6" s="491"/>
      <c r="ABN6" s="491"/>
      <c r="ABO6" s="491"/>
      <c r="ABP6" s="491"/>
      <c r="ABQ6" s="491"/>
      <c r="ABR6" s="491"/>
      <c r="ABS6" s="491"/>
      <c r="ABT6" s="491"/>
      <c r="ABU6" s="491"/>
      <c r="ABV6" s="491"/>
      <c r="ABW6" s="491"/>
      <c r="ABX6" s="491"/>
      <c r="ABY6" s="491"/>
      <c r="ABZ6" s="491"/>
      <c r="ACA6" s="491"/>
      <c r="ACB6" s="491"/>
      <c r="ACC6" s="491"/>
      <c r="ACD6" s="491"/>
      <c r="ACE6" s="491"/>
      <c r="ACF6" s="491"/>
      <c r="ACG6" s="491"/>
      <c r="ACH6" s="491"/>
      <c r="ACI6" s="491"/>
      <c r="ACJ6" s="491"/>
      <c r="ACK6" s="491"/>
      <c r="ACL6" s="491"/>
      <c r="ACM6" s="491"/>
      <c r="ACN6" s="491"/>
      <c r="ACO6" s="491"/>
      <c r="ACP6" s="491"/>
      <c r="ACQ6" s="491"/>
      <c r="ACR6" s="491"/>
      <c r="ACS6" s="491"/>
      <c r="ACT6" s="491"/>
      <c r="ACU6" s="491"/>
      <c r="ACV6" s="491"/>
      <c r="ACW6" s="491"/>
      <c r="ACX6" s="491"/>
      <c r="ACY6" s="491"/>
      <c r="ACZ6" s="491"/>
      <c r="ADA6" s="491"/>
      <c r="ADB6" s="491"/>
      <c r="ADC6" s="491"/>
      <c r="ADD6" s="491"/>
      <c r="ADE6" s="491"/>
      <c r="ADF6" s="491"/>
      <c r="ADG6" s="491"/>
      <c r="ADH6" s="491"/>
      <c r="ADI6" s="491"/>
      <c r="ADJ6" s="491"/>
      <c r="ADK6" s="491"/>
      <c r="ADL6" s="491"/>
      <c r="ADM6" s="491"/>
      <c r="ADN6" s="491"/>
      <c r="ADO6" s="491"/>
      <c r="ADP6" s="491"/>
      <c r="ADQ6" s="491"/>
      <c r="ADR6" s="491"/>
      <c r="ADS6" s="491"/>
      <c r="ADT6" s="491"/>
      <c r="ADU6" s="491"/>
      <c r="ADV6" s="491"/>
      <c r="ADW6" s="491"/>
      <c r="ADX6" s="491"/>
      <c r="ADY6" s="491"/>
      <c r="ADZ6" s="491"/>
      <c r="AEA6" s="491"/>
      <c r="AEB6" s="491"/>
      <c r="AEC6" s="491"/>
      <c r="AED6" s="491"/>
      <c r="AEE6" s="491"/>
      <c r="AEF6" s="491"/>
      <c r="AEG6" s="491"/>
      <c r="AEH6" s="491"/>
      <c r="AEI6" s="491"/>
      <c r="AEJ6" s="491"/>
      <c r="AEK6" s="491"/>
      <c r="AEL6" s="491"/>
      <c r="AEM6" s="491"/>
      <c r="AEN6" s="491"/>
      <c r="AEO6" s="491"/>
      <c r="AEP6" s="491"/>
      <c r="AEQ6" s="491"/>
      <c r="AER6" s="491"/>
      <c r="AES6" s="491"/>
      <c r="AET6" s="491"/>
      <c r="AEU6" s="491"/>
      <c r="AEV6" s="491"/>
      <c r="AEW6" s="491"/>
      <c r="AEX6" s="491"/>
      <c r="AEY6" s="491"/>
      <c r="AEZ6" s="491"/>
      <c r="AFA6" s="491"/>
      <c r="AFB6" s="491"/>
      <c r="AFC6" s="491"/>
      <c r="AFD6" s="491"/>
      <c r="AFE6" s="491"/>
      <c r="AFF6" s="491"/>
      <c r="AFG6" s="491"/>
      <c r="AFH6" s="491"/>
      <c r="AFI6" s="491"/>
      <c r="AFJ6" s="491"/>
      <c r="AFK6" s="491"/>
      <c r="AFL6" s="491"/>
      <c r="AFM6" s="491"/>
      <c r="AFN6" s="491"/>
      <c r="AFO6" s="491"/>
      <c r="AFP6" s="491"/>
      <c r="AFQ6" s="491"/>
      <c r="AFR6" s="491"/>
      <c r="AFS6" s="491"/>
      <c r="AFT6" s="491"/>
      <c r="AFU6" s="491"/>
      <c r="AFV6" s="491"/>
      <c r="AFW6" s="491"/>
      <c r="AFX6" s="491"/>
      <c r="AFY6" s="491"/>
      <c r="AFZ6" s="491"/>
      <c r="AGA6" s="491"/>
      <c r="AGB6" s="491"/>
      <c r="AGC6" s="491"/>
      <c r="AGD6" s="491"/>
      <c r="AGE6" s="491"/>
      <c r="AGF6" s="491"/>
      <c r="AGG6" s="491"/>
      <c r="AGH6" s="491"/>
      <c r="AGI6" s="491"/>
      <c r="AGJ6" s="491"/>
      <c r="AGK6" s="491"/>
      <c r="AGL6" s="491"/>
      <c r="AGM6" s="491"/>
      <c r="AGN6" s="491"/>
      <c r="AGO6" s="491"/>
      <c r="AGP6" s="491"/>
      <c r="AGQ6" s="491"/>
      <c r="AGR6" s="491"/>
      <c r="AGS6" s="491"/>
      <c r="AGT6" s="491"/>
      <c r="AGU6" s="491"/>
      <c r="AGV6" s="491"/>
      <c r="AGW6" s="491"/>
      <c r="AGX6" s="491"/>
      <c r="AGY6" s="491"/>
      <c r="AGZ6" s="491"/>
      <c r="AHA6" s="491"/>
      <c r="AHB6" s="491"/>
      <c r="AHC6" s="491"/>
      <c r="AHD6" s="491"/>
      <c r="AHE6" s="491"/>
      <c r="AHF6" s="491"/>
      <c r="AHG6" s="491"/>
      <c r="AHH6" s="491"/>
      <c r="AHI6" s="491"/>
      <c r="AHJ6" s="491"/>
      <c r="AHK6" s="491"/>
      <c r="AHL6" s="491"/>
      <c r="AHM6" s="491"/>
      <c r="AHN6" s="491"/>
      <c r="AHO6" s="491"/>
      <c r="AHP6" s="491"/>
      <c r="AHQ6" s="491"/>
      <c r="AHR6" s="491"/>
      <c r="AHS6" s="491"/>
      <c r="AHT6" s="491"/>
      <c r="AHU6" s="491"/>
      <c r="AHV6" s="491"/>
      <c r="AHW6" s="491"/>
      <c r="AHX6" s="491"/>
      <c r="AHY6" s="491"/>
      <c r="AHZ6" s="491"/>
      <c r="AIA6" s="491"/>
      <c r="AIB6" s="491"/>
      <c r="AIC6" s="491"/>
      <c r="AID6" s="491"/>
      <c r="AIE6" s="491"/>
      <c r="AIF6" s="491"/>
      <c r="AIG6" s="491"/>
      <c r="AIH6" s="491"/>
      <c r="AII6" s="491"/>
      <c r="AIJ6" s="491"/>
      <c r="AIK6" s="491"/>
      <c r="AIL6" s="491"/>
      <c r="AIM6" s="491"/>
      <c r="AIN6" s="491"/>
      <c r="AIO6" s="491"/>
      <c r="AIP6" s="491"/>
      <c r="AIQ6" s="491"/>
      <c r="AIR6" s="491"/>
      <c r="AIS6" s="491"/>
      <c r="AIT6" s="491"/>
      <c r="AIU6" s="491"/>
      <c r="AIV6" s="491"/>
      <c r="AIW6" s="491"/>
      <c r="AIX6" s="491"/>
      <c r="AIY6" s="491"/>
      <c r="AIZ6" s="491"/>
      <c r="AJA6" s="491"/>
      <c r="AJB6" s="491"/>
      <c r="AJC6" s="491"/>
      <c r="AJD6" s="491"/>
      <c r="AJE6" s="491"/>
      <c r="AJF6" s="491"/>
      <c r="AJG6" s="491"/>
      <c r="AJH6" s="491"/>
      <c r="AJI6" s="491"/>
      <c r="AJJ6" s="491"/>
      <c r="AJK6" s="491"/>
      <c r="AJL6" s="491"/>
      <c r="AJM6" s="491"/>
      <c r="AJN6" s="491"/>
      <c r="AJO6" s="491"/>
      <c r="AJP6" s="491"/>
      <c r="AJQ6" s="491"/>
      <c r="AJR6" s="491"/>
      <c r="AJS6" s="491"/>
      <c r="AJT6" s="491"/>
      <c r="AJU6" s="491"/>
      <c r="AJV6" s="491"/>
      <c r="AJW6" s="491"/>
      <c r="AJX6" s="491"/>
      <c r="AJY6" s="491"/>
      <c r="AJZ6" s="491"/>
      <c r="AKA6" s="491"/>
      <c r="AKB6" s="491"/>
      <c r="AKC6" s="491"/>
      <c r="AKD6" s="491"/>
      <c r="AKE6" s="491"/>
      <c r="AKF6" s="491"/>
      <c r="AKG6" s="491"/>
      <c r="AKH6" s="491"/>
      <c r="AKI6" s="491"/>
      <c r="AKJ6" s="491"/>
      <c r="AKK6" s="491"/>
      <c r="AKL6" s="491"/>
      <c r="AKM6" s="491"/>
      <c r="AKN6" s="491"/>
      <c r="AKO6" s="491"/>
      <c r="AKP6" s="491"/>
      <c r="AKQ6" s="491"/>
      <c r="AKR6" s="491"/>
      <c r="AKS6" s="491"/>
      <c r="AKT6" s="491"/>
      <c r="AKU6" s="491"/>
      <c r="AKV6" s="491"/>
      <c r="AKW6" s="491"/>
      <c r="AKX6" s="491"/>
      <c r="AKY6" s="491"/>
      <c r="AKZ6" s="491"/>
      <c r="ALA6" s="491"/>
      <c r="ALB6" s="491"/>
      <c r="ALC6" s="491"/>
      <c r="ALD6" s="491"/>
      <c r="ALE6" s="491"/>
      <c r="ALF6" s="491"/>
      <c r="ALG6" s="491"/>
      <c r="ALH6" s="491"/>
      <c r="ALI6" s="491"/>
      <c r="ALJ6" s="491"/>
      <c r="ALK6" s="491"/>
      <c r="ALL6" s="491"/>
      <c r="ALM6" s="491"/>
      <c r="ALN6" s="491"/>
      <c r="ALO6" s="491"/>
      <c r="ALP6" s="491"/>
      <c r="ALQ6" s="491"/>
      <c r="ALR6" s="491"/>
      <c r="ALS6" s="491"/>
      <c r="ALT6" s="491"/>
      <c r="ALU6" s="491"/>
      <c r="ALV6" s="491"/>
      <c r="ALW6" s="491"/>
      <c r="ALX6" s="491"/>
      <c r="ALY6" s="491"/>
      <c r="ALZ6" s="491"/>
      <c r="AMA6" s="491"/>
      <c r="AMB6" s="491"/>
      <c r="AMC6" s="491"/>
      <c r="AMD6" s="491"/>
      <c r="AME6" s="491"/>
      <c r="AMF6" s="491"/>
      <c r="AMG6" s="491"/>
      <c r="AMH6" s="491"/>
      <c r="AMI6" s="491"/>
      <c r="AMJ6" s="491"/>
      <c r="AMK6" s="491"/>
      <c r="AML6" s="491"/>
      <c r="AMM6" s="491"/>
      <c r="AMN6" s="491"/>
      <c r="AMO6" s="491"/>
      <c r="AMP6" s="491"/>
      <c r="AMQ6" s="491"/>
      <c r="AMR6" s="491"/>
      <c r="AMS6" s="491"/>
      <c r="AMT6" s="491"/>
      <c r="AMU6" s="491"/>
      <c r="AMV6" s="491"/>
      <c r="AMW6" s="491"/>
      <c r="AMX6" s="491"/>
      <c r="AMY6" s="491"/>
      <c r="AMZ6" s="491"/>
      <c r="ANA6" s="491"/>
      <c r="ANB6" s="491"/>
      <c r="ANC6" s="491"/>
      <c r="AND6" s="491"/>
      <c r="ANE6" s="491"/>
      <c r="ANF6" s="491"/>
      <c r="ANG6" s="491"/>
      <c r="ANH6" s="491"/>
      <c r="ANI6" s="491"/>
      <c r="ANJ6" s="491"/>
      <c r="ANK6" s="491"/>
      <c r="ANL6" s="491"/>
      <c r="ANM6" s="491"/>
      <c r="ANN6" s="491"/>
      <c r="ANO6" s="491"/>
      <c r="ANP6" s="491"/>
      <c r="ANQ6" s="491"/>
      <c r="ANR6" s="491"/>
      <c r="ANS6" s="491"/>
      <c r="ANT6" s="491"/>
      <c r="ANU6" s="491"/>
      <c r="ANV6" s="491"/>
      <c r="ANW6" s="491"/>
      <c r="ANX6" s="491"/>
      <c r="ANY6" s="491"/>
      <c r="ANZ6" s="491"/>
      <c r="AOA6" s="491"/>
      <c r="AOB6" s="491"/>
      <c r="AOC6" s="491"/>
      <c r="AOD6" s="491"/>
      <c r="AOE6" s="491"/>
      <c r="AOF6" s="491"/>
      <c r="AOG6" s="491"/>
      <c r="AOH6" s="491"/>
      <c r="AOI6" s="491"/>
      <c r="AOJ6" s="491"/>
      <c r="AOK6" s="491"/>
      <c r="AOL6" s="491"/>
      <c r="AOM6" s="491"/>
      <c r="AON6" s="491"/>
      <c r="AOO6" s="491"/>
      <c r="AOP6" s="491"/>
      <c r="AOQ6" s="491"/>
      <c r="AOR6" s="491"/>
      <c r="AOS6" s="491"/>
      <c r="AOT6" s="491"/>
      <c r="AOU6" s="491"/>
      <c r="AOV6" s="491"/>
      <c r="AOW6" s="491"/>
      <c r="AOX6" s="491"/>
      <c r="AOY6" s="491"/>
      <c r="AOZ6" s="491"/>
      <c r="APA6" s="491"/>
      <c r="APB6" s="491"/>
      <c r="APC6" s="491"/>
      <c r="APD6" s="491"/>
      <c r="APE6" s="491"/>
      <c r="APF6" s="491"/>
      <c r="APG6" s="491"/>
      <c r="APH6" s="491"/>
      <c r="API6" s="491"/>
      <c r="APJ6" s="491"/>
      <c r="APK6" s="491"/>
      <c r="APL6" s="491"/>
      <c r="APM6" s="491"/>
      <c r="APN6" s="491"/>
      <c r="APO6" s="491"/>
      <c r="APP6" s="491"/>
      <c r="APQ6" s="491"/>
      <c r="APR6" s="491"/>
      <c r="APS6" s="491"/>
      <c r="APT6" s="491"/>
      <c r="APU6" s="491"/>
      <c r="APV6" s="491"/>
      <c r="APW6" s="491"/>
      <c r="APX6" s="491"/>
      <c r="APY6" s="491"/>
      <c r="APZ6" s="491"/>
      <c r="AQA6" s="491"/>
      <c r="AQB6" s="491"/>
      <c r="AQC6" s="491"/>
      <c r="AQD6" s="491"/>
      <c r="AQE6" s="491"/>
      <c r="AQF6" s="491"/>
      <c r="AQG6" s="491"/>
      <c r="AQH6" s="491"/>
      <c r="AQI6" s="491"/>
      <c r="AQJ6" s="491"/>
      <c r="AQK6" s="491"/>
      <c r="AQL6" s="491"/>
      <c r="AQM6" s="491"/>
      <c r="AQN6" s="491"/>
      <c r="AQO6" s="491"/>
      <c r="AQP6" s="491"/>
      <c r="AQQ6" s="491"/>
      <c r="AQR6" s="491"/>
      <c r="AQS6" s="491"/>
      <c r="AQT6" s="491"/>
      <c r="AQU6" s="491"/>
      <c r="AQV6" s="491"/>
      <c r="AQW6" s="491"/>
      <c r="AQX6" s="491"/>
      <c r="AQY6" s="491"/>
      <c r="AQZ6" s="491"/>
      <c r="ARA6" s="491"/>
      <c r="ARB6" s="491"/>
      <c r="ARC6" s="491"/>
      <c r="ARD6" s="491"/>
      <c r="ARE6" s="491"/>
      <c r="ARF6" s="491"/>
      <c r="ARG6" s="491"/>
      <c r="ARH6" s="491"/>
      <c r="ARI6" s="491"/>
      <c r="ARJ6" s="491"/>
      <c r="ARK6" s="491"/>
      <c r="ARL6" s="491"/>
      <c r="ARM6" s="491"/>
      <c r="ARN6" s="491"/>
      <c r="ARO6" s="491"/>
      <c r="ARP6" s="491"/>
      <c r="ARQ6" s="491"/>
      <c r="ARR6" s="491"/>
      <c r="ARS6" s="491"/>
      <c r="ART6" s="491"/>
      <c r="ARU6" s="491"/>
      <c r="ARV6" s="491"/>
      <c r="ARW6" s="491"/>
      <c r="ARX6" s="491"/>
      <c r="ARY6" s="491"/>
      <c r="ARZ6" s="491"/>
      <c r="ASA6" s="491"/>
      <c r="ASB6" s="491"/>
      <c r="ASC6" s="491"/>
      <c r="ASD6" s="491"/>
      <c r="ASE6" s="491"/>
      <c r="ASF6" s="491"/>
      <c r="ASG6" s="491"/>
      <c r="ASH6" s="491"/>
      <c r="ASI6" s="491"/>
      <c r="ASJ6" s="491"/>
      <c r="ASK6" s="491"/>
      <c r="ASL6" s="491"/>
      <c r="ASM6" s="491"/>
      <c r="ASN6" s="491"/>
      <c r="ASO6" s="491"/>
      <c r="ASP6" s="491"/>
      <c r="ASQ6" s="491"/>
      <c r="ASR6" s="491"/>
      <c r="ASS6" s="491"/>
      <c r="AST6" s="491"/>
      <c r="ASU6" s="491"/>
      <c r="ASV6" s="491"/>
      <c r="ASW6" s="491"/>
      <c r="ASX6" s="491"/>
      <c r="ASY6" s="491"/>
      <c r="ASZ6" s="491"/>
      <c r="ATA6" s="491"/>
      <c r="ATB6" s="491"/>
      <c r="ATC6" s="491"/>
      <c r="ATD6" s="491"/>
      <c r="ATE6" s="491"/>
      <c r="ATF6" s="491"/>
      <c r="ATG6" s="491"/>
      <c r="ATH6" s="491"/>
      <c r="ATI6" s="491"/>
      <c r="ATJ6" s="491"/>
      <c r="ATK6" s="491"/>
      <c r="ATL6" s="491"/>
      <c r="ATM6" s="491"/>
      <c r="ATN6" s="491"/>
      <c r="ATO6" s="491"/>
      <c r="ATP6" s="491"/>
      <c r="ATQ6" s="491"/>
      <c r="ATR6" s="491"/>
      <c r="ATS6" s="491"/>
      <c r="ATT6" s="491"/>
      <c r="ATU6" s="491"/>
      <c r="ATV6" s="491"/>
      <c r="ATW6" s="491"/>
      <c r="ATX6" s="491"/>
      <c r="ATY6" s="491"/>
      <c r="ATZ6" s="491"/>
      <c r="AUA6" s="491"/>
      <c r="AUB6" s="491"/>
      <c r="AUC6" s="491"/>
      <c r="AUD6" s="491"/>
      <c r="AUE6" s="491"/>
      <c r="AUF6" s="491"/>
      <c r="AUG6" s="491"/>
      <c r="AUH6" s="491"/>
      <c r="AUI6" s="491"/>
      <c r="AUJ6" s="491"/>
      <c r="AUK6" s="491"/>
      <c r="AUL6" s="491"/>
      <c r="AUM6" s="491"/>
      <c r="AUN6" s="491"/>
      <c r="AUO6" s="491"/>
      <c r="AUP6" s="491"/>
      <c r="AUQ6" s="491"/>
      <c r="AUR6" s="491"/>
      <c r="AUS6" s="491"/>
      <c r="AUT6" s="491"/>
      <c r="AUU6" s="491"/>
      <c r="AUV6" s="491"/>
      <c r="AUW6" s="491"/>
      <c r="AUX6" s="491"/>
      <c r="AUY6" s="491"/>
      <c r="AUZ6" s="491"/>
      <c r="AVA6" s="491"/>
      <c r="AVB6" s="491"/>
      <c r="AVC6" s="491"/>
      <c r="AVD6" s="491"/>
      <c r="AVE6" s="491"/>
      <c r="AVF6" s="491"/>
      <c r="AVG6" s="491"/>
      <c r="AVH6" s="491"/>
      <c r="AVI6" s="491"/>
      <c r="AVJ6" s="491"/>
      <c r="AVK6" s="491"/>
      <c r="AVL6" s="491"/>
      <c r="AVM6" s="491"/>
      <c r="AVN6" s="491"/>
      <c r="AVO6" s="491"/>
      <c r="AVP6" s="491"/>
      <c r="AVQ6" s="491"/>
      <c r="AVR6" s="491"/>
      <c r="AVS6" s="491"/>
      <c r="AVT6" s="491"/>
      <c r="AVU6" s="491"/>
      <c r="AVV6" s="491"/>
      <c r="AVW6" s="491"/>
      <c r="AVX6" s="491"/>
      <c r="AVY6" s="491"/>
      <c r="AVZ6" s="491"/>
      <c r="AWA6" s="491"/>
      <c r="AWB6" s="491"/>
      <c r="AWC6" s="491"/>
      <c r="AWD6" s="491"/>
      <c r="AWE6" s="491"/>
      <c r="AWF6" s="491"/>
      <c r="AWG6" s="491"/>
      <c r="AWH6" s="491"/>
      <c r="AWI6" s="491"/>
      <c r="AWJ6" s="491"/>
      <c r="AWK6" s="491"/>
      <c r="AWL6" s="491"/>
      <c r="AWM6" s="491"/>
      <c r="AWN6" s="491"/>
      <c r="AWO6" s="491"/>
      <c r="AWP6" s="491"/>
      <c r="AWQ6" s="491"/>
      <c r="AWR6" s="491"/>
      <c r="AWS6" s="491"/>
      <c r="AWT6" s="491"/>
      <c r="AWU6" s="491"/>
      <c r="AWV6" s="491"/>
      <c r="AWW6" s="491"/>
      <c r="AWX6" s="491"/>
      <c r="AWY6" s="491"/>
      <c r="AWZ6" s="491"/>
      <c r="AXA6" s="491"/>
      <c r="AXB6" s="491"/>
      <c r="AXC6" s="491"/>
      <c r="AXD6" s="491"/>
      <c r="AXE6" s="491"/>
      <c r="AXF6" s="491"/>
      <c r="AXG6" s="491"/>
      <c r="AXH6" s="491"/>
      <c r="AXI6" s="491"/>
      <c r="AXJ6" s="491"/>
      <c r="AXK6" s="491"/>
      <c r="AXL6" s="491"/>
      <c r="AXM6" s="491"/>
      <c r="AXN6" s="491"/>
      <c r="AXO6" s="491"/>
      <c r="AXP6" s="491"/>
      <c r="AXQ6" s="491"/>
      <c r="AXR6" s="491"/>
      <c r="AXS6" s="491"/>
      <c r="AXT6" s="491"/>
      <c r="AXU6" s="491"/>
      <c r="AXV6" s="491"/>
      <c r="AXW6" s="491"/>
      <c r="AXX6" s="491"/>
      <c r="AXY6" s="491"/>
      <c r="AXZ6" s="491"/>
      <c r="AYA6" s="491"/>
      <c r="AYB6" s="491"/>
      <c r="AYC6" s="491"/>
      <c r="AYD6" s="491"/>
      <c r="AYE6" s="491"/>
      <c r="AYF6" s="491"/>
      <c r="AYG6" s="491"/>
      <c r="AYH6" s="491"/>
      <c r="AYI6" s="491"/>
      <c r="AYJ6" s="491"/>
      <c r="AYK6" s="491"/>
      <c r="AYL6" s="491"/>
      <c r="AYM6" s="491"/>
      <c r="AYN6" s="491"/>
      <c r="AYO6" s="491"/>
      <c r="AYP6" s="491"/>
      <c r="AYQ6" s="491"/>
      <c r="AYR6" s="491"/>
      <c r="AYS6" s="491"/>
      <c r="AYT6" s="491"/>
      <c r="AYU6" s="491"/>
      <c r="AYV6" s="491"/>
      <c r="AYW6" s="491"/>
      <c r="AYX6" s="491"/>
      <c r="AYY6" s="491"/>
      <c r="AYZ6" s="491"/>
      <c r="AZA6" s="491"/>
      <c r="AZB6" s="491"/>
      <c r="AZC6" s="491"/>
      <c r="AZD6" s="491"/>
      <c r="AZE6" s="491"/>
      <c r="AZF6" s="491"/>
      <c r="AZG6" s="491"/>
      <c r="AZH6" s="491"/>
      <c r="AZI6" s="491"/>
      <c r="AZJ6" s="491"/>
      <c r="AZK6" s="491"/>
      <c r="AZL6" s="491"/>
      <c r="AZM6" s="491"/>
      <c r="AZN6" s="491"/>
      <c r="AZO6" s="491"/>
      <c r="AZP6" s="491"/>
      <c r="AZQ6" s="491"/>
      <c r="AZR6" s="491"/>
      <c r="AZS6" s="491"/>
      <c r="AZT6" s="491"/>
      <c r="AZU6" s="491"/>
      <c r="AZV6" s="491"/>
      <c r="AZW6" s="491"/>
      <c r="AZX6" s="491"/>
      <c r="AZY6" s="491"/>
      <c r="AZZ6" s="491"/>
      <c r="BAA6" s="491"/>
      <c r="BAB6" s="491"/>
      <c r="BAC6" s="491"/>
      <c r="BAD6" s="491"/>
      <c r="BAE6" s="491"/>
      <c r="BAF6" s="491"/>
      <c r="BAG6" s="491"/>
      <c r="BAH6" s="491"/>
      <c r="BAI6" s="491"/>
      <c r="BAJ6" s="491"/>
      <c r="BAK6" s="491"/>
      <c r="BAL6" s="491"/>
      <c r="BAM6" s="491"/>
      <c r="BAN6" s="491"/>
      <c r="BAO6" s="491"/>
      <c r="BAP6" s="491"/>
      <c r="BAQ6" s="491"/>
      <c r="BAR6" s="491"/>
      <c r="BAS6" s="491"/>
      <c r="BAT6" s="491"/>
      <c r="BAU6" s="491"/>
      <c r="BAV6" s="491"/>
      <c r="BAW6" s="491"/>
      <c r="BAX6" s="491"/>
      <c r="BAY6" s="491"/>
      <c r="BAZ6" s="491"/>
      <c r="BBA6" s="491"/>
      <c r="BBB6" s="491"/>
      <c r="BBC6" s="491"/>
      <c r="BBD6" s="491"/>
      <c r="BBE6" s="491"/>
      <c r="BBF6" s="491"/>
      <c r="BBG6" s="491"/>
      <c r="BBH6" s="491"/>
      <c r="BBI6" s="491"/>
      <c r="BBJ6" s="491"/>
      <c r="BBK6" s="491"/>
      <c r="BBL6" s="491"/>
      <c r="BBM6" s="491"/>
      <c r="BBN6" s="491"/>
      <c r="BBO6" s="491"/>
      <c r="BBP6" s="491"/>
      <c r="BBQ6" s="491"/>
      <c r="BBR6" s="491"/>
      <c r="BBS6" s="491"/>
      <c r="BBT6" s="491"/>
      <c r="BBU6" s="491"/>
      <c r="BBV6" s="491"/>
      <c r="BBW6" s="491"/>
      <c r="BBX6" s="491"/>
      <c r="BBY6" s="491"/>
      <c r="BBZ6" s="491"/>
      <c r="BCA6" s="491"/>
      <c r="BCB6" s="491"/>
      <c r="BCC6" s="491"/>
      <c r="BCD6" s="491"/>
      <c r="BCE6" s="491"/>
      <c r="BCF6" s="491"/>
      <c r="BCG6" s="491"/>
      <c r="BCH6" s="491"/>
      <c r="BCI6" s="491"/>
      <c r="BCJ6" s="491"/>
      <c r="BCK6" s="491"/>
      <c r="BCL6" s="491"/>
      <c r="BCM6" s="491"/>
      <c r="BCN6" s="491"/>
      <c r="BCO6" s="491"/>
      <c r="BCP6" s="491"/>
      <c r="BCQ6" s="491"/>
      <c r="BCR6" s="491"/>
      <c r="BCS6" s="491"/>
      <c r="BCT6" s="491"/>
      <c r="BCU6" s="491"/>
      <c r="BCV6" s="491"/>
      <c r="BCW6" s="491"/>
      <c r="BCX6" s="491"/>
      <c r="BCY6" s="491"/>
      <c r="BCZ6" s="491"/>
      <c r="BDA6" s="491"/>
      <c r="BDB6" s="491"/>
      <c r="BDC6" s="491"/>
      <c r="BDD6" s="491"/>
      <c r="BDE6" s="491"/>
      <c r="BDF6" s="491"/>
      <c r="BDG6" s="491"/>
      <c r="BDH6" s="491"/>
      <c r="BDI6" s="491"/>
      <c r="BDJ6" s="491"/>
      <c r="BDK6" s="491"/>
      <c r="BDL6" s="491"/>
      <c r="BDM6" s="491"/>
      <c r="BDN6" s="491"/>
      <c r="BDO6" s="491"/>
      <c r="BDP6" s="491"/>
      <c r="BDQ6" s="491"/>
      <c r="BDR6" s="491"/>
      <c r="BDS6" s="491"/>
      <c r="BDT6" s="491"/>
      <c r="BDU6" s="491"/>
      <c r="BDV6" s="491"/>
      <c r="BDW6" s="491"/>
      <c r="BDX6" s="491"/>
      <c r="BDY6" s="491"/>
      <c r="BDZ6" s="491"/>
      <c r="BEA6" s="491"/>
      <c r="BEB6" s="491"/>
      <c r="BEC6" s="491"/>
      <c r="BED6" s="491"/>
      <c r="BEE6" s="491"/>
      <c r="BEF6" s="491"/>
      <c r="BEG6" s="491"/>
      <c r="BEH6" s="491"/>
      <c r="BEI6" s="491"/>
      <c r="BEJ6" s="491"/>
      <c r="BEK6" s="491"/>
      <c r="BEL6" s="491"/>
      <c r="BEM6" s="491"/>
      <c r="BEN6" s="491"/>
      <c r="BEO6" s="491"/>
      <c r="BEP6" s="491"/>
      <c r="BEQ6" s="491"/>
      <c r="BER6" s="491"/>
      <c r="BES6" s="491"/>
      <c r="BET6" s="491"/>
      <c r="BEU6" s="491"/>
      <c r="BEV6" s="491"/>
      <c r="BEW6" s="491"/>
      <c r="BEX6" s="491"/>
      <c r="BEY6" s="491"/>
      <c r="BEZ6" s="491"/>
      <c r="BFA6" s="491"/>
      <c r="BFB6" s="491"/>
      <c r="BFC6" s="491"/>
      <c r="BFD6" s="491"/>
      <c r="BFE6" s="491"/>
      <c r="BFF6" s="491"/>
      <c r="BFG6" s="491"/>
      <c r="BFH6" s="491"/>
      <c r="BFI6" s="491"/>
      <c r="BFJ6" s="491"/>
      <c r="BFK6" s="491"/>
      <c r="BFL6" s="491"/>
      <c r="BFM6" s="491"/>
      <c r="BFN6" s="491"/>
      <c r="BFO6" s="491"/>
      <c r="BFP6" s="491"/>
      <c r="BFQ6" s="491"/>
      <c r="BFR6" s="491"/>
      <c r="BFS6" s="491"/>
      <c r="BFT6" s="491"/>
      <c r="BFU6" s="491"/>
      <c r="BFV6" s="491"/>
      <c r="BFW6" s="491"/>
      <c r="BFX6" s="491"/>
      <c r="BFY6" s="491"/>
      <c r="BFZ6" s="491"/>
      <c r="BGA6" s="491"/>
      <c r="BGB6" s="491"/>
      <c r="BGC6" s="491"/>
      <c r="BGD6" s="491"/>
      <c r="BGE6" s="491"/>
      <c r="BGF6" s="491"/>
      <c r="BGG6" s="491"/>
      <c r="BGH6" s="491"/>
      <c r="BGI6" s="491"/>
      <c r="BGJ6" s="491"/>
      <c r="BGK6" s="491"/>
      <c r="BGL6" s="491"/>
      <c r="BGM6" s="491"/>
      <c r="BGN6" s="491"/>
      <c r="BGO6" s="491"/>
      <c r="BGP6" s="491"/>
      <c r="BGQ6" s="491"/>
      <c r="BGR6" s="491"/>
      <c r="BGS6" s="491"/>
      <c r="BGT6" s="491"/>
      <c r="BGU6" s="491"/>
      <c r="BGV6" s="491"/>
      <c r="BGW6" s="491"/>
      <c r="BGX6" s="491"/>
      <c r="BGY6" s="491"/>
      <c r="BGZ6" s="491"/>
      <c r="BHA6" s="491"/>
      <c r="BHB6" s="491"/>
      <c r="BHC6" s="491"/>
      <c r="BHD6" s="491"/>
      <c r="BHE6" s="491"/>
      <c r="BHF6" s="491"/>
      <c r="BHG6" s="491"/>
      <c r="BHH6" s="491"/>
      <c r="BHI6" s="491"/>
      <c r="BHJ6" s="491"/>
      <c r="BHK6" s="491"/>
      <c r="BHL6" s="491"/>
      <c r="BHM6" s="491"/>
      <c r="BHN6" s="491"/>
      <c r="BHO6" s="491"/>
      <c r="BHP6" s="491"/>
      <c r="BHQ6" s="491"/>
      <c r="BHR6" s="491"/>
      <c r="BHS6" s="491"/>
      <c r="BHT6" s="491"/>
      <c r="BHU6" s="491"/>
      <c r="BHV6" s="491"/>
      <c r="BHW6" s="491"/>
      <c r="BHX6" s="491"/>
      <c r="BHY6" s="491"/>
      <c r="BHZ6" s="491"/>
      <c r="BIA6" s="491"/>
      <c r="BIB6" s="491"/>
      <c r="BIC6" s="491"/>
      <c r="BID6" s="491"/>
      <c r="BIE6" s="491"/>
      <c r="BIF6" s="491"/>
      <c r="BIG6" s="491"/>
      <c r="BIH6" s="491"/>
      <c r="BII6" s="491"/>
      <c r="BIJ6" s="491"/>
      <c r="BIK6" s="491"/>
      <c r="BIL6" s="491"/>
      <c r="BIM6" s="491"/>
      <c r="BIN6" s="491"/>
      <c r="BIO6" s="491"/>
      <c r="BIP6" s="491"/>
      <c r="BIQ6" s="491"/>
      <c r="BIR6" s="491"/>
      <c r="BIS6" s="491"/>
      <c r="BIT6" s="491"/>
      <c r="BIU6" s="491"/>
      <c r="BIV6" s="491"/>
      <c r="BIW6" s="491"/>
      <c r="BIX6" s="491"/>
      <c r="BIY6" s="491"/>
      <c r="BIZ6" s="491"/>
      <c r="BJA6" s="491"/>
      <c r="BJB6" s="491"/>
      <c r="BJC6" s="491"/>
      <c r="BJD6" s="491"/>
      <c r="BJE6" s="491"/>
      <c r="BJF6" s="491"/>
      <c r="BJG6" s="491"/>
      <c r="BJH6" s="491"/>
      <c r="BJI6" s="491"/>
      <c r="BJJ6" s="491"/>
      <c r="BJK6" s="491"/>
      <c r="BJL6" s="491"/>
      <c r="BJM6" s="491"/>
      <c r="BJN6" s="491"/>
      <c r="BJO6" s="491"/>
      <c r="BJP6" s="491"/>
      <c r="BJQ6" s="491"/>
      <c r="BJR6" s="491"/>
      <c r="BJS6" s="491"/>
      <c r="BJT6" s="491"/>
      <c r="BJU6" s="491"/>
      <c r="BJV6" s="491"/>
      <c r="BJW6" s="491"/>
      <c r="BJX6" s="491"/>
      <c r="BJY6" s="491"/>
      <c r="BJZ6" s="491"/>
      <c r="BKA6" s="491"/>
      <c r="BKB6" s="491"/>
      <c r="BKC6" s="491"/>
      <c r="BKD6" s="491"/>
      <c r="BKE6" s="491"/>
      <c r="BKF6" s="491"/>
      <c r="BKG6" s="491"/>
      <c r="BKH6" s="491"/>
      <c r="BKI6" s="491"/>
      <c r="BKJ6" s="491"/>
      <c r="BKK6" s="491"/>
      <c r="BKL6" s="491"/>
      <c r="BKM6" s="491"/>
      <c r="BKN6" s="491"/>
      <c r="BKO6" s="491"/>
      <c r="BKP6" s="491"/>
      <c r="BKQ6" s="491"/>
      <c r="BKR6" s="491"/>
      <c r="BKS6" s="491"/>
      <c r="BKT6" s="491"/>
      <c r="BKU6" s="491"/>
      <c r="BKV6" s="491"/>
      <c r="BKW6" s="491"/>
      <c r="BKX6" s="491"/>
      <c r="BKY6" s="491"/>
      <c r="BKZ6" s="491"/>
      <c r="BLA6" s="491"/>
      <c r="BLB6" s="491"/>
      <c r="BLC6" s="491"/>
      <c r="BLD6" s="491"/>
      <c r="BLE6" s="491"/>
      <c r="BLF6" s="491"/>
      <c r="BLG6" s="491"/>
      <c r="BLH6" s="491"/>
      <c r="BLI6" s="491"/>
      <c r="BLJ6" s="491"/>
      <c r="BLK6" s="491"/>
      <c r="BLL6" s="491"/>
      <c r="BLM6" s="491"/>
      <c r="BLN6" s="491"/>
      <c r="BLO6" s="491"/>
      <c r="BLP6" s="491"/>
      <c r="BLQ6" s="491"/>
      <c r="BLR6" s="491"/>
      <c r="BLS6" s="491"/>
      <c r="BLT6" s="491"/>
      <c r="BLU6" s="491"/>
      <c r="BLV6" s="491"/>
      <c r="BLW6" s="491"/>
      <c r="BLX6" s="491"/>
      <c r="BLY6" s="491"/>
      <c r="BLZ6" s="491"/>
      <c r="BMA6" s="491"/>
      <c r="BMB6" s="491"/>
      <c r="BMC6" s="491"/>
      <c r="BMD6" s="491"/>
      <c r="BME6" s="491"/>
      <c r="BMF6" s="491"/>
      <c r="BMG6" s="491"/>
      <c r="BMH6" s="491"/>
      <c r="BMI6" s="491"/>
      <c r="BMJ6" s="491"/>
      <c r="BMK6" s="491"/>
      <c r="BML6" s="491"/>
      <c r="BMM6" s="491"/>
      <c r="BMN6" s="491"/>
      <c r="BMO6" s="491"/>
      <c r="BMP6" s="491"/>
      <c r="BMQ6" s="491"/>
      <c r="BMR6" s="491"/>
      <c r="BMS6" s="491"/>
      <c r="BMT6" s="491"/>
      <c r="BMU6" s="491"/>
      <c r="BMV6" s="491"/>
      <c r="BMW6" s="491"/>
      <c r="BMX6" s="491"/>
      <c r="BMY6" s="491"/>
      <c r="BMZ6" s="491"/>
      <c r="BNA6" s="491"/>
      <c r="BNB6" s="491"/>
      <c r="BNC6" s="491"/>
      <c r="BND6" s="491"/>
      <c r="BNE6" s="491"/>
      <c r="BNF6" s="491"/>
      <c r="BNG6" s="491"/>
      <c r="BNH6" s="491"/>
      <c r="BNI6" s="491"/>
      <c r="BNJ6" s="491"/>
      <c r="BNK6" s="491"/>
      <c r="BNL6" s="491"/>
      <c r="BNM6" s="491"/>
      <c r="BNN6" s="491"/>
      <c r="BNO6" s="491"/>
      <c r="BNP6" s="491"/>
      <c r="BNQ6" s="491"/>
      <c r="BNR6" s="491"/>
      <c r="BNS6" s="491"/>
      <c r="BNT6" s="491"/>
      <c r="BNU6" s="491"/>
      <c r="BNV6" s="491"/>
      <c r="BNW6" s="491"/>
      <c r="BNX6" s="491"/>
      <c r="BNY6" s="491"/>
      <c r="BNZ6" s="491"/>
      <c r="BOA6" s="491"/>
      <c r="BOB6" s="491"/>
      <c r="BOC6" s="491"/>
      <c r="BOD6" s="491"/>
      <c r="BOE6" s="491"/>
      <c r="BOF6" s="491"/>
      <c r="BOG6" s="491"/>
      <c r="BOH6" s="491"/>
      <c r="BOI6" s="491"/>
      <c r="BOJ6" s="491"/>
      <c r="BOK6" s="491"/>
      <c r="BOL6" s="491"/>
      <c r="BOM6" s="491"/>
      <c r="BON6" s="491"/>
      <c r="BOO6" s="491"/>
      <c r="BOP6" s="491"/>
      <c r="BOQ6" s="491"/>
      <c r="BOR6" s="491"/>
      <c r="BOS6" s="491"/>
      <c r="BOT6" s="491"/>
      <c r="BOU6" s="491"/>
      <c r="BOV6" s="491"/>
      <c r="BOW6" s="491"/>
      <c r="BOX6" s="491"/>
      <c r="BOY6" s="491"/>
      <c r="BOZ6" s="491"/>
      <c r="BPA6" s="491"/>
      <c r="BPB6" s="491"/>
      <c r="BPC6" s="491"/>
      <c r="BPD6" s="491"/>
      <c r="BPE6" s="491"/>
      <c r="BPF6" s="491"/>
      <c r="BPG6" s="491"/>
      <c r="BPH6" s="491"/>
      <c r="BPI6" s="491"/>
      <c r="BPJ6" s="491"/>
      <c r="BPK6" s="491"/>
      <c r="BPL6" s="491"/>
      <c r="BPM6" s="491"/>
      <c r="BPN6" s="491"/>
      <c r="BPO6" s="491"/>
      <c r="BPP6" s="491"/>
      <c r="BPQ6" s="491"/>
      <c r="BPR6" s="491"/>
      <c r="BPS6" s="491"/>
      <c r="BPT6" s="491"/>
      <c r="BPU6" s="491"/>
      <c r="BPV6" s="491"/>
      <c r="BPW6" s="491"/>
      <c r="BPX6" s="491"/>
      <c r="BPY6" s="491"/>
      <c r="BPZ6" s="491"/>
      <c r="BQA6" s="491"/>
      <c r="BQB6" s="491"/>
      <c r="BQC6" s="491"/>
      <c r="BQD6" s="491"/>
      <c r="BQE6" s="491"/>
      <c r="BQF6" s="491"/>
      <c r="BQG6" s="491"/>
      <c r="BQH6" s="491"/>
      <c r="BQI6" s="491"/>
      <c r="BQJ6" s="491"/>
      <c r="BQK6" s="491"/>
      <c r="BQL6" s="491"/>
      <c r="BQM6" s="491"/>
      <c r="BQN6" s="491"/>
      <c r="BQO6" s="491"/>
      <c r="BQP6" s="491"/>
      <c r="BQQ6" s="491"/>
      <c r="BQR6" s="491"/>
      <c r="BQS6" s="491"/>
      <c r="BQT6" s="491"/>
      <c r="BQU6" s="491"/>
      <c r="BQV6" s="491"/>
      <c r="BQW6" s="491"/>
      <c r="BQX6" s="491"/>
      <c r="BQY6" s="491"/>
      <c r="BQZ6" s="491"/>
      <c r="BRA6" s="491"/>
      <c r="BRB6" s="491"/>
      <c r="BRC6" s="491"/>
      <c r="BRD6" s="491"/>
      <c r="BRE6" s="491"/>
      <c r="BRF6" s="491"/>
      <c r="BRG6" s="491"/>
      <c r="BRH6" s="491"/>
      <c r="BRI6" s="491"/>
      <c r="BRJ6" s="491"/>
      <c r="BRK6" s="491"/>
      <c r="BRL6" s="491"/>
      <c r="BRM6" s="491"/>
      <c r="BRN6" s="491"/>
      <c r="BRO6" s="491"/>
      <c r="BRP6" s="491"/>
      <c r="BRQ6" s="491"/>
      <c r="BRR6" s="491"/>
      <c r="BRS6" s="491"/>
      <c r="BRT6" s="491"/>
      <c r="BRU6" s="491"/>
      <c r="BRV6" s="491"/>
      <c r="BRW6" s="491"/>
      <c r="BRX6" s="491"/>
      <c r="BRY6" s="491"/>
      <c r="BRZ6" s="491"/>
      <c r="BSA6" s="491"/>
      <c r="BSB6" s="491"/>
      <c r="BSC6" s="491"/>
      <c r="BSD6" s="491"/>
      <c r="BSE6" s="491"/>
      <c r="BSF6" s="491"/>
      <c r="BSG6" s="491"/>
      <c r="BSH6" s="491"/>
      <c r="BSI6" s="491"/>
      <c r="BSJ6" s="491"/>
      <c r="BSK6" s="491"/>
      <c r="BSL6" s="491"/>
      <c r="BSM6" s="491"/>
      <c r="BSN6" s="491"/>
      <c r="BSO6" s="491"/>
      <c r="BSP6" s="491"/>
      <c r="BSQ6" s="491"/>
      <c r="BSR6" s="491"/>
      <c r="BSS6" s="491"/>
      <c r="BST6" s="491"/>
      <c r="BSU6" s="491"/>
      <c r="BSV6" s="491"/>
      <c r="BSW6" s="491"/>
      <c r="BSX6" s="491"/>
      <c r="BSY6" s="491"/>
      <c r="BSZ6" s="491"/>
      <c r="BTA6" s="491"/>
      <c r="BTB6" s="491"/>
      <c r="BTC6" s="491"/>
      <c r="BTD6" s="491"/>
      <c r="BTE6" s="491"/>
      <c r="BTF6" s="491"/>
      <c r="BTG6" s="491"/>
      <c r="BTH6" s="491"/>
      <c r="BTI6" s="491"/>
      <c r="BTJ6" s="491"/>
      <c r="BTK6" s="491"/>
      <c r="BTL6" s="491"/>
      <c r="BTM6" s="491"/>
      <c r="BTN6" s="491"/>
      <c r="BTO6" s="491"/>
      <c r="BTP6" s="491"/>
      <c r="BTQ6" s="491"/>
      <c r="BTR6" s="491"/>
      <c r="BTS6" s="491"/>
      <c r="BTT6" s="491"/>
      <c r="BTU6" s="491"/>
      <c r="BTV6" s="491"/>
      <c r="BTW6" s="491"/>
      <c r="BTX6" s="491"/>
      <c r="BTY6" s="491"/>
      <c r="BTZ6" s="491"/>
      <c r="BUA6" s="491"/>
      <c r="BUB6" s="491"/>
      <c r="BUC6" s="491"/>
      <c r="BUD6" s="491"/>
      <c r="BUE6" s="491"/>
      <c r="BUF6" s="491"/>
      <c r="BUG6" s="491"/>
      <c r="BUH6" s="491"/>
      <c r="BUI6" s="491"/>
      <c r="BUJ6" s="491"/>
      <c r="BUK6" s="491"/>
      <c r="BUL6" s="491"/>
      <c r="BUM6" s="491"/>
      <c r="BUN6" s="491"/>
      <c r="BUO6" s="491"/>
      <c r="BUP6" s="491"/>
      <c r="BUQ6" s="491"/>
      <c r="BUR6" s="491"/>
      <c r="BUS6" s="491"/>
      <c r="BUT6" s="491"/>
      <c r="BUU6" s="491"/>
      <c r="BUV6" s="491"/>
      <c r="BUW6" s="491"/>
      <c r="BUX6" s="491"/>
      <c r="BUY6" s="491"/>
      <c r="BUZ6" s="491"/>
      <c r="BVA6" s="491"/>
      <c r="BVB6" s="491"/>
      <c r="BVC6" s="491"/>
      <c r="BVD6" s="491"/>
      <c r="BVE6" s="491"/>
      <c r="BVF6" s="491"/>
      <c r="BVG6" s="491"/>
      <c r="BVH6" s="491"/>
      <c r="BVI6" s="491"/>
      <c r="BVJ6" s="491"/>
      <c r="BVK6" s="491"/>
      <c r="BVL6" s="491"/>
      <c r="BVM6" s="491"/>
      <c r="BVN6" s="491"/>
      <c r="BVO6" s="491"/>
      <c r="BVP6" s="491"/>
      <c r="BVQ6" s="491"/>
      <c r="BVR6" s="491"/>
      <c r="BVS6" s="491"/>
      <c r="BVT6" s="491"/>
      <c r="BVU6" s="491"/>
      <c r="BVV6" s="491"/>
      <c r="BVW6" s="491"/>
      <c r="BVX6" s="491"/>
      <c r="BVY6" s="491"/>
      <c r="BVZ6" s="491"/>
      <c r="BWA6" s="491"/>
      <c r="BWB6" s="491"/>
      <c r="BWC6" s="491"/>
      <c r="BWD6" s="491"/>
      <c r="BWE6" s="491"/>
      <c r="BWF6" s="491"/>
      <c r="BWG6" s="491"/>
      <c r="BWH6" s="491"/>
      <c r="BWI6" s="491"/>
      <c r="BWJ6" s="491"/>
      <c r="BWK6" s="491"/>
      <c r="BWL6" s="491"/>
      <c r="BWM6" s="491"/>
      <c r="BWN6" s="491"/>
      <c r="BWO6" s="491"/>
      <c r="BWP6" s="491"/>
      <c r="BWQ6" s="491"/>
      <c r="BWR6" s="491"/>
      <c r="BWS6" s="491"/>
      <c r="BWT6" s="491"/>
      <c r="BWU6" s="491"/>
      <c r="BWV6" s="491"/>
      <c r="BWW6" s="491"/>
      <c r="BWX6" s="491"/>
      <c r="BWY6" s="491"/>
      <c r="BWZ6" s="491"/>
      <c r="BXA6" s="491"/>
      <c r="BXB6" s="491"/>
      <c r="BXC6" s="491"/>
      <c r="BXD6" s="491"/>
      <c r="BXE6" s="491"/>
      <c r="BXF6" s="491"/>
      <c r="BXG6" s="491"/>
      <c r="BXH6" s="491"/>
      <c r="BXI6" s="491"/>
      <c r="BXJ6" s="491"/>
      <c r="BXK6" s="491"/>
      <c r="BXL6" s="491"/>
      <c r="BXM6" s="491"/>
      <c r="BXN6" s="491"/>
      <c r="BXO6" s="491"/>
      <c r="BXP6" s="491"/>
      <c r="BXQ6" s="491"/>
      <c r="BXR6" s="491"/>
      <c r="BXS6" s="491"/>
      <c r="BXT6" s="491"/>
      <c r="BXU6" s="491"/>
      <c r="BXV6" s="491"/>
      <c r="BXW6" s="491"/>
      <c r="BXX6" s="491"/>
      <c r="BXY6" s="491"/>
      <c r="BXZ6" s="491"/>
      <c r="BYA6" s="491"/>
      <c r="BYB6" s="491"/>
      <c r="BYC6" s="491"/>
      <c r="BYD6" s="491"/>
      <c r="BYE6" s="491"/>
      <c r="BYF6" s="491"/>
      <c r="BYG6" s="491"/>
    </row>
    <row r="7" spans="1:2009" s="97" customFormat="1" ht="24.95" customHeight="1" x14ac:dyDescent="0.25">
      <c r="A7" s="130"/>
      <c r="B7" s="125" t="s">
        <v>352</v>
      </c>
      <c r="C7" s="165">
        <v>40147.160000000003</v>
      </c>
      <c r="D7" s="165"/>
      <c r="E7" s="165"/>
      <c r="F7" s="166"/>
      <c r="G7" s="167">
        <f>ROUND(SUM(C7:F7),5)</f>
        <v>40147.160000000003</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4" customFormat="1" ht="24.95" customHeight="1" thickBot="1" x14ac:dyDescent="0.3">
      <c r="A8" s="208"/>
      <c r="B8" s="209" t="s">
        <v>231</v>
      </c>
      <c r="C8" s="210">
        <f>SUM(C7)</f>
        <v>40147.160000000003</v>
      </c>
      <c r="D8" s="210"/>
      <c r="E8" s="210"/>
      <c r="F8" s="210"/>
      <c r="G8" s="211">
        <f>ROUND(SUM(G3:G7),5)</f>
        <v>40147.160000000003</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c r="KM8" s="213"/>
      <c r="KN8" s="213"/>
      <c r="KO8" s="213"/>
      <c r="KP8" s="213"/>
      <c r="KQ8" s="213"/>
      <c r="KR8" s="213"/>
      <c r="KS8" s="213"/>
      <c r="KT8" s="213"/>
      <c r="KU8" s="213"/>
      <c r="KV8" s="213"/>
      <c r="KW8" s="213"/>
      <c r="KX8" s="213"/>
      <c r="KY8" s="213"/>
      <c r="KZ8" s="213"/>
      <c r="LA8" s="213"/>
      <c r="LB8" s="213"/>
      <c r="LC8" s="213"/>
      <c r="LD8" s="213"/>
      <c r="LE8" s="213"/>
      <c r="LF8" s="213"/>
      <c r="LG8" s="213"/>
      <c r="LH8" s="213"/>
      <c r="LI8" s="213"/>
      <c r="LJ8" s="213"/>
      <c r="LK8" s="213"/>
      <c r="LL8" s="213"/>
      <c r="LM8" s="213"/>
      <c r="LN8" s="213"/>
      <c r="LO8" s="213"/>
      <c r="LP8" s="213"/>
      <c r="LQ8" s="213"/>
      <c r="LR8" s="213"/>
      <c r="LS8" s="213"/>
      <c r="LT8" s="213"/>
      <c r="LU8" s="213"/>
      <c r="LV8" s="213"/>
      <c r="LW8" s="213"/>
      <c r="LX8" s="213"/>
      <c r="LY8" s="213"/>
      <c r="LZ8" s="213"/>
      <c r="MA8" s="213"/>
      <c r="MB8" s="213"/>
      <c r="MC8" s="213"/>
      <c r="MD8" s="213"/>
      <c r="ME8" s="213"/>
      <c r="MF8" s="213"/>
      <c r="MG8" s="213"/>
      <c r="MH8" s="213"/>
      <c r="MI8" s="213"/>
      <c r="MJ8" s="213"/>
      <c r="MK8" s="213"/>
      <c r="ML8" s="213"/>
      <c r="MM8" s="213"/>
      <c r="MN8" s="213"/>
      <c r="MO8" s="213"/>
      <c r="MP8" s="213"/>
      <c r="MQ8" s="213"/>
      <c r="MR8" s="213"/>
      <c r="MS8" s="213"/>
      <c r="MT8" s="213"/>
      <c r="MU8" s="213"/>
      <c r="MV8" s="213"/>
      <c r="MW8" s="213"/>
      <c r="MX8" s="213"/>
      <c r="MY8" s="213"/>
      <c r="MZ8" s="213"/>
      <c r="NA8" s="213"/>
      <c r="NB8" s="213"/>
      <c r="NC8" s="213"/>
      <c r="ND8" s="213"/>
      <c r="NE8" s="213"/>
      <c r="NF8" s="213"/>
      <c r="NG8" s="213"/>
      <c r="NH8" s="213"/>
      <c r="NI8" s="213"/>
      <c r="NJ8" s="213"/>
      <c r="NK8" s="213"/>
      <c r="NL8" s="213"/>
      <c r="NM8" s="213"/>
      <c r="NN8" s="213"/>
      <c r="NO8" s="213"/>
      <c r="NP8" s="213"/>
      <c r="NQ8" s="213"/>
      <c r="NR8" s="213"/>
      <c r="NS8" s="213"/>
      <c r="NT8" s="213"/>
      <c r="NU8" s="213"/>
      <c r="NV8" s="213"/>
      <c r="NW8" s="213"/>
      <c r="NX8" s="213"/>
      <c r="NY8" s="213"/>
      <c r="NZ8" s="213"/>
      <c r="OA8" s="213"/>
      <c r="OB8" s="213"/>
      <c r="OC8" s="213"/>
      <c r="OD8" s="213"/>
      <c r="OE8" s="213"/>
      <c r="OF8" s="213"/>
      <c r="OG8" s="213"/>
      <c r="OH8" s="213"/>
      <c r="OI8" s="213"/>
      <c r="OJ8" s="213"/>
      <c r="OK8" s="213"/>
      <c r="OL8" s="213"/>
      <c r="OM8" s="213"/>
      <c r="ON8" s="213"/>
      <c r="OO8" s="213"/>
      <c r="OP8" s="213"/>
      <c r="OQ8" s="213"/>
      <c r="OR8" s="213"/>
      <c r="OS8" s="213"/>
      <c r="OT8" s="213"/>
      <c r="OU8" s="213"/>
      <c r="OV8" s="213"/>
      <c r="OW8" s="213"/>
      <c r="OX8" s="213"/>
      <c r="OY8" s="213"/>
      <c r="OZ8" s="213"/>
      <c r="PA8" s="213"/>
      <c r="PB8" s="213"/>
      <c r="PC8" s="213"/>
      <c r="PD8" s="213"/>
      <c r="PE8" s="213"/>
      <c r="PF8" s="213"/>
      <c r="PG8" s="213"/>
      <c r="PH8" s="213"/>
      <c r="PI8" s="213"/>
      <c r="PJ8" s="213"/>
      <c r="PK8" s="213"/>
      <c r="PL8" s="213"/>
      <c r="PM8" s="213"/>
      <c r="PN8" s="213"/>
      <c r="PO8" s="213"/>
      <c r="PP8" s="213"/>
      <c r="PQ8" s="213"/>
      <c r="PR8" s="213"/>
      <c r="PS8" s="213"/>
      <c r="PT8" s="213"/>
      <c r="PU8" s="213"/>
      <c r="PV8" s="213"/>
      <c r="PW8" s="213"/>
      <c r="PX8" s="213"/>
      <c r="PY8" s="213"/>
      <c r="PZ8" s="213"/>
      <c r="QA8" s="213"/>
      <c r="QB8" s="213"/>
      <c r="QC8" s="213"/>
      <c r="QD8" s="213"/>
      <c r="QE8" s="213"/>
      <c r="QF8" s="213"/>
      <c r="QG8" s="213"/>
      <c r="QH8" s="213"/>
      <c r="QI8" s="213"/>
      <c r="QJ8" s="213"/>
      <c r="QK8" s="213"/>
      <c r="QL8" s="213"/>
      <c r="QM8" s="213"/>
      <c r="QN8" s="213"/>
      <c r="QO8" s="213"/>
      <c r="QP8" s="213"/>
      <c r="QQ8" s="213"/>
      <c r="QR8" s="213"/>
      <c r="QS8" s="213"/>
      <c r="QT8" s="213"/>
      <c r="QU8" s="213"/>
      <c r="QV8" s="213"/>
      <c r="QW8" s="213"/>
      <c r="QX8" s="213"/>
      <c r="QY8" s="213"/>
      <c r="QZ8" s="213"/>
      <c r="RA8" s="213"/>
      <c r="RB8" s="213"/>
      <c r="RC8" s="213"/>
      <c r="RD8" s="213"/>
      <c r="RE8" s="213"/>
      <c r="RF8" s="213"/>
      <c r="RG8" s="213"/>
      <c r="RH8" s="213"/>
      <c r="RI8" s="213"/>
      <c r="RJ8" s="213"/>
      <c r="RK8" s="213"/>
      <c r="RL8" s="213"/>
      <c r="RM8" s="213"/>
      <c r="RN8" s="213"/>
      <c r="RO8" s="213"/>
      <c r="RP8" s="213"/>
      <c r="RQ8" s="213"/>
      <c r="RR8" s="213"/>
      <c r="RS8" s="213"/>
      <c r="RT8" s="213"/>
      <c r="RU8" s="213"/>
      <c r="RV8" s="213"/>
      <c r="RW8" s="213"/>
      <c r="RX8" s="213"/>
      <c r="RY8" s="213"/>
      <c r="RZ8" s="213"/>
      <c r="SA8" s="213"/>
      <c r="SB8" s="213"/>
      <c r="SC8" s="213"/>
      <c r="SD8" s="213"/>
      <c r="SE8" s="213"/>
      <c r="SF8" s="213"/>
      <c r="SG8" s="213"/>
      <c r="SH8" s="213"/>
      <c r="SI8" s="213"/>
      <c r="SJ8" s="213"/>
      <c r="SK8" s="213"/>
      <c r="SL8" s="213"/>
      <c r="SM8" s="213"/>
      <c r="SN8" s="213"/>
      <c r="SO8" s="213"/>
      <c r="SP8" s="213"/>
      <c r="SQ8" s="213"/>
      <c r="SR8" s="213"/>
      <c r="SS8" s="213"/>
      <c r="ST8" s="213"/>
      <c r="SU8" s="213"/>
      <c r="SV8" s="213"/>
      <c r="SW8" s="213"/>
      <c r="SX8" s="213"/>
      <c r="SY8" s="213"/>
      <c r="SZ8" s="213"/>
      <c r="TA8" s="213"/>
      <c r="TB8" s="213"/>
      <c r="TC8" s="213"/>
      <c r="TD8" s="213"/>
      <c r="TE8" s="213"/>
      <c r="TF8" s="213"/>
      <c r="TG8" s="213"/>
      <c r="TH8" s="213"/>
      <c r="TI8" s="213"/>
      <c r="TJ8" s="213"/>
      <c r="TK8" s="213"/>
      <c r="TL8" s="213"/>
      <c r="TM8" s="213"/>
      <c r="TN8" s="213"/>
      <c r="TO8" s="213"/>
      <c r="TP8" s="213"/>
      <c r="TQ8" s="213"/>
      <c r="TR8" s="213"/>
      <c r="TS8" s="213"/>
      <c r="TT8" s="213"/>
      <c r="TU8" s="213"/>
      <c r="TV8" s="213"/>
      <c r="TW8" s="213"/>
      <c r="TX8" s="213"/>
      <c r="TY8" s="213"/>
      <c r="TZ8" s="213"/>
      <c r="UA8" s="213"/>
      <c r="UB8" s="213"/>
      <c r="UC8" s="213"/>
      <c r="UD8" s="213"/>
      <c r="UE8" s="213"/>
      <c r="UF8" s="213"/>
      <c r="UG8" s="213"/>
      <c r="UH8" s="213"/>
      <c r="UI8" s="213"/>
      <c r="UJ8" s="213"/>
      <c r="UK8" s="213"/>
      <c r="UL8" s="213"/>
      <c r="UM8" s="213"/>
      <c r="UN8" s="213"/>
      <c r="UO8" s="213"/>
      <c r="UP8" s="213"/>
      <c r="UQ8" s="213"/>
      <c r="UR8" s="213"/>
      <c r="US8" s="213"/>
      <c r="UT8" s="213"/>
      <c r="UU8" s="213"/>
      <c r="UV8" s="213"/>
      <c r="UW8" s="213"/>
      <c r="UX8" s="213"/>
      <c r="UY8" s="213"/>
      <c r="UZ8" s="213"/>
      <c r="VA8" s="213"/>
      <c r="VB8" s="213"/>
      <c r="VC8" s="213"/>
      <c r="VD8" s="213"/>
      <c r="VE8" s="213"/>
      <c r="VF8" s="213"/>
      <c r="VG8" s="213"/>
      <c r="VH8" s="213"/>
      <c r="VI8" s="213"/>
      <c r="VJ8" s="213"/>
      <c r="VK8" s="213"/>
      <c r="VL8" s="213"/>
      <c r="VM8" s="213"/>
      <c r="VN8" s="213"/>
      <c r="VO8" s="213"/>
      <c r="VP8" s="213"/>
      <c r="VQ8" s="213"/>
      <c r="VR8" s="213"/>
      <c r="VS8" s="213"/>
      <c r="VT8" s="213"/>
      <c r="VU8" s="213"/>
      <c r="VV8" s="213"/>
      <c r="VW8" s="213"/>
      <c r="VX8" s="213"/>
      <c r="VY8" s="213"/>
      <c r="VZ8" s="213"/>
      <c r="WA8" s="213"/>
      <c r="WB8" s="213"/>
      <c r="WC8" s="213"/>
      <c r="WD8" s="213"/>
      <c r="WE8" s="213"/>
      <c r="WF8" s="213"/>
      <c r="WG8" s="213"/>
      <c r="WH8" s="213"/>
      <c r="WI8" s="213"/>
      <c r="WJ8" s="213"/>
      <c r="WK8" s="213"/>
      <c r="WL8" s="213"/>
      <c r="WM8" s="213"/>
      <c r="WN8" s="213"/>
      <c r="WO8" s="213"/>
      <c r="WP8" s="213"/>
      <c r="WQ8" s="213"/>
      <c r="WR8" s="213"/>
      <c r="WS8" s="213"/>
      <c r="WT8" s="213"/>
      <c r="WU8" s="213"/>
      <c r="WV8" s="213"/>
      <c r="WW8" s="213"/>
      <c r="WX8" s="213"/>
      <c r="WY8" s="213"/>
      <c r="WZ8" s="213"/>
      <c r="XA8" s="213"/>
      <c r="XB8" s="213"/>
      <c r="XC8" s="213"/>
      <c r="XD8" s="213"/>
      <c r="XE8" s="213"/>
      <c r="XF8" s="213"/>
      <c r="XG8" s="213"/>
      <c r="XH8" s="213"/>
      <c r="XI8" s="213"/>
      <c r="XJ8" s="213"/>
      <c r="XK8" s="213"/>
      <c r="XL8" s="213"/>
      <c r="XM8" s="213"/>
      <c r="XN8" s="213"/>
      <c r="XO8" s="213"/>
      <c r="XP8" s="213"/>
      <c r="XQ8" s="213"/>
      <c r="XR8" s="213"/>
      <c r="XS8" s="213"/>
      <c r="XT8" s="213"/>
      <c r="XU8" s="213"/>
      <c r="XV8" s="213"/>
      <c r="XW8" s="213"/>
      <c r="XX8" s="213"/>
      <c r="XY8" s="213"/>
      <c r="XZ8" s="213"/>
      <c r="YA8" s="213"/>
      <c r="YB8" s="213"/>
      <c r="YC8" s="213"/>
      <c r="YD8" s="213"/>
      <c r="YE8" s="213"/>
      <c r="YF8" s="213"/>
      <c r="YG8" s="213"/>
      <c r="YH8" s="213"/>
      <c r="YI8" s="213"/>
      <c r="YJ8" s="213"/>
      <c r="YK8" s="213"/>
      <c r="YL8" s="213"/>
      <c r="YM8" s="213"/>
      <c r="YN8" s="213"/>
      <c r="YO8" s="213"/>
      <c r="YP8" s="213"/>
      <c r="YQ8" s="213"/>
      <c r="YR8" s="213"/>
      <c r="YS8" s="213"/>
      <c r="YT8" s="213"/>
      <c r="YU8" s="213"/>
      <c r="YV8" s="213"/>
      <c r="YW8" s="213"/>
      <c r="YX8" s="213"/>
      <c r="YY8" s="213"/>
      <c r="YZ8" s="213"/>
      <c r="ZA8" s="213"/>
      <c r="ZB8" s="213"/>
      <c r="ZC8" s="213"/>
      <c r="ZD8" s="213"/>
      <c r="ZE8" s="213"/>
      <c r="ZF8" s="213"/>
      <c r="ZG8" s="213"/>
      <c r="ZH8" s="213"/>
      <c r="ZI8" s="213"/>
      <c r="ZJ8" s="213"/>
      <c r="ZK8" s="213"/>
      <c r="ZL8" s="213"/>
      <c r="ZM8" s="213"/>
      <c r="ZN8" s="213"/>
      <c r="ZO8" s="213"/>
      <c r="ZP8" s="213"/>
      <c r="ZQ8" s="213"/>
      <c r="ZR8" s="213"/>
      <c r="ZS8" s="213"/>
      <c r="ZT8" s="213"/>
      <c r="ZU8" s="213"/>
      <c r="ZV8" s="213"/>
      <c r="ZW8" s="213"/>
      <c r="ZX8" s="213"/>
      <c r="ZY8" s="213"/>
      <c r="ZZ8" s="213"/>
      <c r="AAA8" s="213"/>
      <c r="AAB8" s="213"/>
      <c r="AAC8" s="213"/>
      <c r="AAD8" s="213"/>
      <c r="AAE8" s="213"/>
      <c r="AAF8" s="213"/>
      <c r="AAG8" s="213"/>
      <c r="AAH8" s="213"/>
      <c r="AAI8" s="213"/>
      <c r="AAJ8" s="213"/>
      <c r="AAK8" s="213"/>
      <c r="AAL8" s="213"/>
      <c r="AAM8" s="213"/>
      <c r="AAN8" s="213"/>
      <c r="AAO8" s="213"/>
      <c r="AAP8" s="213"/>
      <c r="AAQ8" s="213"/>
      <c r="AAR8" s="213"/>
      <c r="AAS8" s="213"/>
      <c r="AAT8" s="213"/>
      <c r="AAU8" s="213"/>
      <c r="AAV8" s="213"/>
      <c r="AAW8" s="213"/>
      <c r="AAX8" s="213"/>
      <c r="AAY8" s="213"/>
      <c r="AAZ8" s="213"/>
      <c r="ABA8" s="213"/>
      <c r="ABB8" s="213"/>
      <c r="ABC8" s="213"/>
      <c r="ABD8" s="213"/>
      <c r="ABE8" s="213"/>
      <c r="ABF8" s="213"/>
      <c r="ABG8" s="213"/>
      <c r="ABH8" s="213"/>
      <c r="ABI8" s="213"/>
      <c r="ABJ8" s="213"/>
      <c r="ABK8" s="213"/>
      <c r="ABL8" s="213"/>
      <c r="ABM8" s="213"/>
      <c r="ABN8" s="213"/>
      <c r="ABO8" s="213"/>
      <c r="ABP8" s="213"/>
      <c r="ABQ8" s="213"/>
      <c r="ABR8" s="213"/>
      <c r="ABS8" s="213"/>
      <c r="ABT8" s="213"/>
      <c r="ABU8" s="213"/>
      <c r="ABV8" s="213"/>
      <c r="ABW8" s="213"/>
      <c r="ABX8" s="213"/>
      <c r="ABY8" s="213"/>
      <c r="ABZ8" s="213"/>
      <c r="ACA8" s="213"/>
      <c r="ACB8" s="213"/>
      <c r="ACC8" s="213"/>
      <c r="ACD8" s="213"/>
      <c r="ACE8" s="213"/>
      <c r="ACF8" s="213"/>
      <c r="ACG8" s="213"/>
      <c r="ACH8" s="213"/>
      <c r="ACI8" s="213"/>
      <c r="ACJ8" s="213"/>
      <c r="ACK8" s="213"/>
      <c r="ACL8" s="213"/>
      <c r="ACM8" s="213"/>
      <c r="ACN8" s="213"/>
      <c r="ACO8" s="213"/>
      <c r="ACP8" s="213"/>
      <c r="ACQ8" s="213"/>
      <c r="ACR8" s="213"/>
      <c r="ACS8" s="213"/>
      <c r="ACT8" s="213"/>
      <c r="ACU8" s="213"/>
      <c r="ACV8" s="213"/>
      <c r="ACW8" s="213"/>
      <c r="ACX8" s="213"/>
      <c r="ACY8" s="213"/>
      <c r="ACZ8" s="213"/>
      <c r="ADA8" s="213"/>
      <c r="ADB8" s="213"/>
      <c r="ADC8" s="213"/>
      <c r="ADD8" s="213"/>
      <c r="ADE8" s="213"/>
      <c r="ADF8" s="213"/>
      <c r="ADG8" s="213"/>
      <c r="ADH8" s="213"/>
      <c r="ADI8" s="213"/>
      <c r="ADJ8" s="213"/>
      <c r="ADK8" s="213"/>
      <c r="ADL8" s="213"/>
      <c r="ADM8" s="213"/>
      <c r="ADN8" s="213"/>
      <c r="ADO8" s="213"/>
      <c r="ADP8" s="213"/>
      <c r="ADQ8" s="213"/>
      <c r="ADR8" s="213"/>
      <c r="ADS8" s="213"/>
      <c r="ADT8" s="213"/>
      <c r="ADU8" s="213"/>
      <c r="ADV8" s="213"/>
      <c r="ADW8" s="213"/>
      <c r="ADX8" s="213"/>
      <c r="ADY8" s="213"/>
      <c r="ADZ8" s="213"/>
      <c r="AEA8" s="213"/>
      <c r="AEB8" s="213"/>
      <c r="AEC8" s="213"/>
      <c r="AED8" s="213"/>
      <c r="AEE8" s="213"/>
      <c r="AEF8" s="213"/>
      <c r="AEG8" s="213"/>
      <c r="AEH8" s="213"/>
      <c r="AEI8" s="213"/>
      <c r="AEJ8" s="213"/>
      <c r="AEK8" s="213"/>
      <c r="AEL8" s="213"/>
      <c r="AEM8" s="213"/>
      <c r="AEN8" s="213"/>
      <c r="AEO8" s="213"/>
      <c r="AEP8" s="213"/>
      <c r="AEQ8" s="213"/>
      <c r="AER8" s="213"/>
      <c r="AES8" s="213"/>
      <c r="AET8" s="213"/>
      <c r="AEU8" s="213"/>
      <c r="AEV8" s="213"/>
      <c r="AEW8" s="213"/>
      <c r="AEX8" s="213"/>
      <c r="AEY8" s="213"/>
      <c r="AEZ8" s="213"/>
      <c r="AFA8" s="213"/>
      <c r="AFB8" s="213"/>
      <c r="AFC8" s="213"/>
      <c r="AFD8" s="213"/>
      <c r="AFE8" s="213"/>
      <c r="AFF8" s="213"/>
      <c r="AFG8" s="213"/>
      <c r="AFH8" s="213"/>
      <c r="AFI8" s="213"/>
      <c r="AFJ8" s="213"/>
      <c r="AFK8" s="213"/>
      <c r="AFL8" s="213"/>
      <c r="AFM8" s="213"/>
      <c r="AFN8" s="213"/>
      <c r="AFO8" s="213"/>
      <c r="AFP8" s="213"/>
      <c r="AFQ8" s="213"/>
      <c r="AFR8" s="213"/>
      <c r="AFS8" s="213"/>
      <c r="AFT8" s="213"/>
      <c r="AFU8" s="213"/>
      <c r="AFV8" s="213"/>
      <c r="AFW8" s="213"/>
      <c r="AFX8" s="213"/>
      <c r="AFY8" s="213"/>
      <c r="AFZ8" s="213"/>
      <c r="AGA8" s="213"/>
      <c r="AGB8" s="213"/>
      <c r="AGC8" s="213"/>
      <c r="AGD8" s="213"/>
      <c r="AGE8" s="213"/>
      <c r="AGF8" s="213"/>
      <c r="AGG8" s="213"/>
      <c r="AGH8" s="213"/>
      <c r="AGI8" s="213"/>
      <c r="AGJ8" s="213"/>
      <c r="AGK8" s="213"/>
      <c r="AGL8" s="213"/>
      <c r="AGM8" s="213"/>
      <c r="AGN8" s="213"/>
      <c r="AGO8" s="213"/>
      <c r="AGP8" s="213"/>
      <c r="AGQ8" s="213"/>
      <c r="AGR8" s="213"/>
      <c r="AGS8" s="213"/>
      <c r="AGT8" s="213"/>
      <c r="AGU8" s="213"/>
      <c r="AGV8" s="213"/>
      <c r="AGW8" s="213"/>
      <c r="AGX8" s="213"/>
      <c r="AGY8" s="213"/>
      <c r="AGZ8" s="213"/>
      <c r="AHA8" s="213"/>
      <c r="AHB8" s="213"/>
      <c r="AHC8" s="213"/>
      <c r="AHD8" s="213"/>
      <c r="AHE8" s="213"/>
      <c r="AHF8" s="213"/>
      <c r="AHG8" s="213"/>
      <c r="AHH8" s="213"/>
      <c r="AHI8" s="213"/>
      <c r="AHJ8" s="213"/>
      <c r="AHK8" s="213"/>
      <c r="AHL8" s="213"/>
      <c r="AHM8" s="213"/>
      <c r="AHN8" s="213"/>
      <c r="AHO8" s="213"/>
      <c r="AHP8" s="213"/>
      <c r="AHQ8" s="213"/>
      <c r="AHR8" s="213"/>
      <c r="AHS8" s="213"/>
      <c r="AHT8" s="213"/>
      <c r="AHU8" s="213"/>
      <c r="AHV8" s="213"/>
      <c r="AHW8" s="213"/>
      <c r="AHX8" s="213"/>
      <c r="AHY8" s="213"/>
      <c r="AHZ8" s="213"/>
      <c r="AIA8" s="213"/>
      <c r="AIB8" s="213"/>
      <c r="AIC8" s="213"/>
      <c r="AID8" s="213"/>
      <c r="AIE8" s="213"/>
      <c r="AIF8" s="213"/>
      <c r="AIG8" s="213"/>
      <c r="AIH8" s="213"/>
      <c r="AII8" s="213"/>
      <c r="AIJ8" s="213"/>
      <c r="AIK8" s="213"/>
      <c r="AIL8" s="213"/>
      <c r="AIM8" s="213"/>
      <c r="AIN8" s="213"/>
      <c r="AIO8" s="213"/>
      <c r="AIP8" s="213"/>
      <c r="AIQ8" s="213"/>
      <c r="AIR8" s="213"/>
      <c r="AIS8" s="213"/>
      <c r="AIT8" s="213"/>
      <c r="AIU8" s="213"/>
      <c r="AIV8" s="213"/>
      <c r="AIW8" s="213"/>
      <c r="AIX8" s="213"/>
      <c r="AIY8" s="213"/>
      <c r="AIZ8" s="213"/>
      <c r="AJA8" s="213"/>
      <c r="AJB8" s="213"/>
      <c r="AJC8" s="213"/>
      <c r="AJD8" s="213"/>
      <c r="AJE8" s="213"/>
      <c r="AJF8" s="213"/>
      <c r="AJG8" s="213"/>
      <c r="AJH8" s="213"/>
      <c r="AJI8" s="213"/>
      <c r="AJJ8" s="213"/>
      <c r="AJK8" s="213"/>
      <c r="AJL8" s="213"/>
      <c r="AJM8" s="213"/>
      <c r="AJN8" s="213"/>
      <c r="AJO8" s="213"/>
      <c r="AJP8" s="213"/>
      <c r="AJQ8" s="213"/>
      <c r="AJR8" s="213"/>
      <c r="AJS8" s="213"/>
      <c r="AJT8" s="213"/>
      <c r="AJU8" s="213"/>
      <c r="AJV8" s="213"/>
      <c r="AJW8" s="213"/>
      <c r="AJX8" s="213"/>
      <c r="AJY8" s="213"/>
      <c r="AJZ8" s="213"/>
      <c r="AKA8" s="213"/>
      <c r="AKB8" s="213"/>
      <c r="AKC8" s="213"/>
      <c r="AKD8" s="213"/>
      <c r="AKE8" s="213"/>
      <c r="AKF8" s="213"/>
      <c r="AKG8" s="213"/>
      <c r="AKH8" s="213"/>
      <c r="AKI8" s="213"/>
      <c r="AKJ8" s="213"/>
      <c r="AKK8" s="213"/>
      <c r="AKL8" s="213"/>
      <c r="AKM8" s="213"/>
      <c r="AKN8" s="213"/>
      <c r="AKO8" s="213"/>
      <c r="AKP8" s="213"/>
      <c r="AKQ8" s="213"/>
      <c r="AKR8" s="213"/>
      <c r="AKS8" s="213"/>
      <c r="AKT8" s="213"/>
      <c r="AKU8" s="213"/>
      <c r="AKV8" s="213"/>
      <c r="AKW8" s="213"/>
      <c r="AKX8" s="213"/>
      <c r="AKY8" s="213"/>
      <c r="AKZ8" s="213"/>
      <c r="ALA8" s="213"/>
      <c r="ALB8" s="213"/>
      <c r="ALC8" s="213"/>
      <c r="ALD8" s="213"/>
      <c r="ALE8" s="213"/>
      <c r="ALF8" s="213"/>
      <c r="ALG8" s="213"/>
      <c r="ALH8" s="213"/>
      <c r="ALI8" s="213"/>
      <c r="ALJ8" s="213"/>
      <c r="ALK8" s="213"/>
      <c r="ALL8" s="213"/>
      <c r="ALM8" s="213"/>
      <c r="ALN8" s="213"/>
      <c r="ALO8" s="213"/>
      <c r="ALP8" s="213"/>
      <c r="ALQ8" s="213"/>
      <c r="ALR8" s="213"/>
      <c r="ALS8" s="213"/>
      <c r="ALT8" s="213"/>
      <c r="ALU8" s="213"/>
      <c r="ALV8" s="213"/>
      <c r="ALW8" s="213"/>
      <c r="ALX8" s="213"/>
      <c r="ALY8" s="213"/>
      <c r="ALZ8" s="213"/>
      <c r="AMA8" s="213"/>
      <c r="AMB8" s="213"/>
      <c r="AMC8" s="213"/>
      <c r="AMD8" s="213"/>
      <c r="AME8" s="213"/>
      <c r="AMF8" s="213"/>
      <c r="AMG8" s="213"/>
      <c r="AMH8" s="213"/>
      <c r="AMI8" s="213"/>
      <c r="AMJ8" s="213"/>
      <c r="AMK8" s="213"/>
      <c r="AML8" s="213"/>
      <c r="AMM8" s="213"/>
      <c r="AMN8" s="213"/>
      <c r="AMO8" s="213"/>
      <c r="AMP8" s="213"/>
      <c r="AMQ8" s="213"/>
      <c r="AMR8" s="213"/>
      <c r="AMS8" s="213"/>
      <c r="AMT8" s="213"/>
      <c r="AMU8" s="213"/>
      <c r="AMV8" s="213"/>
      <c r="AMW8" s="213"/>
      <c r="AMX8" s="213"/>
      <c r="AMY8" s="213"/>
      <c r="AMZ8" s="213"/>
      <c r="ANA8" s="213"/>
      <c r="ANB8" s="213"/>
      <c r="ANC8" s="213"/>
      <c r="AND8" s="213"/>
      <c r="ANE8" s="213"/>
      <c r="ANF8" s="213"/>
      <c r="ANG8" s="213"/>
      <c r="ANH8" s="213"/>
      <c r="ANI8" s="213"/>
      <c r="ANJ8" s="213"/>
      <c r="ANK8" s="213"/>
      <c r="ANL8" s="213"/>
      <c r="ANM8" s="213"/>
      <c r="ANN8" s="213"/>
      <c r="ANO8" s="213"/>
      <c r="ANP8" s="213"/>
      <c r="ANQ8" s="213"/>
      <c r="ANR8" s="213"/>
      <c r="ANS8" s="213"/>
      <c r="ANT8" s="213"/>
      <c r="ANU8" s="213"/>
      <c r="ANV8" s="213"/>
      <c r="ANW8" s="213"/>
      <c r="ANX8" s="213"/>
      <c r="ANY8" s="213"/>
      <c r="ANZ8" s="213"/>
      <c r="AOA8" s="213"/>
      <c r="AOB8" s="213"/>
      <c r="AOC8" s="213"/>
      <c r="AOD8" s="213"/>
      <c r="AOE8" s="213"/>
      <c r="AOF8" s="213"/>
      <c r="AOG8" s="213"/>
      <c r="AOH8" s="213"/>
      <c r="AOI8" s="213"/>
      <c r="AOJ8" s="213"/>
      <c r="AOK8" s="213"/>
      <c r="AOL8" s="213"/>
      <c r="AOM8" s="213"/>
      <c r="AON8" s="213"/>
      <c r="AOO8" s="213"/>
      <c r="AOP8" s="213"/>
      <c r="AOQ8" s="213"/>
      <c r="AOR8" s="213"/>
      <c r="AOS8" s="213"/>
      <c r="AOT8" s="213"/>
      <c r="AOU8" s="213"/>
      <c r="AOV8" s="213"/>
      <c r="AOW8" s="213"/>
      <c r="AOX8" s="213"/>
      <c r="AOY8" s="213"/>
      <c r="AOZ8" s="213"/>
      <c r="APA8" s="213"/>
      <c r="APB8" s="213"/>
      <c r="APC8" s="213"/>
      <c r="APD8" s="213"/>
      <c r="APE8" s="213"/>
      <c r="APF8" s="213"/>
      <c r="APG8" s="213"/>
      <c r="APH8" s="213"/>
      <c r="API8" s="213"/>
      <c r="APJ8" s="213"/>
      <c r="APK8" s="213"/>
      <c r="APL8" s="213"/>
      <c r="APM8" s="213"/>
      <c r="APN8" s="213"/>
      <c r="APO8" s="213"/>
      <c r="APP8" s="213"/>
      <c r="APQ8" s="213"/>
      <c r="APR8" s="213"/>
      <c r="APS8" s="213"/>
      <c r="APT8" s="213"/>
      <c r="APU8" s="213"/>
      <c r="APV8" s="213"/>
      <c r="APW8" s="213"/>
      <c r="APX8" s="213"/>
      <c r="APY8" s="213"/>
      <c r="APZ8" s="213"/>
      <c r="AQA8" s="213"/>
      <c r="AQB8" s="213"/>
      <c r="AQC8" s="213"/>
      <c r="AQD8" s="213"/>
      <c r="AQE8" s="213"/>
      <c r="AQF8" s="213"/>
      <c r="AQG8" s="213"/>
      <c r="AQH8" s="213"/>
      <c r="AQI8" s="213"/>
      <c r="AQJ8" s="213"/>
      <c r="AQK8" s="213"/>
      <c r="AQL8" s="213"/>
      <c r="AQM8" s="213"/>
      <c r="AQN8" s="213"/>
      <c r="AQO8" s="213"/>
      <c r="AQP8" s="213"/>
      <c r="AQQ8" s="213"/>
      <c r="AQR8" s="213"/>
      <c r="AQS8" s="213"/>
      <c r="AQT8" s="213"/>
      <c r="AQU8" s="213"/>
      <c r="AQV8" s="213"/>
      <c r="AQW8" s="213"/>
      <c r="AQX8" s="213"/>
      <c r="AQY8" s="213"/>
      <c r="AQZ8" s="213"/>
      <c r="ARA8" s="213"/>
      <c r="ARB8" s="213"/>
      <c r="ARC8" s="213"/>
      <c r="ARD8" s="213"/>
      <c r="ARE8" s="213"/>
      <c r="ARF8" s="213"/>
      <c r="ARG8" s="213"/>
      <c r="ARH8" s="213"/>
      <c r="ARI8" s="213"/>
      <c r="ARJ8" s="213"/>
      <c r="ARK8" s="213"/>
      <c r="ARL8" s="213"/>
      <c r="ARM8" s="213"/>
      <c r="ARN8" s="213"/>
      <c r="ARO8" s="213"/>
      <c r="ARP8" s="213"/>
      <c r="ARQ8" s="213"/>
      <c r="ARR8" s="213"/>
      <c r="ARS8" s="213"/>
      <c r="ART8" s="213"/>
      <c r="ARU8" s="213"/>
      <c r="ARV8" s="213"/>
      <c r="ARW8" s="213"/>
      <c r="ARX8" s="213"/>
      <c r="ARY8" s="213"/>
      <c r="ARZ8" s="213"/>
      <c r="ASA8" s="213"/>
      <c r="ASB8" s="213"/>
      <c r="ASC8" s="213"/>
      <c r="ASD8" s="213"/>
      <c r="ASE8" s="213"/>
      <c r="ASF8" s="213"/>
      <c r="ASG8" s="213"/>
      <c r="ASH8" s="213"/>
      <c r="ASI8" s="213"/>
      <c r="ASJ8" s="213"/>
      <c r="ASK8" s="213"/>
      <c r="ASL8" s="213"/>
      <c r="ASM8" s="213"/>
      <c r="ASN8" s="213"/>
      <c r="ASO8" s="213"/>
      <c r="ASP8" s="213"/>
      <c r="ASQ8" s="213"/>
      <c r="ASR8" s="213"/>
      <c r="ASS8" s="213"/>
      <c r="AST8" s="213"/>
      <c r="ASU8" s="213"/>
      <c r="ASV8" s="213"/>
      <c r="ASW8" s="213"/>
      <c r="ASX8" s="213"/>
      <c r="ASY8" s="213"/>
      <c r="ASZ8" s="213"/>
      <c r="ATA8" s="213"/>
      <c r="ATB8" s="213"/>
      <c r="ATC8" s="213"/>
      <c r="ATD8" s="213"/>
      <c r="ATE8" s="213"/>
      <c r="ATF8" s="213"/>
      <c r="ATG8" s="213"/>
      <c r="ATH8" s="213"/>
      <c r="ATI8" s="213"/>
      <c r="ATJ8" s="213"/>
      <c r="ATK8" s="213"/>
      <c r="ATL8" s="213"/>
      <c r="ATM8" s="213"/>
      <c r="ATN8" s="213"/>
      <c r="ATO8" s="213"/>
      <c r="ATP8" s="213"/>
      <c r="ATQ8" s="213"/>
      <c r="ATR8" s="213"/>
      <c r="ATS8" s="213"/>
      <c r="ATT8" s="213"/>
      <c r="ATU8" s="213"/>
      <c r="ATV8" s="213"/>
      <c r="ATW8" s="213"/>
      <c r="ATX8" s="213"/>
      <c r="ATY8" s="213"/>
      <c r="ATZ8" s="213"/>
      <c r="AUA8" s="213"/>
      <c r="AUB8" s="213"/>
      <c r="AUC8" s="213"/>
      <c r="AUD8" s="213"/>
      <c r="AUE8" s="213"/>
      <c r="AUF8" s="213"/>
      <c r="AUG8" s="213"/>
      <c r="AUH8" s="213"/>
      <c r="AUI8" s="213"/>
      <c r="AUJ8" s="213"/>
      <c r="AUK8" s="213"/>
      <c r="AUL8" s="213"/>
      <c r="AUM8" s="213"/>
      <c r="AUN8" s="213"/>
      <c r="AUO8" s="213"/>
      <c r="AUP8" s="213"/>
      <c r="AUQ8" s="213"/>
      <c r="AUR8" s="213"/>
      <c r="AUS8" s="213"/>
      <c r="AUT8" s="213"/>
      <c r="AUU8" s="213"/>
      <c r="AUV8" s="213"/>
      <c r="AUW8" s="213"/>
      <c r="AUX8" s="213"/>
      <c r="AUY8" s="213"/>
      <c r="AUZ8" s="213"/>
      <c r="AVA8" s="213"/>
      <c r="AVB8" s="213"/>
      <c r="AVC8" s="213"/>
      <c r="AVD8" s="213"/>
      <c r="AVE8" s="213"/>
      <c r="AVF8" s="213"/>
      <c r="AVG8" s="213"/>
      <c r="AVH8" s="213"/>
      <c r="AVI8" s="213"/>
      <c r="AVJ8" s="213"/>
      <c r="AVK8" s="213"/>
      <c r="AVL8" s="213"/>
      <c r="AVM8" s="213"/>
      <c r="AVN8" s="213"/>
      <c r="AVO8" s="213"/>
      <c r="AVP8" s="213"/>
      <c r="AVQ8" s="213"/>
      <c r="AVR8" s="213"/>
      <c r="AVS8" s="213"/>
      <c r="AVT8" s="213"/>
      <c r="AVU8" s="213"/>
      <c r="AVV8" s="213"/>
      <c r="AVW8" s="213"/>
      <c r="AVX8" s="213"/>
      <c r="AVY8" s="213"/>
      <c r="AVZ8" s="213"/>
      <c r="AWA8" s="213"/>
      <c r="AWB8" s="213"/>
      <c r="AWC8" s="213"/>
      <c r="AWD8" s="213"/>
      <c r="AWE8" s="213"/>
      <c r="AWF8" s="213"/>
      <c r="AWG8" s="213"/>
      <c r="AWH8" s="213"/>
      <c r="AWI8" s="213"/>
      <c r="AWJ8" s="213"/>
      <c r="AWK8" s="213"/>
      <c r="AWL8" s="213"/>
      <c r="AWM8" s="213"/>
      <c r="AWN8" s="213"/>
      <c r="AWO8" s="213"/>
      <c r="AWP8" s="213"/>
      <c r="AWQ8" s="213"/>
      <c r="AWR8" s="213"/>
      <c r="AWS8" s="213"/>
      <c r="AWT8" s="213"/>
      <c r="AWU8" s="213"/>
      <c r="AWV8" s="213"/>
      <c r="AWW8" s="213"/>
      <c r="AWX8" s="213"/>
      <c r="AWY8" s="213"/>
      <c r="AWZ8" s="213"/>
      <c r="AXA8" s="213"/>
      <c r="AXB8" s="213"/>
      <c r="AXC8" s="213"/>
      <c r="AXD8" s="213"/>
      <c r="AXE8" s="213"/>
      <c r="AXF8" s="213"/>
      <c r="AXG8" s="213"/>
      <c r="AXH8" s="213"/>
      <c r="AXI8" s="213"/>
      <c r="AXJ8" s="213"/>
      <c r="AXK8" s="213"/>
      <c r="AXL8" s="213"/>
      <c r="AXM8" s="213"/>
      <c r="AXN8" s="213"/>
      <c r="AXO8" s="213"/>
      <c r="AXP8" s="213"/>
      <c r="AXQ8" s="213"/>
      <c r="AXR8" s="213"/>
      <c r="AXS8" s="213"/>
      <c r="AXT8" s="213"/>
      <c r="AXU8" s="213"/>
      <c r="AXV8" s="213"/>
      <c r="AXW8" s="213"/>
      <c r="AXX8" s="213"/>
      <c r="AXY8" s="213"/>
      <c r="AXZ8" s="213"/>
      <c r="AYA8" s="213"/>
      <c r="AYB8" s="213"/>
      <c r="AYC8" s="213"/>
      <c r="AYD8" s="213"/>
      <c r="AYE8" s="213"/>
      <c r="AYF8" s="213"/>
      <c r="AYG8" s="213"/>
      <c r="AYH8" s="213"/>
      <c r="AYI8" s="213"/>
      <c r="AYJ8" s="213"/>
      <c r="AYK8" s="213"/>
      <c r="AYL8" s="213"/>
      <c r="AYM8" s="213"/>
      <c r="AYN8" s="213"/>
      <c r="AYO8" s="213"/>
      <c r="AYP8" s="213"/>
      <c r="AYQ8" s="213"/>
      <c r="AYR8" s="213"/>
      <c r="AYS8" s="213"/>
      <c r="AYT8" s="213"/>
      <c r="AYU8" s="213"/>
      <c r="AYV8" s="213"/>
      <c r="AYW8" s="213"/>
      <c r="AYX8" s="213"/>
      <c r="AYY8" s="213"/>
      <c r="AYZ8" s="213"/>
      <c r="AZA8" s="213"/>
      <c r="AZB8" s="213"/>
      <c r="AZC8" s="213"/>
      <c r="AZD8" s="213"/>
      <c r="AZE8" s="213"/>
      <c r="AZF8" s="213"/>
      <c r="AZG8" s="213"/>
      <c r="AZH8" s="213"/>
      <c r="AZI8" s="213"/>
      <c r="AZJ8" s="213"/>
      <c r="AZK8" s="213"/>
      <c r="AZL8" s="213"/>
      <c r="AZM8" s="213"/>
      <c r="AZN8" s="213"/>
      <c r="AZO8" s="213"/>
      <c r="AZP8" s="213"/>
      <c r="AZQ8" s="213"/>
      <c r="AZR8" s="213"/>
      <c r="AZS8" s="213"/>
      <c r="AZT8" s="213"/>
      <c r="AZU8" s="213"/>
      <c r="AZV8" s="213"/>
      <c r="AZW8" s="213"/>
      <c r="AZX8" s="213"/>
      <c r="AZY8" s="213"/>
      <c r="AZZ8" s="213"/>
      <c r="BAA8" s="213"/>
      <c r="BAB8" s="213"/>
      <c r="BAC8" s="213"/>
      <c r="BAD8" s="213"/>
      <c r="BAE8" s="213"/>
      <c r="BAF8" s="213"/>
      <c r="BAG8" s="213"/>
      <c r="BAH8" s="213"/>
      <c r="BAI8" s="213"/>
      <c r="BAJ8" s="213"/>
      <c r="BAK8" s="213"/>
      <c r="BAL8" s="213"/>
      <c r="BAM8" s="213"/>
      <c r="BAN8" s="213"/>
      <c r="BAO8" s="213"/>
      <c r="BAP8" s="213"/>
      <c r="BAQ8" s="213"/>
      <c r="BAR8" s="213"/>
      <c r="BAS8" s="213"/>
      <c r="BAT8" s="213"/>
      <c r="BAU8" s="213"/>
      <c r="BAV8" s="213"/>
      <c r="BAW8" s="213"/>
      <c r="BAX8" s="213"/>
      <c r="BAY8" s="213"/>
      <c r="BAZ8" s="213"/>
      <c r="BBA8" s="213"/>
      <c r="BBB8" s="213"/>
      <c r="BBC8" s="213"/>
      <c r="BBD8" s="213"/>
      <c r="BBE8" s="213"/>
      <c r="BBF8" s="213"/>
      <c r="BBG8" s="213"/>
      <c r="BBH8" s="213"/>
      <c r="BBI8" s="213"/>
      <c r="BBJ8" s="213"/>
      <c r="BBK8" s="213"/>
      <c r="BBL8" s="213"/>
      <c r="BBM8" s="213"/>
      <c r="BBN8" s="213"/>
      <c r="BBO8" s="213"/>
      <c r="BBP8" s="213"/>
      <c r="BBQ8" s="213"/>
      <c r="BBR8" s="213"/>
      <c r="BBS8" s="213"/>
      <c r="BBT8" s="213"/>
      <c r="BBU8" s="213"/>
      <c r="BBV8" s="213"/>
      <c r="BBW8" s="213"/>
      <c r="BBX8" s="213"/>
      <c r="BBY8" s="213"/>
      <c r="BBZ8" s="213"/>
      <c r="BCA8" s="213"/>
      <c r="BCB8" s="213"/>
      <c r="BCC8" s="213"/>
      <c r="BCD8" s="213"/>
      <c r="BCE8" s="213"/>
      <c r="BCF8" s="213"/>
      <c r="BCG8" s="213"/>
      <c r="BCH8" s="213"/>
      <c r="BCI8" s="213"/>
      <c r="BCJ8" s="213"/>
      <c r="BCK8" s="213"/>
      <c r="BCL8" s="213"/>
      <c r="BCM8" s="213"/>
      <c r="BCN8" s="213"/>
      <c r="BCO8" s="213"/>
      <c r="BCP8" s="213"/>
      <c r="BCQ8" s="213"/>
      <c r="BCR8" s="213"/>
      <c r="BCS8" s="213"/>
      <c r="BCT8" s="213"/>
      <c r="BCU8" s="213"/>
      <c r="BCV8" s="213"/>
      <c r="BCW8" s="213"/>
      <c r="BCX8" s="213"/>
      <c r="BCY8" s="213"/>
      <c r="BCZ8" s="213"/>
      <c r="BDA8" s="213"/>
      <c r="BDB8" s="213"/>
      <c r="BDC8" s="213"/>
      <c r="BDD8" s="213"/>
      <c r="BDE8" s="213"/>
      <c r="BDF8" s="213"/>
      <c r="BDG8" s="213"/>
      <c r="BDH8" s="213"/>
      <c r="BDI8" s="213"/>
      <c r="BDJ8" s="213"/>
      <c r="BDK8" s="213"/>
      <c r="BDL8" s="213"/>
      <c r="BDM8" s="213"/>
      <c r="BDN8" s="213"/>
      <c r="BDO8" s="213"/>
      <c r="BDP8" s="213"/>
      <c r="BDQ8" s="213"/>
      <c r="BDR8" s="213"/>
      <c r="BDS8" s="213"/>
      <c r="BDT8" s="213"/>
      <c r="BDU8" s="213"/>
      <c r="BDV8" s="213"/>
      <c r="BDW8" s="213"/>
      <c r="BDX8" s="213"/>
      <c r="BDY8" s="213"/>
      <c r="BDZ8" s="213"/>
      <c r="BEA8" s="213"/>
      <c r="BEB8" s="213"/>
      <c r="BEC8" s="213"/>
      <c r="BED8" s="213"/>
      <c r="BEE8" s="213"/>
      <c r="BEF8" s="213"/>
      <c r="BEG8" s="213"/>
      <c r="BEH8" s="213"/>
      <c r="BEI8" s="213"/>
      <c r="BEJ8" s="213"/>
      <c r="BEK8" s="213"/>
      <c r="BEL8" s="213"/>
      <c r="BEM8" s="213"/>
      <c r="BEN8" s="213"/>
      <c r="BEO8" s="213"/>
      <c r="BEP8" s="213"/>
      <c r="BEQ8" s="213"/>
      <c r="BER8" s="213"/>
      <c r="BES8" s="213"/>
      <c r="BET8" s="213"/>
      <c r="BEU8" s="213"/>
      <c r="BEV8" s="213"/>
      <c r="BEW8" s="213"/>
      <c r="BEX8" s="213"/>
      <c r="BEY8" s="213"/>
      <c r="BEZ8" s="213"/>
      <c r="BFA8" s="213"/>
      <c r="BFB8" s="213"/>
      <c r="BFC8" s="213"/>
      <c r="BFD8" s="213"/>
      <c r="BFE8" s="213"/>
      <c r="BFF8" s="213"/>
      <c r="BFG8" s="213"/>
      <c r="BFH8" s="213"/>
      <c r="BFI8" s="213"/>
      <c r="BFJ8" s="213"/>
      <c r="BFK8" s="213"/>
      <c r="BFL8" s="213"/>
      <c r="BFM8" s="213"/>
      <c r="BFN8" s="213"/>
      <c r="BFO8" s="213"/>
      <c r="BFP8" s="213"/>
      <c r="BFQ8" s="213"/>
      <c r="BFR8" s="213"/>
      <c r="BFS8" s="213"/>
      <c r="BFT8" s="213"/>
      <c r="BFU8" s="213"/>
      <c r="BFV8" s="213"/>
      <c r="BFW8" s="213"/>
      <c r="BFX8" s="213"/>
      <c r="BFY8" s="213"/>
      <c r="BFZ8" s="213"/>
      <c r="BGA8" s="213"/>
      <c r="BGB8" s="213"/>
      <c r="BGC8" s="213"/>
      <c r="BGD8" s="213"/>
      <c r="BGE8" s="213"/>
      <c r="BGF8" s="213"/>
      <c r="BGG8" s="213"/>
      <c r="BGH8" s="213"/>
      <c r="BGI8" s="213"/>
      <c r="BGJ8" s="213"/>
      <c r="BGK8" s="213"/>
      <c r="BGL8" s="213"/>
      <c r="BGM8" s="213"/>
      <c r="BGN8" s="213"/>
      <c r="BGO8" s="213"/>
      <c r="BGP8" s="213"/>
      <c r="BGQ8" s="213"/>
      <c r="BGR8" s="213"/>
      <c r="BGS8" s="213"/>
      <c r="BGT8" s="213"/>
      <c r="BGU8" s="213"/>
      <c r="BGV8" s="213"/>
      <c r="BGW8" s="213"/>
      <c r="BGX8" s="213"/>
      <c r="BGY8" s="213"/>
      <c r="BGZ8" s="213"/>
      <c r="BHA8" s="213"/>
      <c r="BHB8" s="213"/>
      <c r="BHC8" s="213"/>
      <c r="BHD8" s="213"/>
      <c r="BHE8" s="213"/>
      <c r="BHF8" s="213"/>
      <c r="BHG8" s="213"/>
      <c r="BHH8" s="213"/>
      <c r="BHI8" s="213"/>
      <c r="BHJ8" s="213"/>
      <c r="BHK8" s="213"/>
      <c r="BHL8" s="213"/>
      <c r="BHM8" s="213"/>
      <c r="BHN8" s="213"/>
      <c r="BHO8" s="213"/>
      <c r="BHP8" s="213"/>
      <c r="BHQ8" s="213"/>
      <c r="BHR8" s="213"/>
      <c r="BHS8" s="213"/>
      <c r="BHT8" s="213"/>
      <c r="BHU8" s="213"/>
      <c r="BHV8" s="213"/>
      <c r="BHW8" s="213"/>
      <c r="BHX8" s="213"/>
      <c r="BHY8" s="213"/>
      <c r="BHZ8" s="213"/>
      <c r="BIA8" s="213"/>
      <c r="BIB8" s="213"/>
      <c r="BIC8" s="213"/>
      <c r="BID8" s="213"/>
      <c r="BIE8" s="213"/>
      <c r="BIF8" s="213"/>
      <c r="BIG8" s="213"/>
      <c r="BIH8" s="213"/>
      <c r="BII8" s="213"/>
      <c r="BIJ8" s="213"/>
      <c r="BIK8" s="213"/>
      <c r="BIL8" s="213"/>
      <c r="BIM8" s="213"/>
      <c r="BIN8" s="213"/>
      <c r="BIO8" s="213"/>
      <c r="BIP8" s="213"/>
      <c r="BIQ8" s="213"/>
      <c r="BIR8" s="213"/>
      <c r="BIS8" s="213"/>
      <c r="BIT8" s="213"/>
      <c r="BIU8" s="213"/>
      <c r="BIV8" s="213"/>
      <c r="BIW8" s="213"/>
      <c r="BIX8" s="213"/>
      <c r="BIY8" s="213"/>
      <c r="BIZ8" s="213"/>
      <c r="BJA8" s="213"/>
      <c r="BJB8" s="213"/>
      <c r="BJC8" s="213"/>
      <c r="BJD8" s="213"/>
      <c r="BJE8" s="213"/>
      <c r="BJF8" s="213"/>
      <c r="BJG8" s="213"/>
      <c r="BJH8" s="213"/>
      <c r="BJI8" s="213"/>
      <c r="BJJ8" s="213"/>
      <c r="BJK8" s="213"/>
      <c r="BJL8" s="213"/>
      <c r="BJM8" s="213"/>
      <c r="BJN8" s="213"/>
      <c r="BJO8" s="213"/>
      <c r="BJP8" s="213"/>
      <c r="BJQ8" s="213"/>
      <c r="BJR8" s="213"/>
      <c r="BJS8" s="213"/>
      <c r="BJT8" s="213"/>
      <c r="BJU8" s="213"/>
      <c r="BJV8" s="213"/>
      <c r="BJW8" s="213"/>
      <c r="BJX8" s="213"/>
      <c r="BJY8" s="213"/>
      <c r="BJZ8" s="213"/>
      <c r="BKA8" s="213"/>
      <c r="BKB8" s="213"/>
      <c r="BKC8" s="213"/>
      <c r="BKD8" s="213"/>
      <c r="BKE8" s="213"/>
      <c r="BKF8" s="213"/>
      <c r="BKG8" s="213"/>
      <c r="BKH8" s="213"/>
      <c r="BKI8" s="213"/>
      <c r="BKJ8" s="213"/>
      <c r="BKK8" s="213"/>
      <c r="BKL8" s="213"/>
      <c r="BKM8" s="213"/>
      <c r="BKN8" s="213"/>
      <c r="BKO8" s="213"/>
      <c r="BKP8" s="213"/>
      <c r="BKQ8" s="213"/>
      <c r="BKR8" s="213"/>
      <c r="BKS8" s="213"/>
      <c r="BKT8" s="213"/>
      <c r="BKU8" s="213"/>
      <c r="BKV8" s="213"/>
      <c r="BKW8" s="213"/>
      <c r="BKX8" s="213"/>
      <c r="BKY8" s="213"/>
      <c r="BKZ8" s="213"/>
      <c r="BLA8" s="213"/>
      <c r="BLB8" s="213"/>
      <c r="BLC8" s="213"/>
      <c r="BLD8" s="213"/>
      <c r="BLE8" s="213"/>
      <c r="BLF8" s="213"/>
      <c r="BLG8" s="213"/>
      <c r="BLH8" s="213"/>
      <c r="BLI8" s="213"/>
      <c r="BLJ8" s="213"/>
      <c r="BLK8" s="213"/>
      <c r="BLL8" s="213"/>
      <c r="BLM8" s="213"/>
      <c r="BLN8" s="213"/>
      <c r="BLO8" s="213"/>
      <c r="BLP8" s="213"/>
      <c r="BLQ8" s="213"/>
      <c r="BLR8" s="213"/>
      <c r="BLS8" s="213"/>
      <c r="BLT8" s="213"/>
      <c r="BLU8" s="213"/>
      <c r="BLV8" s="213"/>
      <c r="BLW8" s="213"/>
      <c r="BLX8" s="213"/>
      <c r="BLY8" s="213"/>
      <c r="BLZ8" s="213"/>
      <c r="BMA8" s="213"/>
      <c r="BMB8" s="213"/>
      <c r="BMC8" s="213"/>
      <c r="BMD8" s="213"/>
      <c r="BME8" s="213"/>
      <c r="BMF8" s="213"/>
      <c r="BMG8" s="213"/>
      <c r="BMH8" s="213"/>
      <c r="BMI8" s="213"/>
      <c r="BMJ8" s="213"/>
      <c r="BMK8" s="213"/>
      <c r="BML8" s="213"/>
      <c r="BMM8" s="213"/>
      <c r="BMN8" s="213"/>
      <c r="BMO8" s="213"/>
      <c r="BMP8" s="213"/>
      <c r="BMQ8" s="213"/>
      <c r="BMR8" s="213"/>
      <c r="BMS8" s="213"/>
      <c r="BMT8" s="213"/>
      <c r="BMU8" s="213"/>
      <c r="BMV8" s="213"/>
      <c r="BMW8" s="213"/>
      <c r="BMX8" s="213"/>
      <c r="BMY8" s="213"/>
      <c r="BMZ8" s="213"/>
      <c r="BNA8" s="213"/>
      <c r="BNB8" s="213"/>
      <c r="BNC8" s="213"/>
      <c r="BND8" s="213"/>
      <c r="BNE8" s="213"/>
      <c r="BNF8" s="213"/>
      <c r="BNG8" s="213"/>
      <c r="BNH8" s="213"/>
      <c r="BNI8" s="213"/>
      <c r="BNJ8" s="213"/>
      <c r="BNK8" s="213"/>
      <c r="BNL8" s="213"/>
      <c r="BNM8" s="213"/>
      <c r="BNN8" s="213"/>
      <c r="BNO8" s="213"/>
      <c r="BNP8" s="213"/>
      <c r="BNQ8" s="213"/>
      <c r="BNR8" s="213"/>
      <c r="BNS8" s="213"/>
      <c r="BNT8" s="213"/>
      <c r="BNU8" s="213"/>
      <c r="BNV8" s="213"/>
      <c r="BNW8" s="213"/>
      <c r="BNX8" s="213"/>
      <c r="BNY8" s="213"/>
      <c r="BNZ8" s="213"/>
      <c r="BOA8" s="213"/>
      <c r="BOB8" s="213"/>
      <c r="BOC8" s="213"/>
      <c r="BOD8" s="213"/>
      <c r="BOE8" s="213"/>
      <c r="BOF8" s="213"/>
      <c r="BOG8" s="213"/>
      <c r="BOH8" s="213"/>
      <c r="BOI8" s="213"/>
      <c r="BOJ8" s="213"/>
      <c r="BOK8" s="213"/>
      <c r="BOL8" s="213"/>
      <c r="BOM8" s="213"/>
      <c r="BON8" s="213"/>
      <c r="BOO8" s="213"/>
      <c r="BOP8" s="213"/>
      <c r="BOQ8" s="213"/>
      <c r="BOR8" s="213"/>
      <c r="BOS8" s="213"/>
      <c r="BOT8" s="213"/>
      <c r="BOU8" s="213"/>
      <c r="BOV8" s="213"/>
      <c r="BOW8" s="213"/>
      <c r="BOX8" s="213"/>
      <c r="BOY8" s="213"/>
      <c r="BOZ8" s="213"/>
      <c r="BPA8" s="213"/>
      <c r="BPB8" s="213"/>
      <c r="BPC8" s="213"/>
      <c r="BPD8" s="213"/>
      <c r="BPE8" s="213"/>
      <c r="BPF8" s="213"/>
      <c r="BPG8" s="213"/>
      <c r="BPH8" s="213"/>
      <c r="BPI8" s="213"/>
      <c r="BPJ8" s="213"/>
      <c r="BPK8" s="213"/>
      <c r="BPL8" s="213"/>
      <c r="BPM8" s="213"/>
      <c r="BPN8" s="213"/>
      <c r="BPO8" s="213"/>
      <c r="BPP8" s="213"/>
      <c r="BPQ8" s="213"/>
      <c r="BPR8" s="213"/>
      <c r="BPS8" s="213"/>
      <c r="BPT8" s="213"/>
      <c r="BPU8" s="213"/>
      <c r="BPV8" s="213"/>
      <c r="BPW8" s="213"/>
      <c r="BPX8" s="213"/>
      <c r="BPY8" s="213"/>
      <c r="BPZ8" s="213"/>
      <c r="BQA8" s="213"/>
      <c r="BQB8" s="213"/>
      <c r="BQC8" s="213"/>
      <c r="BQD8" s="213"/>
      <c r="BQE8" s="213"/>
      <c r="BQF8" s="213"/>
      <c r="BQG8" s="213"/>
      <c r="BQH8" s="213"/>
      <c r="BQI8" s="213"/>
      <c r="BQJ8" s="213"/>
      <c r="BQK8" s="213"/>
      <c r="BQL8" s="213"/>
      <c r="BQM8" s="213"/>
      <c r="BQN8" s="213"/>
      <c r="BQO8" s="213"/>
      <c r="BQP8" s="213"/>
      <c r="BQQ8" s="213"/>
      <c r="BQR8" s="213"/>
      <c r="BQS8" s="213"/>
      <c r="BQT8" s="213"/>
      <c r="BQU8" s="213"/>
      <c r="BQV8" s="213"/>
      <c r="BQW8" s="213"/>
      <c r="BQX8" s="213"/>
      <c r="BQY8" s="213"/>
      <c r="BQZ8" s="213"/>
      <c r="BRA8" s="213"/>
      <c r="BRB8" s="213"/>
      <c r="BRC8" s="213"/>
      <c r="BRD8" s="213"/>
      <c r="BRE8" s="213"/>
      <c r="BRF8" s="213"/>
      <c r="BRG8" s="213"/>
      <c r="BRH8" s="213"/>
      <c r="BRI8" s="213"/>
      <c r="BRJ8" s="213"/>
      <c r="BRK8" s="213"/>
      <c r="BRL8" s="213"/>
      <c r="BRM8" s="213"/>
      <c r="BRN8" s="213"/>
      <c r="BRO8" s="213"/>
      <c r="BRP8" s="213"/>
      <c r="BRQ8" s="213"/>
      <c r="BRR8" s="213"/>
      <c r="BRS8" s="213"/>
      <c r="BRT8" s="213"/>
      <c r="BRU8" s="213"/>
      <c r="BRV8" s="213"/>
      <c r="BRW8" s="213"/>
      <c r="BRX8" s="213"/>
      <c r="BRY8" s="213"/>
      <c r="BRZ8" s="213"/>
      <c r="BSA8" s="213"/>
      <c r="BSB8" s="213"/>
      <c r="BSC8" s="213"/>
      <c r="BSD8" s="213"/>
      <c r="BSE8" s="213"/>
      <c r="BSF8" s="213"/>
      <c r="BSG8" s="213"/>
      <c r="BSH8" s="213"/>
      <c r="BSI8" s="213"/>
      <c r="BSJ8" s="213"/>
      <c r="BSK8" s="213"/>
      <c r="BSL8" s="213"/>
      <c r="BSM8" s="213"/>
      <c r="BSN8" s="213"/>
      <c r="BSO8" s="213"/>
      <c r="BSP8" s="213"/>
      <c r="BSQ8" s="213"/>
      <c r="BSR8" s="213"/>
      <c r="BSS8" s="213"/>
      <c r="BST8" s="213"/>
      <c r="BSU8" s="213"/>
      <c r="BSV8" s="213"/>
      <c r="BSW8" s="213"/>
      <c r="BSX8" s="213"/>
      <c r="BSY8" s="213"/>
      <c r="BSZ8" s="213"/>
      <c r="BTA8" s="213"/>
      <c r="BTB8" s="213"/>
      <c r="BTC8" s="213"/>
      <c r="BTD8" s="213"/>
      <c r="BTE8" s="213"/>
      <c r="BTF8" s="213"/>
      <c r="BTG8" s="213"/>
      <c r="BTH8" s="213"/>
      <c r="BTI8" s="213"/>
      <c r="BTJ8" s="213"/>
      <c r="BTK8" s="213"/>
      <c r="BTL8" s="213"/>
      <c r="BTM8" s="213"/>
      <c r="BTN8" s="213"/>
      <c r="BTO8" s="213"/>
      <c r="BTP8" s="213"/>
      <c r="BTQ8" s="213"/>
      <c r="BTR8" s="213"/>
      <c r="BTS8" s="213"/>
      <c r="BTT8" s="213"/>
      <c r="BTU8" s="213"/>
      <c r="BTV8" s="213"/>
      <c r="BTW8" s="213"/>
      <c r="BTX8" s="213"/>
      <c r="BTY8" s="213"/>
      <c r="BTZ8" s="213"/>
      <c r="BUA8" s="213"/>
      <c r="BUB8" s="213"/>
      <c r="BUC8" s="213"/>
      <c r="BUD8" s="213"/>
      <c r="BUE8" s="213"/>
      <c r="BUF8" s="213"/>
      <c r="BUG8" s="213"/>
      <c r="BUH8" s="213"/>
      <c r="BUI8" s="213"/>
      <c r="BUJ8" s="213"/>
      <c r="BUK8" s="213"/>
      <c r="BUL8" s="213"/>
      <c r="BUM8" s="213"/>
      <c r="BUN8" s="213"/>
      <c r="BUO8" s="213"/>
      <c r="BUP8" s="213"/>
      <c r="BUQ8" s="213"/>
      <c r="BUR8" s="213"/>
      <c r="BUS8" s="213"/>
      <c r="BUT8" s="213"/>
      <c r="BUU8" s="213"/>
      <c r="BUV8" s="213"/>
      <c r="BUW8" s="213"/>
      <c r="BUX8" s="213"/>
      <c r="BUY8" s="213"/>
      <c r="BUZ8" s="213"/>
      <c r="BVA8" s="213"/>
      <c r="BVB8" s="213"/>
      <c r="BVC8" s="213"/>
      <c r="BVD8" s="213"/>
      <c r="BVE8" s="213"/>
      <c r="BVF8" s="213"/>
      <c r="BVG8" s="213"/>
      <c r="BVH8" s="213"/>
      <c r="BVI8" s="213"/>
      <c r="BVJ8" s="213"/>
      <c r="BVK8" s="213"/>
      <c r="BVL8" s="213"/>
      <c r="BVM8" s="213"/>
      <c r="BVN8" s="213"/>
      <c r="BVO8" s="213"/>
      <c r="BVP8" s="213"/>
      <c r="BVQ8" s="213"/>
      <c r="BVR8" s="213"/>
      <c r="BVS8" s="213"/>
      <c r="BVT8" s="213"/>
      <c r="BVU8" s="213"/>
      <c r="BVV8" s="213"/>
      <c r="BVW8" s="213"/>
      <c r="BVX8" s="213"/>
      <c r="BVY8" s="213"/>
      <c r="BVZ8" s="213"/>
      <c r="BWA8" s="213"/>
      <c r="BWB8" s="213"/>
      <c r="BWC8" s="213"/>
      <c r="BWD8" s="213"/>
      <c r="BWE8" s="213"/>
      <c r="BWF8" s="213"/>
      <c r="BWG8" s="213"/>
      <c r="BWH8" s="213"/>
      <c r="BWI8" s="213"/>
      <c r="BWJ8" s="213"/>
      <c r="BWK8" s="213"/>
      <c r="BWL8" s="213"/>
      <c r="BWM8" s="213"/>
      <c r="BWN8" s="213"/>
      <c r="BWO8" s="213"/>
      <c r="BWP8" s="213"/>
      <c r="BWQ8" s="213"/>
      <c r="BWR8" s="213"/>
      <c r="BWS8" s="213"/>
      <c r="BWT8" s="213"/>
      <c r="BWU8" s="213"/>
      <c r="BWV8" s="213"/>
      <c r="BWW8" s="213"/>
      <c r="BWX8" s="213"/>
      <c r="BWY8" s="213"/>
      <c r="BWZ8" s="213"/>
      <c r="BXA8" s="213"/>
      <c r="BXB8" s="213"/>
      <c r="BXC8" s="213"/>
      <c r="BXD8" s="213"/>
      <c r="BXE8" s="213"/>
      <c r="BXF8" s="213"/>
      <c r="BXG8" s="213"/>
      <c r="BXH8" s="213"/>
      <c r="BXI8" s="213"/>
      <c r="BXJ8" s="213"/>
      <c r="BXK8" s="213"/>
      <c r="BXL8" s="213"/>
      <c r="BXM8" s="213"/>
      <c r="BXN8" s="213"/>
      <c r="BXO8" s="213"/>
      <c r="BXP8" s="213"/>
      <c r="BXQ8" s="213"/>
      <c r="BXR8" s="213"/>
      <c r="BXS8" s="213"/>
      <c r="BXT8" s="213"/>
      <c r="BXU8" s="213"/>
      <c r="BXV8" s="213"/>
      <c r="BXW8" s="213"/>
      <c r="BXX8" s="213"/>
      <c r="BXY8" s="213"/>
      <c r="BXZ8" s="213"/>
      <c r="BYA8" s="213"/>
      <c r="BYB8" s="213"/>
      <c r="BYC8" s="213"/>
      <c r="BYD8" s="213"/>
      <c r="BYE8" s="213"/>
      <c r="BYF8" s="213"/>
      <c r="BYG8" s="213"/>
    </row>
    <row r="9" spans="1:2009" s="101" customFormat="1" ht="12.75" customHeight="1" thickBot="1" x14ac:dyDescent="0.3">
      <c r="A9" s="98"/>
      <c r="B9" s="98"/>
      <c r="C9" s="168"/>
      <c r="D9" s="168"/>
      <c r="E9" s="168"/>
      <c r="F9" s="168"/>
      <c r="G9" s="168"/>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89</v>
      </c>
      <c r="B10" s="132"/>
      <c r="C10" s="169"/>
      <c r="D10" s="169"/>
      <c r="E10" s="170"/>
      <c r="F10" s="170"/>
      <c r="G10" s="171"/>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62</v>
      </c>
      <c r="C11" s="172"/>
      <c r="D11" s="172"/>
      <c r="E11" s="173"/>
      <c r="F11" s="173"/>
      <c r="G11" s="174">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225</v>
      </c>
      <c r="C12" s="172"/>
      <c r="D12" s="172"/>
      <c r="E12" s="173"/>
      <c r="F12" s="173"/>
      <c r="G12" s="174">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304</v>
      </c>
      <c r="C13" s="172">
        <v>14741.64</v>
      </c>
      <c r="D13" s="172">
        <v>17042.41</v>
      </c>
      <c r="E13" s="173">
        <f>25178.11+2660</f>
        <v>27838.11</v>
      </c>
      <c r="F13" s="173"/>
      <c r="G13" s="174">
        <f>ROUND(SUM(C13:F13),5)</f>
        <v>59622.16</v>
      </c>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9" customFormat="1" ht="24.95" customHeight="1" thickBot="1" x14ac:dyDescent="0.3">
      <c r="A14" s="215"/>
      <c r="B14" s="216" t="s">
        <v>201</v>
      </c>
      <c r="C14" s="217">
        <f>ROUND(SUM(C10:C13),5)</f>
        <v>14741.64</v>
      </c>
      <c r="D14" s="217">
        <f>SUM(D12:D13)</f>
        <v>17042.41</v>
      </c>
      <c r="E14" s="217">
        <f>E13</f>
        <v>27838.11</v>
      </c>
      <c r="F14" s="217"/>
      <c r="G14" s="218">
        <f>ROUND(SUM(G10:G13),5)</f>
        <v>59622.16</v>
      </c>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c r="GL14" s="213"/>
      <c r="GM14" s="213"/>
      <c r="GN14" s="213"/>
      <c r="GO14" s="213"/>
      <c r="GP14" s="213"/>
      <c r="GQ14" s="213"/>
      <c r="GR14" s="213"/>
      <c r="GS14" s="213"/>
      <c r="GT14" s="213"/>
      <c r="GU14" s="213"/>
      <c r="GV14" s="213"/>
      <c r="GW14" s="213"/>
      <c r="GX14" s="213"/>
      <c r="GY14" s="213"/>
      <c r="GZ14" s="213"/>
      <c r="HA14" s="213"/>
      <c r="HB14" s="213"/>
      <c r="HC14" s="213"/>
      <c r="HD14" s="213"/>
      <c r="HE14" s="213"/>
      <c r="HF14" s="213"/>
      <c r="HG14" s="213"/>
      <c r="HH14" s="213"/>
      <c r="HI14" s="213"/>
      <c r="HJ14" s="213"/>
      <c r="HK14" s="213"/>
      <c r="HL14" s="213"/>
      <c r="HM14" s="213"/>
      <c r="HN14" s="213"/>
      <c r="HO14" s="213"/>
      <c r="HP14" s="213"/>
      <c r="HQ14" s="213"/>
      <c r="HR14" s="213"/>
      <c r="HS14" s="213"/>
      <c r="HT14" s="213"/>
      <c r="HU14" s="213"/>
      <c r="HV14" s="213"/>
      <c r="HW14" s="213"/>
      <c r="HX14" s="213"/>
      <c r="HY14" s="213"/>
      <c r="HZ14" s="213"/>
      <c r="IA14" s="213"/>
      <c r="IB14" s="213"/>
      <c r="IC14" s="213"/>
      <c r="ID14" s="213"/>
      <c r="IE14" s="213"/>
      <c r="IF14" s="213"/>
      <c r="IG14" s="213"/>
      <c r="IH14" s="213"/>
      <c r="II14" s="213"/>
      <c r="IJ14" s="213"/>
      <c r="IK14" s="213"/>
      <c r="IL14" s="213"/>
      <c r="IM14" s="213"/>
      <c r="IN14" s="213"/>
      <c r="IO14" s="213"/>
      <c r="IP14" s="213"/>
      <c r="IQ14" s="213"/>
      <c r="IR14" s="213"/>
      <c r="IS14" s="213"/>
      <c r="IT14" s="213"/>
      <c r="IU14" s="213"/>
      <c r="IV14" s="213"/>
      <c r="IW14" s="213"/>
      <c r="IX14" s="213"/>
      <c r="IY14" s="213"/>
      <c r="IZ14" s="213"/>
      <c r="JA14" s="213"/>
      <c r="JB14" s="213"/>
      <c r="JC14" s="213"/>
      <c r="JD14" s="213"/>
      <c r="JE14" s="213"/>
      <c r="JF14" s="213"/>
      <c r="JG14" s="213"/>
      <c r="JH14" s="213"/>
      <c r="JI14" s="213"/>
      <c r="JJ14" s="213"/>
      <c r="JK14" s="213"/>
      <c r="JL14" s="213"/>
      <c r="JM14" s="213"/>
      <c r="JN14" s="213"/>
      <c r="JO14" s="213"/>
      <c r="JP14" s="213"/>
      <c r="JQ14" s="213"/>
      <c r="JR14" s="213"/>
      <c r="JS14" s="213"/>
      <c r="JT14" s="213"/>
      <c r="JU14" s="213"/>
      <c r="JV14" s="213"/>
      <c r="JW14" s="213"/>
      <c r="JX14" s="213"/>
      <c r="JY14" s="213"/>
      <c r="JZ14" s="213"/>
      <c r="KA14" s="213"/>
      <c r="KB14" s="213"/>
      <c r="KC14" s="213"/>
      <c r="KD14" s="213"/>
      <c r="KE14" s="213"/>
      <c r="KF14" s="213"/>
      <c r="KG14" s="213"/>
      <c r="KH14" s="213"/>
      <c r="KI14" s="213"/>
      <c r="KJ14" s="213"/>
      <c r="KK14" s="213"/>
      <c r="KL14" s="213"/>
      <c r="KM14" s="213"/>
      <c r="KN14" s="213"/>
      <c r="KO14" s="213"/>
      <c r="KP14" s="213"/>
      <c r="KQ14" s="213"/>
      <c r="KR14" s="213"/>
      <c r="KS14" s="213"/>
      <c r="KT14" s="213"/>
      <c r="KU14" s="213"/>
      <c r="KV14" s="213"/>
      <c r="KW14" s="213"/>
      <c r="KX14" s="213"/>
      <c r="KY14" s="213"/>
      <c r="KZ14" s="213"/>
      <c r="LA14" s="213"/>
      <c r="LB14" s="213"/>
      <c r="LC14" s="213"/>
      <c r="LD14" s="213"/>
      <c r="LE14" s="213"/>
      <c r="LF14" s="213"/>
      <c r="LG14" s="213"/>
      <c r="LH14" s="213"/>
      <c r="LI14" s="213"/>
      <c r="LJ14" s="213"/>
      <c r="LK14" s="213"/>
      <c r="LL14" s="213"/>
      <c r="LM14" s="213"/>
      <c r="LN14" s="213"/>
      <c r="LO14" s="213"/>
      <c r="LP14" s="213"/>
      <c r="LQ14" s="213"/>
      <c r="LR14" s="213"/>
      <c r="LS14" s="213"/>
      <c r="LT14" s="213"/>
      <c r="LU14" s="213"/>
      <c r="LV14" s="213"/>
      <c r="LW14" s="213"/>
      <c r="LX14" s="213"/>
      <c r="LY14" s="213"/>
      <c r="LZ14" s="213"/>
      <c r="MA14" s="213"/>
      <c r="MB14" s="213"/>
      <c r="MC14" s="213"/>
      <c r="MD14" s="213"/>
      <c r="ME14" s="213"/>
      <c r="MF14" s="213"/>
      <c r="MG14" s="213"/>
      <c r="MH14" s="213"/>
      <c r="MI14" s="213"/>
      <c r="MJ14" s="213"/>
      <c r="MK14" s="213"/>
      <c r="ML14" s="213"/>
      <c r="MM14" s="213"/>
      <c r="MN14" s="213"/>
      <c r="MO14" s="213"/>
      <c r="MP14" s="213"/>
      <c r="MQ14" s="213"/>
      <c r="MR14" s="213"/>
      <c r="MS14" s="213"/>
      <c r="MT14" s="213"/>
      <c r="MU14" s="213"/>
      <c r="MV14" s="213"/>
      <c r="MW14" s="213"/>
      <c r="MX14" s="213"/>
      <c r="MY14" s="213"/>
      <c r="MZ14" s="213"/>
      <c r="NA14" s="213"/>
      <c r="NB14" s="213"/>
      <c r="NC14" s="213"/>
      <c r="ND14" s="213"/>
      <c r="NE14" s="213"/>
      <c r="NF14" s="213"/>
      <c r="NG14" s="213"/>
      <c r="NH14" s="213"/>
      <c r="NI14" s="213"/>
      <c r="NJ14" s="213"/>
      <c r="NK14" s="213"/>
      <c r="NL14" s="213"/>
      <c r="NM14" s="213"/>
      <c r="NN14" s="213"/>
      <c r="NO14" s="213"/>
      <c r="NP14" s="213"/>
      <c r="NQ14" s="213"/>
      <c r="NR14" s="213"/>
      <c r="NS14" s="213"/>
      <c r="NT14" s="213"/>
      <c r="NU14" s="213"/>
      <c r="NV14" s="213"/>
      <c r="NW14" s="213"/>
      <c r="NX14" s="213"/>
      <c r="NY14" s="213"/>
      <c r="NZ14" s="213"/>
      <c r="OA14" s="213"/>
      <c r="OB14" s="213"/>
      <c r="OC14" s="213"/>
      <c r="OD14" s="213"/>
      <c r="OE14" s="213"/>
      <c r="OF14" s="213"/>
      <c r="OG14" s="213"/>
      <c r="OH14" s="213"/>
      <c r="OI14" s="213"/>
      <c r="OJ14" s="213"/>
      <c r="OK14" s="213"/>
      <c r="OL14" s="213"/>
      <c r="OM14" s="213"/>
      <c r="ON14" s="213"/>
      <c r="OO14" s="213"/>
      <c r="OP14" s="213"/>
      <c r="OQ14" s="213"/>
      <c r="OR14" s="213"/>
      <c r="OS14" s="213"/>
      <c r="OT14" s="213"/>
      <c r="OU14" s="213"/>
      <c r="OV14" s="213"/>
      <c r="OW14" s="213"/>
      <c r="OX14" s="213"/>
      <c r="OY14" s="213"/>
      <c r="OZ14" s="213"/>
      <c r="PA14" s="213"/>
      <c r="PB14" s="213"/>
      <c r="PC14" s="213"/>
      <c r="PD14" s="213"/>
      <c r="PE14" s="213"/>
      <c r="PF14" s="213"/>
      <c r="PG14" s="213"/>
      <c r="PH14" s="213"/>
      <c r="PI14" s="213"/>
      <c r="PJ14" s="213"/>
      <c r="PK14" s="213"/>
      <c r="PL14" s="213"/>
      <c r="PM14" s="213"/>
      <c r="PN14" s="213"/>
      <c r="PO14" s="213"/>
      <c r="PP14" s="213"/>
      <c r="PQ14" s="213"/>
      <c r="PR14" s="213"/>
      <c r="PS14" s="213"/>
      <c r="PT14" s="213"/>
      <c r="PU14" s="213"/>
      <c r="PV14" s="213"/>
      <c r="PW14" s="213"/>
      <c r="PX14" s="213"/>
      <c r="PY14" s="213"/>
      <c r="PZ14" s="213"/>
      <c r="QA14" s="213"/>
      <c r="QB14" s="213"/>
      <c r="QC14" s="213"/>
      <c r="QD14" s="213"/>
      <c r="QE14" s="213"/>
      <c r="QF14" s="213"/>
      <c r="QG14" s="213"/>
      <c r="QH14" s="213"/>
      <c r="QI14" s="213"/>
      <c r="QJ14" s="213"/>
      <c r="QK14" s="213"/>
      <c r="QL14" s="213"/>
      <c r="QM14" s="213"/>
      <c r="QN14" s="213"/>
      <c r="QO14" s="213"/>
      <c r="QP14" s="213"/>
      <c r="QQ14" s="213"/>
      <c r="QR14" s="213"/>
      <c r="QS14" s="213"/>
      <c r="QT14" s="213"/>
      <c r="QU14" s="213"/>
      <c r="QV14" s="213"/>
      <c r="QW14" s="213"/>
      <c r="QX14" s="213"/>
      <c r="QY14" s="213"/>
      <c r="QZ14" s="213"/>
      <c r="RA14" s="213"/>
      <c r="RB14" s="213"/>
      <c r="RC14" s="213"/>
      <c r="RD14" s="213"/>
      <c r="RE14" s="213"/>
      <c r="RF14" s="213"/>
      <c r="RG14" s="213"/>
      <c r="RH14" s="213"/>
      <c r="RI14" s="213"/>
      <c r="RJ14" s="213"/>
      <c r="RK14" s="213"/>
      <c r="RL14" s="213"/>
      <c r="RM14" s="213"/>
      <c r="RN14" s="213"/>
      <c r="RO14" s="213"/>
      <c r="RP14" s="213"/>
      <c r="RQ14" s="213"/>
      <c r="RR14" s="213"/>
      <c r="RS14" s="213"/>
      <c r="RT14" s="213"/>
      <c r="RU14" s="213"/>
      <c r="RV14" s="213"/>
      <c r="RW14" s="213"/>
      <c r="RX14" s="213"/>
      <c r="RY14" s="213"/>
      <c r="RZ14" s="213"/>
      <c r="SA14" s="213"/>
      <c r="SB14" s="213"/>
      <c r="SC14" s="213"/>
      <c r="SD14" s="213"/>
      <c r="SE14" s="213"/>
      <c r="SF14" s="213"/>
      <c r="SG14" s="213"/>
      <c r="SH14" s="213"/>
      <c r="SI14" s="213"/>
      <c r="SJ14" s="213"/>
      <c r="SK14" s="213"/>
      <c r="SL14" s="213"/>
      <c r="SM14" s="213"/>
      <c r="SN14" s="213"/>
      <c r="SO14" s="213"/>
      <c r="SP14" s="213"/>
      <c r="SQ14" s="213"/>
      <c r="SR14" s="213"/>
      <c r="SS14" s="213"/>
      <c r="ST14" s="213"/>
      <c r="SU14" s="213"/>
      <c r="SV14" s="213"/>
      <c r="SW14" s="213"/>
      <c r="SX14" s="213"/>
      <c r="SY14" s="213"/>
      <c r="SZ14" s="213"/>
      <c r="TA14" s="213"/>
      <c r="TB14" s="213"/>
      <c r="TC14" s="213"/>
      <c r="TD14" s="213"/>
      <c r="TE14" s="213"/>
      <c r="TF14" s="213"/>
      <c r="TG14" s="213"/>
      <c r="TH14" s="213"/>
      <c r="TI14" s="213"/>
      <c r="TJ14" s="213"/>
      <c r="TK14" s="213"/>
      <c r="TL14" s="213"/>
      <c r="TM14" s="213"/>
      <c r="TN14" s="213"/>
      <c r="TO14" s="213"/>
      <c r="TP14" s="213"/>
      <c r="TQ14" s="213"/>
      <c r="TR14" s="213"/>
      <c r="TS14" s="213"/>
      <c r="TT14" s="213"/>
      <c r="TU14" s="213"/>
      <c r="TV14" s="213"/>
      <c r="TW14" s="213"/>
      <c r="TX14" s="213"/>
      <c r="TY14" s="213"/>
      <c r="TZ14" s="213"/>
      <c r="UA14" s="213"/>
      <c r="UB14" s="213"/>
      <c r="UC14" s="213"/>
      <c r="UD14" s="213"/>
      <c r="UE14" s="213"/>
      <c r="UF14" s="213"/>
      <c r="UG14" s="213"/>
      <c r="UH14" s="213"/>
      <c r="UI14" s="213"/>
      <c r="UJ14" s="213"/>
      <c r="UK14" s="213"/>
      <c r="UL14" s="213"/>
      <c r="UM14" s="213"/>
      <c r="UN14" s="213"/>
      <c r="UO14" s="213"/>
      <c r="UP14" s="213"/>
      <c r="UQ14" s="213"/>
      <c r="UR14" s="213"/>
      <c r="US14" s="213"/>
      <c r="UT14" s="213"/>
      <c r="UU14" s="213"/>
      <c r="UV14" s="213"/>
      <c r="UW14" s="213"/>
      <c r="UX14" s="213"/>
      <c r="UY14" s="213"/>
      <c r="UZ14" s="213"/>
      <c r="VA14" s="213"/>
      <c r="VB14" s="213"/>
      <c r="VC14" s="213"/>
      <c r="VD14" s="213"/>
      <c r="VE14" s="213"/>
      <c r="VF14" s="213"/>
      <c r="VG14" s="213"/>
      <c r="VH14" s="213"/>
      <c r="VI14" s="213"/>
      <c r="VJ14" s="213"/>
      <c r="VK14" s="213"/>
      <c r="VL14" s="213"/>
      <c r="VM14" s="213"/>
      <c r="VN14" s="213"/>
      <c r="VO14" s="213"/>
      <c r="VP14" s="213"/>
      <c r="VQ14" s="213"/>
      <c r="VR14" s="213"/>
      <c r="VS14" s="213"/>
      <c r="VT14" s="213"/>
      <c r="VU14" s="213"/>
      <c r="VV14" s="213"/>
      <c r="VW14" s="213"/>
      <c r="VX14" s="213"/>
      <c r="VY14" s="213"/>
      <c r="VZ14" s="213"/>
      <c r="WA14" s="213"/>
      <c r="WB14" s="213"/>
      <c r="WC14" s="213"/>
      <c r="WD14" s="213"/>
      <c r="WE14" s="213"/>
      <c r="WF14" s="213"/>
      <c r="WG14" s="213"/>
      <c r="WH14" s="213"/>
      <c r="WI14" s="213"/>
      <c r="WJ14" s="213"/>
      <c r="WK14" s="213"/>
      <c r="WL14" s="213"/>
      <c r="WM14" s="213"/>
      <c r="WN14" s="213"/>
      <c r="WO14" s="213"/>
      <c r="WP14" s="213"/>
      <c r="WQ14" s="213"/>
      <c r="WR14" s="213"/>
      <c r="WS14" s="213"/>
      <c r="WT14" s="213"/>
      <c r="WU14" s="213"/>
      <c r="WV14" s="213"/>
      <c r="WW14" s="213"/>
      <c r="WX14" s="213"/>
      <c r="WY14" s="213"/>
      <c r="WZ14" s="213"/>
      <c r="XA14" s="213"/>
      <c r="XB14" s="213"/>
      <c r="XC14" s="213"/>
      <c r="XD14" s="213"/>
      <c r="XE14" s="213"/>
      <c r="XF14" s="213"/>
      <c r="XG14" s="213"/>
      <c r="XH14" s="213"/>
      <c r="XI14" s="213"/>
      <c r="XJ14" s="213"/>
      <c r="XK14" s="213"/>
      <c r="XL14" s="213"/>
      <c r="XM14" s="213"/>
      <c r="XN14" s="213"/>
      <c r="XO14" s="213"/>
      <c r="XP14" s="213"/>
      <c r="XQ14" s="213"/>
      <c r="XR14" s="213"/>
      <c r="XS14" s="213"/>
      <c r="XT14" s="213"/>
      <c r="XU14" s="213"/>
      <c r="XV14" s="213"/>
      <c r="XW14" s="213"/>
      <c r="XX14" s="213"/>
      <c r="XY14" s="213"/>
      <c r="XZ14" s="213"/>
      <c r="YA14" s="213"/>
      <c r="YB14" s="213"/>
      <c r="YC14" s="213"/>
      <c r="YD14" s="213"/>
      <c r="YE14" s="213"/>
      <c r="YF14" s="213"/>
      <c r="YG14" s="213"/>
      <c r="YH14" s="213"/>
      <c r="YI14" s="213"/>
      <c r="YJ14" s="213"/>
      <c r="YK14" s="213"/>
      <c r="YL14" s="213"/>
      <c r="YM14" s="213"/>
      <c r="YN14" s="213"/>
      <c r="YO14" s="213"/>
      <c r="YP14" s="213"/>
      <c r="YQ14" s="213"/>
      <c r="YR14" s="213"/>
      <c r="YS14" s="213"/>
      <c r="YT14" s="213"/>
      <c r="YU14" s="213"/>
      <c r="YV14" s="213"/>
      <c r="YW14" s="213"/>
      <c r="YX14" s="213"/>
      <c r="YY14" s="213"/>
      <c r="YZ14" s="213"/>
      <c r="ZA14" s="213"/>
      <c r="ZB14" s="213"/>
      <c r="ZC14" s="213"/>
      <c r="ZD14" s="213"/>
      <c r="ZE14" s="213"/>
      <c r="ZF14" s="213"/>
      <c r="ZG14" s="213"/>
      <c r="ZH14" s="213"/>
      <c r="ZI14" s="213"/>
      <c r="ZJ14" s="213"/>
      <c r="ZK14" s="213"/>
      <c r="ZL14" s="213"/>
      <c r="ZM14" s="213"/>
      <c r="ZN14" s="213"/>
      <c r="ZO14" s="213"/>
      <c r="ZP14" s="213"/>
      <c r="ZQ14" s="213"/>
      <c r="ZR14" s="213"/>
      <c r="ZS14" s="213"/>
      <c r="ZT14" s="213"/>
      <c r="ZU14" s="213"/>
      <c r="ZV14" s="213"/>
      <c r="ZW14" s="213"/>
      <c r="ZX14" s="213"/>
      <c r="ZY14" s="213"/>
      <c r="ZZ14" s="213"/>
      <c r="AAA14" s="213"/>
      <c r="AAB14" s="213"/>
      <c r="AAC14" s="213"/>
      <c r="AAD14" s="213"/>
      <c r="AAE14" s="213"/>
      <c r="AAF14" s="213"/>
      <c r="AAG14" s="213"/>
      <c r="AAH14" s="213"/>
      <c r="AAI14" s="213"/>
      <c r="AAJ14" s="213"/>
      <c r="AAK14" s="213"/>
      <c r="AAL14" s="213"/>
      <c r="AAM14" s="213"/>
      <c r="AAN14" s="213"/>
      <c r="AAO14" s="213"/>
      <c r="AAP14" s="213"/>
      <c r="AAQ14" s="213"/>
      <c r="AAR14" s="213"/>
      <c r="AAS14" s="213"/>
      <c r="AAT14" s="213"/>
      <c r="AAU14" s="213"/>
      <c r="AAV14" s="213"/>
      <c r="AAW14" s="213"/>
      <c r="AAX14" s="213"/>
      <c r="AAY14" s="213"/>
      <c r="AAZ14" s="213"/>
      <c r="ABA14" s="213"/>
      <c r="ABB14" s="213"/>
      <c r="ABC14" s="213"/>
      <c r="ABD14" s="213"/>
      <c r="ABE14" s="213"/>
      <c r="ABF14" s="213"/>
      <c r="ABG14" s="213"/>
      <c r="ABH14" s="213"/>
      <c r="ABI14" s="213"/>
      <c r="ABJ14" s="213"/>
      <c r="ABK14" s="213"/>
      <c r="ABL14" s="213"/>
      <c r="ABM14" s="213"/>
      <c r="ABN14" s="213"/>
      <c r="ABO14" s="213"/>
      <c r="ABP14" s="213"/>
      <c r="ABQ14" s="213"/>
      <c r="ABR14" s="213"/>
      <c r="ABS14" s="213"/>
      <c r="ABT14" s="213"/>
      <c r="ABU14" s="213"/>
      <c r="ABV14" s="213"/>
      <c r="ABW14" s="213"/>
      <c r="ABX14" s="213"/>
      <c r="ABY14" s="213"/>
      <c r="ABZ14" s="213"/>
      <c r="ACA14" s="213"/>
      <c r="ACB14" s="213"/>
      <c r="ACC14" s="213"/>
      <c r="ACD14" s="213"/>
      <c r="ACE14" s="213"/>
      <c r="ACF14" s="213"/>
      <c r="ACG14" s="213"/>
      <c r="ACH14" s="213"/>
      <c r="ACI14" s="213"/>
      <c r="ACJ14" s="213"/>
      <c r="ACK14" s="213"/>
      <c r="ACL14" s="213"/>
      <c r="ACM14" s="213"/>
      <c r="ACN14" s="213"/>
      <c r="ACO14" s="213"/>
      <c r="ACP14" s="213"/>
      <c r="ACQ14" s="213"/>
      <c r="ACR14" s="213"/>
      <c r="ACS14" s="213"/>
      <c r="ACT14" s="213"/>
      <c r="ACU14" s="213"/>
      <c r="ACV14" s="213"/>
      <c r="ACW14" s="213"/>
      <c r="ACX14" s="213"/>
      <c r="ACY14" s="213"/>
      <c r="ACZ14" s="213"/>
      <c r="ADA14" s="213"/>
      <c r="ADB14" s="213"/>
      <c r="ADC14" s="213"/>
      <c r="ADD14" s="213"/>
      <c r="ADE14" s="213"/>
      <c r="ADF14" s="213"/>
      <c r="ADG14" s="213"/>
      <c r="ADH14" s="213"/>
      <c r="ADI14" s="213"/>
      <c r="ADJ14" s="213"/>
      <c r="ADK14" s="213"/>
      <c r="ADL14" s="213"/>
      <c r="ADM14" s="213"/>
      <c r="ADN14" s="213"/>
      <c r="ADO14" s="213"/>
      <c r="ADP14" s="213"/>
      <c r="ADQ14" s="213"/>
      <c r="ADR14" s="213"/>
      <c r="ADS14" s="213"/>
      <c r="ADT14" s="213"/>
      <c r="ADU14" s="213"/>
      <c r="ADV14" s="213"/>
      <c r="ADW14" s="213"/>
      <c r="ADX14" s="213"/>
      <c r="ADY14" s="213"/>
      <c r="ADZ14" s="213"/>
      <c r="AEA14" s="213"/>
      <c r="AEB14" s="213"/>
      <c r="AEC14" s="213"/>
      <c r="AED14" s="213"/>
      <c r="AEE14" s="213"/>
      <c r="AEF14" s="213"/>
      <c r="AEG14" s="213"/>
      <c r="AEH14" s="213"/>
      <c r="AEI14" s="213"/>
      <c r="AEJ14" s="213"/>
      <c r="AEK14" s="213"/>
      <c r="AEL14" s="213"/>
      <c r="AEM14" s="213"/>
      <c r="AEN14" s="213"/>
      <c r="AEO14" s="213"/>
      <c r="AEP14" s="213"/>
      <c r="AEQ14" s="213"/>
      <c r="AER14" s="213"/>
      <c r="AES14" s="213"/>
      <c r="AET14" s="213"/>
      <c r="AEU14" s="213"/>
      <c r="AEV14" s="213"/>
      <c r="AEW14" s="213"/>
      <c r="AEX14" s="213"/>
      <c r="AEY14" s="213"/>
      <c r="AEZ14" s="213"/>
      <c r="AFA14" s="213"/>
      <c r="AFB14" s="213"/>
      <c r="AFC14" s="213"/>
      <c r="AFD14" s="213"/>
      <c r="AFE14" s="213"/>
      <c r="AFF14" s="213"/>
      <c r="AFG14" s="213"/>
      <c r="AFH14" s="213"/>
      <c r="AFI14" s="213"/>
      <c r="AFJ14" s="213"/>
      <c r="AFK14" s="213"/>
      <c r="AFL14" s="213"/>
      <c r="AFM14" s="213"/>
      <c r="AFN14" s="213"/>
      <c r="AFO14" s="213"/>
      <c r="AFP14" s="213"/>
      <c r="AFQ14" s="213"/>
      <c r="AFR14" s="213"/>
      <c r="AFS14" s="213"/>
      <c r="AFT14" s="213"/>
      <c r="AFU14" s="213"/>
      <c r="AFV14" s="213"/>
      <c r="AFW14" s="213"/>
      <c r="AFX14" s="213"/>
      <c r="AFY14" s="213"/>
      <c r="AFZ14" s="213"/>
      <c r="AGA14" s="213"/>
      <c r="AGB14" s="213"/>
      <c r="AGC14" s="213"/>
      <c r="AGD14" s="213"/>
      <c r="AGE14" s="213"/>
      <c r="AGF14" s="213"/>
      <c r="AGG14" s="213"/>
      <c r="AGH14" s="213"/>
      <c r="AGI14" s="213"/>
      <c r="AGJ14" s="213"/>
      <c r="AGK14" s="213"/>
      <c r="AGL14" s="213"/>
      <c r="AGM14" s="213"/>
      <c r="AGN14" s="213"/>
      <c r="AGO14" s="213"/>
      <c r="AGP14" s="213"/>
      <c r="AGQ14" s="213"/>
      <c r="AGR14" s="213"/>
      <c r="AGS14" s="213"/>
      <c r="AGT14" s="213"/>
      <c r="AGU14" s="213"/>
      <c r="AGV14" s="213"/>
      <c r="AGW14" s="213"/>
      <c r="AGX14" s="213"/>
      <c r="AGY14" s="213"/>
      <c r="AGZ14" s="213"/>
      <c r="AHA14" s="213"/>
      <c r="AHB14" s="213"/>
      <c r="AHC14" s="213"/>
      <c r="AHD14" s="213"/>
      <c r="AHE14" s="213"/>
      <c r="AHF14" s="213"/>
      <c r="AHG14" s="213"/>
      <c r="AHH14" s="213"/>
      <c r="AHI14" s="213"/>
      <c r="AHJ14" s="213"/>
      <c r="AHK14" s="213"/>
      <c r="AHL14" s="213"/>
      <c r="AHM14" s="213"/>
      <c r="AHN14" s="213"/>
      <c r="AHO14" s="213"/>
      <c r="AHP14" s="213"/>
      <c r="AHQ14" s="213"/>
      <c r="AHR14" s="213"/>
      <c r="AHS14" s="213"/>
      <c r="AHT14" s="213"/>
      <c r="AHU14" s="213"/>
      <c r="AHV14" s="213"/>
      <c r="AHW14" s="213"/>
      <c r="AHX14" s="213"/>
      <c r="AHY14" s="213"/>
      <c r="AHZ14" s="213"/>
      <c r="AIA14" s="213"/>
      <c r="AIB14" s="213"/>
      <c r="AIC14" s="213"/>
      <c r="AID14" s="213"/>
      <c r="AIE14" s="213"/>
      <c r="AIF14" s="213"/>
      <c r="AIG14" s="213"/>
      <c r="AIH14" s="213"/>
      <c r="AII14" s="213"/>
      <c r="AIJ14" s="213"/>
      <c r="AIK14" s="213"/>
      <c r="AIL14" s="213"/>
      <c r="AIM14" s="213"/>
      <c r="AIN14" s="213"/>
      <c r="AIO14" s="213"/>
      <c r="AIP14" s="213"/>
      <c r="AIQ14" s="213"/>
      <c r="AIR14" s="213"/>
      <c r="AIS14" s="213"/>
      <c r="AIT14" s="213"/>
      <c r="AIU14" s="213"/>
      <c r="AIV14" s="213"/>
      <c r="AIW14" s="213"/>
      <c r="AIX14" s="213"/>
      <c r="AIY14" s="213"/>
      <c r="AIZ14" s="213"/>
      <c r="AJA14" s="213"/>
      <c r="AJB14" s="213"/>
      <c r="AJC14" s="213"/>
      <c r="AJD14" s="213"/>
      <c r="AJE14" s="213"/>
      <c r="AJF14" s="213"/>
      <c r="AJG14" s="213"/>
      <c r="AJH14" s="213"/>
      <c r="AJI14" s="213"/>
      <c r="AJJ14" s="213"/>
      <c r="AJK14" s="213"/>
      <c r="AJL14" s="213"/>
      <c r="AJM14" s="213"/>
      <c r="AJN14" s="213"/>
      <c r="AJO14" s="213"/>
      <c r="AJP14" s="213"/>
      <c r="AJQ14" s="213"/>
      <c r="AJR14" s="213"/>
      <c r="AJS14" s="213"/>
      <c r="AJT14" s="213"/>
      <c r="AJU14" s="213"/>
      <c r="AJV14" s="213"/>
      <c r="AJW14" s="213"/>
      <c r="AJX14" s="213"/>
      <c r="AJY14" s="213"/>
      <c r="AJZ14" s="213"/>
      <c r="AKA14" s="213"/>
      <c r="AKB14" s="213"/>
      <c r="AKC14" s="213"/>
      <c r="AKD14" s="213"/>
      <c r="AKE14" s="213"/>
      <c r="AKF14" s="213"/>
      <c r="AKG14" s="213"/>
      <c r="AKH14" s="213"/>
      <c r="AKI14" s="213"/>
      <c r="AKJ14" s="213"/>
      <c r="AKK14" s="213"/>
      <c r="AKL14" s="213"/>
      <c r="AKM14" s="213"/>
      <c r="AKN14" s="213"/>
      <c r="AKO14" s="213"/>
      <c r="AKP14" s="213"/>
      <c r="AKQ14" s="213"/>
      <c r="AKR14" s="213"/>
      <c r="AKS14" s="213"/>
      <c r="AKT14" s="213"/>
      <c r="AKU14" s="213"/>
      <c r="AKV14" s="213"/>
      <c r="AKW14" s="213"/>
      <c r="AKX14" s="213"/>
      <c r="AKY14" s="213"/>
      <c r="AKZ14" s="213"/>
      <c r="ALA14" s="213"/>
      <c r="ALB14" s="213"/>
      <c r="ALC14" s="213"/>
      <c r="ALD14" s="213"/>
      <c r="ALE14" s="213"/>
      <c r="ALF14" s="213"/>
      <c r="ALG14" s="213"/>
      <c r="ALH14" s="213"/>
      <c r="ALI14" s="213"/>
      <c r="ALJ14" s="213"/>
      <c r="ALK14" s="213"/>
      <c r="ALL14" s="213"/>
      <c r="ALM14" s="213"/>
      <c r="ALN14" s="213"/>
      <c r="ALO14" s="213"/>
      <c r="ALP14" s="213"/>
      <c r="ALQ14" s="213"/>
      <c r="ALR14" s="213"/>
      <c r="ALS14" s="213"/>
      <c r="ALT14" s="213"/>
      <c r="ALU14" s="213"/>
      <c r="ALV14" s="213"/>
      <c r="ALW14" s="213"/>
      <c r="ALX14" s="213"/>
      <c r="ALY14" s="213"/>
      <c r="ALZ14" s="213"/>
      <c r="AMA14" s="213"/>
      <c r="AMB14" s="213"/>
      <c r="AMC14" s="213"/>
      <c r="AMD14" s="213"/>
      <c r="AME14" s="213"/>
      <c r="AMF14" s="213"/>
      <c r="AMG14" s="213"/>
      <c r="AMH14" s="213"/>
      <c r="AMI14" s="213"/>
      <c r="AMJ14" s="213"/>
      <c r="AMK14" s="213"/>
      <c r="AML14" s="213"/>
      <c r="AMM14" s="213"/>
      <c r="AMN14" s="213"/>
      <c r="AMO14" s="213"/>
      <c r="AMP14" s="213"/>
      <c r="AMQ14" s="213"/>
      <c r="AMR14" s="213"/>
      <c r="AMS14" s="213"/>
      <c r="AMT14" s="213"/>
      <c r="AMU14" s="213"/>
      <c r="AMV14" s="213"/>
      <c r="AMW14" s="213"/>
      <c r="AMX14" s="213"/>
      <c r="AMY14" s="213"/>
      <c r="AMZ14" s="213"/>
      <c r="ANA14" s="213"/>
      <c r="ANB14" s="213"/>
      <c r="ANC14" s="213"/>
      <c r="AND14" s="213"/>
      <c r="ANE14" s="213"/>
      <c r="ANF14" s="213"/>
      <c r="ANG14" s="213"/>
      <c r="ANH14" s="213"/>
      <c r="ANI14" s="213"/>
      <c r="ANJ14" s="213"/>
      <c r="ANK14" s="213"/>
      <c r="ANL14" s="213"/>
      <c r="ANM14" s="213"/>
      <c r="ANN14" s="213"/>
      <c r="ANO14" s="213"/>
      <c r="ANP14" s="213"/>
      <c r="ANQ14" s="213"/>
      <c r="ANR14" s="213"/>
      <c r="ANS14" s="213"/>
      <c r="ANT14" s="213"/>
      <c r="ANU14" s="213"/>
      <c r="ANV14" s="213"/>
      <c r="ANW14" s="213"/>
      <c r="ANX14" s="213"/>
      <c r="ANY14" s="213"/>
      <c r="ANZ14" s="213"/>
      <c r="AOA14" s="213"/>
      <c r="AOB14" s="213"/>
      <c r="AOC14" s="213"/>
      <c r="AOD14" s="213"/>
      <c r="AOE14" s="213"/>
      <c r="AOF14" s="213"/>
      <c r="AOG14" s="213"/>
      <c r="AOH14" s="213"/>
      <c r="AOI14" s="213"/>
      <c r="AOJ14" s="213"/>
      <c r="AOK14" s="213"/>
      <c r="AOL14" s="213"/>
      <c r="AOM14" s="213"/>
      <c r="AON14" s="213"/>
      <c r="AOO14" s="213"/>
      <c r="AOP14" s="213"/>
      <c r="AOQ14" s="213"/>
      <c r="AOR14" s="213"/>
      <c r="AOS14" s="213"/>
      <c r="AOT14" s="213"/>
      <c r="AOU14" s="213"/>
      <c r="AOV14" s="213"/>
      <c r="AOW14" s="213"/>
      <c r="AOX14" s="213"/>
      <c r="AOY14" s="213"/>
      <c r="AOZ14" s="213"/>
      <c r="APA14" s="213"/>
      <c r="APB14" s="213"/>
      <c r="APC14" s="213"/>
      <c r="APD14" s="213"/>
      <c r="APE14" s="213"/>
      <c r="APF14" s="213"/>
      <c r="APG14" s="213"/>
      <c r="APH14" s="213"/>
      <c r="API14" s="213"/>
      <c r="APJ14" s="213"/>
      <c r="APK14" s="213"/>
      <c r="APL14" s="213"/>
      <c r="APM14" s="213"/>
      <c r="APN14" s="213"/>
      <c r="APO14" s="213"/>
      <c r="APP14" s="213"/>
      <c r="APQ14" s="213"/>
      <c r="APR14" s="213"/>
      <c r="APS14" s="213"/>
      <c r="APT14" s="213"/>
      <c r="APU14" s="213"/>
      <c r="APV14" s="213"/>
      <c r="APW14" s="213"/>
      <c r="APX14" s="213"/>
      <c r="APY14" s="213"/>
      <c r="APZ14" s="213"/>
      <c r="AQA14" s="213"/>
      <c r="AQB14" s="213"/>
      <c r="AQC14" s="213"/>
      <c r="AQD14" s="213"/>
      <c r="AQE14" s="213"/>
      <c r="AQF14" s="213"/>
      <c r="AQG14" s="213"/>
      <c r="AQH14" s="213"/>
      <c r="AQI14" s="213"/>
      <c r="AQJ14" s="213"/>
      <c r="AQK14" s="213"/>
      <c r="AQL14" s="213"/>
      <c r="AQM14" s="213"/>
      <c r="AQN14" s="213"/>
      <c r="AQO14" s="213"/>
      <c r="AQP14" s="213"/>
      <c r="AQQ14" s="213"/>
      <c r="AQR14" s="213"/>
      <c r="AQS14" s="213"/>
      <c r="AQT14" s="213"/>
      <c r="AQU14" s="213"/>
      <c r="AQV14" s="213"/>
      <c r="AQW14" s="213"/>
      <c r="AQX14" s="213"/>
      <c r="AQY14" s="213"/>
      <c r="AQZ14" s="213"/>
      <c r="ARA14" s="213"/>
      <c r="ARB14" s="213"/>
      <c r="ARC14" s="213"/>
      <c r="ARD14" s="213"/>
      <c r="ARE14" s="213"/>
      <c r="ARF14" s="213"/>
      <c r="ARG14" s="213"/>
      <c r="ARH14" s="213"/>
      <c r="ARI14" s="213"/>
      <c r="ARJ14" s="213"/>
      <c r="ARK14" s="213"/>
      <c r="ARL14" s="213"/>
      <c r="ARM14" s="213"/>
      <c r="ARN14" s="213"/>
      <c r="ARO14" s="213"/>
      <c r="ARP14" s="213"/>
      <c r="ARQ14" s="213"/>
      <c r="ARR14" s="213"/>
      <c r="ARS14" s="213"/>
      <c r="ART14" s="213"/>
      <c r="ARU14" s="213"/>
      <c r="ARV14" s="213"/>
      <c r="ARW14" s="213"/>
      <c r="ARX14" s="213"/>
      <c r="ARY14" s="213"/>
      <c r="ARZ14" s="213"/>
      <c r="ASA14" s="213"/>
      <c r="ASB14" s="213"/>
      <c r="ASC14" s="213"/>
      <c r="ASD14" s="213"/>
      <c r="ASE14" s="213"/>
      <c r="ASF14" s="213"/>
      <c r="ASG14" s="213"/>
      <c r="ASH14" s="213"/>
      <c r="ASI14" s="213"/>
      <c r="ASJ14" s="213"/>
      <c r="ASK14" s="213"/>
      <c r="ASL14" s="213"/>
      <c r="ASM14" s="213"/>
      <c r="ASN14" s="213"/>
      <c r="ASO14" s="213"/>
      <c r="ASP14" s="213"/>
      <c r="ASQ14" s="213"/>
      <c r="ASR14" s="213"/>
      <c r="ASS14" s="213"/>
      <c r="AST14" s="213"/>
      <c r="ASU14" s="213"/>
      <c r="ASV14" s="213"/>
      <c r="ASW14" s="213"/>
      <c r="ASX14" s="213"/>
      <c r="ASY14" s="213"/>
      <c r="ASZ14" s="213"/>
      <c r="ATA14" s="213"/>
      <c r="ATB14" s="213"/>
      <c r="ATC14" s="213"/>
      <c r="ATD14" s="213"/>
      <c r="ATE14" s="213"/>
      <c r="ATF14" s="213"/>
      <c r="ATG14" s="213"/>
      <c r="ATH14" s="213"/>
      <c r="ATI14" s="213"/>
      <c r="ATJ14" s="213"/>
      <c r="ATK14" s="213"/>
      <c r="ATL14" s="213"/>
      <c r="ATM14" s="213"/>
      <c r="ATN14" s="213"/>
      <c r="ATO14" s="213"/>
      <c r="ATP14" s="213"/>
      <c r="ATQ14" s="213"/>
      <c r="ATR14" s="213"/>
      <c r="ATS14" s="213"/>
      <c r="ATT14" s="213"/>
      <c r="ATU14" s="213"/>
      <c r="ATV14" s="213"/>
      <c r="ATW14" s="213"/>
      <c r="ATX14" s="213"/>
      <c r="ATY14" s="213"/>
      <c r="ATZ14" s="213"/>
      <c r="AUA14" s="213"/>
      <c r="AUB14" s="213"/>
      <c r="AUC14" s="213"/>
      <c r="AUD14" s="213"/>
      <c r="AUE14" s="213"/>
      <c r="AUF14" s="213"/>
      <c r="AUG14" s="213"/>
      <c r="AUH14" s="213"/>
      <c r="AUI14" s="213"/>
      <c r="AUJ14" s="213"/>
      <c r="AUK14" s="213"/>
      <c r="AUL14" s="213"/>
      <c r="AUM14" s="213"/>
      <c r="AUN14" s="213"/>
      <c r="AUO14" s="213"/>
      <c r="AUP14" s="213"/>
      <c r="AUQ14" s="213"/>
      <c r="AUR14" s="213"/>
      <c r="AUS14" s="213"/>
      <c r="AUT14" s="213"/>
      <c r="AUU14" s="213"/>
      <c r="AUV14" s="213"/>
      <c r="AUW14" s="213"/>
      <c r="AUX14" s="213"/>
      <c r="AUY14" s="213"/>
      <c r="AUZ14" s="213"/>
      <c r="AVA14" s="213"/>
      <c r="AVB14" s="213"/>
      <c r="AVC14" s="213"/>
      <c r="AVD14" s="213"/>
      <c r="AVE14" s="213"/>
      <c r="AVF14" s="213"/>
      <c r="AVG14" s="213"/>
      <c r="AVH14" s="213"/>
      <c r="AVI14" s="213"/>
      <c r="AVJ14" s="213"/>
      <c r="AVK14" s="213"/>
      <c r="AVL14" s="213"/>
      <c r="AVM14" s="213"/>
      <c r="AVN14" s="213"/>
      <c r="AVO14" s="213"/>
      <c r="AVP14" s="213"/>
      <c r="AVQ14" s="213"/>
      <c r="AVR14" s="213"/>
      <c r="AVS14" s="213"/>
      <c r="AVT14" s="213"/>
      <c r="AVU14" s="213"/>
      <c r="AVV14" s="213"/>
      <c r="AVW14" s="213"/>
      <c r="AVX14" s="213"/>
      <c r="AVY14" s="213"/>
      <c r="AVZ14" s="213"/>
      <c r="AWA14" s="213"/>
      <c r="AWB14" s="213"/>
      <c r="AWC14" s="213"/>
      <c r="AWD14" s="213"/>
      <c r="AWE14" s="213"/>
      <c r="AWF14" s="213"/>
      <c r="AWG14" s="213"/>
      <c r="AWH14" s="213"/>
      <c r="AWI14" s="213"/>
      <c r="AWJ14" s="213"/>
      <c r="AWK14" s="213"/>
      <c r="AWL14" s="213"/>
      <c r="AWM14" s="213"/>
      <c r="AWN14" s="213"/>
      <c r="AWO14" s="213"/>
      <c r="AWP14" s="213"/>
      <c r="AWQ14" s="213"/>
      <c r="AWR14" s="213"/>
      <c r="AWS14" s="213"/>
      <c r="AWT14" s="213"/>
      <c r="AWU14" s="213"/>
      <c r="AWV14" s="213"/>
      <c r="AWW14" s="213"/>
      <c r="AWX14" s="213"/>
      <c r="AWY14" s="213"/>
      <c r="AWZ14" s="213"/>
      <c r="AXA14" s="213"/>
      <c r="AXB14" s="213"/>
      <c r="AXC14" s="213"/>
      <c r="AXD14" s="213"/>
      <c r="AXE14" s="213"/>
      <c r="AXF14" s="213"/>
      <c r="AXG14" s="213"/>
      <c r="AXH14" s="213"/>
      <c r="AXI14" s="213"/>
      <c r="AXJ14" s="213"/>
      <c r="AXK14" s="213"/>
      <c r="AXL14" s="213"/>
      <c r="AXM14" s="213"/>
      <c r="AXN14" s="213"/>
      <c r="AXO14" s="213"/>
      <c r="AXP14" s="213"/>
      <c r="AXQ14" s="213"/>
      <c r="AXR14" s="213"/>
      <c r="AXS14" s="213"/>
      <c r="AXT14" s="213"/>
      <c r="AXU14" s="213"/>
      <c r="AXV14" s="213"/>
      <c r="AXW14" s="213"/>
      <c r="AXX14" s="213"/>
      <c r="AXY14" s="213"/>
      <c r="AXZ14" s="213"/>
      <c r="AYA14" s="213"/>
      <c r="AYB14" s="213"/>
      <c r="AYC14" s="213"/>
      <c r="AYD14" s="213"/>
      <c r="AYE14" s="213"/>
      <c r="AYF14" s="213"/>
      <c r="AYG14" s="213"/>
      <c r="AYH14" s="213"/>
      <c r="AYI14" s="213"/>
      <c r="AYJ14" s="213"/>
      <c r="AYK14" s="213"/>
      <c r="AYL14" s="213"/>
      <c r="AYM14" s="213"/>
      <c r="AYN14" s="213"/>
      <c r="AYO14" s="213"/>
      <c r="AYP14" s="213"/>
      <c r="AYQ14" s="213"/>
      <c r="AYR14" s="213"/>
      <c r="AYS14" s="213"/>
      <c r="AYT14" s="213"/>
      <c r="AYU14" s="213"/>
      <c r="AYV14" s="213"/>
      <c r="AYW14" s="213"/>
      <c r="AYX14" s="213"/>
      <c r="AYY14" s="213"/>
      <c r="AYZ14" s="213"/>
      <c r="AZA14" s="213"/>
      <c r="AZB14" s="213"/>
      <c r="AZC14" s="213"/>
      <c r="AZD14" s="213"/>
      <c r="AZE14" s="213"/>
      <c r="AZF14" s="213"/>
      <c r="AZG14" s="213"/>
      <c r="AZH14" s="213"/>
      <c r="AZI14" s="213"/>
      <c r="AZJ14" s="213"/>
      <c r="AZK14" s="213"/>
      <c r="AZL14" s="213"/>
      <c r="AZM14" s="213"/>
      <c r="AZN14" s="213"/>
      <c r="AZO14" s="213"/>
      <c r="AZP14" s="213"/>
      <c r="AZQ14" s="213"/>
      <c r="AZR14" s="213"/>
      <c r="AZS14" s="213"/>
      <c r="AZT14" s="213"/>
      <c r="AZU14" s="213"/>
      <c r="AZV14" s="213"/>
      <c r="AZW14" s="213"/>
      <c r="AZX14" s="213"/>
      <c r="AZY14" s="213"/>
      <c r="AZZ14" s="213"/>
      <c r="BAA14" s="213"/>
      <c r="BAB14" s="213"/>
      <c r="BAC14" s="213"/>
      <c r="BAD14" s="213"/>
      <c r="BAE14" s="213"/>
      <c r="BAF14" s="213"/>
      <c r="BAG14" s="213"/>
      <c r="BAH14" s="213"/>
      <c r="BAI14" s="213"/>
      <c r="BAJ14" s="213"/>
      <c r="BAK14" s="213"/>
      <c r="BAL14" s="213"/>
      <c r="BAM14" s="213"/>
      <c r="BAN14" s="213"/>
      <c r="BAO14" s="213"/>
      <c r="BAP14" s="213"/>
      <c r="BAQ14" s="213"/>
      <c r="BAR14" s="213"/>
      <c r="BAS14" s="213"/>
      <c r="BAT14" s="213"/>
      <c r="BAU14" s="213"/>
      <c r="BAV14" s="213"/>
      <c r="BAW14" s="213"/>
      <c r="BAX14" s="213"/>
      <c r="BAY14" s="213"/>
      <c r="BAZ14" s="213"/>
      <c r="BBA14" s="213"/>
      <c r="BBB14" s="213"/>
      <c r="BBC14" s="213"/>
      <c r="BBD14" s="213"/>
      <c r="BBE14" s="213"/>
      <c r="BBF14" s="213"/>
      <c r="BBG14" s="213"/>
      <c r="BBH14" s="213"/>
      <c r="BBI14" s="213"/>
      <c r="BBJ14" s="213"/>
      <c r="BBK14" s="213"/>
      <c r="BBL14" s="213"/>
      <c r="BBM14" s="213"/>
      <c r="BBN14" s="213"/>
      <c r="BBO14" s="213"/>
      <c r="BBP14" s="213"/>
      <c r="BBQ14" s="213"/>
      <c r="BBR14" s="213"/>
      <c r="BBS14" s="213"/>
      <c r="BBT14" s="213"/>
      <c r="BBU14" s="213"/>
      <c r="BBV14" s="213"/>
      <c r="BBW14" s="213"/>
      <c r="BBX14" s="213"/>
      <c r="BBY14" s="213"/>
      <c r="BBZ14" s="213"/>
      <c r="BCA14" s="213"/>
      <c r="BCB14" s="213"/>
      <c r="BCC14" s="213"/>
      <c r="BCD14" s="213"/>
      <c r="BCE14" s="213"/>
      <c r="BCF14" s="213"/>
      <c r="BCG14" s="213"/>
      <c r="BCH14" s="213"/>
      <c r="BCI14" s="213"/>
      <c r="BCJ14" s="213"/>
      <c r="BCK14" s="213"/>
      <c r="BCL14" s="213"/>
      <c r="BCM14" s="213"/>
      <c r="BCN14" s="213"/>
      <c r="BCO14" s="213"/>
      <c r="BCP14" s="213"/>
      <c r="BCQ14" s="213"/>
      <c r="BCR14" s="213"/>
      <c r="BCS14" s="213"/>
      <c r="BCT14" s="213"/>
      <c r="BCU14" s="213"/>
      <c r="BCV14" s="213"/>
      <c r="BCW14" s="213"/>
      <c r="BCX14" s="213"/>
      <c r="BCY14" s="213"/>
      <c r="BCZ14" s="213"/>
      <c r="BDA14" s="213"/>
      <c r="BDB14" s="213"/>
      <c r="BDC14" s="213"/>
      <c r="BDD14" s="213"/>
      <c r="BDE14" s="213"/>
      <c r="BDF14" s="213"/>
      <c r="BDG14" s="213"/>
      <c r="BDH14" s="213"/>
      <c r="BDI14" s="213"/>
      <c r="BDJ14" s="213"/>
      <c r="BDK14" s="213"/>
      <c r="BDL14" s="213"/>
      <c r="BDM14" s="213"/>
      <c r="BDN14" s="213"/>
      <c r="BDO14" s="213"/>
      <c r="BDP14" s="213"/>
      <c r="BDQ14" s="213"/>
      <c r="BDR14" s="213"/>
      <c r="BDS14" s="213"/>
      <c r="BDT14" s="213"/>
      <c r="BDU14" s="213"/>
      <c r="BDV14" s="213"/>
      <c r="BDW14" s="213"/>
      <c r="BDX14" s="213"/>
      <c r="BDY14" s="213"/>
      <c r="BDZ14" s="213"/>
      <c r="BEA14" s="213"/>
      <c r="BEB14" s="213"/>
      <c r="BEC14" s="213"/>
      <c r="BED14" s="213"/>
      <c r="BEE14" s="213"/>
      <c r="BEF14" s="213"/>
      <c r="BEG14" s="213"/>
      <c r="BEH14" s="213"/>
      <c r="BEI14" s="213"/>
      <c r="BEJ14" s="213"/>
      <c r="BEK14" s="213"/>
      <c r="BEL14" s="213"/>
      <c r="BEM14" s="213"/>
      <c r="BEN14" s="213"/>
      <c r="BEO14" s="213"/>
      <c r="BEP14" s="213"/>
      <c r="BEQ14" s="213"/>
      <c r="BER14" s="213"/>
      <c r="BES14" s="213"/>
      <c r="BET14" s="213"/>
      <c r="BEU14" s="213"/>
      <c r="BEV14" s="213"/>
      <c r="BEW14" s="213"/>
      <c r="BEX14" s="213"/>
      <c r="BEY14" s="213"/>
      <c r="BEZ14" s="213"/>
      <c r="BFA14" s="213"/>
      <c r="BFB14" s="213"/>
      <c r="BFC14" s="213"/>
      <c r="BFD14" s="213"/>
      <c r="BFE14" s="213"/>
      <c r="BFF14" s="213"/>
      <c r="BFG14" s="213"/>
      <c r="BFH14" s="213"/>
      <c r="BFI14" s="213"/>
      <c r="BFJ14" s="213"/>
      <c r="BFK14" s="213"/>
      <c r="BFL14" s="213"/>
      <c r="BFM14" s="213"/>
      <c r="BFN14" s="213"/>
      <c r="BFO14" s="213"/>
      <c r="BFP14" s="213"/>
      <c r="BFQ14" s="213"/>
      <c r="BFR14" s="213"/>
      <c r="BFS14" s="213"/>
      <c r="BFT14" s="213"/>
      <c r="BFU14" s="213"/>
      <c r="BFV14" s="213"/>
      <c r="BFW14" s="213"/>
      <c r="BFX14" s="213"/>
      <c r="BFY14" s="213"/>
      <c r="BFZ14" s="213"/>
      <c r="BGA14" s="213"/>
      <c r="BGB14" s="213"/>
      <c r="BGC14" s="213"/>
      <c r="BGD14" s="213"/>
      <c r="BGE14" s="213"/>
      <c r="BGF14" s="213"/>
      <c r="BGG14" s="213"/>
      <c r="BGH14" s="213"/>
      <c r="BGI14" s="213"/>
      <c r="BGJ14" s="213"/>
      <c r="BGK14" s="213"/>
      <c r="BGL14" s="213"/>
      <c r="BGM14" s="213"/>
      <c r="BGN14" s="213"/>
      <c r="BGO14" s="213"/>
      <c r="BGP14" s="213"/>
      <c r="BGQ14" s="213"/>
      <c r="BGR14" s="213"/>
      <c r="BGS14" s="213"/>
      <c r="BGT14" s="213"/>
      <c r="BGU14" s="213"/>
      <c r="BGV14" s="213"/>
      <c r="BGW14" s="213"/>
      <c r="BGX14" s="213"/>
      <c r="BGY14" s="213"/>
      <c r="BGZ14" s="213"/>
      <c r="BHA14" s="213"/>
      <c r="BHB14" s="213"/>
      <c r="BHC14" s="213"/>
      <c r="BHD14" s="213"/>
      <c r="BHE14" s="213"/>
      <c r="BHF14" s="213"/>
      <c r="BHG14" s="213"/>
      <c r="BHH14" s="213"/>
      <c r="BHI14" s="213"/>
      <c r="BHJ14" s="213"/>
      <c r="BHK14" s="213"/>
      <c r="BHL14" s="213"/>
      <c r="BHM14" s="213"/>
      <c r="BHN14" s="213"/>
      <c r="BHO14" s="213"/>
      <c r="BHP14" s="213"/>
      <c r="BHQ14" s="213"/>
      <c r="BHR14" s="213"/>
      <c r="BHS14" s="213"/>
      <c r="BHT14" s="213"/>
      <c r="BHU14" s="213"/>
      <c r="BHV14" s="213"/>
      <c r="BHW14" s="213"/>
      <c r="BHX14" s="213"/>
      <c r="BHY14" s="213"/>
      <c r="BHZ14" s="213"/>
      <c r="BIA14" s="213"/>
      <c r="BIB14" s="213"/>
      <c r="BIC14" s="213"/>
      <c r="BID14" s="213"/>
      <c r="BIE14" s="213"/>
      <c r="BIF14" s="213"/>
      <c r="BIG14" s="213"/>
      <c r="BIH14" s="213"/>
      <c r="BII14" s="213"/>
      <c r="BIJ14" s="213"/>
      <c r="BIK14" s="213"/>
      <c r="BIL14" s="213"/>
      <c r="BIM14" s="213"/>
      <c r="BIN14" s="213"/>
      <c r="BIO14" s="213"/>
      <c r="BIP14" s="213"/>
      <c r="BIQ14" s="213"/>
      <c r="BIR14" s="213"/>
      <c r="BIS14" s="213"/>
      <c r="BIT14" s="213"/>
      <c r="BIU14" s="213"/>
      <c r="BIV14" s="213"/>
      <c r="BIW14" s="213"/>
      <c r="BIX14" s="213"/>
      <c r="BIY14" s="213"/>
      <c r="BIZ14" s="213"/>
      <c r="BJA14" s="213"/>
      <c r="BJB14" s="213"/>
      <c r="BJC14" s="213"/>
      <c r="BJD14" s="213"/>
      <c r="BJE14" s="213"/>
      <c r="BJF14" s="213"/>
      <c r="BJG14" s="213"/>
      <c r="BJH14" s="213"/>
      <c r="BJI14" s="213"/>
      <c r="BJJ14" s="213"/>
      <c r="BJK14" s="213"/>
      <c r="BJL14" s="213"/>
      <c r="BJM14" s="213"/>
      <c r="BJN14" s="213"/>
      <c r="BJO14" s="213"/>
      <c r="BJP14" s="213"/>
      <c r="BJQ14" s="213"/>
      <c r="BJR14" s="213"/>
      <c r="BJS14" s="213"/>
      <c r="BJT14" s="213"/>
      <c r="BJU14" s="213"/>
      <c r="BJV14" s="213"/>
      <c r="BJW14" s="213"/>
      <c r="BJX14" s="213"/>
      <c r="BJY14" s="213"/>
      <c r="BJZ14" s="213"/>
      <c r="BKA14" s="213"/>
      <c r="BKB14" s="213"/>
      <c r="BKC14" s="213"/>
      <c r="BKD14" s="213"/>
      <c r="BKE14" s="213"/>
      <c r="BKF14" s="213"/>
      <c r="BKG14" s="213"/>
      <c r="BKH14" s="213"/>
      <c r="BKI14" s="213"/>
      <c r="BKJ14" s="213"/>
      <c r="BKK14" s="213"/>
      <c r="BKL14" s="213"/>
      <c r="BKM14" s="213"/>
      <c r="BKN14" s="213"/>
      <c r="BKO14" s="213"/>
      <c r="BKP14" s="213"/>
      <c r="BKQ14" s="213"/>
      <c r="BKR14" s="213"/>
      <c r="BKS14" s="213"/>
      <c r="BKT14" s="213"/>
      <c r="BKU14" s="213"/>
      <c r="BKV14" s="213"/>
      <c r="BKW14" s="213"/>
      <c r="BKX14" s="213"/>
      <c r="BKY14" s="213"/>
      <c r="BKZ14" s="213"/>
      <c r="BLA14" s="213"/>
      <c r="BLB14" s="213"/>
      <c r="BLC14" s="213"/>
      <c r="BLD14" s="213"/>
      <c r="BLE14" s="213"/>
      <c r="BLF14" s="213"/>
      <c r="BLG14" s="213"/>
      <c r="BLH14" s="213"/>
      <c r="BLI14" s="213"/>
      <c r="BLJ14" s="213"/>
      <c r="BLK14" s="213"/>
      <c r="BLL14" s="213"/>
      <c r="BLM14" s="213"/>
      <c r="BLN14" s="213"/>
      <c r="BLO14" s="213"/>
      <c r="BLP14" s="213"/>
      <c r="BLQ14" s="213"/>
      <c r="BLR14" s="213"/>
      <c r="BLS14" s="213"/>
      <c r="BLT14" s="213"/>
      <c r="BLU14" s="213"/>
      <c r="BLV14" s="213"/>
      <c r="BLW14" s="213"/>
      <c r="BLX14" s="213"/>
      <c r="BLY14" s="213"/>
      <c r="BLZ14" s="213"/>
      <c r="BMA14" s="213"/>
      <c r="BMB14" s="213"/>
      <c r="BMC14" s="213"/>
      <c r="BMD14" s="213"/>
      <c r="BME14" s="213"/>
      <c r="BMF14" s="213"/>
      <c r="BMG14" s="213"/>
      <c r="BMH14" s="213"/>
      <c r="BMI14" s="213"/>
      <c r="BMJ14" s="213"/>
      <c r="BMK14" s="213"/>
      <c r="BML14" s="213"/>
      <c r="BMM14" s="213"/>
      <c r="BMN14" s="213"/>
      <c r="BMO14" s="213"/>
      <c r="BMP14" s="213"/>
      <c r="BMQ14" s="213"/>
      <c r="BMR14" s="213"/>
      <c r="BMS14" s="213"/>
      <c r="BMT14" s="213"/>
      <c r="BMU14" s="213"/>
      <c r="BMV14" s="213"/>
      <c r="BMW14" s="213"/>
      <c r="BMX14" s="213"/>
      <c r="BMY14" s="213"/>
      <c r="BMZ14" s="213"/>
      <c r="BNA14" s="213"/>
      <c r="BNB14" s="213"/>
      <c r="BNC14" s="213"/>
      <c r="BND14" s="213"/>
      <c r="BNE14" s="213"/>
      <c r="BNF14" s="213"/>
      <c r="BNG14" s="213"/>
      <c r="BNH14" s="213"/>
      <c r="BNI14" s="213"/>
      <c r="BNJ14" s="213"/>
      <c r="BNK14" s="213"/>
      <c r="BNL14" s="213"/>
      <c r="BNM14" s="213"/>
      <c r="BNN14" s="213"/>
      <c r="BNO14" s="213"/>
      <c r="BNP14" s="213"/>
      <c r="BNQ14" s="213"/>
      <c r="BNR14" s="213"/>
      <c r="BNS14" s="213"/>
      <c r="BNT14" s="213"/>
      <c r="BNU14" s="213"/>
      <c r="BNV14" s="213"/>
      <c r="BNW14" s="213"/>
      <c r="BNX14" s="213"/>
      <c r="BNY14" s="213"/>
      <c r="BNZ14" s="213"/>
      <c r="BOA14" s="213"/>
      <c r="BOB14" s="213"/>
      <c r="BOC14" s="213"/>
      <c r="BOD14" s="213"/>
      <c r="BOE14" s="213"/>
      <c r="BOF14" s="213"/>
      <c r="BOG14" s="213"/>
      <c r="BOH14" s="213"/>
      <c r="BOI14" s="213"/>
      <c r="BOJ14" s="213"/>
      <c r="BOK14" s="213"/>
      <c r="BOL14" s="213"/>
      <c r="BOM14" s="213"/>
      <c r="BON14" s="213"/>
      <c r="BOO14" s="213"/>
      <c r="BOP14" s="213"/>
      <c r="BOQ14" s="213"/>
      <c r="BOR14" s="213"/>
      <c r="BOS14" s="213"/>
      <c r="BOT14" s="213"/>
      <c r="BOU14" s="213"/>
      <c r="BOV14" s="213"/>
      <c r="BOW14" s="213"/>
      <c r="BOX14" s="213"/>
      <c r="BOY14" s="213"/>
      <c r="BOZ14" s="213"/>
      <c r="BPA14" s="213"/>
      <c r="BPB14" s="213"/>
      <c r="BPC14" s="213"/>
      <c r="BPD14" s="213"/>
      <c r="BPE14" s="213"/>
      <c r="BPF14" s="213"/>
      <c r="BPG14" s="213"/>
      <c r="BPH14" s="213"/>
      <c r="BPI14" s="213"/>
      <c r="BPJ14" s="213"/>
      <c r="BPK14" s="213"/>
      <c r="BPL14" s="213"/>
      <c r="BPM14" s="213"/>
      <c r="BPN14" s="213"/>
      <c r="BPO14" s="213"/>
      <c r="BPP14" s="213"/>
      <c r="BPQ14" s="213"/>
      <c r="BPR14" s="213"/>
      <c r="BPS14" s="213"/>
      <c r="BPT14" s="213"/>
      <c r="BPU14" s="213"/>
      <c r="BPV14" s="213"/>
      <c r="BPW14" s="213"/>
      <c r="BPX14" s="213"/>
      <c r="BPY14" s="213"/>
      <c r="BPZ14" s="213"/>
      <c r="BQA14" s="213"/>
      <c r="BQB14" s="213"/>
      <c r="BQC14" s="213"/>
      <c r="BQD14" s="213"/>
      <c r="BQE14" s="213"/>
      <c r="BQF14" s="213"/>
      <c r="BQG14" s="213"/>
      <c r="BQH14" s="213"/>
      <c r="BQI14" s="213"/>
      <c r="BQJ14" s="213"/>
      <c r="BQK14" s="213"/>
      <c r="BQL14" s="213"/>
      <c r="BQM14" s="213"/>
      <c r="BQN14" s="213"/>
      <c r="BQO14" s="213"/>
      <c r="BQP14" s="213"/>
      <c r="BQQ14" s="213"/>
      <c r="BQR14" s="213"/>
      <c r="BQS14" s="213"/>
      <c r="BQT14" s="213"/>
      <c r="BQU14" s="213"/>
      <c r="BQV14" s="213"/>
      <c r="BQW14" s="213"/>
      <c r="BQX14" s="213"/>
      <c r="BQY14" s="213"/>
      <c r="BQZ14" s="213"/>
      <c r="BRA14" s="213"/>
      <c r="BRB14" s="213"/>
      <c r="BRC14" s="213"/>
      <c r="BRD14" s="213"/>
      <c r="BRE14" s="213"/>
      <c r="BRF14" s="213"/>
      <c r="BRG14" s="213"/>
      <c r="BRH14" s="213"/>
      <c r="BRI14" s="213"/>
      <c r="BRJ14" s="213"/>
      <c r="BRK14" s="213"/>
      <c r="BRL14" s="213"/>
      <c r="BRM14" s="213"/>
      <c r="BRN14" s="213"/>
      <c r="BRO14" s="213"/>
      <c r="BRP14" s="213"/>
      <c r="BRQ14" s="213"/>
      <c r="BRR14" s="213"/>
      <c r="BRS14" s="213"/>
      <c r="BRT14" s="213"/>
      <c r="BRU14" s="213"/>
      <c r="BRV14" s="213"/>
      <c r="BRW14" s="213"/>
      <c r="BRX14" s="213"/>
      <c r="BRY14" s="213"/>
      <c r="BRZ14" s="213"/>
      <c r="BSA14" s="213"/>
      <c r="BSB14" s="213"/>
      <c r="BSC14" s="213"/>
      <c r="BSD14" s="213"/>
      <c r="BSE14" s="213"/>
      <c r="BSF14" s="213"/>
      <c r="BSG14" s="213"/>
      <c r="BSH14" s="213"/>
      <c r="BSI14" s="213"/>
      <c r="BSJ14" s="213"/>
      <c r="BSK14" s="213"/>
      <c r="BSL14" s="213"/>
      <c r="BSM14" s="213"/>
      <c r="BSN14" s="213"/>
      <c r="BSO14" s="213"/>
      <c r="BSP14" s="213"/>
      <c r="BSQ14" s="213"/>
      <c r="BSR14" s="213"/>
      <c r="BSS14" s="213"/>
      <c r="BST14" s="213"/>
      <c r="BSU14" s="213"/>
      <c r="BSV14" s="213"/>
      <c r="BSW14" s="213"/>
      <c r="BSX14" s="213"/>
      <c r="BSY14" s="213"/>
      <c r="BSZ14" s="213"/>
      <c r="BTA14" s="213"/>
      <c r="BTB14" s="213"/>
      <c r="BTC14" s="213"/>
      <c r="BTD14" s="213"/>
      <c r="BTE14" s="213"/>
      <c r="BTF14" s="213"/>
      <c r="BTG14" s="213"/>
      <c r="BTH14" s="213"/>
      <c r="BTI14" s="213"/>
      <c r="BTJ14" s="213"/>
      <c r="BTK14" s="213"/>
      <c r="BTL14" s="213"/>
      <c r="BTM14" s="213"/>
      <c r="BTN14" s="213"/>
      <c r="BTO14" s="213"/>
      <c r="BTP14" s="213"/>
      <c r="BTQ14" s="213"/>
      <c r="BTR14" s="213"/>
      <c r="BTS14" s="213"/>
      <c r="BTT14" s="213"/>
      <c r="BTU14" s="213"/>
      <c r="BTV14" s="213"/>
      <c r="BTW14" s="213"/>
      <c r="BTX14" s="213"/>
      <c r="BTY14" s="213"/>
      <c r="BTZ14" s="213"/>
      <c r="BUA14" s="213"/>
      <c r="BUB14" s="213"/>
      <c r="BUC14" s="213"/>
      <c r="BUD14" s="213"/>
      <c r="BUE14" s="213"/>
      <c r="BUF14" s="213"/>
      <c r="BUG14" s="213"/>
      <c r="BUH14" s="213"/>
      <c r="BUI14" s="213"/>
      <c r="BUJ14" s="213"/>
      <c r="BUK14" s="213"/>
      <c r="BUL14" s="213"/>
      <c r="BUM14" s="213"/>
      <c r="BUN14" s="213"/>
      <c r="BUO14" s="213"/>
      <c r="BUP14" s="213"/>
      <c r="BUQ14" s="213"/>
      <c r="BUR14" s="213"/>
      <c r="BUS14" s="213"/>
      <c r="BUT14" s="213"/>
      <c r="BUU14" s="213"/>
      <c r="BUV14" s="213"/>
      <c r="BUW14" s="213"/>
      <c r="BUX14" s="213"/>
      <c r="BUY14" s="213"/>
      <c r="BUZ14" s="213"/>
      <c r="BVA14" s="213"/>
      <c r="BVB14" s="213"/>
      <c r="BVC14" s="213"/>
      <c r="BVD14" s="213"/>
      <c r="BVE14" s="213"/>
      <c r="BVF14" s="213"/>
      <c r="BVG14" s="213"/>
      <c r="BVH14" s="213"/>
      <c r="BVI14" s="213"/>
      <c r="BVJ14" s="213"/>
      <c r="BVK14" s="213"/>
      <c r="BVL14" s="213"/>
      <c r="BVM14" s="213"/>
      <c r="BVN14" s="213"/>
      <c r="BVO14" s="213"/>
      <c r="BVP14" s="213"/>
      <c r="BVQ14" s="213"/>
      <c r="BVR14" s="213"/>
      <c r="BVS14" s="213"/>
      <c r="BVT14" s="213"/>
      <c r="BVU14" s="213"/>
      <c r="BVV14" s="213"/>
      <c r="BVW14" s="213"/>
      <c r="BVX14" s="213"/>
      <c r="BVY14" s="213"/>
      <c r="BVZ14" s="213"/>
      <c r="BWA14" s="213"/>
      <c r="BWB14" s="213"/>
      <c r="BWC14" s="213"/>
      <c r="BWD14" s="213"/>
      <c r="BWE14" s="213"/>
      <c r="BWF14" s="213"/>
      <c r="BWG14" s="213"/>
      <c r="BWH14" s="213"/>
      <c r="BWI14" s="213"/>
      <c r="BWJ14" s="213"/>
      <c r="BWK14" s="213"/>
      <c r="BWL14" s="213"/>
      <c r="BWM14" s="213"/>
      <c r="BWN14" s="213"/>
      <c r="BWO14" s="213"/>
      <c r="BWP14" s="213"/>
      <c r="BWQ14" s="213"/>
      <c r="BWR14" s="213"/>
      <c r="BWS14" s="213"/>
      <c r="BWT14" s="213"/>
      <c r="BWU14" s="213"/>
      <c r="BWV14" s="213"/>
      <c r="BWW14" s="213"/>
      <c r="BWX14" s="213"/>
      <c r="BWY14" s="213"/>
      <c r="BWZ14" s="213"/>
      <c r="BXA14" s="213"/>
      <c r="BXB14" s="213"/>
      <c r="BXC14" s="213"/>
      <c r="BXD14" s="213"/>
      <c r="BXE14" s="213"/>
      <c r="BXF14" s="213"/>
      <c r="BXG14" s="213"/>
      <c r="BXH14" s="213"/>
      <c r="BXI14" s="213"/>
      <c r="BXJ14" s="213"/>
      <c r="BXK14" s="213"/>
      <c r="BXL14" s="213"/>
      <c r="BXM14" s="213"/>
      <c r="BXN14" s="213"/>
      <c r="BXO14" s="213"/>
      <c r="BXP14" s="213"/>
      <c r="BXQ14" s="213"/>
      <c r="BXR14" s="213"/>
      <c r="BXS14" s="213"/>
      <c r="BXT14" s="213"/>
      <c r="BXU14" s="213"/>
      <c r="BXV14" s="213"/>
      <c r="BXW14" s="213"/>
      <c r="BXX14" s="213"/>
      <c r="BXY14" s="213"/>
      <c r="BXZ14" s="213"/>
      <c r="BYA14" s="213"/>
      <c r="BYB14" s="213"/>
      <c r="BYC14" s="213"/>
      <c r="BYD14" s="213"/>
      <c r="BYE14" s="213"/>
      <c r="BYF14" s="213"/>
      <c r="BYG14" s="213"/>
    </row>
    <row r="15" spans="1:2009" s="101" customFormat="1" ht="12.75" customHeight="1" thickBot="1" x14ac:dyDescent="0.3">
      <c r="A15" s="98"/>
      <c r="B15" s="98"/>
      <c r="C15" s="175"/>
      <c r="D15" s="175"/>
      <c r="E15" s="175"/>
      <c r="F15" s="175"/>
      <c r="G15" s="175"/>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90</v>
      </c>
      <c r="B16" s="135"/>
      <c r="C16" s="177"/>
      <c r="D16" s="177"/>
      <c r="E16" s="178"/>
      <c r="F16" s="178"/>
      <c r="G16" s="179"/>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c r="C17" s="180"/>
      <c r="D17" s="180"/>
      <c r="E17" s="181"/>
      <c r="F17" s="181"/>
      <c r="G17" s="182"/>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customHeight="1" x14ac:dyDescent="0.25">
      <c r="A18" s="136"/>
      <c r="B18" s="105" t="s">
        <v>354</v>
      </c>
      <c r="C18" s="180">
        <v>11000.27</v>
      </c>
      <c r="D18" s="180">
        <v>10609.14</v>
      </c>
      <c r="E18" s="181">
        <v>11464.53</v>
      </c>
      <c r="F18" s="181"/>
      <c r="G18" s="182">
        <f>ROUND(SUM(C18:F18),5)</f>
        <v>33073.94</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c r="C19" s="180"/>
      <c r="D19" s="180"/>
      <c r="E19" s="181"/>
      <c r="F19" s="181"/>
      <c r="G19" s="182">
        <f>ROUND(SUM(C19:F19),5)</f>
        <v>0</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customHeight="1" x14ac:dyDescent="0.25">
      <c r="A20" s="136"/>
      <c r="B20" s="105" t="s">
        <v>355</v>
      </c>
      <c r="C20" s="180">
        <v>282.10000000000002</v>
      </c>
      <c r="D20" s="180">
        <v>2925.05</v>
      </c>
      <c r="E20" s="181"/>
      <c r="F20" s="181"/>
      <c r="G20" s="182">
        <f>ROUND(SUM(C20:F20),5)</f>
        <v>3207.15</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6" customFormat="1" ht="24.95" customHeight="1" x14ac:dyDescent="0.25">
      <c r="A21" s="137"/>
      <c r="B21" s="126" t="s">
        <v>315</v>
      </c>
      <c r="C21" s="180">
        <v>1672.56</v>
      </c>
      <c r="D21" s="180">
        <v>1644.09</v>
      </c>
      <c r="E21" s="181"/>
      <c r="F21" s="181"/>
      <c r="G21" s="182">
        <f>ROUND(SUM(C21:F21),5)</f>
        <v>3316.65</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c r="AIV21" s="100"/>
      <c r="AIW21" s="100"/>
      <c r="AIX21" s="100"/>
      <c r="AIY21" s="100"/>
      <c r="AIZ21" s="100"/>
      <c r="AJA21" s="100"/>
      <c r="AJB21" s="100"/>
      <c r="AJC21" s="100"/>
      <c r="AJD21" s="100"/>
      <c r="AJE21" s="100"/>
      <c r="AJF21" s="100"/>
      <c r="AJG21" s="100"/>
      <c r="AJH21" s="100"/>
      <c r="AJI21" s="100"/>
      <c r="AJJ21" s="100"/>
      <c r="AJK21" s="100"/>
      <c r="AJL21" s="100"/>
      <c r="AJM21" s="100"/>
      <c r="AJN21" s="100"/>
      <c r="AJO21" s="100"/>
      <c r="AJP21" s="100"/>
      <c r="AJQ21" s="100"/>
      <c r="AJR21" s="100"/>
      <c r="AJS21" s="100"/>
      <c r="AJT21" s="100"/>
      <c r="AJU21" s="100"/>
      <c r="AJV21" s="100"/>
      <c r="AJW21" s="100"/>
      <c r="AJX21" s="100"/>
      <c r="AJY21" s="100"/>
      <c r="AJZ21" s="100"/>
      <c r="AKA21" s="100"/>
      <c r="AKB21" s="100"/>
      <c r="AKC21" s="100"/>
      <c r="AKD21" s="100"/>
      <c r="AKE21" s="100"/>
      <c r="AKF21" s="100"/>
      <c r="AKG21" s="100"/>
      <c r="AKH21" s="100"/>
      <c r="AKI21" s="100"/>
      <c r="AKJ21" s="100"/>
      <c r="AKK21" s="100"/>
      <c r="AKL21" s="100"/>
      <c r="AKM21" s="100"/>
      <c r="AKN21" s="100"/>
      <c r="AKO21" s="100"/>
      <c r="AKP21" s="100"/>
      <c r="AKQ21" s="100"/>
      <c r="AKR21" s="100"/>
      <c r="AKS21" s="100"/>
      <c r="AKT21" s="100"/>
      <c r="AKU21" s="100"/>
      <c r="AKV21" s="100"/>
      <c r="AKW21" s="100"/>
      <c r="AKX21" s="100"/>
      <c r="AKY21" s="100"/>
      <c r="AKZ21" s="100"/>
      <c r="ALA21" s="100"/>
      <c r="ALB21" s="100"/>
      <c r="ALC21" s="100"/>
      <c r="ALD21" s="100"/>
      <c r="ALE21" s="100"/>
      <c r="ALF21" s="100"/>
      <c r="ALG21" s="100"/>
      <c r="ALH21" s="100"/>
      <c r="ALI21" s="100"/>
      <c r="ALJ21" s="100"/>
      <c r="ALK21" s="100"/>
      <c r="ALL21" s="100"/>
      <c r="ALM21" s="100"/>
      <c r="ALN21" s="100"/>
      <c r="ALO21" s="100"/>
      <c r="ALP21" s="100"/>
      <c r="ALQ21" s="100"/>
      <c r="ALR21" s="100"/>
      <c r="ALS21" s="100"/>
      <c r="ALT21" s="100"/>
      <c r="ALU21" s="100"/>
      <c r="ALV21" s="100"/>
      <c r="ALW21" s="100"/>
      <c r="ALX21" s="100"/>
      <c r="ALY21" s="100"/>
      <c r="ALZ21" s="100"/>
      <c r="AMA21" s="100"/>
      <c r="AMB21" s="100"/>
      <c r="AMC21" s="100"/>
      <c r="AMD21" s="100"/>
      <c r="AME21" s="100"/>
      <c r="AMF21" s="100"/>
      <c r="AMG21" s="100"/>
      <c r="AMH21" s="100"/>
      <c r="AMI21" s="100"/>
      <c r="AMJ21" s="100"/>
      <c r="AMK21" s="100"/>
      <c r="AML21" s="100"/>
      <c r="AMM21" s="100"/>
      <c r="AMN21" s="100"/>
      <c r="AMO21" s="100"/>
      <c r="AMP21" s="100"/>
      <c r="AMQ21" s="100"/>
      <c r="AMR21" s="100"/>
      <c r="AMS21" s="100"/>
      <c r="AMT21" s="100"/>
      <c r="AMU21" s="100"/>
      <c r="AMV21" s="100"/>
      <c r="AMW21" s="100"/>
      <c r="AMX21" s="100"/>
      <c r="AMY21" s="100"/>
      <c r="AMZ21" s="100"/>
      <c r="ANA21" s="100"/>
      <c r="ANB21" s="100"/>
      <c r="ANC21" s="100"/>
      <c r="AND21" s="100"/>
      <c r="ANE21" s="100"/>
      <c r="ANF21" s="100"/>
      <c r="ANG21" s="100"/>
      <c r="ANH21" s="100"/>
      <c r="ANI21" s="100"/>
      <c r="ANJ21" s="100"/>
      <c r="ANK21" s="100"/>
      <c r="ANL21" s="100"/>
      <c r="ANM21" s="100"/>
      <c r="ANN21" s="100"/>
      <c r="ANO21" s="100"/>
      <c r="ANP21" s="100"/>
      <c r="ANQ21" s="100"/>
      <c r="ANR21" s="100"/>
      <c r="ANS21" s="100"/>
      <c r="ANT21" s="100"/>
      <c r="ANU21" s="100"/>
      <c r="ANV21" s="100"/>
      <c r="ANW21" s="100"/>
      <c r="ANX21" s="100"/>
      <c r="ANY21" s="100"/>
      <c r="ANZ21" s="100"/>
      <c r="AOA21" s="100"/>
      <c r="AOB21" s="100"/>
      <c r="AOC21" s="100"/>
      <c r="AOD21" s="100"/>
      <c r="AOE21" s="100"/>
      <c r="AOF21" s="100"/>
      <c r="AOG21" s="100"/>
      <c r="AOH21" s="100"/>
      <c r="AOI21" s="100"/>
      <c r="AOJ21" s="100"/>
      <c r="AOK21" s="100"/>
      <c r="AOL21" s="100"/>
      <c r="AOM21" s="100"/>
      <c r="AON21" s="100"/>
      <c r="AOO21" s="100"/>
      <c r="AOP21" s="100"/>
      <c r="AOQ21" s="100"/>
      <c r="AOR21" s="100"/>
      <c r="AOS21" s="100"/>
      <c r="AOT21" s="100"/>
      <c r="AOU21" s="100"/>
      <c r="AOV21" s="100"/>
      <c r="AOW21" s="100"/>
      <c r="AOX21" s="100"/>
      <c r="AOY21" s="100"/>
      <c r="AOZ21" s="100"/>
      <c r="APA21" s="100"/>
      <c r="APB21" s="100"/>
      <c r="APC21" s="100"/>
      <c r="APD21" s="100"/>
      <c r="APE21" s="100"/>
      <c r="APF21" s="100"/>
      <c r="APG21" s="100"/>
      <c r="APH21" s="100"/>
      <c r="API21" s="100"/>
      <c r="APJ21" s="100"/>
      <c r="APK21" s="100"/>
      <c r="APL21" s="100"/>
      <c r="APM21" s="100"/>
      <c r="APN21" s="100"/>
      <c r="APO21" s="100"/>
      <c r="APP21" s="100"/>
      <c r="APQ21" s="100"/>
      <c r="APR21" s="100"/>
      <c r="APS21" s="100"/>
      <c r="APT21" s="100"/>
      <c r="APU21" s="100"/>
      <c r="APV21" s="100"/>
      <c r="APW21" s="100"/>
      <c r="APX21" s="100"/>
      <c r="APY21" s="100"/>
      <c r="APZ21" s="100"/>
      <c r="AQA21" s="100"/>
      <c r="AQB21" s="100"/>
      <c r="AQC21" s="100"/>
      <c r="AQD21" s="100"/>
      <c r="AQE21" s="100"/>
      <c r="AQF21" s="100"/>
      <c r="AQG21" s="100"/>
      <c r="AQH21" s="100"/>
      <c r="AQI21" s="100"/>
      <c r="AQJ21" s="100"/>
      <c r="AQK21" s="100"/>
      <c r="AQL21" s="100"/>
      <c r="AQM21" s="100"/>
      <c r="AQN21" s="100"/>
      <c r="AQO21" s="100"/>
      <c r="AQP21" s="100"/>
      <c r="AQQ21" s="100"/>
      <c r="AQR21" s="100"/>
      <c r="AQS21" s="100"/>
      <c r="AQT21" s="100"/>
      <c r="AQU21" s="100"/>
      <c r="AQV21" s="100"/>
      <c r="AQW21" s="100"/>
      <c r="AQX21" s="100"/>
      <c r="AQY21" s="100"/>
      <c r="AQZ21" s="100"/>
      <c r="ARA21" s="100"/>
      <c r="ARB21" s="100"/>
      <c r="ARC21" s="100"/>
      <c r="ARD21" s="100"/>
      <c r="ARE21" s="100"/>
      <c r="ARF21" s="100"/>
      <c r="ARG21" s="100"/>
      <c r="ARH21" s="100"/>
      <c r="ARI21" s="100"/>
      <c r="ARJ21" s="100"/>
      <c r="ARK21" s="100"/>
      <c r="ARL21" s="100"/>
      <c r="ARM21" s="100"/>
      <c r="ARN21" s="100"/>
      <c r="ARO21" s="100"/>
      <c r="ARP21" s="100"/>
      <c r="ARQ21" s="100"/>
      <c r="ARR21" s="100"/>
      <c r="ARS21" s="100"/>
      <c r="ART21" s="100"/>
      <c r="ARU21" s="100"/>
      <c r="ARV21" s="100"/>
      <c r="ARW21" s="100"/>
      <c r="ARX21" s="100"/>
      <c r="ARY21" s="100"/>
      <c r="ARZ21" s="100"/>
      <c r="ASA21" s="100"/>
      <c r="ASB21" s="100"/>
      <c r="ASC21" s="100"/>
      <c r="ASD21" s="100"/>
      <c r="ASE21" s="100"/>
      <c r="ASF21" s="100"/>
      <c r="ASG21" s="100"/>
      <c r="ASH21" s="100"/>
      <c r="ASI21" s="100"/>
      <c r="ASJ21" s="100"/>
      <c r="ASK21" s="100"/>
      <c r="ASL21" s="100"/>
      <c r="ASM21" s="100"/>
      <c r="ASN21" s="100"/>
      <c r="ASO21" s="100"/>
      <c r="ASP21" s="100"/>
      <c r="ASQ21" s="100"/>
      <c r="ASR21" s="100"/>
      <c r="ASS21" s="100"/>
      <c r="AST21" s="100"/>
      <c r="ASU21" s="100"/>
      <c r="ASV21" s="100"/>
      <c r="ASW21" s="100"/>
      <c r="ASX21" s="100"/>
      <c r="ASY21" s="100"/>
      <c r="ASZ21" s="100"/>
      <c r="ATA21" s="100"/>
      <c r="ATB21" s="100"/>
      <c r="ATC21" s="100"/>
      <c r="ATD21" s="100"/>
      <c r="ATE21" s="100"/>
      <c r="ATF21" s="100"/>
      <c r="ATG21" s="100"/>
      <c r="ATH21" s="100"/>
      <c r="ATI21" s="100"/>
      <c r="ATJ21" s="100"/>
      <c r="ATK21" s="100"/>
      <c r="ATL21" s="100"/>
      <c r="ATM21" s="100"/>
      <c r="ATN21" s="100"/>
      <c r="ATO21" s="100"/>
      <c r="ATP21" s="100"/>
      <c r="ATQ21" s="100"/>
      <c r="ATR21" s="100"/>
      <c r="ATS21" s="100"/>
      <c r="ATT21" s="100"/>
      <c r="ATU21" s="100"/>
      <c r="ATV21" s="100"/>
      <c r="ATW21" s="100"/>
      <c r="ATX21" s="100"/>
      <c r="ATY21" s="100"/>
      <c r="ATZ21" s="100"/>
      <c r="AUA21" s="100"/>
      <c r="AUB21" s="100"/>
      <c r="AUC21" s="100"/>
      <c r="AUD21" s="100"/>
      <c r="AUE21" s="100"/>
      <c r="AUF21" s="100"/>
      <c r="AUG21" s="100"/>
      <c r="AUH21" s="100"/>
      <c r="AUI21" s="100"/>
      <c r="AUJ21" s="100"/>
      <c r="AUK21" s="100"/>
      <c r="AUL21" s="100"/>
      <c r="AUM21" s="100"/>
      <c r="AUN21" s="100"/>
      <c r="AUO21" s="100"/>
      <c r="AUP21" s="100"/>
      <c r="AUQ21" s="100"/>
      <c r="AUR21" s="100"/>
      <c r="AUS21" s="100"/>
      <c r="AUT21" s="100"/>
      <c r="AUU21" s="100"/>
      <c r="AUV21" s="100"/>
      <c r="AUW21" s="100"/>
      <c r="AUX21" s="100"/>
      <c r="AUY21" s="100"/>
      <c r="AUZ21" s="100"/>
      <c r="AVA21" s="100"/>
      <c r="AVB21" s="100"/>
      <c r="AVC21" s="100"/>
      <c r="AVD21" s="100"/>
      <c r="AVE21" s="100"/>
      <c r="AVF21" s="100"/>
      <c r="AVG21" s="100"/>
      <c r="AVH21" s="100"/>
      <c r="AVI21" s="100"/>
      <c r="AVJ21" s="100"/>
      <c r="AVK21" s="100"/>
      <c r="AVL21" s="100"/>
      <c r="AVM21" s="100"/>
      <c r="AVN21" s="100"/>
      <c r="AVO21" s="100"/>
      <c r="AVP21" s="100"/>
      <c r="AVQ21" s="100"/>
      <c r="AVR21" s="100"/>
      <c r="AVS21" s="100"/>
      <c r="AVT21" s="100"/>
      <c r="AVU21" s="100"/>
      <c r="AVV21" s="100"/>
      <c r="AVW21" s="100"/>
      <c r="AVX21" s="100"/>
      <c r="AVY21" s="100"/>
      <c r="AVZ21" s="100"/>
      <c r="AWA21" s="100"/>
      <c r="AWB21" s="100"/>
      <c r="AWC21" s="100"/>
      <c r="AWD21" s="100"/>
      <c r="AWE21" s="100"/>
      <c r="AWF21" s="100"/>
      <c r="AWG21" s="100"/>
      <c r="AWH21" s="100"/>
      <c r="AWI21" s="100"/>
      <c r="AWJ21" s="100"/>
      <c r="AWK21" s="100"/>
      <c r="AWL21" s="100"/>
      <c r="AWM21" s="100"/>
      <c r="AWN21" s="100"/>
      <c r="AWO21" s="100"/>
      <c r="AWP21" s="100"/>
      <c r="AWQ21" s="100"/>
      <c r="AWR21" s="100"/>
      <c r="AWS21" s="100"/>
      <c r="AWT21" s="100"/>
      <c r="AWU21" s="100"/>
      <c r="AWV21" s="100"/>
      <c r="AWW21" s="100"/>
      <c r="AWX21" s="100"/>
      <c r="AWY21" s="100"/>
      <c r="AWZ21" s="100"/>
      <c r="AXA21" s="100"/>
      <c r="AXB21" s="100"/>
      <c r="AXC21" s="100"/>
      <c r="AXD21" s="100"/>
      <c r="AXE21" s="100"/>
      <c r="AXF21" s="100"/>
      <c r="AXG21" s="100"/>
      <c r="AXH21" s="100"/>
      <c r="AXI21" s="100"/>
      <c r="AXJ21" s="100"/>
      <c r="AXK21" s="100"/>
      <c r="AXL21" s="100"/>
      <c r="AXM21" s="100"/>
      <c r="AXN21" s="100"/>
      <c r="AXO21" s="100"/>
      <c r="AXP21" s="100"/>
      <c r="AXQ21" s="100"/>
      <c r="AXR21" s="100"/>
      <c r="AXS21" s="100"/>
      <c r="AXT21" s="100"/>
      <c r="AXU21" s="100"/>
      <c r="AXV21" s="100"/>
      <c r="AXW21" s="100"/>
      <c r="AXX21" s="100"/>
      <c r="AXY21" s="100"/>
      <c r="AXZ21" s="100"/>
      <c r="AYA21" s="100"/>
      <c r="AYB21" s="100"/>
      <c r="AYC21" s="100"/>
      <c r="AYD21" s="100"/>
      <c r="AYE21" s="100"/>
      <c r="AYF21" s="100"/>
      <c r="AYG21" s="100"/>
      <c r="AYH21" s="100"/>
      <c r="AYI21" s="100"/>
      <c r="AYJ21" s="100"/>
      <c r="AYK21" s="100"/>
      <c r="AYL21" s="100"/>
      <c r="AYM21" s="100"/>
      <c r="AYN21" s="100"/>
      <c r="AYO21" s="100"/>
      <c r="AYP21" s="100"/>
      <c r="AYQ21" s="100"/>
      <c r="AYR21" s="100"/>
      <c r="AYS21" s="100"/>
      <c r="AYT21" s="100"/>
      <c r="AYU21" s="100"/>
      <c r="AYV21" s="100"/>
      <c r="AYW21" s="100"/>
      <c r="AYX21" s="100"/>
      <c r="AYY21" s="100"/>
      <c r="AYZ21" s="100"/>
      <c r="AZA21" s="100"/>
      <c r="AZB21" s="100"/>
      <c r="AZC21" s="100"/>
      <c r="AZD21" s="100"/>
      <c r="AZE21" s="100"/>
      <c r="AZF21" s="100"/>
      <c r="AZG21" s="100"/>
      <c r="AZH21" s="100"/>
      <c r="AZI21" s="100"/>
      <c r="AZJ21" s="100"/>
      <c r="AZK21" s="100"/>
      <c r="AZL21" s="100"/>
      <c r="AZM21" s="100"/>
      <c r="AZN21" s="100"/>
      <c r="AZO21" s="100"/>
      <c r="AZP21" s="100"/>
      <c r="AZQ21" s="100"/>
      <c r="AZR21" s="100"/>
      <c r="AZS21" s="100"/>
      <c r="AZT21" s="100"/>
      <c r="AZU21" s="100"/>
      <c r="AZV21" s="100"/>
      <c r="AZW21" s="100"/>
      <c r="AZX21" s="100"/>
      <c r="AZY21" s="100"/>
      <c r="AZZ21" s="100"/>
      <c r="BAA21" s="100"/>
      <c r="BAB21" s="100"/>
      <c r="BAC21" s="100"/>
      <c r="BAD21" s="100"/>
      <c r="BAE21" s="100"/>
      <c r="BAF21" s="100"/>
      <c r="BAG21" s="100"/>
      <c r="BAH21" s="100"/>
      <c r="BAI21" s="100"/>
      <c r="BAJ21" s="100"/>
      <c r="BAK21" s="100"/>
      <c r="BAL21" s="100"/>
      <c r="BAM21" s="100"/>
      <c r="BAN21" s="100"/>
      <c r="BAO21" s="100"/>
      <c r="BAP21" s="100"/>
      <c r="BAQ21" s="100"/>
      <c r="BAR21" s="100"/>
      <c r="BAS21" s="100"/>
      <c r="BAT21" s="100"/>
      <c r="BAU21" s="100"/>
      <c r="BAV21" s="100"/>
      <c r="BAW21" s="100"/>
      <c r="BAX21" s="100"/>
      <c r="BAY21" s="100"/>
      <c r="BAZ21" s="100"/>
      <c r="BBA21" s="100"/>
      <c r="BBB21" s="100"/>
      <c r="BBC21" s="100"/>
      <c r="BBD21" s="100"/>
      <c r="BBE21" s="100"/>
      <c r="BBF21" s="100"/>
      <c r="BBG21" s="100"/>
      <c r="BBH21" s="100"/>
      <c r="BBI21" s="100"/>
      <c r="BBJ21" s="100"/>
      <c r="BBK21" s="100"/>
      <c r="BBL21" s="100"/>
      <c r="BBM21" s="100"/>
      <c r="BBN21" s="100"/>
      <c r="BBO21" s="100"/>
      <c r="BBP21" s="100"/>
      <c r="BBQ21" s="100"/>
      <c r="BBR21" s="100"/>
      <c r="BBS21" s="100"/>
      <c r="BBT21" s="100"/>
      <c r="BBU21" s="100"/>
      <c r="BBV21" s="100"/>
      <c r="BBW21" s="100"/>
      <c r="BBX21" s="100"/>
      <c r="BBY21" s="100"/>
      <c r="BBZ21" s="100"/>
      <c r="BCA21" s="100"/>
      <c r="BCB21" s="100"/>
      <c r="BCC21" s="100"/>
      <c r="BCD21" s="100"/>
      <c r="BCE21" s="100"/>
      <c r="BCF21" s="100"/>
      <c r="BCG21" s="100"/>
      <c r="BCH21" s="100"/>
      <c r="BCI21" s="100"/>
      <c r="BCJ21" s="100"/>
      <c r="BCK21" s="100"/>
      <c r="BCL21" s="100"/>
      <c r="BCM21" s="100"/>
      <c r="BCN21" s="100"/>
      <c r="BCO21" s="100"/>
      <c r="BCP21" s="100"/>
      <c r="BCQ21" s="100"/>
      <c r="BCR21" s="100"/>
      <c r="BCS21" s="100"/>
      <c r="BCT21" s="100"/>
      <c r="BCU21" s="100"/>
      <c r="BCV21" s="100"/>
      <c r="BCW21" s="100"/>
      <c r="BCX21" s="100"/>
      <c r="BCY21" s="100"/>
      <c r="BCZ21" s="100"/>
      <c r="BDA21" s="100"/>
      <c r="BDB21" s="100"/>
      <c r="BDC21" s="100"/>
      <c r="BDD21" s="100"/>
      <c r="BDE21" s="100"/>
      <c r="BDF21" s="100"/>
      <c r="BDG21" s="100"/>
      <c r="BDH21" s="100"/>
      <c r="BDI21" s="100"/>
      <c r="BDJ21" s="100"/>
      <c r="BDK21" s="100"/>
      <c r="BDL21" s="100"/>
      <c r="BDM21" s="100"/>
      <c r="BDN21" s="100"/>
      <c r="BDO21" s="100"/>
      <c r="BDP21" s="100"/>
      <c r="BDQ21" s="100"/>
      <c r="BDR21" s="100"/>
      <c r="BDS21" s="100"/>
      <c r="BDT21" s="100"/>
      <c r="BDU21" s="100"/>
      <c r="BDV21" s="100"/>
      <c r="BDW21" s="100"/>
      <c r="BDX21" s="100"/>
      <c r="BDY21" s="100"/>
      <c r="BDZ21" s="100"/>
      <c r="BEA21" s="100"/>
      <c r="BEB21" s="100"/>
      <c r="BEC21" s="100"/>
      <c r="BED21" s="100"/>
      <c r="BEE21" s="100"/>
      <c r="BEF21" s="100"/>
      <c r="BEG21" s="100"/>
      <c r="BEH21" s="100"/>
      <c r="BEI21" s="100"/>
      <c r="BEJ21" s="100"/>
      <c r="BEK21" s="100"/>
      <c r="BEL21" s="100"/>
      <c r="BEM21" s="100"/>
      <c r="BEN21" s="100"/>
      <c r="BEO21" s="100"/>
      <c r="BEP21" s="100"/>
      <c r="BEQ21" s="100"/>
      <c r="BER21" s="100"/>
      <c r="BES21" s="100"/>
      <c r="BET21" s="100"/>
      <c r="BEU21" s="100"/>
      <c r="BEV21" s="100"/>
      <c r="BEW21" s="100"/>
      <c r="BEX21" s="100"/>
      <c r="BEY21" s="100"/>
      <c r="BEZ21" s="100"/>
      <c r="BFA21" s="100"/>
      <c r="BFB21" s="100"/>
      <c r="BFC21" s="100"/>
      <c r="BFD21" s="100"/>
      <c r="BFE21" s="100"/>
      <c r="BFF21" s="100"/>
      <c r="BFG21" s="100"/>
      <c r="BFH21" s="100"/>
      <c r="BFI21" s="100"/>
      <c r="BFJ21" s="100"/>
      <c r="BFK21" s="100"/>
      <c r="BFL21" s="100"/>
      <c r="BFM21" s="100"/>
      <c r="BFN21" s="100"/>
      <c r="BFO21" s="100"/>
      <c r="BFP21" s="100"/>
      <c r="BFQ21" s="100"/>
      <c r="BFR21" s="100"/>
      <c r="BFS21" s="100"/>
      <c r="BFT21" s="100"/>
      <c r="BFU21" s="100"/>
      <c r="BFV21" s="100"/>
      <c r="BFW21" s="100"/>
      <c r="BFX21" s="100"/>
      <c r="BFY21" s="100"/>
      <c r="BFZ21" s="100"/>
      <c r="BGA21" s="100"/>
      <c r="BGB21" s="100"/>
      <c r="BGC21" s="100"/>
      <c r="BGD21" s="100"/>
      <c r="BGE21" s="100"/>
      <c r="BGF21" s="100"/>
      <c r="BGG21" s="100"/>
      <c r="BGH21" s="100"/>
      <c r="BGI21" s="100"/>
      <c r="BGJ21" s="100"/>
      <c r="BGK21" s="100"/>
      <c r="BGL21" s="100"/>
      <c r="BGM21" s="100"/>
      <c r="BGN21" s="100"/>
      <c r="BGO21" s="100"/>
      <c r="BGP21" s="100"/>
      <c r="BGQ21" s="100"/>
      <c r="BGR21" s="100"/>
      <c r="BGS21" s="100"/>
      <c r="BGT21" s="100"/>
      <c r="BGU21" s="100"/>
      <c r="BGV21" s="100"/>
      <c r="BGW21" s="100"/>
      <c r="BGX21" s="100"/>
      <c r="BGY21" s="100"/>
      <c r="BGZ21" s="100"/>
      <c r="BHA21" s="100"/>
      <c r="BHB21" s="100"/>
      <c r="BHC21" s="100"/>
      <c r="BHD21" s="100"/>
      <c r="BHE21" s="100"/>
      <c r="BHF21" s="100"/>
      <c r="BHG21" s="100"/>
      <c r="BHH21" s="100"/>
      <c r="BHI21" s="100"/>
      <c r="BHJ21" s="100"/>
      <c r="BHK21" s="100"/>
      <c r="BHL21" s="100"/>
      <c r="BHM21" s="100"/>
      <c r="BHN21" s="100"/>
      <c r="BHO21" s="100"/>
      <c r="BHP21" s="100"/>
      <c r="BHQ21" s="100"/>
      <c r="BHR21" s="100"/>
      <c r="BHS21" s="100"/>
      <c r="BHT21" s="100"/>
      <c r="BHU21" s="100"/>
      <c r="BHV21" s="100"/>
      <c r="BHW21" s="100"/>
      <c r="BHX21" s="100"/>
      <c r="BHY21" s="100"/>
      <c r="BHZ21" s="100"/>
      <c r="BIA21" s="100"/>
      <c r="BIB21" s="100"/>
      <c r="BIC21" s="100"/>
      <c r="BID21" s="100"/>
      <c r="BIE21" s="100"/>
      <c r="BIF21" s="100"/>
      <c r="BIG21" s="100"/>
      <c r="BIH21" s="100"/>
      <c r="BII21" s="100"/>
      <c r="BIJ21" s="100"/>
      <c r="BIK21" s="100"/>
      <c r="BIL21" s="100"/>
      <c r="BIM21" s="100"/>
      <c r="BIN21" s="100"/>
      <c r="BIO21" s="100"/>
      <c r="BIP21" s="100"/>
      <c r="BIQ21" s="100"/>
      <c r="BIR21" s="100"/>
      <c r="BIS21" s="100"/>
      <c r="BIT21" s="100"/>
      <c r="BIU21" s="100"/>
      <c r="BIV21" s="100"/>
      <c r="BIW21" s="100"/>
      <c r="BIX21" s="100"/>
      <c r="BIY21" s="100"/>
      <c r="BIZ21" s="100"/>
      <c r="BJA21" s="100"/>
      <c r="BJB21" s="100"/>
      <c r="BJC21" s="100"/>
      <c r="BJD21" s="100"/>
      <c r="BJE21" s="100"/>
      <c r="BJF21" s="100"/>
      <c r="BJG21" s="100"/>
      <c r="BJH21" s="100"/>
      <c r="BJI21" s="100"/>
      <c r="BJJ21" s="100"/>
      <c r="BJK21" s="100"/>
      <c r="BJL21" s="100"/>
      <c r="BJM21" s="100"/>
      <c r="BJN21" s="100"/>
      <c r="BJO21" s="100"/>
      <c r="BJP21" s="100"/>
      <c r="BJQ21" s="100"/>
      <c r="BJR21" s="100"/>
      <c r="BJS21" s="100"/>
      <c r="BJT21" s="100"/>
      <c r="BJU21" s="100"/>
      <c r="BJV21" s="100"/>
      <c r="BJW21" s="100"/>
      <c r="BJX21" s="100"/>
      <c r="BJY21" s="100"/>
      <c r="BJZ21" s="100"/>
      <c r="BKA21" s="100"/>
      <c r="BKB21" s="100"/>
      <c r="BKC21" s="100"/>
      <c r="BKD21" s="100"/>
      <c r="BKE21" s="100"/>
      <c r="BKF21" s="100"/>
      <c r="BKG21" s="100"/>
      <c r="BKH21" s="100"/>
      <c r="BKI21" s="100"/>
      <c r="BKJ21" s="100"/>
      <c r="BKK21" s="100"/>
      <c r="BKL21" s="100"/>
      <c r="BKM21" s="100"/>
      <c r="BKN21" s="100"/>
      <c r="BKO21" s="100"/>
      <c r="BKP21" s="100"/>
      <c r="BKQ21" s="100"/>
      <c r="BKR21" s="100"/>
      <c r="BKS21" s="100"/>
      <c r="BKT21" s="100"/>
      <c r="BKU21" s="100"/>
      <c r="BKV21" s="100"/>
      <c r="BKW21" s="100"/>
      <c r="BKX21" s="100"/>
      <c r="BKY21" s="100"/>
      <c r="BKZ21" s="100"/>
      <c r="BLA21" s="100"/>
      <c r="BLB21" s="100"/>
      <c r="BLC21" s="100"/>
      <c r="BLD21" s="100"/>
      <c r="BLE21" s="100"/>
      <c r="BLF21" s="100"/>
      <c r="BLG21" s="100"/>
      <c r="BLH21" s="100"/>
      <c r="BLI21" s="100"/>
      <c r="BLJ21" s="100"/>
      <c r="BLK21" s="100"/>
      <c r="BLL21" s="100"/>
      <c r="BLM21" s="100"/>
      <c r="BLN21" s="100"/>
      <c r="BLO21" s="100"/>
      <c r="BLP21" s="100"/>
      <c r="BLQ21" s="100"/>
      <c r="BLR21" s="100"/>
      <c r="BLS21" s="100"/>
      <c r="BLT21" s="100"/>
      <c r="BLU21" s="100"/>
      <c r="BLV21" s="100"/>
      <c r="BLW21" s="100"/>
      <c r="BLX21" s="100"/>
      <c r="BLY21" s="100"/>
      <c r="BLZ21" s="100"/>
      <c r="BMA21" s="100"/>
      <c r="BMB21" s="100"/>
      <c r="BMC21" s="100"/>
      <c r="BMD21" s="100"/>
      <c r="BME21" s="100"/>
      <c r="BMF21" s="100"/>
      <c r="BMG21" s="100"/>
      <c r="BMH21" s="100"/>
      <c r="BMI21" s="100"/>
      <c r="BMJ21" s="100"/>
      <c r="BMK21" s="100"/>
      <c r="BML21" s="100"/>
      <c r="BMM21" s="100"/>
      <c r="BMN21" s="100"/>
      <c r="BMO21" s="100"/>
      <c r="BMP21" s="100"/>
      <c r="BMQ21" s="100"/>
      <c r="BMR21" s="100"/>
      <c r="BMS21" s="100"/>
      <c r="BMT21" s="100"/>
      <c r="BMU21" s="100"/>
      <c r="BMV21" s="100"/>
      <c r="BMW21" s="100"/>
      <c r="BMX21" s="100"/>
      <c r="BMY21" s="100"/>
      <c r="BMZ21" s="100"/>
      <c r="BNA21" s="100"/>
      <c r="BNB21" s="100"/>
      <c r="BNC21" s="100"/>
      <c r="BND21" s="100"/>
      <c r="BNE21" s="100"/>
      <c r="BNF21" s="100"/>
      <c r="BNG21" s="100"/>
      <c r="BNH21" s="100"/>
      <c r="BNI21" s="100"/>
      <c r="BNJ21" s="100"/>
      <c r="BNK21" s="100"/>
      <c r="BNL21" s="100"/>
      <c r="BNM21" s="100"/>
      <c r="BNN21" s="100"/>
      <c r="BNO21" s="100"/>
      <c r="BNP21" s="100"/>
      <c r="BNQ21" s="100"/>
      <c r="BNR21" s="100"/>
      <c r="BNS21" s="100"/>
      <c r="BNT21" s="100"/>
      <c r="BNU21" s="100"/>
      <c r="BNV21" s="100"/>
      <c r="BNW21" s="100"/>
      <c r="BNX21" s="100"/>
      <c r="BNY21" s="100"/>
      <c r="BNZ21" s="100"/>
      <c r="BOA21" s="100"/>
      <c r="BOB21" s="100"/>
      <c r="BOC21" s="100"/>
      <c r="BOD21" s="100"/>
      <c r="BOE21" s="100"/>
      <c r="BOF21" s="100"/>
      <c r="BOG21" s="100"/>
      <c r="BOH21" s="100"/>
      <c r="BOI21" s="100"/>
      <c r="BOJ21" s="100"/>
      <c r="BOK21" s="100"/>
      <c r="BOL21" s="100"/>
      <c r="BOM21" s="100"/>
      <c r="BON21" s="100"/>
      <c r="BOO21" s="100"/>
      <c r="BOP21" s="100"/>
      <c r="BOQ21" s="100"/>
      <c r="BOR21" s="100"/>
      <c r="BOS21" s="100"/>
      <c r="BOT21" s="100"/>
      <c r="BOU21" s="100"/>
      <c r="BOV21" s="100"/>
      <c r="BOW21" s="100"/>
      <c r="BOX21" s="100"/>
      <c r="BOY21" s="100"/>
      <c r="BOZ21" s="100"/>
      <c r="BPA21" s="100"/>
      <c r="BPB21" s="100"/>
      <c r="BPC21" s="100"/>
      <c r="BPD21" s="100"/>
      <c r="BPE21" s="100"/>
      <c r="BPF21" s="100"/>
      <c r="BPG21" s="100"/>
      <c r="BPH21" s="100"/>
      <c r="BPI21" s="100"/>
      <c r="BPJ21" s="100"/>
      <c r="BPK21" s="100"/>
      <c r="BPL21" s="100"/>
      <c r="BPM21" s="100"/>
      <c r="BPN21" s="100"/>
      <c r="BPO21" s="100"/>
      <c r="BPP21" s="100"/>
      <c r="BPQ21" s="100"/>
      <c r="BPR21" s="100"/>
      <c r="BPS21" s="100"/>
      <c r="BPT21" s="100"/>
      <c r="BPU21" s="100"/>
      <c r="BPV21" s="100"/>
      <c r="BPW21" s="100"/>
      <c r="BPX21" s="100"/>
      <c r="BPY21" s="100"/>
      <c r="BPZ21" s="100"/>
      <c r="BQA21" s="100"/>
      <c r="BQB21" s="100"/>
      <c r="BQC21" s="100"/>
      <c r="BQD21" s="100"/>
      <c r="BQE21" s="100"/>
      <c r="BQF21" s="100"/>
      <c r="BQG21" s="100"/>
      <c r="BQH21" s="100"/>
      <c r="BQI21" s="100"/>
      <c r="BQJ21" s="100"/>
      <c r="BQK21" s="100"/>
      <c r="BQL21" s="100"/>
      <c r="BQM21" s="100"/>
      <c r="BQN21" s="100"/>
      <c r="BQO21" s="100"/>
      <c r="BQP21" s="100"/>
      <c r="BQQ21" s="100"/>
      <c r="BQR21" s="100"/>
      <c r="BQS21" s="100"/>
      <c r="BQT21" s="100"/>
      <c r="BQU21" s="100"/>
      <c r="BQV21" s="100"/>
      <c r="BQW21" s="100"/>
      <c r="BQX21" s="100"/>
      <c r="BQY21" s="100"/>
      <c r="BQZ21" s="100"/>
      <c r="BRA21" s="100"/>
      <c r="BRB21" s="100"/>
      <c r="BRC21" s="100"/>
      <c r="BRD21" s="100"/>
      <c r="BRE21" s="100"/>
      <c r="BRF21" s="100"/>
      <c r="BRG21" s="100"/>
      <c r="BRH21" s="100"/>
      <c r="BRI21" s="100"/>
      <c r="BRJ21" s="100"/>
      <c r="BRK21" s="100"/>
      <c r="BRL21" s="100"/>
      <c r="BRM21" s="100"/>
      <c r="BRN21" s="100"/>
      <c r="BRO21" s="100"/>
      <c r="BRP21" s="100"/>
      <c r="BRQ21" s="100"/>
      <c r="BRR21" s="100"/>
      <c r="BRS21" s="100"/>
      <c r="BRT21" s="100"/>
      <c r="BRU21" s="100"/>
      <c r="BRV21" s="100"/>
      <c r="BRW21" s="100"/>
      <c r="BRX21" s="100"/>
      <c r="BRY21" s="100"/>
      <c r="BRZ21" s="100"/>
      <c r="BSA21" s="100"/>
      <c r="BSB21" s="100"/>
      <c r="BSC21" s="100"/>
      <c r="BSD21" s="100"/>
      <c r="BSE21" s="100"/>
      <c r="BSF21" s="100"/>
      <c r="BSG21" s="100"/>
      <c r="BSH21" s="100"/>
      <c r="BSI21" s="100"/>
      <c r="BSJ21" s="100"/>
      <c r="BSK21" s="100"/>
      <c r="BSL21" s="100"/>
      <c r="BSM21" s="100"/>
      <c r="BSN21" s="100"/>
      <c r="BSO21" s="100"/>
      <c r="BSP21" s="100"/>
      <c r="BSQ21" s="100"/>
      <c r="BSR21" s="100"/>
      <c r="BSS21" s="100"/>
      <c r="BST21" s="100"/>
      <c r="BSU21" s="100"/>
      <c r="BSV21" s="100"/>
      <c r="BSW21" s="100"/>
      <c r="BSX21" s="100"/>
      <c r="BSY21" s="100"/>
      <c r="BSZ21" s="100"/>
      <c r="BTA21" s="100"/>
      <c r="BTB21" s="100"/>
      <c r="BTC21" s="100"/>
      <c r="BTD21" s="100"/>
      <c r="BTE21" s="100"/>
      <c r="BTF21" s="100"/>
      <c r="BTG21" s="100"/>
      <c r="BTH21" s="100"/>
      <c r="BTI21" s="100"/>
      <c r="BTJ21" s="100"/>
      <c r="BTK21" s="100"/>
      <c r="BTL21" s="100"/>
      <c r="BTM21" s="100"/>
      <c r="BTN21" s="100"/>
      <c r="BTO21" s="100"/>
      <c r="BTP21" s="100"/>
      <c r="BTQ21" s="100"/>
      <c r="BTR21" s="100"/>
      <c r="BTS21" s="100"/>
      <c r="BTT21" s="100"/>
      <c r="BTU21" s="100"/>
      <c r="BTV21" s="100"/>
      <c r="BTW21" s="100"/>
      <c r="BTX21" s="100"/>
      <c r="BTY21" s="100"/>
      <c r="BTZ21" s="100"/>
      <c r="BUA21" s="100"/>
      <c r="BUB21" s="100"/>
      <c r="BUC21" s="100"/>
      <c r="BUD21" s="100"/>
      <c r="BUE21" s="100"/>
      <c r="BUF21" s="100"/>
      <c r="BUG21" s="100"/>
      <c r="BUH21" s="100"/>
      <c r="BUI21" s="100"/>
      <c r="BUJ21" s="100"/>
      <c r="BUK21" s="100"/>
      <c r="BUL21" s="100"/>
      <c r="BUM21" s="100"/>
      <c r="BUN21" s="100"/>
      <c r="BUO21" s="100"/>
      <c r="BUP21" s="100"/>
      <c r="BUQ21" s="100"/>
      <c r="BUR21" s="100"/>
      <c r="BUS21" s="100"/>
      <c r="BUT21" s="100"/>
      <c r="BUU21" s="100"/>
      <c r="BUV21" s="100"/>
      <c r="BUW21" s="100"/>
      <c r="BUX21" s="100"/>
      <c r="BUY21" s="100"/>
      <c r="BUZ21" s="100"/>
      <c r="BVA21" s="100"/>
      <c r="BVB21" s="100"/>
      <c r="BVC21" s="100"/>
      <c r="BVD21" s="100"/>
      <c r="BVE21" s="100"/>
      <c r="BVF21" s="100"/>
      <c r="BVG21" s="100"/>
      <c r="BVH21" s="100"/>
      <c r="BVI21" s="100"/>
      <c r="BVJ21" s="100"/>
      <c r="BVK21" s="100"/>
      <c r="BVL21" s="100"/>
      <c r="BVM21" s="100"/>
      <c r="BVN21" s="100"/>
      <c r="BVO21" s="100"/>
      <c r="BVP21" s="100"/>
      <c r="BVQ21" s="100"/>
      <c r="BVR21" s="100"/>
      <c r="BVS21" s="100"/>
      <c r="BVT21" s="100"/>
      <c r="BVU21" s="100"/>
      <c r="BVV21" s="100"/>
      <c r="BVW21" s="100"/>
      <c r="BVX21" s="100"/>
      <c r="BVY21" s="100"/>
      <c r="BVZ21" s="100"/>
      <c r="BWA21" s="100"/>
      <c r="BWB21" s="100"/>
      <c r="BWC21" s="100"/>
      <c r="BWD21" s="100"/>
      <c r="BWE21" s="100"/>
      <c r="BWF21" s="100"/>
      <c r="BWG21" s="100"/>
      <c r="BWH21" s="100"/>
      <c r="BWI21" s="100"/>
      <c r="BWJ21" s="100"/>
      <c r="BWK21" s="100"/>
      <c r="BWL21" s="100"/>
      <c r="BWM21" s="100"/>
      <c r="BWN21" s="100"/>
      <c r="BWO21" s="100"/>
      <c r="BWP21" s="100"/>
      <c r="BWQ21" s="100"/>
      <c r="BWR21" s="100"/>
      <c r="BWS21" s="100"/>
      <c r="BWT21" s="100"/>
      <c r="BWU21" s="100"/>
      <c r="BWV21" s="100"/>
      <c r="BWW21" s="100"/>
      <c r="BWX21" s="100"/>
      <c r="BWY21" s="100"/>
      <c r="BWZ21" s="100"/>
      <c r="BXA21" s="100"/>
      <c r="BXB21" s="100"/>
      <c r="BXC21" s="100"/>
      <c r="BXD21" s="100"/>
      <c r="BXE21" s="100"/>
      <c r="BXF21" s="100"/>
      <c r="BXG21" s="100"/>
      <c r="BXH21" s="100"/>
      <c r="BXI21" s="100"/>
      <c r="BXJ21" s="100"/>
      <c r="BXK21" s="100"/>
      <c r="BXL21" s="100"/>
      <c r="BXM21" s="100"/>
      <c r="BXN21" s="100"/>
      <c r="BXO21" s="100"/>
      <c r="BXP21" s="100"/>
      <c r="BXQ21" s="100"/>
      <c r="BXR21" s="100"/>
      <c r="BXS21" s="100"/>
      <c r="BXT21" s="100"/>
      <c r="BXU21" s="100"/>
      <c r="BXV21" s="100"/>
      <c r="BXW21" s="100"/>
      <c r="BXX21" s="100"/>
      <c r="BXY21" s="100"/>
      <c r="BXZ21" s="100"/>
      <c r="BYA21" s="100"/>
      <c r="BYB21" s="100"/>
      <c r="BYC21" s="100"/>
      <c r="BYD21" s="100"/>
      <c r="BYE21" s="100"/>
      <c r="BYF21" s="100"/>
      <c r="BYG21" s="100"/>
    </row>
    <row r="22" spans="1:2009" s="227" customFormat="1" ht="24.95" customHeight="1" thickBot="1" x14ac:dyDescent="0.3">
      <c r="A22" s="220"/>
      <c r="B22" s="221" t="s">
        <v>92</v>
      </c>
      <c r="C22" s="222">
        <f>SUM(C17:C21)</f>
        <v>12954.93</v>
      </c>
      <c r="D22" s="222">
        <f t="shared" ref="D22:E22" si="0">SUM(D17:D21)</f>
        <v>15178.279999999999</v>
      </c>
      <c r="E22" s="222">
        <f t="shared" si="0"/>
        <v>11464.53</v>
      </c>
      <c r="F22" s="223"/>
      <c r="G22" s="224">
        <f>SUM(G17:G21)</f>
        <v>39597.740000000005</v>
      </c>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226"/>
      <c r="MK22" s="226"/>
      <c r="ML22" s="226"/>
      <c r="MM22" s="226"/>
      <c r="MN22" s="226"/>
      <c r="MO22" s="226"/>
      <c r="MP22" s="226"/>
      <c r="MQ22" s="226"/>
      <c r="MR22" s="226"/>
      <c r="MS22" s="226"/>
      <c r="MT22" s="226"/>
      <c r="MU22" s="226"/>
      <c r="MV22" s="226"/>
      <c r="MW22" s="226"/>
      <c r="MX22" s="226"/>
      <c r="MY22" s="226"/>
      <c r="MZ22" s="226"/>
      <c r="NA22" s="226"/>
      <c r="NB22" s="226"/>
      <c r="NC22" s="226"/>
      <c r="ND22" s="226"/>
      <c r="NE22" s="226"/>
      <c r="NF22" s="226"/>
      <c r="NG22" s="226"/>
      <c r="NH22" s="226"/>
      <c r="NI22" s="226"/>
      <c r="NJ22" s="226"/>
      <c r="NK22" s="226"/>
      <c r="NL22" s="226"/>
      <c r="NM22" s="226"/>
      <c r="NN22" s="226"/>
      <c r="NO22" s="226"/>
      <c r="NP22" s="226"/>
      <c r="NQ22" s="226"/>
      <c r="NR22" s="226"/>
      <c r="NS22" s="226"/>
      <c r="NT22" s="226"/>
      <c r="NU22" s="226"/>
      <c r="NV22" s="226"/>
      <c r="NW22" s="226"/>
      <c r="NX22" s="226"/>
      <c r="NY22" s="226"/>
      <c r="NZ22" s="226"/>
      <c r="OA22" s="226"/>
      <c r="OB22" s="226"/>
      <c r="OC22" s="226"/>
      <c r="OD22" s="226"/>
      <c r="OE22" s="226"/>
      <c r="OF22" s="226"/>
      <c r="OG22" s="226"/>
      <c r="OH22" s="226"/>
      <c r="OI22" s="226"/>
      <c r="OJ22" s="226"/>
      <c r="OK22" s="226"/>
      <c r="OL22" s="226"/>
      <c r="OM22" s="226"/>
      <c r="ON22" s="226"/>
      <c r="OO22" s="226"/>
      <c r="OP22" s="226"/>
      <c r="OQ22" s="226"/>
      <c r="OR22" s="226"/>
      <c r="OS22" s="226"/>
      <c r="OT22" s="226"/>
      <c r="OU22" s="226"/>
      <c r="OV22" s="226"/>
      <c r="OW22" s="226"/>
      <c r="OX22" s="226"/>
      <c r="OY22" s="226"/>
      <c r="OZ22" s="226"/>
      <c r="PA22" s="226"/>
      <c r="PB22" s="226"/>
      <c r="PC22" s="226"/>
      <c r="PD22" s="226"/>
      <c r="PE22" s="226"/>
      <c r="PF22" s="226"/>
      <c r="PG22" s="226"/>
      <c r="PH22" s="226"/>
      <c r="PI22" s="226"/>
      <c r="PJ22" s="226"/>
      <c r="PK22" s="226"/>
      <c r="PL22" s="226"/>
      <c r="PM22" s="226"/>
      <c r="PN22" s="226"/>
      <c r="PO22" s="226"/>
      <c r="PP22" s="226"/>
      <c r="PQ22" s="226"/>
      <c r="PR22" s="226"/>
      <c r="PS22" s="226"/>
      <c r="PT22" s="226"/>
      <c r="PU22" s="226"/>
      <c r="PV22" s="226"/>
      <c r="PW22" s="226"/>
      <c r="PX22" s="226"/>
      <c r="PY22" s="226"/>
      <c r="PZ22" s="226"/>
      <c r="QA22" s="226"/>
      <c r="QB22" s="226"/>
      <c r="QC22" s="226"/>
      <c r="QD22" s="226"/>
      <c r="QE22" s="226"/>
      <c r="QF22" s="226"/>
      <c r="QG22" s="226"/>
      <c r="QH22" s="226"/>
      <c r="QI22" s="226"/>
      <c r="QJ22" s="226"/>
      <c r="QK22" s="226"/>
      <c r="QL22" s="226"/>
      <c r="QM22" s="226"/>
      <c r="QN22" s="226"/>
      <c r="QO22" s="226"/>
      <c r="QP22" s="226"/>
      <c r="QQ22" s="226"/>
      <c r="QR22" s="226"/>
      <c r="QS22" s="226"/>
      <c r="QT22" s="226"/>
      <c r="QU22" s="226"/>
      <c r="QV22" s="226"/>
      <c r="QW22" s="226"/>
      <c r="QX22" s="226"/>
      <c r="QY22" s="226"/>
      <c r="QZ22" s="226"/>
      <c r="RA22" s="226"/>
      <c r="RB22" s="226"/>
      <c r="RC22" s="226"/>
      <c r="RD22" s="226"/>
      <c r="RE22" s="226"/>
      <c r="RF22" s="226"/>
      <c r="RG22" s="226"/>
      <c r="RH22" s="226"/>
      <c r="RI22" s="226"/>
      <c r="RJ22" s="226"/>
      <c r="RK22" s="226"/>
      <c r="RL22" s="226"/>
      <c r="RM22" s="226"/>
      <c r="RN22" s="226"/>
      <c r="RO22" s="226"/>
      <c r="RP22" s="226"/>
      <c r="RQ22" s="226"/>
      <c r="RR22" s="226"/>
      <c r="RS22" s="226"/>
      <c r="RT22" s="226"/>
      <c r="RU22" s="226"/>
      <c r="RV22" s="226"/>
      <c r="RW22" s="226"/>
      <c r="RX22" s="226"/>
      <c r="RY22" s="226"/>
      <c r="RZ22" s="226"/>
      <c r="SA22" s="226"/>
      <c r="SB22" s="226"/>
      <c r="SC22" s="226"/>
      <c r="SD22" s="226"/>
      <c r="SE22" s="226"/>
      <c r="SF22" s="226"/>
      <c r="SG22" s="226"/>
      <c r="SH22" s="226"/>
      <c r="SI22" s="226"/>
      <c r="SJ22" s="226"/>
      <c r="SK22" s="226"/>
      <c r="SL22" s="226"/>
      <c r="SM22" s="226"/>
      <c r="SN22" s="226"/>
      <c r="SO22" s="226"/>
      <c r="SP22" s="226"/>
      <c r="SQ22" s="226"/>
      <c r="SR22" s="226"/>
      <c r="SS22" s="226"/>
      <c r="ST22" s="226"/>
      <c r="SU22" s="226"/>
      <c r="SV22" s="226"/>
      <c r="SW22" s="226"/>
      <c r="SX22" s="226"/>
      <c r="SY22" s="226"/>
      <c r="SZ22" s="226"/>
      <c r="TA22" s="226"/>
      <c r="TB22" s="226"/>
      <c r="TC22" s="226"/>
      <c r="TD22" s="226"/>
      <c r="TE22" s="226"/>
      <c r="TF22" s="226"/>
      <c r="TG22" s="226"/>
      <c r="TH22" s="226"/>
      <c r="TI22" s="226"/>
      <c r="TJ22" s="226"/>
      <c r="TK22" s="226"/>
      <c r="TL22" s="226"/>
      <c r="TM22" s="226"/>
      <c r="TN22" s="226"/>
      <c r="TO22" s="226"/>
      <c r="TP22" s="226"/>
      <c r="TQ22" s="226"/>
      <c r="TR22" s="226"/>
      <c r="TS22" s="226"/>
      <c r="TT22" s="226"/>
      <c r="TU22" s="226"/>
      <c r="TV22" s="226"/>
      <c r="TW22" s="226"/>
      <c r="TX22" s="226"/>
      <c r="TY22" s="226"/>
      <c r="TZ22" s="226"/>
      <c r="UA22" s="226"/>
      <c r="UB22" s="226"/>
      <c r="UC22" s="226"/>
      <c r="UD22" s="226"/>
      <c r="UE22" s="226"/>
      <c r="UF22" s="226"/>
      <c r="UG22" s="226"/>
      <c r="UH22" s="226"/>
      <c r="UI22" s="226"/>
      <c r="UJ22" s="226"/>
      <c r="UK22" s="226"/>
      <c r="UL22" s="226"/>
      <c r="UM22" s="226"/>
      <c r="UN22" s="226"/>
      <c r="UO22" s="226"/>
      <c r="UP22" s="226"/>
      <c r="UQ22" s="226"/>
      <c r="UR22" s="226"/>
      <c r="US22" s="226"/>
      <c r="UT22" s="226"/>
      <c r="UU22" s="226"/>
      <c r="UV22" s="226"/>
      <c r="UW22" s="226"/>
      <c r="UX22" s="226"/>
      <c r="UY22" s="226"/>
      <c r="UZ22" s="226"/>
      <c r="VA22" s="226"/>
      <c r="VB22" s="226"/>
      <c r="VC22" s="226"/>
      <c r="VD22" s="226"/>
      <c r="VE22" s="226"/>
      <c r="VF22" s="226"/>
      <c r="VG22" s="226"/>
      <c r="VH22" s="226"/>
      <c r="VI22" s="226"/>
      <c r="VJ22" s="226"/>
      <c r="VK22" s="226"/>
      <c r="VL22" s="226"/>
      <c r="VM22" s="226"/>
      <c r="VN22" s="226"/>
      <c r="VO22" s="226"/>
      <c r="VP22" s="226"/>
      <c r="VQ22" s="226"/>
      <c r="VR22" s="226"/>
      <c r="VS22" s="226"/>
      <c r="VT22" s="226"/>
      <c r="VU22" s="226"/>
      <c r="VV22" s="226"/>
      <c r="VW22" s="226"/>
      <c r="VX22" s="226"/>
      <c r="VY22" s="226"/>
      <c r="VZ22" s="226"/>
      <c r="WA22" s="226"/>
      <c r="WB22" s="226"/>
      <c r="WC22" s="226"/>
      <c r="WD22" s="226"/>
      <c r="WE22" s="226"/>
      <c r="WF22" s="226"/>
      <c r="WG22" s="226"/>
      <c r="WH22" s="226"/>
      <c r="WI22" s="226"/>
      <c r="WJ22" s="226"/>
      <c r="WK22" s="226"/>
      <c r="WL22" s="226"/>
      <c r="WM22" s="226"/>
      <c r="WN22" s="226"/>
      <c r="WO22" s="226"/>
      <c r="WP22" s="226"/>
      <c r="WQ22" s="226"/>
      <c r="WR22" s="226"/>
      <c r="WS22" s="226"/>
      <c r="WT22" s="226"/>
      <c r="WU22" s="226"/>
      <c r="WV22" s="226"/>
      <c r="WW22" s="226"/>
      <c r="WX22" s="226"/>
      <c r="WY22" s="226"/>
      <c r="WZ22" s="226"/>
      <c r="XA22" s="226"/>
      <c r="XB22" s="226"/>
      <c r="XC22" s="226"/>
      <c r="XD22" s="226"/>
      <c r="XE22" s="226"/>
      <c r="XF22" s="226"/>
      <c r="XG22" s="226"/>
      <c r="XH22" s="226"/>
      <c r="XI22" s="226"/>
      <c r="XJ22" s="226"/>
      <c r="XK22" s="226"/>
      <c r="XL22" s="226"/>
      <c r="XM22" s="226"/>
      <c r="XN22" s="226"/>
      <c r="XO22" s="226"/>
      <c r="XP22" s="226"/>
      <c r="XQ22" s="226"/>
      <c r="XR22" s="226"/>
      <c r="XS22" s="226"/>
      <c r="XT22" s="226"/>
      <c r="XU22" s="226"/>
      <c r="XV22" s="226"/>
      <c r="XW22" s="226"/>
      <c r="XX22" s="226"/>
      <c r="XY22" s="226"/>
      <c r="XZ22" s="226"/>
      <c r="YA22" s="226"/>
      <c r="YB22" s="226"/>
      <c r="YC22" s="226"/>
      <c r="YD22" s="226"/>
      <c r="YE22" s="226"/>
      <c r="YF22" s="226"/>
      <c r="YG22" s="226"/>
      <c r="YH22" s="226"/>
      <c r="YI22" s="226"/>
      <c r="YJ22" s="226"/>
      <c r="YK22" s="226"/>
      <c r="YL22" s="226"/>
      <c r="YM22" s="226"/>
      <c r="YN22" s="226"/>
      <c r="YO22" s="226"/>
      <c r="YP22" s="226"/>
      <c r="YQ22" s="226"/>
      <c r="YR22" s="226"/>
      <c r="YS22" s="226"/>
      <c r="YT22" s="226"/>
      <c r="YU22" s="226"/>
      <c r="YV22" s="226"/>
      <c r="YW22" s="226"/>
      <c r="YX22" s="226"/>
      <c r="YY22" s="226"/>
      <c r="YZ22" s="226"/>
      <c r="ZA22" s="226"/>
      <c r="ZB22" s="226"/>
      <c r="ZC22" s="226"/>
      <c r="ZD22" s="226"/>
      <c r="ZE22" s="226"/>
      <c r="ZF22" s="226"/>
      <c r="ZG22" s="226"/>
      <c r="ZH22" s="226"/>
      <c r="ZI22" s="226"/>
      <c r="ZJ22" s="226"/>
      <c r="ZK22" s="226"/>
      <c r="ZL22" s="226"/>
      <c r="ZM22" s="226"/>
      <c r="ZN22" s="226"/>
      <c r="ZO22" s="226"/>
      <c r="ZP22" s="226"/>
      <c r="ZQ22" s="226"/>
      <c r="ZR22" s="226"/>
      <c r="ZS22" s="226"/>
      <c r="ZT22" s="226"/>
      <c r="ZU22" s="226"/>
      <c r="ZV22" s="226"/>
      <c r="ZW22" s="226"/>
      <c r="ZX22" s="226"/>
      <c r="ZY22" s="226"/>
      <c r="ZZ22" s="226"/>
      <c r="AAA22" s="226"/>
      <c r="AAB22" s="226"/>
      <c r="AAC22" s="226"/>
      <c r="AAD22" s="226"/>
      <c r="AAE22" s="226"/>
      <c r="AAF22" s="226"/>
      <c r="AAG22" s="226"/>
      <c r="AAH22" s="226"/>
      <c r="AAI22" s="226"/>
      <c r="AAJ22" s="226"/>
      <c r="AAK22" s="226"/>
      <c r="AAL22" s="226"/>
      <c r="AAM22" s="226"/>
      <c r="AAN22" s="226"/>
      <c r="AAO22" s="226"/>
      <c r="AAP22" s="226"/>
      <c r="AAQ22" s="226"/>
      <c r="AAR22" s="226"/>
      <c r="AAS22" s="226"/>
      <c r="AAT22" s="226"/>
      <c r="AAU22" s="226"/>
      <c r="AAV22" s="226"/>
      <c r="AAW22" s="226"/>
      <c r="AAX22" s="226"/>
      <c r="AAY22" s="226"/>
      <c r="AAZ22" s="226"/>
      <c r="ABA22" s="226"/>
      <c r="ABB22" s="226"/>
      <c r="ABC22" s="226"/>
      <c r="ABD22" s="226"/>
      <c r="ABE22" s="226"/>
      <c r="ABF22" s="226"/>
      <c r="ABG22" s="226"/>
      <c r="ABH22" s="226"/>
      <c r="ABI22" s="226"/>
      <c r="ABJ22" s="226"/>
      <c r="ABK22" s="226"/>
      <c r="ABL22" s="226"/>
      <c r="ABM22" s="226"/>
      <c r="ABN22" s="226"/>
      <c r="ABO22" s="226"/>
      <c r="ABP22" s="226"/>
      <c r="ABQ22" s="226"/>
      <c r="ABR22" s="226"/>
      <c r="ABS22" s="226"/>
      <c r="ABT22" s="226"/>
      <c r="ABU22" s="226"/>
      <c r="ABV22" s="226"/>
      <c r="ABW22" s="226"/>
      <c r="ABX22" s="226"/>
      <c r="ABY22" s="226"/>
      <c r="ABZ22" s="226"/>
      <c r="ACA22" s="226"/>
      <c r="ACB22" s="226"/>
      <c r="ACC22" s="226"/>
      <c r="ACD22" s="226"/>
      <c r="ACE22" s="226"/>
      <c r="ACF22" s="226"/>
      <c r="ACG22" s="226"/>
      <c r="ACH22" s="226"/>
      <c r="ACI22" s="226"/>
      <c r="ACJ22" s="226"/>
      <c r="ACK22" s="226"/>
      <c r="ACL22" s="226"/>
      <c r="ACM22" s="226"/>
      <c r="ACN22" s="226"/>
      <c r="ACO22" s="226"/>
      <c r="ACP22" s="226"/>
      <c r="ACQ22" s="226"/>
      <c r="ACR22" s="226"/>
      <c r="ACS22" s="226"/>
      <c r="ACT22" s="226"/>
      <c r="ACU22" s="226"/>
      <c r="ACV22" s="226"/>
      <c r="ACW22" s="226"/>
      <c r="ACX22" s="226"/>
      <c r="ACY22" s="226"/>
      <c r="ACZ22" s="226"/>
      <c r="ADA22" s="226"/>
      <c r="ADB22" s="226"/>
      <c r="ADC22" s="226"/>
      <c r="ADD22" s="226"/>
      <c r="ADE22" s="226"/>
      <c r="ADF22" s="226"/>
      <c r="ADG22" s="226"/>
      <c r="ADH22" s="226"/>
      <c r="ADI22" s="226"/>
      <c r="ADJ22" s="226"/>
      <c r="ADK22" s="226"/>
      <c r="ADL22" s="226"/>
      <c r="ADM22" s="226"/>
      <c r="ADN22" s="226"/>
      <c r="ADO22" s="226"/>
      <c r="ADP22" s="226"/>
      <c r="ADQ22" s="226"/>
      <c r="ADR22" s="226"/>
      <c r="ADS22" s="226"/>
      <c r="ADT22" s="226"/>
      <c r="ADU22" s="226"/>
      <c r="ADV22" s="226"/>
      <c r="ADW22" s="226"/>
      <c r="ADX22" s="226"/>
      <c r="ADY22" s="226"/>
      <c r="ADZ22" s="226"/>
      <c r="AEA22" s="226"/>
      <c r="AEB22" s="226"/>
      <c r="AEC22" s="226"/>
      <c r="AED22" s="226"/>
      <c r="AEE22" s="226"/>
      <c r="AEF22" s="226"/>
      <c r="AEG22" s="226"/>
      <c r="AEH22" s="226"/>
      <c r="AEI22" s="226"/>
      <c r="AEJ22" s="226"/>
      <c r="AEK22" s="226"/>
      <c r="AEL22" s="226"/>
      <c r="AEM22" s="226"/>
      <c r="AEN22" s="226"/>
      <c r="AEO22" s="226"/>
      <c r="AEP22" s="226"/>
      <c r="AEQ22" s="226"/>
      <c r="AER22" s="226"/>
      <c r="AES22" s="226"/>
      <c r="AET22" s="226"/>
      <c r="AEU22" s="226"/>
      <c r="AEV22" s="226"/>
      <c r="AEW22" s="226"/>
      <c r="AEX22" s="226"/>
      <c r="AEY22" s="226"/>
      <c r="AEZ22" s="226"/>
      <c r="AFA22" s="226"/>
      <c r="AFB22" s="226"/>
      <c r="AFC22" s="226"/>
      <c r="AFD22" s="226"/>
      <c r="AFE22" s="226"/>
      <c r="AFF22" s="226"/>
      <c r="AFG22" s="226"/>
      <c r="AFH22" s="226"/>
      <c r="AFI22" s="226"/>
      <c r="AFJ22" s="226"/>
      <c r="AFK22" s="226"/>
      <c r="AFL22" s="226"/>
      <c r="AFM22" s="226"/>
      <c r="AFN22" s="226"/>
      <c r="AFO22" s="226"/>
      <c r="AFP22" s="226"/>
      <c r="AFQ22" s="226"/>
      <c r="AFR22" s="226"/>
      <c r="AFS22" s="226"/>
      <c r="AFT22" s="226"/>
      <c r="AFU22" s="226"/>
      <c r="AFV22" s="226"/>
      <c r="AFW22" s="226"/>
      <c r="AFX22" s="226"/>
      <c r="AFY22" s="226"/>
      <c r="AFZ22" s="226"/>
      <c r="AGA22" s="226"/>
      <c r="AGB22" s="226"/>
      <c r="AGC22" s="226"/>
      <c r="AGD22" s="226"/>
      <c r="AGE22" s="226"/>
      <c r="AGF22" s="226"/>
      <c r="AGG22" s="226"/>
      <c r="AGH22" s="226"/>
      <c r="AGI22" s="226"/>
      <c r="AGJ22" s="226"/>
      <c r="AGK22" s="226"/>
      <c r="AGL22" s="226"/>
      <c r="AGM22" s="226"/>
      <c r="AGN22" s="226"/>
      <c r="AGO22" s="226"/>
      <c r="AGP22" s="226"/>
      <c r="AGQ22" s="226"/>
      <c r="AGR22" s="226"/>
      <c r="AGS22" s="226"/>
      <c r="AGT22" s="226"/>
      <c r="AGU22" s="226"/>
      <c r="AGV22" s="226"/>
      <c r="AGW22" s="226"/>
      <c r="AGX22" s="226"/>
      <c r="AGY22" s="226"/>
      <c r="AGZ22" s="226"/>
      <c r="AHA22" s="226"/>
      <c r="AHB22" s="226"/>
      <c r="AHC22" s="226"/>
      <c r="AHD22" s="226"/>
      <c r="AHE22" s="226"/>
      <c r="AHF22" s="226"/>
      <c r="AHG22" s="226"/>
      <c r="AHH22" s="226"/>
      <c r="AHI22" s="226"/>
      <c r="AHJ22" s="226"/>
      <c r="AHK22" s="226"/>
      <c r="AHL22" s="226"/>
      <c r="AHM22" s="226"/>
      <c r="AHN22" s="226"/>
      <c r="AHO22" s="226"/>
      <c r="AHP22" s="226"/>
      <c r="AHQ22" s="226"/>
      <c r="AHR22" s="226"/>
      <c r="AHS22" s="226"/>
      <c r="AHT22" s="226"/>
      <c r="AHU22" s="226"/>
      <c r="AHV22" s="226"/>
      <c r="AHW22" s="226"/>
      <c r="AHX22" s="226"/>
      <c r="AHY22" s="226"/>
      <c r="AHZ22" s="226"/>
      <c r="AIA22" s="226"/>
      <c r="AIB22" s="226"/>
      <c r="AIC22" s="226"/>
      <c r="AID22" s="226"/>
      <c r="AIE22" s="226"/>
      <c r="AIF22" s="226"/>
      <c r="AIG22" s="226"/>
      <c r="AIH22" s="226"/>
      <c r="AII22" s="226"/>
      <c r="AIJ22" s="226"/>
      <c r="AIK22" s="226"/>
      <c r="AIL22" s="226"/>
      <c r="AIM22" s="226"/>
      <c r="AIN22" s="226"/>
      <c r="AIO22" s="226"/>
      <c r="AIP22" s="226"/>
      <c r="AIQ22" s="226"/>
      <c r="AIR22" s="226"/>
      <c r="AIS22" s="226"/>
      <c r="AIT22" s="226"/>
      <c r="AIU22" s="226"/>
      <c r="AIV22" s="226"/>
      <c r="AIW22" s="226"/>
      <c r="AIX22" s="226"/>
      <c r="AIY22" s="226"/>
      <c r="AIZ22" s="226"/>
      <c r="AJA22" s="226"/>
      <c r="AJB22" s="226"/>
      <c r="AJC22" s="226"/>
      <c r="AJD22" s="226"/>
      <c r="AJE22" s="226"/>
      <c r="AJF22" s="226"/>
      <c r="AJG22" s="226"/>
      <c r="AJH22" s="226"/>
      <c r="AJI22" s="226"/>
      <c r="AJJ22" s="226"/>
      <c r="AJK22" s="226"/>
      <c r="AJL22" s="226"/>
      <c r="AJM22" s="226"/>
      <c r="AJN22" s="226"/>
      <c r="AJO22" s="226"/>
      <c r="AJP22" s="226"/>
      <c r="AJQ22" s="226"/>
      <c r="AJR22" s="226"/>
      <c r="AJS22" s="226"/>
      <c r="AJT22" s="226"/>
      <c r="AJU22" s="226"/>
      <c r="AJV22" s="226"/>
      <c r="AJW22" s="226"/>
      <c r="AJX22" s="226"/>
      <c r="AJY22" s="226"/>
      <c r="AJZ22" s="226"/>
      <c r="AKA22" s="226"/>
      <c r="AKB22" s="226"/>
      <c r="AKC22" s="226"/>
      <c r="AKD22" s="226"/>
      <c r="AKE22" s="226"/>
      <c r="AKF22" s="226"/>
      <c r="AKG22" s="226"/>
      <c r="AKH22" s="226"/>
      <c r="AKI22" s="226"/>
      <c r="AKJ22" s="226"/>
      <c r="AKK22" s="226"/>
      <c r="AKL22" s="226"/>
      <c r="AKM22" s="226"/>
      <c r="AKN22" s="226"/>
      <c r="AKO22" s="226"/>
      <c r="AKP22" s="226"/>
      <c r="AKQ22" s="226"/>
      <c r="AKR22" s="226"/>
      <c r="AKS22" s="226"/>
      <c r="AKT22" s="226"/>
      <c r="AKU22" s="226"/>
      <c r="AKV22" s="226"/>
      <c r="AKW22" s="226"/>
      <c r="AKX22" s="226"/>
      <c r="AKY22" s="226"/>
      <c r="AKZ22" s="226"/>
      <c r="ALA22" s="226"/>
      <c r="ALB22" s="226"/>
      <c r="ALC22" s="226"/>
      <c r="ALD22" s="226"/>
      <c r="ALE22" s="226"/>
      <c r="ALF22" s="226"/>
      <c r="ALG22" s="226"/>
      <c r="ALH22" s="226"/>
      <c r="ALI22" s="226"/>
      <c r="ALJ22" s="226"/>
      <c r="ALK22" s="226"/>
      <c r="ALL22" s="226"/>
      <c r="ALM22" s="226"/>
      <c r="ALN22" s="226"/>
      <c r="ALO22" s="226"/>
      <c r="ALP22" s="226"/>
      <c r="ALQ22" s="226"/>
      <c r="ALR22" s="226"/>
      <c r="ALS22" s="226"/>
      <c r="ALT22" s="226"/>
      <c r="ALU22" s="226"/>
      <c r="ALV22" s="226"/>
      <c r="ALW22" s="226"/>
      <c r="ALX22" s="226"/>
      <c r="ALY22" s="226"/>
      <c r="ALZ22" s="226"/>
      <c r="AMA22" s="226"/>
      <c r="AMB22" s="226"/>
      <c r="AMC22" s="226"/>
      <c r="AMD22" s="226"/>
      <c r="AME22" s="226"/>
      <c r="AMF22" s="226"/>
      <c r="AMG22" s="226"/>
      <c r="AMH22" s="226"/>
      <c r="AMI22" s="226"/>
      <c r="AMJ22" s="226"/>
      <c r="AMK22" s="226"/>
      <c r="AML22" s="226"/>
      <c r="AMM22" s="226"/>
      <c r="AMN22" s="226"/>
      <c r="AMO22" s="226"/>
      <c r="AMP22" s="226"/>
      <c r="AMQ22" s="226"/>
      <c r="AMR22" s="226"/>
      <c r="AMS22" s="226"/>
      <c r="AMT22" s="226"/>
      <c r="AMU22" s="226"/>
      <c r="AMV22" s="226"/>
      <c r="AMW22" s="226"/>
      <c r="AMX22" s="226"/>
      <c r="AMY22" s="226"/>
      <c r="AMZ22" s="226"/>
      <c r="ANA22" s="226"/>
      <c r="ANB22" s="226"/>
      <c r="ANC22" s="226"/>
      <c r="AND22" s="226"/>
      <c r="ANE22" s="226"/>
      <c r="ANF22" s="226"/>
      <c r="ANG22" s="226"/>
      <c r="ANH22" s="226"/>
      <c r="ANI22" s="226"/>
      <c r="ANJ22" s="226"/>
      <c r="ANK22" s="226"/>
      <c r="ANL22" s="226"/>
      <c r="ANM22" s="226"/>
      <c r="ANN22" s="226"/>
      <c r="ANO22" s="226"/>
      <c r="ANP22" s="226"/>
      <c r="ANQ22" s="226"/>
      <c r="ANR22" s="226"/>
      <c r="ANS22" s="226"/>
      <c r="ANT22" s="226"/>
      <c r="ANU22" s="226"/>
      <c r="ANV22" s="226"/>
      <c r="ANW22" s="226"/>
      <c r="ANX22" s="226"/>
      <c r="ANY22" s="226"/>
      <c r="ANZ22" s="226"/>
      <c r="AOA22" s="226"/>
      <c r="AOB22" s="226"/>
      <c r="AOC22" s="226"/>
      <c r="AOD22" s="226"/>
      <c r="AOE22" s="226"/>
      <c r="AOF22" s="226"/>
      <c r="AOG22" s="226"/>
      <c r="AOH22" s="226"/>
      <c r="AOI22" s="226"/>
      <c r="AOJ22" s="226"/>
      <c r="AOK22" s="226"/>
      <c r="AOL22" s="226"/>
      <c r="AOM22" s="226"/>
      <c r="AON22" s="226"/>
      <c r="AOO22" s="226"/>
      <c r="AOP22" s="226"/>
      <c r="AOQ22" s="226"/>
      <c r="AOR22" s="226"/>
      <c r="AOS22" s="226"/>
      <c r="AOT22" s="226"/>
      <c r="AOU22" s="226"/>
      <c r="AOV22" s="226"/>
      <c r="AOW22" s="226"/>
      <c r="AOX22" s="226"/>
      <c r="AOY22" s="226"/>
      <c r="AOZ22" s="226"/>
      <c r="APA22" s="226"/>
      <c r="APB22" s="226"/>
      <c r="APC22" s="226"/>
      <c r="APD22" s="226"/>
      <c r="APE22" s="226"/>
      <c r="APF22" s="226"/>
      <c r="APG22" s="226"/>
      <c r="APH22" s="226"/>
      <c r="API22" s="226"/>
      <c r="APJ22" s="226"/>
      <c r="APK22" s="226"/>
      <c r="APL22" s="226"/>
      <c r="APM22" s="226"/>
      <c r="APN22" s="226"/>
      <c r="APO22" s="226"/>
      <c r="APP22" s="226"/>
      <c r="APQ22" s="226"/>
      <c r="APR22" s="226"/>
      <c r="APS22" s="226"/>
      <c r="APT22" s="226"/>
      <c r="APU22" s="226"/>
      <c r="APV22" s="226"/>
      <c r="APW22" s="226"/>
      <c r="APX22" s="226"/>
      <c r="APY22" s="226"/>
      <c r="APZ22" s="226"/>
      <c r="AQA22" s="226"/>
      <c r="AQB22" s="226"/>
      <c r="AQC22" s="226"/>
      <c r="AQD22" s="226"/>
      <c r="AQE22" s="226"/>
      <c r="AQF22" s="226"/>
      <c r="AQG22" s="226"/>
      <c r="AQH22" s="226"/>
      <c r="AQI22" s="226"/>
      <c r="AQJ22" s="226"/>
      <c r="AQK22" s="226"/>
      <c r="AQL22" s="226"/>
      <c r="AQM22" s="226"/>
      <c r="AQN22" s="226"/>
      <c r="AQO22" s="226"/>
      <c r="AQP22" s="226"/>
      <c r="AQQ22" s="226"/>
      <c r="AQR22" s="226"/>
      <c r="AQS22" s="226"/>
      <c r="AQT22" s="226"/>
      <c r="AQU22" s="226"/>
      <c r="AQV22" s="226"/>
      <c r="AQW22" s="226"/>
      <c r="AQX22" s="226"/>
      <c r="AQY22" s="226"/>
      <c r="AQZ22" s="226"/>
      <c r="ARA22" s="226"/>
      <c r="ARB22" s="226"/>
      <c r="ARC22" s="226"/>
      <c r="ARD22" s="226"/>
      <c r="ARE22" s="226"/>
      <c r="ARF22" s="226"/>
      <c r="ARG22" s="226"/>
      <c r="ARH22" s="226"/>
      <c r="ARI22" s="226"/>
      <c r="ARJ22" s="226"/>
      <c r="ARK22" s="226"/>
      <c r="ARL22" s="226"/>
      <c r="ARM22" s="226"/>
      <c r="ARN22" s="226"/>
      <c r="ARO22" s="226"/>
      <c r="ARP22" s="226"/>
      <c r="ARQ22" s="226"/>
      <c r="ARR22" s="226"/>
      <c r="ARS22" s="226"/>
      <c r="ART22" s="226"/>
      <c r="ARU22" s="226"/>
      <c r="ARV22" s="226"/>
      <c r="ARW22" s="226"/>
      <c r="ARX22" s="226"/>
      <c r="ARY22" s="226"/>
      <c r="ARZ22" s="226"/>
      <c r="ASA22" s="226"/>
      <c r="ASB22" s="226"/>
      <c r="ASC22" s="226"/>
      <c r="ASD22" s="226"/>
      <c r="ASE22" s="226"/>
      <c r="ASF22" s="226"/>
      <c r="ASG22" s="226"/>
      <c r="ASH22" s="226"/>
      <c r="ASI22" s="226"/>
      <c r="ASJ22" s="226"/>
      <c r="ASK22" s="226"/>
      <c r="ASL22" s="226"/>
      <c r="ASM22" s="226"/>
      <c r="ASN22" s="226"/>
      <c r="ASO22" s="226"/>
      <c r="ASP22" s="226"/>
      <c r="ASQ22" s="226"/>
      <c r="ASR22" s="226"/>
      <c r="ASS22" s="226"/>
      <c r="AST22" s="226"/>
      <c r="ASU22" s="226"/>
      <c r="ASV22" s="226"/>
      <c r="ASW22" s="226"/>
      <c r="ASX22" s="226"/>
      <c r="ASY22" s="226"/>
      <c r="ASZ22" s="226"/>
      <c r="ATA22" s="226"/>
      <c r="ATB22" s="226"/>
      <c r="ATC22" s="226"/>
      <c r="ATD22" s="226"/>
      <c r="ATE22" s="226"/>
      <c r="ATF22" s="226"/>
      <c r="ATG22" s="226"/>
      <c r="ATH22" s="226"/>
      <c r="ATI22" s="226"/>
      <c r="ATJ22" s="226"/>
      <c r="ATK22" s="226"/>
      <c r="ATL22" s="226"/>
      <c r="ATM22" s="226"/>
      <c r="ATN22" s="226"/>
      <c r="ATO22" s="226"/>
      <c r="ATP22" s="226"/>
      <c r="ATQ22" s="226"/>
      <c r="ATR22" s="226"/>
      <c r="ATS22" s="226"/>
      <c r="ATT22" s="226"/>
      <c r="ATU22" s="226"/>
      <c r="ATV22" s="226"/>
      <c r="ATW22" s="226"/>
      <c r="ATX22" s="226"/>
      <c r="ATY22" s="226"/>
      <c r="ATZ22" s="226"/>
      <c r="AUA22" s="226"/>
      <c r="AUB22" s="226"/>
      <c r="AUC22" s="226"/>
      <c r="AUD22" s="226"/>
      <c r="AUE22" s="226"/>
      <c r="AUF22" s="226"/>
      <c r="AUG22" s="226"/>
      <c r="AUH22" s="226"/>
      <c r="AUI22" s="226"/>
      <c r="AUJ22" s="226"/>
      <c r="AUK22" s="226"/>
      <c r="AUL22" s="226"/>
      <c r="AUM22" s="226"/>
      <c r="AUN22" s="226"/>
      <c r="AUO22" s="226"/>
      <c r="AUP22" s="226"/>
      <c r="AUQ22" s="226"/>
      <c r="AUR22" s="226"/>
      <c r="AUS22" s="226"/>
      <c r="AUT22" s="226"/>
      <c r="AUU22" s="226"/>
      <c r="AUV22" s="226"/>
      <c r="AUW22" s="226"/>
      <c r="AUX22" s="226"/>
      <c r="AUY22" s="226"/>
      <c r="AUZ22" s="226"/>
      <c r="AVA22" s="226"/>
      <c r="AVB22" s="226"/>
      <c r="AVC22" s="226"/>
      <c r="AVD22" s="226"/>
      <c r="AVE22" s="226"/>
      <c r="AVF22" s="226"/>
      <c r="AVG22" s="226"/>
      <c r="AVH22" s="226"/>
      <c r="AVI22" s="226"/>
      <c r="AVJ22" s="226"/>
      <c r="AVK22" s="226"/>
      <c r="AVL22" s="226"/>
      <c r="AVM22" s="226"/>
      <c r="AVN22" s="226"/>
      <c r="AVO22" s="226"/>
      <c r="AVP22" s="226"/>
      <c r="AVQ22" s="226"/>
      <c r="AVR22" s="226"/>
      <c r="AVS22" s="226"/>
      <c r="AVT22" s="226"/>
      <c r="AVU22" s="226"/>
      <c r="AVV22" s="226"/>
      <c r="AVW22" s="226"/>
      <c r="AVX22" s="226"/>
      <c r="AVY22" s="226"/>
      <c r="AVZ22" s="226"/>
      <c r="AWA22" s="226"/>
      <c r="AWB22" s="226"/>
      <c r="AWC22" s="226"/>
      <c r="AWD22" s="226"/>
      <c r="AWE22" s="226"/>
      <c r="AWF22" s="226"/>
      <c r="AWG22" s="226"/>
      <c r="AWH22" s="226"/>
      <c r="AWI22" s="226"/>
      <c r="AWJ22" s="226"/>
      <c r="AWK22" s="226"/>
      <c r="AWL22" s="226"/>
      <c r="AWM22" s="226"/>
      <c r="AWN22" s="226"/>
      <c r="AWO22" s="226"/>
      <c r="AWP22" s="226"/>
      <c r="AWQ22" s="226"/>
      <c r="AWR22" s="226"/>
      <c r="AWS22" s="226"/>
      <c r="AWT22" s="226"/>
      <c r="AWU22" s="226"/>
      <c r="AWV22" s="226"/>
      <c r="AWW22" s="226"/>
      <c r="AWX22" s="226"/>
      <c r="AWY22" s="226"/>
      <c r="AWZ22" s="226"/>
      <c r="AXA22" s="226"/>
      <c r="AXB22" s="226"/>
      <c r="AXC22" s="226"/>
      <c r="AXD22" s="226"/>
      <c r="AXE22" s="226"/>
      <c r="AXF22" s="226"/>
      <c r="AXG22" s="226"/>
      <c r="AXH22" s="226"/>
      <c r="AXI22" s="226"/>
      <c r="AXJ22" s="226"/>
      <c r="AXK22" s="226"/>
      <c r="AXL22" s="226"/>
      <c r="AXM22" s="226"/>
      <c r="AXN22" s="226"/>
      <c r="AXO22" s="226"/>
      <c r="AXP22" s="226"/>
      <c r="AXQ22" s="226"/>
      <c r="AXR22" s="226"/>
      <c r="AXS22" s="226"/>
      <c r="AXT22" s="226"/>
      <c r="AXU22" s="226"/>
      <c r="AXV22" s="226"/>
      <c r="AXW22" s="226"/>
      <c r="AXX22" s="226"/>
      <c r="AXY22" s="226"/>
      <c r="AXZ22" s="226"/>
      <c r="AYA22" s="226"/>
      <c r="AYB22" s="226"/>
      <c r="AYC22" s="226"/>
      <c r="AYD22" s="226"/>
      <c r="AYE22" s="226"/>
      <c r="AYF22" s="226"/>
      <c r="AYG22" s="226"/>
      <c r="AYH22" s="226"/>
      <c r="AYI22" s="226"/>
      <c r="AYJ22" s="226"/>
      <c r="AYK22" s="226"/>
      <c r="AYL22" s="226"/>
      <c r="AYM22" s="226"/>
      <c r="AYN22" s="226"/>
      <c r="AYO22" s="226"/>
      <c r="AYP22" s="226"/>
      <c r="AYQ22" s="226"/>
      <c r="AYR22" s="226"/>
      <c r="AYS22" s="226"/>
      <c r="AYT22" s="226"/>
      <c r="AYU22" s="226"/>
      <c r="AYV22" s="226"/>
      <c r="AYW22" s="226"/>
      <c r="AYX22" s="226"/>
      <c r="AYY22" s="226"/>
      <c r="AYZ22" s="226"/>
      <c r="AZA22" s="226"/>
      <c r="AZB22" s="226"/>
      <c r="AZC22" s="226"/>
      <c r="AZD22" s="226"/>
      <c r="AZE22" s="226"/>
      <c r="AZF22" s="226"/>
      <c r="AZG22" s="226"/>
      <c r="AZH22" s="226"/>
      <c r="AZI22" s="226"/>
      <c r="AZJ22" s="226"/>
      <c r="AZK22" s="226"/>
      <c r="AZL22" s="226"/>
      <c r="AZM22" s="226"/>
      <c r="AZN22" s="226"/>
      <c r="AZO22" s="226"/>
      <c r="AZP22" s="226"/>
      <c r="AZQ22" s="226"/>
      <c r="AZR22" s="226"/>
      <c r="AZS22" s="226"/>
      <c r="AZT22" s="226"/>
      <c r="AZU22" s="226"/>
      <c r="AZV22" s="226"/>
      <c r="AZW22" s="226"/>
      <c r="AZX22" s="226"/>
      <c r="AZY22" s="226"/>
      <c r="AZZ22" s="226"/>
      <c r="BAA22" s="226"/>
      <c r="BAB22" s="226"/>
      <c r="BAC22" s="226"/>
      <c r="BAD22" s="226"/>
      <c r="BAE22" s="226"/>
      <c r="BAF22" s="226"/>
      <c r="BAG22" s="226"/>
      <c r="BAH22" s="226"/>
      <c r="BAI22" s="226"/>
      <c r="BAJ22" s="226"/>
      <c r="BAK22" s="226"/>
      <c r="BAL22" s="226"/>
      <c r="BAM22" s="226"/>
      <c r="BAN22" s="226"/>
      <c r="BAO22" s="226"/>
      <c r="BAP22" s="226"/>
      <c r="BAQ22" s="226"/>
      <c r="BAR22" s="226"/>
      <c r="BAS22" s="226"/>
      <c r="BAT22" s="226"/>
      <c r="BAU22" s="226"/>
      <c r="BAV22" s="226"/>
      <c r="BAW22" s="226"/>
      <c r="BAX22" s="226"/>
      <c r="BAY22" s="226"/>
      <c r="BAZ22" s="226"/>
      <c r="BBA22" s="226"/>
      <c r="BBB22" s="226"/>
      <c r="BBC22" s="226"/>
      <c r="BBD22" s="226"/>
      <c r="BBE22" s="226"/>
      <c r="BBF22" s="226"/>
      <c r="BBG22" s="226"/>
      <c r="BBH22" s="226"/>
      <c r="BBI22" s="226"/>
      <c r="BBJ22" s="226"/>
      <c r="BBK22" s="226"/>
      <c r="BBL22" s="226"/>
      <c r="BBM22" s="226"/>
      <c r="BBN22" s="226"/>
      <c r="BBO22" s="226"/>
      <c r="BBP22" s="226"/>
      <c r="BBQ22" s="226"/>
      <c r="BBR22" s="226"/>
      <c r="BBS22" s="226"/>
      <c r="BBT22" s="226"/>
      <c r="BBU22" s="226"/>
      <c r="BBV22" s="226"/>
      <c r="BBW22" s="226"/>
      <c r="BBX22" s="226"/>
      <c r="BBY22" s="226"/>
      <c r="BBZ22" s="226"/>
      <c r="BCA22" s="226"/>
      <c r="BCB22" s="226"/>
      <c r="BCC22" s="226"/>
      <c r="BCD22" s="226"/>
      <c r="BCE22" s="226"/>
      <c r="BCF22" s="226"/>
      <c r="BCG22" s="226"/>
      <c r="BCH22" s="226"/>
      <c r="BCI22" s="226"/>
      <c r="BCJ22" s="226"/>
      <c r="BCK22" s="226"/>
      <c r="BCL22" s="226"/>
      <c r="BCM22" s="226"/>
      <c r="BCN22" s="226"/>
      <c r="BCO22" s="226"/>
      <c r="BCP22" s="226"/>
      <c r="BCQ22" s="226"/>
      <c r="BCR22" s="226"/>
      <c r="BCS22" s="226"/>
      <c r="BCT22" s="226"/>
      <c r="BCU22" s="226"/>
      <c r="BCV22" s="226"/>
      <c r="BCW22" s="226"/>
      <c r="BCX22" s="226"/>
      <c r="BCY22" s="226"/>
      <c r="BCZ22" s="226"/>
      <c r="BDA22" s="226"/>
      <c r="BDB22" s="226"/>
      <c r="BDC22" s="226"/>
      <c r="BDD22" s="226"/>
      <c r="BDE22" s="226"/>
      <c r="BDF22" s="226"/>
      <c r="BDG22" s="226"/>
      <c r="BDH22" s="226"/>
      <c r="BDI22" s="226"/>
      <c r="BDJ22" s="226"/>
      <c r="BDK22" s="226"/>
      <c r="BDL22" s="226"/>
      <c r="BDM22" s="226"/>
      <c r="BDN22" s="226"/>
      <c r="BDO22" s="226"/>
      <c r="BDP22" s="226"/>
      <c r="BDQ22" s="226"/>
      <c r="BDR22" s="226"/>
      <c r="BDS22" s="226"/>
      <c r="BDT22" s="226"/>
      <c r="BDU22" s="226"/>
      <c r="BDV22" s="226"/>
      <c r="BDW22" s="226"/>
      <c r="BDX22" s="226"/>
      <c r="BDY22" s="226"/>
      <c r="BDZ22" s="226"/>
      <c r="BEA22" s="226"/>
      <c r="BEB22" s="226"/>
      <c r="BEC22" s="226"/>
      <c r="BED22" s="226"/>
      <c r="BEE22" s="226"/>
      <c r="BEF22" s="226"/>
      <c r="BEG22" s="226"/>
      <c r="BEH22" s="226"/>
      <c r="BEI22" s="226"/>
      <c r="BEJ22" s="226"/>
      <c r="BEK22" s="226"/>
      <c r="BEL22" s="226"/>
      <c r="BEM22" s="226"/>
      <c r="BEN22" s="226"/>
      <c r="BEO22" s="226"/>
      <c r="BEP22" s="226"/>
      <c r="BEQ22" s="226"/>
      <c r="BER22" s="226"/>
      <c r="BES22" s="226"/>
      <c r="BET22" s="226"/>
      <c r="BEU22" s="226"/>
      <c r="BEV22" s="226"/>
      <c r="BEW22" s="226"/>
      <c r="BEX22" s="226"/>
      <c r="BEY22" s="226"/>
      <c r="BEZ22" s="226"/>
      <c r="BFA22" s="226"/>
      <c r="BFB22" s="226"/>
      <c r="BFC22" s="226"/>
      <c r="BFD22" s="226"/>
      <c r="BFE22" s="226"/>
      <c r="BFF22" s="226"/>
      <c r="BFG22" s="226"/>
      <c r="BFH22" s="226"/>
      <c r="BFI22" s="226"/>
      <c r="BFJ22" s="226"/>
      <c r="BFK22" s="226"/>
      <c r="BFL22" s="226"/>
      <c r="BFM22" s="226"/>
      <c r="BFN22" s="226"/>
      <c r="BFO22" s="226"/>
      <c r="BFP22" s="226"/>
      <c r="BFQ22" s="226"/>
      <c r="BFR22" s="226"/>
      <c r="BFS22" s="226"/>
      <c r="BFT22" s="226"/>
      <c r="BFU22" s="226"/>
      <c r="BFV22" s="226"/>
      <c r="BFW22" s="226"/>
      <c r="BFX22" s="226"/>
      <c r="BFY22" s="226"/>
      <c r="BFZ22" s="226"/>
      <c r="BGA22" s="226"/>
      <c r="BGB22" s="226"/>
      <c r="BGC22" s="226"/>
      <c r="BGD22" s="226"/>
      <c r="BGE22" s="226"/>
      <c r="BGF22" s="226"/>
      <c r="BGG22" s="226"/>
      <c r="BGH22" s="226"/>
      <c r="BGI22" s="226"/>
      <c r="BGJ22" s="226"/>
      <c r="BGK22" s="226"/>
      <c r="BGL22" s="226"/>
      <c r="BGM22" s="226"/>
      <c r="BGN22" s="226"/>
      <c r="BGO22" s="226"/>
      <c r="BGP22" s="226"/>
      <c r="BGQ22" s="226"/>
      <c r="BGR22" s="226"/>
      <c r="BGS22" s="226"/>
      <c r="BGT22" s="226"/>
      <c r="BGU22" s="226"/>
      <c r="BGV22" s="226"/>
      <c r="BGW22" s="226"/>
      <c r="BGX22" s="226"/>
      <c r="BGY22" s="226"/>
      <c r="BGZ22" s="226"/>
      <c r="BHA22" s="226"/>
      <c r="BHB22" s="226"/>
      <c r="BHC22" s="226"/>
      <c r="BHD22" s="226"/>
      <c r="BHE22" s="226"/>
      <c r="BHF22" s="226"/>
      <c r="BHG22" s="226"/>
      <c r="BHH22" s="226"/>
      <c r="BHI22" s="226"/>
      <c r="BHJ22" s="226"/>
      <c r="BHK22" s="226"/>
      <c r="BHL22" s="226"/>
      <c r="BHM22" s="226"/>
      <c r="BHN22" s="226"/>
      <c r="BHO22" s="226"/>
      <c r="BHP22" s="226"/>
      <c r="BHQ22" s="226"/>
      <c r="BHR22" s="226"/>
      <c r="BHS22" s="226"/>
      <c r="BHT22" s="226"/>
      <c r="BHU22" s="226"/>
      <c r="BHV22" s="226"/>
      <c r="BHW22" s="226"/>
      <c r="BHX22" s="226"/>
      <c r="BHY22" s="226"/>
      <c r="BHZ22" s="226"/>
      <c r="BIA22" s="226"/>
      <c r="BIB22" s="226"/>
      <c r="BIC22" s="226"/>
      <c r="BID22" s="226"/>
      <c r="BIE22" s="226"/>
      <c r="BIF22" s="226"/>
      <c r="BIG22" s="226"/>
      <c r="BIH22" s="226"/>
      <c r="BII22" s="226"/>
      <c r="BIJ22" s="226"/>
      <c r="BIK22" s="226"/>
      <c r="BIL22" s="226"/>
      <c r="BIM22" s="226"/>
      <c r="BIN22" s="226"/>
      <c r="BIO22" s="226"/>
      <c r="BIP22" s="226"/>
      <c r="BIQ22" s="226"/>
      <c r="BIR22" s="226"/>
      <c r="BIS22" s="226"/>
      <c r="BIT22" s="226"/>
      <c r="BIU22" s="226"/>
      <c r="BIV22" s="226"/>
      <c r="BIW22" s="226"/>
      <c r="BIX22" s="226"/>
      <c r="BIY22" s="226"/>
      <c r="BIZ22" s="226"/>
      <c r="BJA22" s="226"/>
      <c r="BJB22" s="226"/>
      <c r="BJC22" s="226"/>
      <c r="BJD22" s="226"/>
      <c r="BJE22" s="226"/>
      <c r="BJF22" s="226"/>
      <c r="BJG22" s="226"/>
      <c r="BJH22" s="226"/>
      <c r="BJI22" s="226"/>
      <c r="BJJ22" s="226"/>
      <c r="BJK22" s="226"/>
      <c r="BJL22" s="226"/>
      <c r="BJM22" s="226"/>
      <c r="BJN22" s="226"/>
      <c r="BJO22" s="226"/>
      <c r="BJP22" s="226"/>
      <c r="BJQ22" s="226"/>
      <c r="BJR22" s="226"/>
      <c r="BJS22" s="226"/>
      <c r="BJT22" s="226"/>
      <c r="BJU22" s="226"/>
      <c r="BJV22" s="226"/>
      <c r="BJW22" s="226"/>
      <c r="BJX22" s="226"/>
      <c r="BJY22" s="226"/>
      <c r="BJZ22" s="226"/>
      <c r="BKA22" s="226"/>
      <c r="BKB22" s="226"/>
      <c r="BKC22" s="226"/>
      <c r="BKD22" s="226"/>
      <c r="BKE22" s="226"/>
      <c r="BKF22" s="226"/>
      <c r="BKG22" s="226"/>
      <c r="BKH22" s="226"/>
      <c r="BKI22" s="226"/>
      <c r="BKJ22" s="226"/>
      <c r="BKK22" s="226"/>
      <c r="BKL22" s="226"/>
      <c r="BKM22" s="226"/>
      <c r="BKN22" s="226"/>
      <c r="BKO22" s="226"/>
      <c r="BKP22" s="226"/>
      <c r="BKQ22" s="226"/>
      <c r="BKR22" s="226"/>
      <c r="BKS22" s="226"/>
      <c r="BKT22" s="226"/>
      <c r="BKU22" s="226"/>
      <c r="BKV22" s="226"/>
      <c r="BKW22" s="226"/>
      <c r="BKX22" s="226"/>
      <c r="BKY22" s="226"/>
      <c r="BKZ22" s="226"/>
      <c r="BLA22" s="226"/>
      <c r="BLB22" s="226"/>
      <c r="BLC22" s="226"/>
      <c r="BLD22" s="226"/>
      <c r="BLE22" s="226"/>
      <c r="BLF22" s="226"/>
      <c r="BLG22" s="226"/>
      <c r="BLH22" s="226"/>
      <c r="BLI22" s="226"/>
      <c r="BLJ22" s="226"/>
      <c r="BLK22" s="226"/>
      <c r="BLL22" s="226"/>
      <c r="BLM22" s="226"/>
      <c r="BLN22" s="226"/>
      <c r="BLO22" s="226"/>
      <c r="BLP22" s="226"/>
      <c r="BLQ22" s="226"/>
      <c r="BLR22" s="226"/>
      <c r="BLS22" s="226"/>
      <c r="BLT22" s="226"/>
      <c r="BLU22" s="226"/>
      <c r="BLV22" s="226"/>
      <c r="BLW22" s="226"/>
      <c r="BLX22" s="226"/>
      <c r="BLY22" s="226"/>
      <c r="BLZ22" s="226"/>
      <c r="BMA22" s="226"/>
      <c r="BMB22" s="226"/>
      <c r="BMC22" s="226"/>
      <c r="BMD22" s="226"/>
      <c r="BME22" s="226"/>
      <c r="BMF22" s="226"/>
      <c r="BMG22" s="226"/>
      <c r="BMH22" s="226"/>
      <c r="BMI22" s="226"/>
      <c r="BMJ22" s="226"/>
      <c r="BMK22" s="226"/>
      <c r="BML22" s="226"/>
      <c r="BMM22" s="226"/>
      <c r="BMN22" s="226"/>
      <c r="BMO22" s="226"/>
      <c r="BMP22" s="226"/>
      <c r="BMQ22" s="226"/>
      <c r="BMR22" s="226"/>
      <c r="BMS22" s="226"/>
      <c r="BMT22" s="226"/>
      <c r="BMU22" s="226"/>
      <c r="BMV22" s="226"/>
      <c r="BMW22" s="226"/>
      <c r="BMX22" s="226"/>
      <c r="BMY22" s="226"/>
      <c r="BMZ22" s="226"/>
      <c r="BNA22" s="226"/>
      <c r="BNB22" s="226"/>
      <c r="BNC22" s="226"/>
      <c r="BND22" s="226"/>
      <c r="BNE22" s="226"/>
      <c r="BNF22" s="226"/>
      <c r="BNG22" s="226"/>
      <c r="BNH22" s="226"/>
      <c r="BNI22" s="226"/>
      <c r="BNJ22" s="226"/>
      <c r="BNK22" s="226"/>
      <c r="BNL22" s="226"/>
      <c r="BNM22" s="226"/>
      <c r="BNN22" s="226"/>
      <c r="BNO22" s="226"/>
      <c r="BNP22" s="226"/>
      <c r="BNQ22" s="226"/>
      <c r="BNR22" s="226"/>
      <c r="BNS22" s="226"/>
      <c r="BNT22" s="226"/>
      <c r="BNU22" s="226"/>
      <c r="BNV22" s="226"/>
      <c r="BNW22" s="226"/>
      <c r="BNX22" s="226"/>
      <c r="BNY22" s="226"/>
      <c r="BNZ22" s="226"/>
      <c r="BOA22" s="226"/>
      <c r="BOB22" s="226"/>
      <c r="BOC22" s="226"/>
      <c r="BOD22" s="226"/>
      <c r="BOE22" s="226"/>
      <c r="BOF22" s="226"/>
      <c r="BOG22" s="226"/>
      <c r="BOH22" s="226"/>
      <c r="BOI22" s="226"/>
      <c r="BOJ22" s="226"/>
      <c r="BOK22" s="226"/>
      <c r="BOL22" s="226"/>
      <c r="BOM22" s="226"/>
      <c r="BON22" s="226"/>
      <c r="BOO22" s="226"/>
      <c r="BOP22" s="226"/>
      <c r="BOQ22" s="226"/>
      <c r="BOR22" s="226"/>
      <c r="BOS22" s="226"/>
      <c r="BOT22" s="226"/>
      <c r="BOU22" s="226"/>
      <c r="BOV22" s="226"/>
      <c r="BOW22" s="226"/>
      <c r="BOX22" s="226"/>
      <c r="BOY22" s="226"/>
      <c r="BOZ22" s="226"/>
      <c r="BPA22" s="226"/>
      <c r="BPB22" s="226"/>
      <c r="BPC22" s="226"/>
      <c r="BPD22" s="226"/>
      <c r="BPE22" s="226"/>
      <c r="BPF22" s="226"/>
      <c r="BPG22" s="226"/>
      <c r="BPH22" s="226"/>
      <c r="BPI22" s="226"/>
      <c r="BPJ22" s="226"/>
      <c r="BPK22" s="226"/>
      <c r="BPL22" s="226"/>
      <c r="BPM22" s="226"/>
      <c r="BPN22" s="226"/>
      <c r="BPO22" s="226"/>
      <c r="BPP22" s="226"/>
      <c r="BPQ22" s="226"/>
      <c r="BPR22" s="226"/>
      <c r="BPS22" s="226"/>
      <c r="BPT22" s="226"/>
      <c r="BPU22" s="226"/>
      <c r="BPV22" s="226"/>
      <c r="BPW22" s="226"/>
      <c r="BPX22" s="226"/>
      <c r="BPY22" s="226"/>
      <c r="BPZ22" s="226"/>
      <c r="BQA22" s="226"/>
      <c r="BQB22" s="226"/>
      <c r="BQC22" s="226"/>
      <c r="BQD22" s="226"/>
      <c r="BQE22" s="226"/>
      <c r="BQF22" s="226"/>
      <c r="BQG22" s="226"/>
      <c r="BQH22" s="226"/>
      <c r="BQI22" s="226"/>
      <c r="BQJ22" s="226"/>
      <c r="BQK22" s="226"/>
      <c r="BQL22" s="226"/>
      <c r="BQM22" s="226"/>
      <c r="BQN22" s="226"/>
      <c r="BQO22" s="226"/>
      <c r="BQP22" s="226"/>
      <c r="BQQ22" s="226"/>
      <c r="BQR22" s="226"/>
      <c r="BQS22" s="226"/>
      <c r="BQT22" s="226"/>
      <c r="BQU22" s="226"/>
      <c r="BQV22" s="226"/>
      <c r="BQW22" s="226"/>
      <c r="BQX22" s="226"/>
      <c r="BQY22" s="226"/>
      <c r="BQZ22" s="226"/>
      <c r="BRA22" s="226"/>
      <c r="BRB22" s="226"/>
      <c r="BRC22" s="226"/>
      <c r="BRD22" s="226"/>
      <c r="BRE22" s="226"/>
      <c r="BRF22" s="226"/>
      <c r="BRG22" s="226"/>
      <c r="BRH22" s="226"/>
      <c r="BRI22" s="226"/>
      <c r="BRJ22" s="226"/>
      <c r="BRK22" s="226"/>
      <c r="BRL22" s="226"/>
      <c r="BRM22" s="226"/>
      <c r="BRN22" s="226"/>
      <c r="BRO22" s="226"/>
      <c r="BRP22" s="226"/>
      <c r="BRQ22" s="226"/>
      <c r="BRR22" s="226"/>
      <c r="BRS22" s="226"/>
      <c r="BRT22" s="226"/>
      <c r="BRU22" s="226"/>
      <c r="BRV22" s="226"/>
      <c r="BRW22" s="226"/>
      <c r="BRX22" s="226"/>
      <c r="BRY22" s="226"/>
      <c r="BRZ22" s="226"/>
      <c r="BSA22" s="226"/>
      <c r="BSB22" s="226"/>
      <c r="BSC22" s="226"/>
      <c r="BSD22" s="226"/>
      <c r="BSE22" s="226"/>
      <c r="BSF22" s="226"/>
      <c r="BSG22" s="226"/>
      <c r="BSH22" s="226"/>
      <c r="BSI22" s="226"/>
      <c r="BSJ22" s="226"/>
      <c r="BSK22" s="226"/>
      <c r="BSL22" s="226"/>
      <c r="BSM22" s="226"/>
      <c r="BSN22" s="226"/>
      <c r="BSO22" s="226"/>
      <c r="BSP22" s="226"/>
      <c r="BSQ22" s="226"/>
      <c r="BSR22" s="226"/>
      <c r="BSS22" s="226"/>
      <c r="BST22" s="226"/>
      <c r="BSU22" s="226"/>
      <c r="BSV22" s="226"/>
      <c r="BSW22" s="226"/>
      <c r="BSX22" s="226"/>
      <c r="BSY22" s="226"/>
      <c r="BSZ22" s="226"/>
      <c r="BTA22" s="226"/>
      <c r="BTB22" s="226"/>
      <c r="BTC22" s="226"/>
      <c r="BTD22" s="226"/>
      <c r="BTE22" s="226"/>
      <c r="BTF22" s="226"/>
      <c r="BTG22" s="226"/>
      <c r="BTH22" s="226"/>
      <c r="BTI22" s="226"/>
      <c r="BTJ22" s="226"/>
      <c r="BTK22" s="226"/>
      <c r="BTL22" s="226"/>
      <c r="BTM22" s="226"/>
      <c r="BTN22" s="226"/>
      <c r="BTO22" s="226"/>
      <c r="BTP22" s="226"/>
      <c r="BTQ22" s="226"/>
      <c r="BTR22" s="226"/>
      <c r="BTS22" s="226"/>
      <c r="BTT22" s="226"/>
      <c r="BTU22" s="226"/>
      <c r="BTV22" s="226"/>
      <c r="BTW22" s="226"/>
      <c r="BTX22" s="226"/>
      <c r="BTY22" s="226"/>
      <c r="BTZ22" s="226"/>
      <c r="BUA22" s="226"/>
      <c r="BUB22" s="226"/>
      <c r="BUC22" s="226"/>
      <c r="BUD22" s="226"/>
      <c r="BUE22" s="226"/>
      <c r="BUF22" s="226"/>
      <c r="BUG22" s="226"/>
      <c r="BUH22" s="226"/>
      <c r="BUI22" s="226"/>
      <c r="BUJ22" s="226"/>
      <c r="BUK22" s="226"/>
      <c r="BUL22" s="226"/>
      <c r="BUM22" s="226"/>
      <c r="BUN22" s="226"/>
      <c r="BUO22" s="226"/>
      <c r="BUP22" s="226"/>
      <c r="BUQ22" s="226"/>
      <c r="BUR22" s="226"/>
      <c r="BUS22" s="226"/>
      <c r="BUT22" s="226"/>
      <c r="BUU22" s="226"/>
      <c r="BUV22" s="226"/>
      <c r="BUW22" s="226"/>
      <c r="BUX22" s="226"/>
      <c r="BUY22" s="226"/>
      <c r="BUZ22" s="226"/>
      <c r="BVA22" s="226"/>
      <c r="BVB22" s="226"/>
      <c r="BVC22" s="226"/>
      <c r="BVD22" s="226"/>
      <c r="BVE22" s="226"/>
      <c r="BVF22" s="226"/>
      <c r="BVG22" s="226"/>
      <c r="BVH22" s="226"/>
      <c r="BVI22" s="226"/>
      <c r="BVJ22" s="226"/>
      <c r="BVK22" s="226"/>
      <c r="BVL22" s="226"/>
      <c r="BVM22" s="226"/>
      <c r="BVN22" s="226"/>
      <c r="BVO22" s="226"/>
      <c r="BVP22" s="226"/>
      <c r="BVQ22" s="226"/>
      <c r="BVR22" s="226"/>
      <c r="BVS22" s="226"/>
      <c r="BVT22" s="226"/>
      <c r="BVU22" s="226"/>
      <c r="BVV22" s="226"/>
      <c r="BVW22" s="226"/>
      <c r="BVX22" s="226"/>
      <c r="BVY22" s="226"/>
      <c r="BVZ22" s="226"/>
      <c r="BWA22" s="226"/>
      <c r="BWB22" s="226"/>
      <c r="BWC22" s="226"/>
      <c r="BWD22" s="226"/>
      <c r="BWE22" s="226"/>
      <c r="BWF22" s="226"/>
      <c r="BWG22" s="226"/>
      <c r="BWH22" s="226"/>
      <c r="BWI22" s="226"/>
      <c r="BWJ22" s="226"/>
      <c r="BWK22" s="226"/>
      <c r="BWL22" s="226"/>
      <c r="BWM22" s="226"/>
      <c r="BWN22" s="226"/>
      <c r="BWO22" s="226"/>
      <c r="BWP22" s="226"/>
      <c r="BWQ22" s="226"/>
      <c r="BWR22" s="226"/>
      <c r="BWS22" s="226"/>
      <c r="BWT22" s="226"/>
      <c r="BWU22" s="226"/>
      <c r="BWV22" s="226"/>
      <c r="BWW22" s="226"/>
      <c r="BWX22" s="226"/>
      <c r="BWY22" s="226"/>
      <c r="BWZ22" s="226"/>
      <c r="BXA22" s="226"/>
      <c r="BXB22" s="226"/>
      <c r="BXC22" s="226"/>
      <c r="BXD22" s="226"/>
      <c r="BXE22" s="226"/>
      <c r="BXF22" s="226"/>
      <c r="BXG22" s="226"/>
      <c r="BXH22" s="226"/>
      <c r="BXI22" s="226"/>
      <c r="BXJ22" s="226"/>
      <c r="BXK22" s="226"/>
      <c r="BXL22" s="226"/>
      <c r="BXM22" s="226"/>
      <c r="BXN22" s="226"/>
      <c r="BXO22" s="226"/>
      <c r="BXP22" s="226"/>
      <c r="BXQ22" s="226"/>
      <c r="BXR22" s="226"/>
      <c r="BXS22" s="226"/>
      <c r="BXT22" s="226"/>
      <c r="BXU22" s="226"/>
      <c r="BXV22" s="226"/>
      <c r="BXW22" s="226"/>
      <c r="BXX22" s="226"/>
      <c r="BXY22" s="226"/>
      <c r="BXZ22" s="226"/>
      <c r="BYA22" s="226"/>
      <c r="BYB22" s="226"/>
      <c r="BYC22" s="226"/>
      <c r="BYD22" s="226"/>
      <c r="BYE22" s="226"/>
      <c r="BYF22" s="226"/>
      <c r="BYG22" s="226"/>
    </row>
    <row r="23" spans="1:2009" s="100" customFormat="1" ht="12.75" hidden="1" customHeight="1" thickBot="1" x14ac:dyDescent="0.3">
      <c r="A23" s="107"/>
      <c r="B23" s="108"/>
      <c r="C23" s="183"/>
      <c r="D23" s="183"/>
      <c r="E23" s="183"/>
      <c r="F23" s="183"/>
      <c r="G23" s="183"/>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row>
    <row r="24" spans="1:2009" s="109" customFormat="1" ht="24.95" hidden="1" customHeight="1" x14ac:dyDescent="0.25">
      <c r="A24" s="138" t="s">
        <v>145</v>
      </c>
      <c r="B24" s="139"/>
      <c r="C24" s="184"/>
      <c r="D24" s="184"/>
      <c r="E24" s="185"/>
      <c r="F24" s="185"/>
      <c r="G24" s="186"/>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c r="IU24" s="95"/>
      <c r="IV24" s="95"/>
      <c r="IW24" s="95"/>
      <c r="IX24" s="95"/>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5"/>
      <c r="NJ24" s="95"/>
      <c r="NK24" s="95"/>
      <c r="NL24" s="95"/>
      <c r="NM24" s="95"/>
      <c r="NN24" s="95"/>
      <c r="NO24" s="95"/>
      <c r="NP24" s="95"/>
      <c r="NQ24" s="95"/>
      <c r="NR24" s="95"/>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5"/>
      <c r="SD24" s="95"/>
      <c r="SE24" s="95"/>
      <c r="SF24" s="95"/>
      <c r="SG24" s="95"/>
      <c r="SH24" s="95"/>
      <c r="SI24" s="95"/>
      <c r="SJ24" s="95"/>
      <c r="SK24" s="95"/>
      <c r="SL24" s="95"/>
      <c r="SM24" s="95"/>
      <c r="SN24" s="95"/>
      <c r="SO24" s="95"/>
      <c r="SP24" s="95"/>
      <c r="SQ24" s="95"/>
      <c r="SR24" s="95"/>
      <c r="SS24" s="95"/>
      <c r="ST24" s="95"/>
      <c r="SU24" s="95"/>
      <c r="SV24" s="95"/>
      <c r="SW24" s="95"/>
      <c r="SX24" s="95"/>
      <c r="SY24" s="95"/>
      <c r="SZ24" s="95"/>
      <c r="TA24" s="95"/>
      <c r="TB24" s="95"/>
      <c r="TC24" s="95"/>
      <c r="TD24" s="95"/>
      <c r="TE24" s="95"/>
      <c r="TF24" s="95"/>
      <c r="TG24" s="95"/>
      <c r="TH24" s="95"/>
      <c r="TI24" s="95"/>
      <c r="TJ24" s="95"/>
      <c r="TK24" s="95"/>
      <c r="TL24" s="95"/>
      <c r="TM24" s="95"/>
      <c r="TN24" s="95"/>
      <c r="TO24" s="95"/>
      <c r="TP24" s="95"/>
      <c r="TQ24" s="95"/>
      <c r="TR24" s="95"/>
      <c r="TS24" s="95"/>
      <c r="TT24" s="95"/>
      <c r="TU24" s="95"/>
      <c r="TV24" s="95"/>
      <c r="TW24" s="95"/>
      <c r="TX24" s="95"/>
      <c r="TY24" s="95"/>
      <c r="TZ24" s="95"/>
      <c r="UA24" s="95"/>
      <c r="UB24" s="95"/>
      <c r="UC24" s="95"/>
      <c r="UD24" s="95"/>
      <c r="UE24" s="95"/>
      <c r="UF24" s="95"/>
      <c r="UG24" s="95"/>
      <c r="UH24" s="95"/>
      <c r="UI24" s="95"/>
      <c r="UJ24" s="95"/>
      <c r="UK24" s="95"/>
      <c r="UL24" s="95"/>
      <c r="UM24" s="95"/>
      <c r="UN24" s="95"/>
      <c r="UO24" s="95"/>
      <c r="UP24" s="95"/>
      <c r="UQ24" s="95"/>
      <c r="UR24" s="95"/>
      <c r="US24" s="95"/>
      <c r="UT24" s="95"/>
      <c r="UU24" s="95"/>
      <c r="UV24" s="95"/>
      <c r="UW24" s="95"/>
      <c r="UX24" s="95"/>
      <c r="UY24" s="95"/>
      <c r="UZ24" s="95"/>
      <c r="VA24" s="95"/>
      <c r="VB24" s="95"/>
      <c r="VC24" s="95"/>
      <c r="VD24" s="95"/>
      <c r="VE24" s="95"/>
      <c r="VF24" s="95"/>
      <c r="VG24" s="95"/>
      <c r="VH24" s="95"/>
      <c r="VI24" s="95"/>
      <c r="VJ24" s="95"/>
      <c r="VK24" s="95"/>
      <c r="VL24" s="95"/>
      <c r="VM24" s="95"/>
      <c r="VN24" s="95"/>
      <c r="VO24" s="95"/>
      <c r="VP24" s="95"/>
      <c r="VQ24" s="95"/>
      <c r="VR24" s="95"/>
      <c r="VS24" s="95"/>
      <c r="VT24" s="95"/>
      <c r="VU24" s="95"/>
      <c r="VV24" s="95"/>
      <c r="VW24" s="95"/>
      <c r="VX24" s="95"/>
      <c r="VY24" s="95"/>
      <c r="VZ24" s="95"/>
      <c r="WA24" s="95"/>
      <c r="WB24" s="95"/>
      <c r="WC24" s="95"/>
      <c r="WD24" s="95"/>
      <c r="WE24" s="95"/>
      <c r="WF24" s="95"/>
      <c r="WG24" s="95"/>
      <c r="WH24" s="95"/>
      <c r="WI24" s="95"/>
      <c r="WJ24" s="95"/>
      <c r="WK24" s="95"/>
      <c r="WL24" s="95"/>
      <c r="WM24" s="95"/>
      <c r="WN24" s="95"/>
      <c r="WO24" s="95"/>
      <c r="WP24" s="95"/>
      <c r="WQ24" s="95"/>
      <c r="WR24" s="95"/>
      <c r="WS24" s="95"/>
      <c r="WT24" s="95"/>
      <c r="WU24" s="95"/>
      <c r="WV24" s="95"/>
      <c r="WW24" s="95"/>
      <c r="WX24" s="95"/>
      <c r="WY24" s="95"/>
      <c r="WZ24" s="95"/>
      <c r="XA24" s="95"/>
      <c r="XB24" s="95"/>
      <c r="XC24" s="95"/>
      <c r="XD24" s="95"/>
      <c r="XE24" s="95"/>
      <c r="XF24" s="95"/>
      <c r="XG24" s="95"/>
      <c r="XH24" s="95"/>
      <c r="XI24" s="95"/>
      <c r="XJ24" s="95"/>
      <c r="XK24" s="95"/>
      <c r="XL24" s="95"/>
      <c r="XM24" s="95"/>
      <c r="XN24" s="95"/>
      <c r="XO24" s="95"/>
      <c r="XP24" s="95"/>
      <c r="XQ24" s="95"/>
      <c r="XR24" s="95"/>
      <c r="XS24" s="95"/>
      <c r="XT24" s="95"/>
      <c r="XU24" s="95"/>
      <c r="XV24" s="95"/>
      <c r="XW24" s="95"/>
      <c r="XX24" s="95"/>
      <c r="XY24" s="95"/>
      <c r="XZ24" s="95"/>
      <c r="YA24" s="95"/>
      <c r="YB24" s="95"/>
      <c r="YC24" s="95"/>
      <c r="YD24" s="95"/>
      <c r="YE24" s="95"/>
      <c r="YF24" s="95"/>
      <c r="YG24" s="95"/>
      <c r="YH24" s="95"/>
      <c r="YI24" s="95"/>
      <c r="YJ24" s="95"/>
      <c r="YK24" s="95"/>
      <c r="YL24" s="95"/>
      <c r="YM24" s="95"/>
      <c r="YN24" s="95"/>
      <c r="YO24" s="95"/>
      <c r="YP24" s="95"/>
      <c r="YQ24" s="95"/>
      <c r="YR24" s="95"/>
      <c r="YS24" s="95"/>
      <c r="YT24" s="95"/>
      <c r="YU24" s="95"/>
      <c r="YV24" s="95"/>
      <c r="YW24" s="95"/>
      <c r="YX24" s="95"/>
      <c r="YY24" s="95"/>
      <c r="YZ24" s="95"/>
      <c r="ZA24" s="95"/>
      <c r="ZB24" s="95"/>
      <c r="ZC24" s="95"/>
      <c r="ZD24" s="95"/>
      <c r="ZE24" s="95"/>
      <c r="ZF24" s="95"/>
      <c r="ZG24" s="95"/>
      <c r="ZH24" s="95"/>
      <c r="ZI24" s="95"/>
      <c r="ZJ24" s="95"/>
      <c r="ZK24" s="95"/>
      <c r="ZL24" s="95"/>
      <c r="ZM24" s="95"/>
      <c r="ZN24" s="95"/>
      <c r="ZO24" s="95"/>
      <c r="ZP24" s="95"/>
      <c r="ZQ24" s="95"/>
      <c r="ZR24" s="95"/>
      <c r="ZS24" s="95"/>
      <c r="ZT24" s="95"/>
      <c r="ZU24" s="95"/>
      <c r="ZV24" s="95"/>
      <c r="ZW24" s="95"/>
      <c r="ZX24" s="95"/>
      <c r="ZY24" s="95"/>
      <c r="ZZ24" s="95"/>
      <c r="AAA24" s="95"/>
      <c r="AAB24" s="95"/>
      <c r="AAC24" s="95"/>
      <c r="AAD24" s="95"/>
      <c r="AAE24" s="95"/>
      <c r="AAF24" s="95"/>
      <c r="AAG24" s="95"/>
      <c r="AAH24" s="95"/>
      <c r="AAI24" s="95"/>
      <c r="AAJ24" s="95"/>
      <c r="AAK24" s="95"/>
      <c r="AAL24" s="95"/>
      <c r="AAM24" s="95"/>
      <c r="AAN24" s="95"/>
      <c r="AAO24" s="95"/>
      <c r="AAP24" s="95"/>
      <c r="AAQ24" s="95"/>
      <c r="AAR24" s="95"/>
      <c r="AAS24" s="95"/>
      <c r="AAT24" s="95"/>
      <c r="AAU24" s="95"/>
      <c r="AAV24" s="95"/>
      <c r="AAW24" s="95"/>
      <c r="AAX24" s="95"/>
      <c r="AAY24" s="95"/>
      <c r="AAZ24" s="95"/>
      <c r="ABA24" s="95"/>
      <c r="ABB24" s="95"/>
      <c r="ABC24" s="95"/>
      <c r="ABD24" s="95"/>
      <c r="ABE24" s="95"/>
      <c r="ABF24" s="95"/>
      <c r="ABG24" s="95"/>
      <c r="ABH24" s="95"/>
      <c r="ABI24" s="95"/>
      <c r="ABJ24" s="95"/>
      <c r="ABK24" s="95"/>
      <c r="ABL24" s="95"/>
      <c r="ABM24" s="95"/>
      <c r="ABN24" s="95"/>
      <c r="ABO24" s="95"/>
      <c r="ABP24" s="95"/>
      <c r="ABQ24" s="95"/>
      <c r="ABR24" s="95"/>
      <c r="ABS24" s="95"/>
      <c r="ABT24" s="95"/>
      <c r="ABU24" s="95"/>
      <c r="ABV24" s="95"/>
      <c r="ABW24" s="95"/>
      <c r="ABX24" s="95"/>
      <c r="ABY24" s="95"/>
      <c r="ABZ24" s="95"/>
      <c r="ACA24" s="95"/>
      <c r="ACB24" s="95"/>
      <c r="ACC24" s="95"/>
      <c r="ACD24" s="95"/>
      <c r="ACE24" s="95"/>
      <c r="ACF24" s="95"/>
      <c r="ACG24" s="95"/>
      <c r="ACH24" s="95"/>
      <c r="ACI24" s="95"/>
      <c r="ACJ24" s="95"/>
      <c r="ACK24" s="95"/>
      <c r="ACL24" s="95"/>
      <c r="ACM24" s="95"/>
      <c r="ACN24" s="95"/>
      <c r="ACO24" s="95"/>
      <c r="ACP24" s="95"/>
      <c r="ACQ24" s="95"/>
      <c r="ACR24" s="95"/>
      <c r="ACS24" s="95"/>
      <c r="ACT24" s="95"/>
      <c r="ACU24" s="95"/>
      <c r="ACV24" s="95"/>
      <c r="ACW24" s="95"/>
      <c r="ACX24" s="95"/>
      <c r="ACY24" s="95"/>
      <c r="ACZ24" s="95"/>
      <c r="ADA24" s="95"/>
      <c r="ADB24" s="95"/>
      <c r="ADC24" s="95"/>
      <c r="ADD24" s="95"/>
      <c r="ADE24" s="95"/>
      <c r="ADF24" s="95"/>
      <c r="ADG24" s="95"/>
      <c r="ADH24" s="95"/>
      <c r="ADI24" s="95"/>
      <c r="ADJ24" s="95"/>
      <c r="ADK24" s="95"/>
      <c r="ADL24" s="95"/>
      <c r="ADM24" s="95"/>
      <c r="ADN24" s="95"/>
      <c r="ADO24" s="95"/>
      <c r="ADP24" s="95"/>
      <c r="ADQ24" s="95"/>
      <c r="ADR24" s="95"/>
      <c r="ADS24" s="95"/>
      <c r="ADT24" s="95"/>
      <c r="ADU24" s="95"/>
      <c r="ADV24" s="95"/>
      <c r="ADW24" s="95"/>
      <c r="ADX24" s="95"/>
      <c r="ADY24" s="95"/>
      <c r="ADZ24" s="95"/>
      <c r="AEA24" s="95"/>
      <c r="AEB24" s="95"/>
      <c r="AEC24" s="95"/>
      <c r="AED24" s="95"/>
      <c r="AEE24" s="95"/>
      <c r="AEF24" s="95"/>
      <c r="AEG24" s="95"/>
      <c r="AEH24" s="95"/>
      <c r="AEI24" s="95"/>
      <c r="AEJ24" s="95"/>
      <c r="AEK24" s="95"/>
      <c r="AEL24" s="95"/>
      <c r="AEM24" s="95"/>
      <c r="AEN24" s="95"/>
      <c r="AEO24" s="95"/>
      <c r="AEP24" s="95"/>
      <c r="AEQ24" s="95"/>
      <c r="AER24" s="95"/>
      <c r="AES24" s="95"/>
      <c r="AET24" s="95"/>
      <c r="AEU24" s="95"/>
      <c r="AEV24" s="95"/>
      <c r="AEW24" s="95"/>
      <c r="AEX24" s="95"/>
      <c r="AEY24" s="95"/>
      <c r="AEZ24" s="95"/>
      <c r="AFA24" s="95"/>
      <c r="AFB24" s="95"/>
      <c r="AFC24" s="95"/>
      <c r="AFD24" s="95"/>
      <c r="AFE24" s="95"/>
      <c r="AFF24" s="95"/>
      <c r="AFG24" s="95"/>
      <c r="AFH24" s="95"/>
      <c r="AFI24" s="95"/>
      <c r="AFJ24" s="95"/>
      <c r="AFK24" s="95"/>
      <c r="AFL24" s="95"/>
      <c r="AFM24" s="95"/>
      <c r="AFN24" s="95"/>
      <c r="AFO24" s="95"/>
      <c r="AFP24" s="95"/>
      <c r="AFQ24" s="95"/>
      <c r="AFR24" s="95"/>
      <c r="AFS24" s="95"/>
      <c r="AFT24" s="95"/>
      <c r="AFU24" s="95"/>
      <c r="AFV24" s="95"/>
      <c r="AFW24" s="95"/>
      <c r="AFX24" s="95"/>
      <c r="AFY24" s="95"/>
      <c r="AFZ24" s="95"/>
      <c r="AGA24" s="95"/>
      <c r="AGB24" s="95"/>
      <c r="AGC24" s="95"/>
      <c r="AGD24" s="95"/>
      <c r="AGE24" s="95"/>
      <c r="AGF24" s="95"/>
      <c r="AGG24" s="95"/>
      <c r="AGH24" s="95"/>
      <c r="AGI24" s="95"/>
      <c r="AGJ24" s="95"/>
      <c r="AGK24" s="95"/>
      <c r="AGL24" s="95"/>
      <c r="AGM24" s="95"/>
      <c r="AGN24" s="95"/>
      <c r="AGO24" s="95"/>
      <c r="AGP24" s="95"/>
      <c r="AGQ24" s="95"/>
      <c r="AGR24" s="95"/>
      <c r="AGS24" s="95"/>
      <c r="AGT24" s="95"/>
      <c r="AGU24" s="95"/>
      <c r="AGV24" s="95"/>
      <c r="AGW24" s="95"/>
      <c r="AGX24" s="95"/>
      <c r="AGY24" s="95"/>
      <c r="AGZ24" s="95"/>
      <c r="AHA24" s="95"/>
      <c r="AHB24" s="95"/>
      <c r="AHC24" s="95"/>
      <c r="AHD24" s="95"/>
      <c r="AHE24" s="95"/>
      <c r="AHF24" s="95"/>
      <c r="AHG24" s="95"/>
      <c r="AHH24" s="95"/>
      <c r="AHI24" s="95"/>
      <c r="AHJ24" s="95"/>
      <c r="AHK24" s="95"/>
      <c r="AHL24" s="95"/>
      <c r="AHM24" s="95"/>
      <c r="AHN24" s="95"/>
      <c r="AHO24" s="95"/>
      <c r="AHP24" s="95"/>
      <c r="AHQ24" s="95"/>
      <c r="AHR24" s="95"/>
      <c r="AHS24" s="95"/>
      <c r="AHT24" s="95"/>
      <c r="AHU24" s="95"/>
      <c r="AHV24" s="95"/>
      <c r="AHW24" s="95"/>
      <c r="AHX24" s="95"/>
      <c r="AHY24" s="95"/>
      <c r="AHZ24" s="95"/>
      <c r="AIA24" s="95"/>
      <c r="AIB24" s="95"/>
      <c r="AIC24" s="95"/>
      <c r="AID24" s="95"/>
      <c r="AIE24" s="95"/>
      <c r="AIF24" s="95"/>
      <c r="AIG24" s="95"/>
      <c r="AIH24" s="95"/>
      <c r="AII24" s="95"/>
      <c r="AIJ24" s="95"/>
      <c r="AIK24" s="95"/>
      <c r="AIL24" s="95"/>
      <c r="AIM24" s="95"/>
      <c r="AIN24" s="95"/>
      <c r="AIO24" s="95"/>
      <c r="AIP24" s="95"/>
      <c r="AIQ24" s="95"/>
      <c r="AIR24" s="95"/>
      <c r="AIS24" s="95"/>
      <c r="AIT24" s="95"/>
      <c r="AIU24" s="95"/>
      <c r="AIV24" s="95"/>
      <c r="AIW24" s="95"/>
      <c r="AIX24" s="95"/>
      <c r="AIY24" s="95"/>
      <c r="AIZ24" s="95"/>
      <c r="AJA24" s="95"/>
      <c r="AJB24" s="95"/>
      <c r="AJC24" s="95"/>
      <c r="AJD24" s="95"/>
      <c r="AJE24" s="95"/>
      <c r="AJF24" s="95"/>
      <c r="AJG24" s="95"/>
      <c r="AJH24" s="95"/>
      <c r="AJI24" s="95"/>
      <c r="AJJ24" s="95"/>
      <c r="AJK24" s="95"/>
      <c r="AJL24" s="95"/>
      <c r="AJM24" s="95"/>
      <c r="AJN24" s="95"/>
      <c r="AJO24" s="95"/>
      <c r="AJP24" s="95"/>
      <c r="AJQ24" s="95"/>
      <c r="AJR24" s="95"/>
      <c r="AJS24" s="95"/>
      <c r="AJT24" s="95"/>
      <c r="AJU24" s="95"/>
      <c r="AJV24" s="95"/>
      <c r="AJW24" s="95"/>
      <c r="AJX24" s="95"/>
      <c r="AJY24" s="95"/>
      <c r="AJZ24" s="95"/>
      <c r="AKA24" s="95"/>
      <c r="AKB24" s="95"/>
      <c r="AKC24" s="95"/>
      <c r="AKD24" s="95"/>
      <c r="AKE24" s="95"/>
      <c r="AKF24" s="95"/>
      <c r="AKG24" s="95"/>
      <c r="AKH24" s="95"/>
      <c r="AKI24" s="95"/>
      <c r="AKJ24" s="95"/>
      <c r="AKK24" s="95"/>
      <c r="AKL24" s="95"/>
      <c r="AKM24" s="95"/>
      <c r="AKN24" s="95"/>
      <c r="AKO24" s="95"/>
      <c r="AKP24" s="95"/>
      <c r="AKQ24" s="95"/>
      <c r="AKR24" s="95"/>
      <c r="AKS24" s="95"/>
      <c r="AKT24" s="95"/>
      <c r="AKU24" s="95"/>
      <c r="AKV24" s="95"/>
      <c r="AKW24" s="95"/>
      <c r="AKX24" s="95"/>
      <c r="AKY24" s="95"/>
      <c r="AKZ24" s="95"/>
      <c r="ALA24" s="95"/>
      <c r="ALB24" s="95"/>
      <c r="ALC24" s="95"/>
      <c r="ALD24" s="95"/>
      <c r="ALE24" s="95"/>
      <c r="ALF24" s="95"/>
      <c r="ALG24" s="95"/>
      <c r="ALH24" s="95"/>
      <c r="ALI24" s="95"/>
      <c r="ALJ24" s="95"/>
      <c r="ALK24" s="95"/>
      <c r="ALL24" s="95"/>
      <c r="ALM24" s="95"/>
      <c r="ALN24" s="95"/>
      <c r="ALO24" s="95"/>
      <c r="ALP24" s="95"/>
      <c r="ALQ24" s="95"/>
      <c r="ALR24" s="95"/>
      <c r="ALS24" s="95"/>
      <c r="ALT24" s="95"/>
      <c r="ALU24" s="95"/>
      <c r="ALV24" s="95"/>
      <c r="ALW24" s="95"/>
      <c r="ALX24" s="95"/>
      <c r="ALY24" s="95"/>
      <c r="ALZ24" s="95"/>
      <c r="AMA24" s="95"/>
      <c r="AMB24" s="95"/>
      <c r="AMC24" s="95"/>
      <c r="AMD24" s="95"/>
      <c r="AME24" s="95"/>
      <c r="AMF24" s="95"/>
      <c r="AMG24" s="95"/>
      <c r="AMH24" s="95"/>
      <c r="AMI24" s="95"/>
      <c r="AMJ24" s="95"/>
      <c r="AMK24" s="95"/>
      <c r="AML24" s="95"/>
      <c r="AMM24" s="95"/>
      <c r="AMN24" s="95"/>
      <c r="AMO24" s="95"/>
      <c r="AMP24" s="95"/>
      <c r="AMQ24" s="95"/>
      <c r="AMR24" s="95"/>
      <c r="AMS24" s="95"/>
      <c r="AMT24" s="95"/>
      <c r="AMU24" s="95"/>
      <c r="AMV24" s="95"/>
      <c r="AMW24" s="95"/>
      <c r="AMX24" s="95"/>
      <c r="AMY24" s="95"/>
      <c r="AMZ24" s="95"/>
      <c r="ANA24" s="95"/>
      <c r="ANB24" s="95"/>
      <c r="ANC24" s="95"/>
      <c r="AND24" s="95"/>
      <c r="ANE24" s="95"/>
      <c r="ANF24" s="95"/>
      <c r="ANG24" s="95"/>
      <c r="ANH24" s="95"/>
      <c r="ANI24" s="95"/>
      <c r="ANJ24" s="95"/>
      <c r="ANK24" s="95"/>
      <c r="ANL24" s="95"/>
      <c r="ANM24" s="95"/>
      <c r="ANN24" s="95"/>
      <c r="ANO24" s="95"/>
      <c r="ANP24" s="95"/>
      <c r="ANQ24" s="95"/>
      <c r="ANR24" s="95"/>
      <c r="ANS24" s="95"/>
      <c r="ANT24" s="95"/>
      <c r="ANU24" s="95"/>
      <c r="ANV24" s="95"/>
      <c r="ANW24" s="95"/>
      <c r="ANX24" s="95"/>
      <c r="ANY24" s="95"/>
      <c r="ANZ24" s="95"/>
      <c r="AOA24" s="95"/>
      <c r="AOB24" s="95"/>
      <c r="AOC24" s="95"/>
      <c r="AOD24" s="95"/>
      <c r="AOE24" s="95"/>
      <c r="AOF24" s="95"/>
      <c r="AOG24" s="95"/>
      <c r="AOH24" s="95"/>
      <c r="AOI24" s="95"/>
      <c r="AOJ24" s="95"/>
      <c r="AOK24" s="95"/>
      <c r="AOL24" s="95"/>
      <c r="AOM24" s="95"/>
      <c r="AON24" s="95"/>
      <c r="AOO24" s="95"/>
      <c r="AOP24" s="95"/>
      <c r="AOQ24" s="95"/>
      <c r="AOR24" s="95"/>
      <c r="AOS24" s="95"/>
      <c r="AOT24" s="95"/>
      <c r="AOU24" s="95"/>
      <c r="AOV24" s="95"/>
      <c r="AOW24" s="95"/>
      <c r="AOX24" s="95"/>
      <c r="AOY24" s="95"/>
      <c r="AOZ24" s="95"/>
      <c r="APA24" s="95"/>
      <c r="APB24" s="95"/>
      <c r="APC24" s="95"/>
      <c r="APD24" s="95"/>
      <c r="APE24" s="95"/>
      <c r="APF24" s="95"/>
      <c r="APG24" s="95"/>
      <c r="APH24" s="95"/>
      <c r="API24" s="95"/>
      <c r="APJ24" s="95"/>
      <c r="APK24" s="95"/>
      <c r="APL24" s="95"/>
      <c r="APM24" s="95"/>
      <c r="APN24" s="95"/>
      <c r="APO24" s="95"/>
      <c r="APP24" s="95"/>
      <c r="APQ24" s="95"/>
      <c r="APR24" s="95"/>
      <c r="APS24" s="95"/>
      <c r="APT24" s="95"/>
      <c r="APU24" s="95"/>
      <c r="APV24" s="95"/>
      <c r="APW24" s="95"/>
      <c r="APX24" s="95"/>
      <c r="APY24" s="95"/>
      <c r="APZ24" s="95"/>
      <c r="AQA24" s="95"/>
      <c r="AQB24" s="95"/>
      <c r="AQC24" s="95"/>
      <c r="AQD24" s="95"/>
      <c r="AQE24" s="95"/>
      <c r="AQF24" s="95"/>
      <c r="AQG24" s="95"/>
      <c r="AQH24" s="95"/>
      <c r="AQI24" s="95"/>
      <c r="AQJ24" s="95"/>
      <c r="AQK24" s="95"/>
      <c r="AQL24" s="95"/>
      <c r="AQM24" s="95"/>
      <c r="AQN24" s="95"/>
      <c r="AQO24" s="95"/>
      <c r="AQP24" s="95"/>
      <c r="AQQ24" s="95"/>
      <c r="AQR24" s="95"/>
      <c r="AQS24" s="95"/>
      <c r="AQT24" s="95"/>
      <c r="AQU24" s="95"/>
      <c r="AQV24" s="95"/>
      <c r="AQW24" s="95"/>
      <c r="AQX24" s="95"/>
      <c r="AQY24" s="95"/>
      <c r="AQZ24" s="95"/>
      <c r="ARA24" s="95"/>
      <c r="ARB24" s="95"/>
      <c r="ARC24" s="95"/>
      <c r="ARD24" s="95"/>
      <c r="ARE24" s="95"/>
      <c r="ARF24" s="95"/>
      <c r="ARG24" s="95"/>
      <c r="ARH24" s="95"/>
      <c r="ARI24" s="95"/>
      <c r="ARJ24" s="95"/>
      <c r="ARK24" s="95"/>
      <c r="ARL24" s="95"/>
      <c r="ARM24" s="95"/>
      <c r="ARN24" s="95"/>
      <c r="ARO24" s="95"/>
      <c r="ARP24" s="95"/>
      <c r="ARQ24" s="95"/>
      <c r="ARR24" s="95"/>
      <c r="ARS24" s="95"/>
      <c r="ART24" s="95"/>
      <c r="ARU24" s="95"/>
      <c r="ARV24" s="95"/>
      <c r="ARW24" s="95"/>
      <c r="ARX24" s="95"/>
      <c r="ARY24" s="95"/>
      <c r="ARZ24" s="95"/>
      <c r="ASA24" s="95"/>
      <c r="ASB24" s="95"/>
      <c r="ASC24" s="95"/>
      <c r="ASD24" s="95"/>
      <c r="ASE24" s="95"/>
      <c r="ASF24" s="95"/>
      <c r="ASG24" s="95"/>
      <c r="ASH24" s="95"/>
      <c r="ASI24" s="95"/>
      <c r="ASJ24" s="95"/>
      <c r="ASK24" s="95"/>
      <c r="ASL24" s="95"/>
      <c r="ASM24" s="95"/>
      <c r="ASN24" s="95"/>
      <c r="ASO24" s="95"/>
      <c r="ASP24" s="95"/>
      <c r="ASQ24" s="95"/>
      <c r="ASR24" s="95"/>
      <c r="ASS24" s="95"/>
      <c r="AST24" s="95"/>
      <c r="ASU24" s="95"/>
      <c r="ASV24" s="95"/>
      <c r="ASW24" s="95"/>
      <c r="ASX24" s="95"/>
      <c r="ASY24" s="95"/>
      <c r="ASZ24" s="95"/>
      <c r="ATA24" s="95"/>
      <c r="ATB24" s="95"/>
      <c r="ATC24" s="95"/>
      <c r="ATD24" s="95"/>
      <c r="ATE24" s="95"/>
      <c r="ATF24" s="95"/>
      <c r="ATG24" s="95"/>
      <c r="ATH24" s="95"/>
      <c r="ATI24" s="95"/>
      <c r="ATJ24" s="95"/>
      <c r="ATK24" s="95"/>
      <c r="ATL24" s="95"/>
      <c r="ATM24" s="95"/>
      <c r="ATN24" s="95"/>
      <c r="ATO24" s="95"/>
      <c r="ATP24" s="95"/>
      <c r="ATQ24" s="95"/>
      <c r="ATR24" s="95"/>
      <c r="ATS24" s="95"/>
      <c r="ATT24" s="95"/>
      <c r="ATU24" s="95"/>
      <c r="ATV24" s="95"/>
      <c r="ATW24" s="95"/>
      <c r="ATX24" s="95"/>
      <c r="ATY24" s="95"/>
      <c r="ATZ24" s="95"/>
      <c r="AUA24" s="95"/>
      <c r="AUB24" s="95"/>
      <c r="AUC24" s="95"/>
      <c r="AUD24" s="95"/>
      <c r="AUE24" s="95"/>
      <c r="AUF24" s="95"/>
      <c r="AUG24" s="95"/>
      <c r="AUH24" s="95"/>
      <c r="AUI24" s="95"/>
      <c r="AUJ24" s="95"/>
      <c r="AUK24" s="95"/>
      <c r="AUL24" s="95"/>
      <c r="AUM24" s="95"/>
      <c r="AUN24" s="95"/>
      <c r="AUO24" s="95"/>
      <c r="AUP24" s="95"/>
      <c r="AUQ24" s="95"/>
      <c r="AUR24" s="95"/>
      <c r="AUS24" s="95"/>
      <c r="AUT24" s="95"/>
      <c r="AUU24" s="95"/>
      <c r="AUV24" s="95"/>
      <c r="AUW24" s="95"/>
      <c r="AUX24" s="95"/>
      <c r="AUY24" s="95"/>
      <c r="AUZ24" s="95"/>
      <c r="AVA24" s="95"/>
      <c r="AVB24" s="95"/>
      <c r="AVC24" s="95"/>
      <c r="AVD24" s="95"/>
      <c r="AVE24" s="95"/>
      <c r="AVF24" s="95"/>
      <c r="AVG24" s="95"/>
      <c r="AVH24" s="95"/>
      <c r="AVI24" s="95"/>
      <c r="AVJ24" s="95"/>
      <c r="AVK24" s="95"/>
      <c r="AVL24" s="95"/>
      <c r="AVM24" s="95"/>
      <c r="AVN24" s="95"/>
      <c r="AVO24" s="95"/>
      <c r="AVP24" s="95"/>
      <c r="AVQ24" s="95"/>
      <c r="AVR24" s="95"/>
      <c r="AVS24" s="95"/>
      <c r="AVT24" s="95"/>
      <c r="AVU24" s="95"/>
      <c r="AVV24" s="95"/>
      <c r="AVW24" s="95"/>
      <c r="AVX24" s="95"/>
      <c r="AVY24" s="95"/>
      <c r="AVZ24" s="95"/>
      <c r="AWA24" s="95"/>
      <c r="AWB24" s="95"/>
      <c r="AWC24" s="95"/>
      <c r="AWD24" s="95"/>
      <c r="AWE24" s="95"/>
      <c r="AWF24" s="95"/>
      <c r="AWG24" s="95"/>
      <c r="AWH24" s="95"/>
      <c r="AWI24" s="95"/>
      <c r="AWJ24" s="95"/>
      <c r="AWK24" s="95"/>
      <c r="AWL24" s="95"/>
      <c r="AWM24" s="95"/>
      <c r="AWN24" s="95"/>
      <c r="AWO24" s="95"/>
      <c r="AWP24" s="95"/>
      <c r="AWQ24" s="95"/>
      <c r="AWR24" s="95"/>
      <c r="AWS24" s="95"/>
      <c r="AWT24" s="95"/>
      <c r="AWU24" s="95"/>
      <c r="AWV24" s="95"/>
      <c r="AWW24" s="95"/>
      <c r="AWX24" s="95"/>
      <c r="AWY24" s="95"/>
      <c r="AWZ24" s="95"/>
      <c r="AXA24" s="95"/>
      <c r="AXB24" s="95"/>
      <c r="AXC24" s="95"/>
      <c r="AXD24" s="95"/>
      <c r="AXE24" s="95"/>
      <c r="AXF24" s="95"/>
      <c r="AXG24" s="95"/>
      <c r="AXH24" s="95"/>
      <c r="AXI24" s="95"/>
      <c r="AXJ24" s="95"/>
      <c r="AXK24" s="95"/>
      <c r="AXL24" s="95"/>
      <c r="AXM24" s="95"/>
      <c r="AXN24" s="95"/>
      <c r="AXO24" s="95"/>
      <c r="AXP24" s="95"/>
      <c r="AXQ24" s="95"/>
      <c r="AXR24" s="95"/>
      <c r="AXS24" s="95"/>
      <c r="AXT24" s="95"/>
      <c r="AXU24" s="95"/>
      <c r="AXV24" s="95"/>
      <c r="AXW24" s="95"/>
      <c r="AXX24" s="95"/>
      <c r="AXY24" s="95"/>
      <c r="AXZ24" s="95"/>
      <c r="AYA24" s="95"/>
      <c r="AYB24" s="95"/>
      <c r="AYC24" s="95"/>
      <c r="AYD24" s="95"/>
      <c r="AYE24" s="95"/>
      <c r="AYF24" s="95"/>
      <c r="AYG24" s="95"/>
      <c r="AYH24" s="95"/>
      <c r="AYI24" s="95"/>
      <c r="AYJ24" s="95"/>
      <c r="AYK24" s="95"/>
      <c r="AYL24" s="95"/>
      <c r="AYM24" s="95"/>
      <c r="AYN24" s="95"/>
      <c r="AYO24" s="95"/>
      <c r="AYP24" s="95"/>
      <c r="AYQ24" s="95"/>
      <c r="AYR24" s="95"/>
      <c r="AYS24" s="95"/>
      <c r="AYT24" s="95"/>
      <c r="AYU24" s="95"/>
      <c r="AYV24" s="95"/>
      <c r="AYW24" s="95"/>
      <c r="AYX24" s="95"/>
      <c r="AYY24" s="95"/>
      <c r="AYZ24" s="95"/>
      <c r="AZA24" s="95"/>
      <c r="AZB24" s="95"/>
      <c r="AZC24" s="95"/>
      <c r="AZD24" s="95"/>
      <c r="AZE24" s="95"/>
      <c r="AZF24" s="95"/>
      <c r="AZG24" s="95"/>
      <c r="AZH24" s="95"/>
      <c r="AZI24" s="95"/>
      <c r="AZJ24" s="95"/>
      <c r="AZK24" s="95"/>
      <c r="AZL24" s="95"/>
      <c r="AZM24" s="95"/>
      <c r="AZN24" s="95"/>
      <c r="AZO24" s="95"/>
      <c r="AZP24" s="95"/>
      <c r="AZQ24" s="95"/>
      <c r="AZR24" s="95"/>
      <c r="AZS24" s="95"/>
      <c r="AZT24" s="95"/>
      <c r="AZU24" s="95"/>
      <c r="AZV24" s="95"/>
      <c r="AZW24" s="95"/>
      <c r="AZX24" s="95"/>
      <c r="AZY24" s="95"/>
      <c r="AZZ24" s="95"/>
      <c r="BAA24" s="95"/>
      <c r="BAB24" s="95"/>
      <c r="BAC24" s="95"/>
      <c r="BAD24" s="95"/>
      <c r="BAE24" s="95"/>
      <c r="BAF24" s="95"/>
      <c r="BAG24" s="95"/>
      <c r="BAH24" s="95"/>
      <c r="BAI24" s="95"/>
      <c r="BAJ24" s="95"/>
      <c r="BAK24" s="95"/>
      <c r="BAL24" s="95"/>
      <c r="BAM24" s="95"/>
      <c r="BAN24" s="95"/>
      <c r="BAO24" s="95"/>
      <c r="BAP24" s="95"/>
      <c r="BAQ24" s="95"/>
      <c r="BAR24" s="95"/>
      <c r="BAS24" s="95"/>
      <c r="BAT24" s="95"/>
      <c r="BAU24" s="95"/>
      <c r="BAV24" s="95"/>
      <c r="BAW24" s="95"/>
      <c r="BAX24" s="95"/>
      <c r="BAY24" s="95"/>
      <c r="BAZ24" s="95"/>
      <c r="BBA24" s="95"/>
      <c r="BBB24" s="95"/>
      <c r="BBC24" s="95"/>
      <c r="BBD24" s="95"/>
      <c r="BBE24" s="95"/>
      <c r="BBF24" s="95"/>
      <c r="BBG24" s="95"/>
      <c r="BBH24" s="95"/>
      <c r="BBI24" s="95"/>
      <c r="BBJ24" s="95"/>
      <c r="BBK24" s="95"/>
      <c r="BBL24" s="95"/>
      <c r="BBM24" s="95"/>
      <c r="BBN24" s="95"/>
      <c r="BBO24" s="95"/>
      <c r="BBP24" s="95"/>
      <c r="BBQ24" s="95"/>
      <c r="BBR24" s="95"/>
      <c r="BBS24" s="95"/>
      <c r="BBT24" s="95"/>
      <c r="BBU24" s="95"/>
      <c r="BBV24" s="95"/>
      <c r="BBW24" s="95"/>
      <c r="BBX24" s="95"/>
      <c r="BBY24" s="95"/>
      <c r="BBZ24" s="95"/>
      <c r="BCA24" s="95"/>
      <c r="BCB24" s="95"/>
      <c r="BCC24" s="95"/>
      <c r="BCD24" s="95"/>
      <c r="BCE24" s="95"/>
      <c r="BCF24" s="95"/>
      <c r="BCG24" s="95"/>
      <c r="BCH24" s="95"/>
      <c r="BCI24" s="95"/>
      <c r="BCJ24" s="95"/>
      <c r="BCK24" s="95"/>
      <c r="BCL24" s="95"/>
      <c r="BCM24" s="95"/>
      <c r="BCN24" s="95"/>
      <c r="BCO24" s="95"/>
      <c r="BCP24" s="95"/>
      <c r="BCQ24" s="95"/>
      <c r="BCR24" s="95"/>
      <c r="BCS24" s="95"/>
      <c r="BCT24" s="95"/>
      <c r="BCU24" s="95"/>
      <c r="BCV24" s="95"/>
      <c r="BCW24" s="95"/>
      <c r="BCX24" s="95"/>
      <c r="BCY24" s="95"/>
      <c r="BCZ24" s="95"/>
      <c r="BDA24" s="95"/>
      <c r="BDB24" s="95"/>
      <c r="BDC24" s="95"/>
      <c r="BDD24" s="95"/>
      <c r="BDE24" s="95"/>
      <c r="BDF24" s="95"/>
      <c r="BDG24" s="95"/>
      <c r="BDH24" s="95"/>
      <c r="BDI24" s="95"/>
      <c r="BDJ24" s="95"/>
      <c r="BDK24" s="95"/>
      <c r="BDL24" s="95"/>
      <c r="BDM24" s="95"/>
      <c r="BDN24" s="95"/>
      <c r="BDO24" s="95"/>
      <c r="BDP24" s="95"/>
      <c r="BDQ24" s="95"/>
      <c r="BDR24" s="95"/>
      <c r="BDS24" s="95"/>
      <c r="BDT24" s="95"/>
      <c r="BDU24" s="95"/>
      <c r="BDV24" s="95"/>
      <c r="BDW24" s="95"/>
      <c r="BDX24" s="95"/>
      <c r="BDY24" s="95"/>
      <c r="BDZ24" s="95"/>
      <c r="BEA24" s="95"/>
      <c r="BEB24" s="95"/>
      <c r="BEC24" s="95"/>
      <c r="BED24" s="95"/>
      <c r="BEE24" s="95"/>
      <c r="BEF24" s="95"/>
      <c r="BEG24" s="95"/>
      <c r="BEH24" s="95"/>
      <c r="BEI24" s="95"/>
      <c r="BEJ24" s="95"/>
      <c r="BEK24" s="95"/>
      <c r="BEL24" s="95"/>
      <c r="BEM24" s="95"/>
      <c r="BEN24" s="95"/>
      <c r="BEO24" s="95"/>
      <c r="BEP24" s="95"/>
      <c r="BEQ24" s="95"/>
      <c r="BER24" s="95"/>
      <c r="BES24" s="95"/>
      <c r="BET24" s="95"/>
      <c r="BEU24" s="95"/>
      <c r="BEV24" s="95"/>
      <c r="BEW24" s="95"/>
      <c r="BEX24" s="95"/>
      <c r="BEY24" s="95"/>
      <c r="BEZ24" s="95"/>
      <c r="BFA24" s="95"/>
      <c r="BFB24" s="95"/>
      <c r="BFC24" s="95"/>
      <c r="BFD24" s="95"/>
      <c r="BFE24" s="95"/>
      <c r="BFF24" s="95"/>
      <c r="BFG24" s="95"/>
      <c r="BFH24" s="95"/>
      <c r="BFI24" s="95"/>
      <c r="BFJ24" s="95"/>
      <c r="BFK24" s="95"/>
      <c r="BFL24" s="95"/>
      <c r="BFM24" s="95"/>
      <c r="BFN24" s="95"/>
      <c r="BFO24" s="95"/>
      <c r="BFP24" s="95"/>
      <c r="BFQ24" s="95"/>
      <c r="BFR24" s="95"/>
      <c r="BFS24" s="95"/>
      <c r="BFT24" s="95"/>
      <c r="BFU24" s="95"/>
      <c r="BFV24" s="95"/>
      <c r="BFW24" s="95"/>
      <c r="BFX24" s="95"/>
      <c r="BFY24" s="95"/>
      <c r="BFZ24" s="95"/>
      <c r="BGA24" s="95"/>
      <c r="BGB24" s="95"/>
      <c r="BGC24" s="95"/>
      <c r="BGD24" s="95"/>
      <c r="BGE24" s="95"/>
      <c r="BGF24" s="95"/>
      <c r="BGG24" s="95"/>
      <c r="BGH24" s="95"/>
      <c r="BGI24" s="95"/>
      <c r="BGJ24" s="95"/>
      <c r="BGK24" s="95"/>
      <c r="BGL24" s="95"/>
      <c r="BGM24" s="95"/>
      <c r="BGN24" s="95"/>
      <c r="BGO24" s="95"/>
      <c r="BGP24" s="95"/>
      <c r="BGQ24" s="95"/>
      <c r="BGR24" s="95"/>
      <c r="BGS24" s="95"/>
      <c r="BGT24" s="95"/>
      <c r="BGU24" s="95"/>
      <c r="BGV24" s="95"/>
      <c r="BGW24" s="95"/>
      <c r="BGX24" s="95"/>
      <c r="BGY24" s="95"/>
      <c r="BGZ24" s="95"/>
      <c r="BHA24" s="95"/>
      <c r="BHB24" s="95"/>
      <c r="BHC24" s="95"/>
      <c r="BHD24" s="95"/>
      <c r="BHE24" s="95"/>
      <c r="BHF24" s="95"/>
      <c r="BHG24" s="95"/>
      <c r="BHH24" s="95"/>
      <c r="BHI24" s="95"/>
      <c r="BHJ24" s="95"/>
      <c r="BHK24" s="95"/>
      <c r="BHL24" s="95"/>
      <c r="BHM24" s="95"/>
      <c r="BHN24" s="95"/>
      <c r="BHO24" s="95"/>
      <c r="BHP24" s="95"/>
      <c r="BHQ24" s="95"/>
      <c r="BHR24" s="95"/>
      <c r="BHS24" s="95"/>
      <c r="BHT24" s="95"/>
      <c r="BHU24" s="95"/>
      <c r="BHV24" s="95"/>
      <c r="BHW24" s="95"/>
      <c r="BHX24" s="95"/>
      <c r="BHY24" s="95"/>
      <c r="BHZ24" s="95"/>
      <c r="BIA24" s="95"/>
      <c r="BIB24" s="95"/>
      <c r="BIC24" s="95"/>
      <c r="BID24" s="95"/>
      <c r="BIE24" s="95"/>
      <c r="BIF24" s="95"/>
      <c r="BIG24" s="95"/>
      <c r="BIH24" s="95"/>
      <c r="BII24" s="95"/>
      <c r="BIJ24" s="95"/>
      <c r="BIK24" s="95"/>
      <c r="BIL24" s="95"/>
      <c r="BIM24" s="95"/>
      <c r="BIN24" s="95"/>
      <c r="BIO24" s="95"/>
      <c r="BIP24" s="95"/>
      <c r="BIQ24" s="95"/>
      <c r="BIR24" s="95"/>
      <c r="BIS24" s="95"/>
      <c r="BIT24" s="95"/>
      <c r="BIU24" s="95"/>
      <c r="BIV24" s="95"/>
      <c r="BIW24" s="95"/>
      <c r="BIX24" s="95"/>
      <c r="BIY24" s="95"/>
      <c r="BIZ24" s="95"/>
      <c r="BJA24" s="95"/>
      <c r="BJB24" s="95"/>
      <c r="BJC24" s="95"/>
      <c r="BJD24" s="95"/>
      <c r="BJE24" s="95"/>
      <c r="BJF24" s="95"/>
      <c r="BJG24" s="95"/>
      <c r="BJH24" s="95"/>
      <c r="BJI24" s="95"/>
      <c r="BJJ24" s="95"/>
      <c r="BJK24" s="95"/>
      <c r="BJL24" s="95"/>
      <c r="BJM24" s="95"/>
      <c r="BJN24" s="95"/>
      <c r="BJO24" s="95"/>
      <c r="BJP24" s="95"/>
      <c r="BJQ24" s="95"/>
      <c r="BJR24" s="95"/>
      <c r="BJS24" s="95"/>
      <c r="BJT24" s="95"/>
      <c r="BJU24" s="95"/>
      <c r="BJV24" s="95"/>
      <c r="BJW24" s="95"/>
      <c r="BJX24" s="95"/>
      <c r="BJY24" s="95"/>
      <c r="BJZ24" s="95"/>
      <c r="BKA24" s="95"/>
      <c r="BKB24" s="95"/>
      <c r="BKC24" s="95"/>
      <c r="BKD24" s="95"/>
      <c r="BKE24" s="95"/>
      <c r="BKF24" s="95"/>
      <c r="BKG24" s="95"/>
      <c r="BKH24" s="95"/>
      <c r="BKI24" s="95"/>
      <c r="BKJ24" s="95"/>
      <c r="BKK24" s="95"/>
      <c r="BKL24" s="95"/>
      <c r="BKM24" s="95"/>
      <c r="BKN24" s="95"/>
      <c r="BKO24" s="95"/>
      <c r="BKP24" s="95"/>
      <c r="BKQ24" s="95"/>
      <c r="BKR24" s="95"/>
      <c r="BKS24" s="95"/>
      <c r="BKT24" s="95"/>
      <c r="BKU24" s="95"/>
      <c r="BKV24" s="95"/>
      <c r="BKW24" s="95"/>
      <c r="BKX24" s="95"/>
      <c r="BKY24" s="95"/>
      <c r="BKZ24" s="95"/>
      <c r="BLA24" s="95"/>
      <c r="BLB24" s="95"/>
      <c r="BLC24" s="95"/>
      <c r="BLD24" s="95"/>
      <c r="BLE24" s="95"/>
      <c r="BLF24" s="95"/>
      <c r="BLG24" s="95"/>
      <c r="BLH24" s="95"/>
      <c r="BLI24" s="95"/>
      <c r="BLJ24" s="95"/>
      <c r="BLK24" s="95"/>
      <c r="BLL24" s="95"/>
      <c r="BLM24" s="95"/>
      <c r="BLN24" s="95"/>
      <c r="BLO24" s="95"/>
      <c r="BLP24" s="95"/>
      <c r="BLQ24" s="95"/>
      <c r="BLR24" s="95"/>
      <c r="BLS24" s="95"/>
      <c r="BLT24" s="95"/>
      <c r="BLU24" s="95"/>
      <c r="BLV24" s="95"/>
      <c r="BLW24" s="95"/>
      <c r="BLX24" s="95"/>
      <c r="BLY24" s="95"/>
      <c r="BLZ24" s="95"/>
      <c r="BMA24" s="95"/>
      <c r="BMB24" s="95"/>
      <c r="BMC24" s="95"/>
      <c r="BMD24" s="95"/>
      <c r="BME24" s="95"/>
      <c r="BMF24" s="95"/>
      <c r="BMG24" s="95"/>
      <c r="BMH24" s="95"/>
      <c r="BMI24" s="95"/>
      <c r="BMJ24" s="95"/>
      <c r="BMK24" s="95"/>
      <c r="BML24" s="95"/>
      <c r="BMM24" s="95"/>
      <c r="BMN24" s="95"/>
      <c r="BMO24" s="95"/>
      <c r="BMP24" s="95"/>
      <c r="BMQ24" s="95"/>
      <c r="BMR24" s="95"/>
      <c r="BMS24" s="95"/>
      <c r="BMT24" s="95"/>
      <c r="BMU24" s="95"/>
      <c r="BMV24" s="95"/>
      <c r="BMW24" s="95"/>
      <c r="BMX24" s="95"/>
      <c r="BMY24" s="95"/>
      <c r="BMZ24" s="95"/>
      <c r="BNA24" s="95"/>
      <c r="BNB24" s="95"/>
      <c r="BNC24" s="95"/>
      <c r="BND24" s="95"/>
      <c r="BNE24" s="95"/>
      <c r="BNF24" s="95"/>
      <c r="BNG24" s="95"/>
      <c r="BNH24" s="95"/>
      <c r="BNI24" s="95"/>
      <c r="BNJ24" s="95"/>
      <c r="BNK24" s="95"/>
      <c r="BNL24" s="95"/>
      <c r="BNM24" s="95"/>
      <c r="BNN24" s="95"/>
      <c r="BNO24" s="95"/>
      <c r="BNP24" s="95"/>
      <c r="BNQ24" s="95"/>
      <c r="BNR24" s="95"/>
      <c r="BNS24" s="95"/>
      <c r="BNT24" s="95"/>
      <c r="BNU24" s="95"/>
      <c r="BNV24" s="95"/>
      <c r="BNW24" s="95"/>
      <c r="BNX24" s="95"/>
      <c r="BNY24" s="95"/>
      <c r="BNZ24" s="95"/>
      <c r="BOA24" s="95"/>
      <c r="BOB24" s="95"/>
      <c r="BOC24" s="95"/>
      <c r="BOD24" s="95"/>
      <c r="BOE24" s="95"/>
      <c r="BOF24" s="95"/>
      <c r="BOG24" s="95"/>
      <c r="BOH24" s="95"/>
      <c r="BOI24" s="95"/>
      <c r="BOJ24" s="95"/>
      <c r="BOK24" s="95"/>
      <c r="BOL24" s="95"/>
      <c r="BOM24" s="95"/>
      <c r="BON24" s="95"/>
      <c r="BOO24" s="95"/>
      <c r="BOP24" s="95"/>
      <c r="BOQ24" s="95"/>
      <c r="BOR24" s="95"/>
      <c r="BOS24" s="95"/>
      <c r="BOT24" s="95"/>
      <c r="BOU24" s="95"/>
      <c r="BOV24" s="95"/>
      <c r="BOW24" s="95"/>
      <c r="BOX24" s="95"/>
      <c r="BOY24" s="95"/>
      <c r="BOZ24" s="95"/>
      <c r="BPA24" s="95"/>
      <c r="BPB24" s="95"/>
      <c r="BPC24" s="95"/>
      <c r="BPD24" s="95"/>
      <c r="BPE24" s="95"/>
      <c r="BPF24" s="95"/>
      <c r="BPG24" s="95"/>
      <c r="BPH24" s="95"/>
      <c r="BPI24" s="95"/>
      <c r="BPJ24" s="95"/>
      <c r="BPK24" s="95"/>
      <c r="BPL24" s="95"/>
      <c r="BPM24" s="95"/>
      <c r="BPN24" s="95"/>
      <c r="BPO24" s="95"/>
      <c r="BPP24" s="95"/>
      <c r="BPQ24" s="95"/>
      <c r="BPR24" s="95"/>
      <c r="BPS24" s="95"/>
      <c r="BPT24" s="95"/>
      <c r="BPU24" s="95"/>
      <c r="BPV24" s="95"/>
      <c r="BPW24" s="95"/>
      <c r="BPX24" s="95"/>
      <c r="BPY24" s="95"/>
      <c r="BPZ24" s="95"/>
      <c r="BQA24" s="95"/>
      <c r="BQB24" s="95"/>
      <c r="BQC24" s="95"/>
      <c r="BQD24" s="95"/>
      <c r="BQE24" s="95"/>
      <c r="BQF24" s="95"/>
      <c r="BQG24" s="95"/>
      <c r="BQH24" s="95"/>
      <c r="BQI24" s="95"/>
      <c r="BQJ24" s="95"/>
      <c r="BQK24" s="95"/>
      <c r="BQL24" s="95"/>
      <c r="BQM24" s="95"/>
      <c r="BQN24" s="95"/>
      <c r="BQO24" s="95"/>
      <c r="BQP24" s="95"/>
      <c r="BQQ24" s="95"/>
      <c r="BQR24" s="95"/>
      <c r="BQS24" s="95"/>
      <c r="BQT24" s="95"/>
      <c r="BQU24" s="95"/>
      <c r="BQV24" s="95"/>
      <c r="BQW24" s="95"/>
      <c r="BQX24" s="95"/>
      <c r="BQY24" s="95"/>
      <c r="BQZ24" s="95"/>
      <c r="BRA24" s="95"/>
      <c r="BRB24" s="95"/>
      <c r="BRC24" s="95"/>
      <c r="BRD24" s="95"/>
      <c r="BRE24" s="95"/>
      <c r="BRF24" s="95"/>
      <c r="BRG24" s="95"/>
      <c r="BRH24" s="95"/>
      <c r="BRI24" s="95"/>
      <c r="BRJ24" s="95"/>
      <c r="BRK24" s="95"/>
      <c r="BRL24" s="95"/>
      <c r="BRM24" s="95"/>
      <c r="BRN24" s="95"/>
      <c r="BRO24" s="95"/>
      <c r="BRP24" s="95"/>
      <c r="BRQ24" s="95"/>
      <c r="BRR24" s="95"/>
      <c r="BRS24" s="95"/>
      <c r="BRT24" s="95"/>
      <c r="BRU24" s="95"/>
      <c r="BRV24" s="95"/>
      <c r="BRW24" s="95"/>
      <c r="BRX24" s="95"/>
      <c r="BRY24" s="95"/>
      <c r="BRZ24" s="95"/>
      <c r="BSA24" s="95"/>
      <c r="BSB24" s="95"/>
      <c r="BSC24" s="95"/>
      <c r="BSD24" s="95"/>
      <c r="BSE24" s="95"/>
      <c r="BSF24" s="95"/>
      <c r="BSG24" s="95"/>
      <c r="BSH24" s="95"/>
      <c r="BSI24" s="95"/>
      <c r="BSJ24" s="95"/>
      <c r="BSK24" s="95"/>
      <c r="BSL24" s="95"/>
      <c r="BSM24" s="95"/>
      <c r="BSN24" s="95"/>
      <c r="BSO24" s="95"/>
      <c r="BSP24" s="95"/>
      <c r="BSQ24" s="95"/>
      <c r="BSR24" s="95"/>
      <c r="BSS24" s="95"/>
      <c r="BST24" s="95"/>
      <c r="BSU24" s="95"/>
      <c r="BSV24" s="95"/>
      <c r="BSW24" s="95"/>
      <c r="BSX24" s="95"/>
      <c r="BSY24" s="95"/>
      <c r="BSZ24" s="95"/>
      <c r="BTA24" s="95"/>
      <c r="BTB24" s="95"/>
      <c r="BTC24" s="95"/>
      <c r="BTD24" s="95"/>
      <c r="BTE24" s="95"/>
      <c r="BTF24" s="95"/>
      <c r="BTG24" s="95"/>
      <c r="BTH24" s="95"/>
      <c r="BTI24" s="95"/>
      <c r="BTJ24" s="95"/>
      <c r="BTK24" s="95"/>
      <c r="BTL24" s="95"/>
      <c r="BTM24" s="95"/>
      <c r="BTN24" s="95"/>
      <c r="BTO24" s="95"/>
      <c r="BTP24" s="95"/>
      <c r="BTQ24" s="95"/>
      <c r="BTR24" s="95"/>
      <c r="BTS24" s="95"/>
      <c r="BTT24" s="95"/>
      <c r="BTU24" s="95"/>
      <c r="BTV24" s="95"/>
      <c r="BTW24" s="95"/>
      <c r="BTX24" s="95"/>
      <c r="BTY24" s="95"/>
      <c r="BTZ24" s="95"/>
      <c r="BUA24" s="95"/>
      <c r="BUB24" s="95"/>
      <c r="BUC24" s="95"/>
      <c r="BUD24" s="95"/>
      <c r="BUE24" s="95"/>
      <c r="BUF24" s="95"/>
      <c r="BUG24" s="95"/>
      <c r="BUH24" s="95"/>
      <c r="BUI24" s="95"/>
      <c r="BUJ24" s="95"/>
      <c r="BUK24" s="95"/>
      <c r="BUL24" s="95"/>
      <c r="BUM24" s="95"/>
      <c r="BUN24" s="95"/>
      <c r="BUO24" s="95"/>
      <c r="BUP24" s="95"/>
      <c r="BUQ24" s="95"/>
      <c r="BUR24" s="95"/>
      <c r="BUS24" s="95"/>
      <c r="BUT24" s="95"/>
      <c r="BUU24" s="95"/>
      <c r="BUV24" s="95"/>
      <c r="BUW24" s="95"/>
      <c r="BUX24" s="95"/>
      <c r="BUY24" s="95"/>
      <c r="BUZ24" s="95"/>
      <c r="BVA24" s="95"/>
      <c r="BVB24" s="95"/>
      <c r="BVC24" s="95"/>
      <c r="BVD24" s="95"/>
      <c r="BVE24" s="95"/>
      <c r="BVF24" s="95"/>
      <c r="BVG24" s="95"/>
      <c r="BVH24" s="95"/>
      <c r="BVI24" s="95"/>
      <c r="BVJ24" s="95"/>
      <c r="BVK24" s="95"/>
      <c r="BVL24" s="95"/>
      <c r="BVM24" s="95"/>
      <c r="BVN24" s="95"/>
      <c r="BVO24" s="95"/>
      <c r="BVP24" s="95"/>
      <c r="BVQ24" s="95"/>
      <c r="BVR24" s="95"/>
      <c r="BVS24" s="95"/>
      <c r="BVT24" s="95"/>
      <c r="BVU24" s="95"/>
      <c r="BVV24" s="95"/>
      <c r="BVW24" s="95"/>
      <c r="BVX24" s="95"/>
      <c r="BVY24" s="95"/>
      <c r="BVZ24" s="95"/>
      <c r="BWA24" s="95"/>
      <c r="BWB24" s="95"/>
      <c r="BWC24" s="95"/>
      <c r="BWD24" s="95"/>
      <c r="BWE24" s="95"/>
      <c r="BWF24" s="95"/>
      <c r="BWG24" s="95"/>
      <c r="BWH24" s="95"/>
      <c r="BWI24" s="95"/>
      <c r="BWJ24" s="95"/>
      <c r="BWK24" s="95"/>
      <c r="BWL24" s="95"/>
      <c r="BWM24" s="95"/>
      <c r="BWN24" s="95"/>
      <c r="BWO24" s="95"/>
      <c r="BWP24" s="95"/>
      <c r="BWQ24" s="95"/>
      <c r="BWR24" s="95"/>
      <c r="BWS24" s="95"/>
      <c r="BWT24" s="95"/>
      <c r="BWU24" s="95"/>
      <c r="BWV24" s="95"/>
      <c r="BWW24" s="95"/>
      <c r="BWX24" s="95"/>
      <c r="BWY24" s="95"/>
      <c r="BWZ24" s="95"/>
      <c r="BXA24" s="95"/>
      <c r="BXB24" s="95"/>
      <c r="BXC24" s="95"/>
      <c r="BXD24" s="95"/>
      <c r="BXE24" s="95"/>
      <c r="BXF24" s="95"/>
      <c r="BXG24" s="95"/>
      <c r="BXH24" s="95"/>
      <c r="BXI24" s="95"/>
      <c r="BXJ24" s="95"/>
      <c r="BXK24" s="95"/>
      <c r="BXL24" s="95"/>
      <c r="BXM24" s="95"/>
      <c r="BXN24" s="95"/>
      <c r="BXO24" s="95"/>
      <c r="BXP24" s="95"/>
      <c r="BXQ24" s="95"/>
      <c r="BXR24" s="95"/>
      <c r="BXS24" s="95"/>
      <c r="BXT24" s="95"/>
      <c r="BXU24" s="95"/>
      <c r="BXV24" s="95"/>
      <c r="BXW24" s="95"/>
      <c r="BXX24" s="95"/>
      <c r="BXY24" s="95"/>
      <c r="BXZ24" s="95"/>
      <c r="BYA24" s="95"/>
      <c r="BYB24" s="95"/>
      <c r="BYC24" s="95"/>
      <c r="BYD24" s="95"/>
      <c r="BYE24" s="95"/>
      <c r="BYF24" s="95"/>
      <c r="BYG24" s="95"/>
    </row>
    <row r="25" spans="1:2009" s="109" customFormat="1" ht="24.95" hidden="1" customHeight="1" x14ac:dyDescent="0.25">
      <c r="A25" s="140"/>
      <c r="B25" s="127" t="s">
        <v>230</v>
      </c>
      <c r="C25" s="187"/>
      <c r="D25" s="187"/>
      <c r="E25" s="188"/>
      <c r="F25" s="188"/>
      <c r="G25" s="189"/>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233" customFormat="1" ht="24.95" hidden="1" customHeight="1" thickBot="1" x14ac:dyDescent="0.3">
      <c r="A26" s="228"/>
      <c r="B26" s="229" t="s">
        <v>202</v>
      </c>
      <c r="C26" s="230"/>
      <c r="D26" s="231"/>
      <c r="E26" s="231"/>
      <c r="F26" s="231">
        <f>SUM(F24:F25)</f>
        <v>0</v>
      </c>
      <c r="G26" s="232">
        <f>ROUND(SUM(C26:F26),5)</f>
        <v>0</v>
      </c>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c r="IW26" s="213"/>
      <c r="IX26" s="213"/>
      <c r="IY26" s="213"/>
      <c r="IZ26" s="213"/>
      <c r="JA26" s="213"/>
      <c r="JB26" s="213"/>
      <c r="JC26" s="213"/>
      <c r="JD26" s="213"/>
      <c r="JE26" s="213"/>
      <c r="JF26" s="213"/>
      <c r="JG26" s="213"/>
      <c r="JH26" s="213"/>
      <c r="JI26" s="213"/>
      <c r="JJ26" s="213"/>
      <c r="JK26" s="213"/>
      <c r="JL26" s="213"/>
      <c r="JM26" s="213"/>
      <c r="JN26" s="213"/>
      <c r="JO26" s="213"/>
      <c r="JP26" s="213"/>
      <c r="JQ26" s="213"/>
      <c r="JR26" s="213"/>
      <c r="JS26" s="213"/>
      <c r="JT26" s="213"/>
      <c r="JU26" s="213"/>
      <c r="JV26" s="213"/>
      <c r="JW26" s="213"/>
      <c r="JX26" s="213"/>
      <c r="JY26" s="213"/>
      <c r="JZ26" s="213"/>
      <c r="KA26" s="213"/>
      <c r="KB26" s="213"/>
      <c r="KC26" s="213"/>
      <c r="KD26" s="213"/>
      <c r="KE26" s="213"/>
      <c r="KF26" s="213"/>
      <c r="KG26" s="213"/>
      <c r="KH26" s="213"/>
      <c r="KI26" s="213"/>
      <c r="KJ26" s="213"/>
      <c r="KK26" s="213"/>
      <c r="KL26" s="213"/>
      <c r="KM26" s="213"/>
      <c r="KN26" s="213"/>
      <c r="KO26" s="213"/>
      <c r="KP26" s="213"/>
      <c r="KQ26" s="213"/>
      <c r="KR26" s="213"/>
      <c r="KS26" s="213"/>
      <c r="KT26" s="213"/>
      <c r="KU26" s="213"/>
      <c r="KV26" s="213"/>
      <c r="KW26" s="213"/>
      <c r="KX26" s="213"/>
      <c r="KY26" s="213"/>
      <c r="KZ26" s="213"/>
      <c r="LA26" s="213"/>
      <c r="LB26" s="213"/>
      <c r="LC26" s="213"/>
      <c r="LD26" s="213"/>
      <c r="LE26" s="213"/>
      <c r="LF26" s="213"/>
      <c r="LG26" s="213"/>
      <c r="LH26" s="213"/>
      <c r="LI26" s="213"/>
      <c r="LJ26" s="213"/>
      <c r="LK26" s="213"/>
      <c r="LL26" s="213"/>
      <c r="LM26" s="213"/>
      <c r="LN26" s="213"/>
      <c r="LO26" s="213"/>
      <c r="LP26" s="213"/>
      <c r="LQ26" s="213"/>
      <c r="LR26" s="213"/>
      <c r="LS26" s="213"/>
      <c r="LT26" s="213"/>
      <c r="LU26" s="213"/>
      <c r="LV26" s="213"/>
      <c r="LW26" s="213"/>
      <c r="LX26" s="213"/>
      <c r="LY26" s="213"/>
      <c r="LZ26" s="213"/>
      <c r="MA26" s="213"/>
      <c r="MB26" s="213"/>
      <c r="MC26" s="213"/>
      <c r="MD26" s="213"/>
      <c r="ME26" s="213"/>
      <c r="MF26" s="213"/>
      <c r="MG26" s="213"/>
      <c r="MH26" s="213"/>
      <c r="MI26" s="213"/>
      <c r="MJ26" s="213"/>
      <c r="MK26" s="213"/>
      <c r="ML26" s="213"/>
      <c r="MM26" s="213"/>
      <c r="MN26" s="213"/>
      <c r="MO26" s="213"/>
      <c r="MP26" s="213"/>
      <c r="MQ26" s="213"/>
      <c r="MR26" s="213"/>
      <c r="MS26" s="213"/>
      <c r="MT26" s="213"/>
      <c r="MU26" s="213"/>
      <c r="MV26" s="213"/>
      <c r="MW26" s="213"/>
      <c r="MX26" s="213"/>
      <c r="MY26" s="213"/>
      <c r="MZ26" s="213"/>
      <c r="NA26" s="213"/>
      <c r="NB26" s="213"/>
      <c r="NC26" s="213"/>
      <c r="ND26" s="213"/>
      <c r="NE26" s="213"/>
      <c r="NF26" s="213"/>
      <c r="NG26" s="213"/>
      <c r="NH26" s="213"/>
      <c r="NI26" s="213"/>
      <c r="NJ26" s="213"/>
      <c r="NK26" s="213"/>
      <c r="NL26" s="213"/>
      <c r="NM26" s="213"/>
      <c r="NN26" s="213"/>
      <c r="NO26" s="213"/>
      <c r="NP26" s="213"/>
      <c r="NQ26" s="213"/>
      <c r="NR26" s="213"/>
      <c r="NS26" s="213"/>
      <c r="NT26" s="213"/>
      <c r="NU26" s="213"/>
      <c r="NV26" s="213"/>
      <c r="NW26" s="213"/>
      <c r="NX26" s="213"/>
      <c r="NY26" s="213"/>
      <c r="NZ26" s="213"/>
      <c r="OA26" s="213"/>
      <c r="OB26" s="213"/>
      <c r="OC26" s="213"/>
      <c r="OD26" s="213"/>
      <c r="OE26" s="213"/>
      <c r="OF26" s="213"/>
      <c r="OG26" s="213"/>
      <c r="OH26" s="213"/>
      <c r="OI26" s="213"/>
      <c r="OJ26" s="213"/>
      <c r="OK26" s="213"/>
      <c r="OL26" s="213"/>
      <c r="OM26" s="213"/>
      <c r="ON26" s="213"/>
      <c r="OO26" s="213"/>
      <c r="OP26" s="213"/>
      <c r="OQ26" s="213"/>
      <c r="OR26" s="213"/>
      <c r="OS26" s="213"/>
      <c r="OT26" s="213"/>
      <c r="OU26" s="213"/>
      <c r="OV26" s="213"/>
      <c r="OW26" s="213"/>
      <c r="OX26" s="213"/>
      <c r="OY26" s="213"/>
      <c r="OZ26" s="213"/>
      <c r="PA26" s="213"/>
      <c r="PB26" s="213"/>
      <c r="PC26" s="213"/>
      <c r="PD26" s="213"/>
      <c r="PE26" s="213"/>
      <c r="PF26" s="213"/>
      <c r="PG26" s="213"/>
      <c r="PH26" s="213"/>
      <c r="PI26" s="213"/>
      <c r="PJ26" s="213"/>
      <c r="PK26" s="213"/>
      <c r="PL26" s="213"/>
      <c r="PM26" s="213"/>
      <c r="PN26" s="213"/>
      <c r="PO26" s="213"/>
      <c r="PP26" s="213"/>
      <c r="PQ26" s="213"/>
      <c r="PR26" s="213"/>
      <c r="PS26" s="213"/>
      <c r="PT26" s="213"/>
      <c r="PU26" s="213"/>
      <c r="PV26" s="213"/>
      <c r="PW26" s="213"/>
      <c r="PX26" s="213"/>
      <c r="PY26" s="213"/>
      <c r="PZ26" s="213"/>
      <c r="QA26" s="213"/>
      <c r="QB26" s="213"/>
      <c r="QC26" s="213"/>
      <c r="QD26" s="213"/>
      <c r="QE26" s="213"/>
      <c r="QF26" s="213"/>
      <c r="QG26" s="213"/>
      <c r="QH26" s="213"/>
      <c r="QI26" s="213"/>
      <c r="QJ26" s="213"/>
      <c r="QK26" s="213"/>
      <c r="QL26" s="213"/>
      <c r="QM26" s="213"/>
      <c r="QN26" s="213"/>
      <c r="QO26" s="213"/>
      <c r="QP26" s="213"/>
      <c r="QQ26" s="213"/>
      <c r="QR26" s="213"/>
      <c r="QS26" s="213"/>
      <c r="QT26" s="213"/>
      <c r="QU26" s="213"/>
      <c r="QV26" s="213"/>
      <c r="QW26" s="213"/>
      <c r="QX26" s="213"/>
      <c r="QY26" s="213"/>
      <c r="QZ26" s="213"/>
      <c r="RA26" s="213"/>
      <c r="RB26" s="213"/>
      <c r="RC26" s="213"/>
      <c r="RD26" s="213"/>
      <c r="RE26" s="213"/>
      <c r="RF26" s="213"/>
      <c r="RG26" s="213"/>
      <c r="RH26" s="213"/>
      <c r="RI26" s="213"/>
      <c r="RJ26" s="213"/>
      <c r="RK26" s="213"/>
      <c r="RL26" s="213"/>
      <c r="RM26" s="213"/>
      <c r="RN26" s="213"/>
      <c r="RO26" s="213"/>
      <c r="RP26" s="213"/>
      <c r="RQ26" s="213"/>
      <c r="RR26" s="213"/>
      <c r="RS26" s="213"/>
      <c r="RT26" s="213"/>
      <c r="RU26" s="213"/>
      <c r="RV26" s="213"/>
      <c r="RW26" s="213"/>
      <c r="RX26" s="213"/>
      <c r="RY26" s="213"/>
      <c r="RZ26" s="213"/>
      <c r="SA26" s="213"/>
      <c r="SB26" s="213"/>
      <c r="SC26" s="213"/>
      <c r="SD26" s="213"/>
      <c r="SE26" s="213"/>
      <c r="SF26" s="213"/>
      <c r="SG26" s="213"/>
      <c r="SH26" s="213"/>
      <c r="SI26" s="213"/>
      <c r="SJ26" s="213"/>
      <c r="SK26" s="213"/>
      <c r="SL26" s="213"/>
      <c r="SM26" s="213"/>
      <c r="SN26" s="213"/>
      <c r="SO26" s="213"/>
      <c r="SP26" s="213"/>
      <c r="SQ26" s="213"/>
      <c r="SR26" s="213"/>
      <c r="SS26" s="213"/>
      <c r="ST26" s="213"/>
      <c r="SU26" s="213"/>
      <c r="SV26" s="213"/>
      <c r="SW26" s="213"/>
      <c r="SX26" s="213"/>
      <c r="SY26" s="213"/>
      <c r="SZ26" s="213"/>
      <c r="TA26" s="213"/>
      <c r="TB26" s="213"/>
      <c r="TC26" s="213"/>
      <c r="TD26" s="213"/>
      <c r="TE26" s="213"/>
      <c r="TF26" s="213"/>
      <c r="TG26" s="213"/>
      <c r="TH26" s="213"/>
      <c r="TI26" s="213"/>
      <c r="TJ26" s="213"/>
      <c r="TK26" s="213"/>
      <c r="TL26" s="213"/>
      <c r="TM26" s="213"/>
      <c r="TN26" s="213"/>
      <c r="TO26" s="213"/>
      <c r="TP26" s="213"/>
      <c r="TQ26" s="213"/>
      <c r="TR26" s="213"/>
      <c r="TS26" s="213"/>
      <c r="TT26" s="213"/>
      <c r="TU26" s="213"/>
      <c r="TV26" s="213"/>
      <c r="TW26" s="213"/>
      <c r="TX26" s="213"/>
      <c r="TY26" s="213"/>
      <c r="TZ26" s="213"/>
      <c r="UA26" s="213"/>
      <c r="UB26" s="213"/>
      <c r="UC26" s="213"/>
      <c r="UD26" s="213"/>
      <c r="UE26" s="213"/>
      <c r="UF26" s="213"/>
      <c r="UG26" s="213"/>
      <c r="UH26" s="213"/>
      <c r="UI26" s="213"/>
      <c r="UJ26" s="213"/>
      <c r="UK26" s="213"/>
      <c r="UL26" s="213"/>
      <c r="UM26" s="213"/>
      <c r="UN26" s="213"/>
      <c r="UO26" s="213"/>
      <c r="UP26" s="213"/>
      <c r="UQ26" s="213"/>
      <c r="UR26" s="213"/>
      <c r="US26" s="213"/>
      <c r="UT26" s="213"/>
      <c r="UU26" s="213"/>
      <c r="UV26" s="213"/>
      <c r="UW26" s="213"/>
      <c r="UX26" s="213"/>
      <c r="UY26" s="213"/>
      <c r="UZ26" s="213"/>
      <c r="VA26" s="213"/>
      <c r="VB26" s="213"/>
      <c r="VC26" s="213"/>
      <c r="VD26" s="213"/>
      <c r="VE26" s="213"/>
      <c r="VF26" s="213"/>
      <c r="VG26" s="213"/>
      <c r="VH26" s="213"/>
      <c r="VI26" s="213"/>
      <c r="VJ26" s="213"/>
      <c r="VK26" s="213"/>
      <c r="VL26" s="213"/>
      <c r="VM26" s="213"/>
      <c r="VN26" s="213"/>
      <c r="VO26" s="213"/>
      <c r="VP26" s="213"/>
      <c r="VQ26" s="213"/>
      <c r="VR26" s="213"/>
      <c r="VS26" s="213"/>
      <c r="VT26" s="213"/>
      <c r="VU26" s="213"/>
      <c r="VV26" s="213"/>
      <c r="VW26" s="213"/>
      <c r="VX26" s="213"/>
      <c r="VY26" s="213"/>
      <c r="VZ26" s="213"/>
      <c r="WA26" s="213"/>
      <c r="WB26" s="213"/>
      <c r="WC26" s="213"/>
      <c r="WD26" s="213"/>
      <c r="WE26" s="213"/>
      <c r="WF26" s="213"/>
      <c r="WG26" s="213"/>
      <c r="WH26" s="213"/>
      <c r="WI26" s="213"/>
      <c r="WJ26" s="213"/>
      <c r="WK26" s="213"/>
      <c r="WL26" s="213"/>
      <c r="WM26" s="213"/>
      <c r="WN26" s="213"/>
      <c r="WO26" s="213"/>
      <c r="WP26" s="213"/>
      <c r="WQ26" s="213"/>
      <c r="WR26" s="213"/>
      <c r="WS26" s="213"/>
      <c r="WT26" s="213"/>
      <c r="WU26" s="213"/>
      <c r="WV26" s="213"/>
      <c r="WW26" s="213"/>
      <c r="WX26" s="213"/>
      <c r="WY26" s="213"/>
      <c r="WZ26" s="213"/>
      <c r="XA26" s="213"/>
      <c r="XB26" s="213"/>
      <c r="XC26" s="213"/>
      <c r="XD26" s="213"/>
      <c r="XE26" s="213"/>
      <c r="XF26" s="213"/>
      <c r="XG26" s="213"/>
      <c r="XH26" s="213"/>
      <c r="XI26" s="213"/>
      <c r="XJ26" s="213"/>
      <c r="XK26" s="213"/>
      <c r="XL26" s="213"/>
      <c r="XM26" s="213"/>
      <c r="XN26" s="213"/>
      <c r="XO26" s="213"/>
      <c r="XP26" s="213"/>
      <c r="XQ26" s="213"/>
      <c r="XR26" s="213"/>
      <c r="XS26" s="213"/>
      <c r="XT26" s="213"/>
      <c r="XU26" s="213"/>
      <c r="XV26" s="213"/>
      <c r="XW26" s="213"/>
      <c r="XX26" s="213"/>
      <c r="XY26" s="213"/>
      <c r="XZ26" s="213"/>
      <c r="YA26" s="213"/>
      <c r="YB26" s="213"/>
      <c r="YC26" s="213"/>
      <c r="YD26" s="213"/>
      <c r="YE26" s="213"/>
      <c r="YF26" s="213"/>
      <c r="YG26" s="213"/>
      <c r="YH26" s="213"/>
      <c r="YI26" s="213"/>
      <c r="YJ26" s="213"/>
      <c r="YK26" s="213"/>
      <c r="YL26" s="213"/>
      <c r="YM26" s="213"/>
      <c r="YN26" s="213"/>
      <c r="YO26" s="213"/>
      <c r="YP26" s="213"/>
      <c r="YQ26" s="213"/>
      <c r="YR26" s="213"/>
      <c r="YS26" s="213"/>
      <c r="YT26" s="213"/>
      <c r="YU26" s="213"/>
      <c r="YV26" s="213"/>
      <c r="YW26" s="213"/>
      <c r="YX26" s="213"/>
      <c r="YY26" s="213"/>
      <c r="YZ26" s="213"/>
      <c r="ZA26" s="213"/>
      <c r="ZB26" s="213"/>
      <c r="ZC26" s="213"/>
      <c r="ZD26" s="213"/>
      <c r="ZE26" s="213"/>
      <c r="ZF26" s="213"/>
      <c r="ZG26" s="213"/>
      <c r="ZH26" s="213"/>
      <c r="ZI26" s="213"/>
      <c r="ZJ26" s="213"/>
      <c r="ZK26" s="213"/>
      <c r="ZL26" s="213"/>
      <c r="ZM26" s="213"/>
      <c r="ZN26" s="213"/>
      <c r="ZO26" s="213"/>
      <c r="ZP26" s="213"/>
      <c r="ZQ26" s="213"/>
      <c r="ZR26" s="213"/>
      <c r="ZS26" s="213"/>
      <c r="ZT26" s="213"/>
      <c r="ZU26" s="213"/>
      <c r="ZV26" s="213"/>
      <c r="ZW26" s="213"/>
      <c r="ZX26" s="213"/>
      <c r="ZY26" s="213"/>
      <c r="ZZ26" s="213"/>
      <c r="AAA26" s="213"/>
      <c r="AAB26" s="213"/>
      <c r="AAC26" s="213"/>
      <c r="AAD26" s="213"/>
      <c r="AAE26" s="213"/>
      <c r="AAF26" s="213"/>
      <c r="AAG26" s="213"/>
      <c r="AAH26" s="213"/>
      <c r="AAI26" s="213"/>
      <c r="AAJ26" s="213"/>
      <c r="AAK26" s="213"/>
      <c r="AAL26" s="213"/>
      <c r="AAM26" s="213"/>
      <c r="AAN26" s="213"/>
      <c r="AAO26" s="213"/>
      <c r="AAP26" s="213"/>
      <c r="AAQ26" s="213"/>
      <c r="AAR26" s="213"/>
      <c r="AAS26" s="213"/>
      <c r="AAT26" s="213"/>
      <c r="AAU26" s="213"/>
      <c r="AAV26" s="213"/>
      <c r="AAW26" s="213"/>
      <c r="AAX26" s="213"/>
      <c r="AAY26" s="213"/>
      <c r="AAZ26" s="213"/>
      <c r="ABA26" s="213"/>
      <c r="ABB26" s="213"/>
      <c r="ABC26" s="213"/>
      <c r="ABD26" s="213"/>
      <c r="ABE26" s="213"/>
      <c r="ABF26" s="213"/>
      <c r="ABG26" s="213"/>
      <c r="ABH26" s="213"/>
      <c r="ABI26" s="213"/>
      <c r="ABJ26" s="213"/>
      <c r="ABK26" s="213"/>
      <c r="ABL26" s="213"/>
      <c r="ABM26" s="213"/>
      <c r="ABN26" s="213"/>
      <c r="ABO26" s="213"/>
      <c r="ABP26" s="213"/>
      <c r="ABQ26" s="213"/>
      <c r="ABR26" s="213"/>
      <c r="ABS26" s="213"/>
      <c r="ABT26" s="213"/>
      <c r="ABU26" s="213"/>
      <c r="ABV26" s="213"/>
      <c r="ABW26" s="213"/>
      <c r="ABX26" s="213"/>
      <c r="ABY26" s="213"/>
      <c r="ABZ26" s="213"/>
      <c r="ACA26" s="213"/>
      <c r="ACB26" s="213"/>
      <c r="ACC26" s="213"/>
      <c r="ACD26" s="213"/>
      <c r="ACE26" s="213"/>
      <c r="ACF26" s="213"/>
      <c r="ACG26" s="213"/>
      <c r="ACH26" s="213"/>
      <c r="ACI26" s="213"/>
      <c r="ACJ26" s="213"/>
      <c r="ACK26" s="213"/>
      <c r="ACL26" s="213"/>
      <c r="ACM26" s="213"/>
      <c r="ACN26" s="213"/>
      <c r="ACO26" s="213"/>
      <c r="ACP26" s="213"/>
      <c r="ACQ26" s="213"/>
      <c r="ACR26" s="213"/>
      <c r="ACS26" s="213"/>
      <c r="ACT26" s="213"/>
      <c r="ACU26" s="213"/>
      <c r="ACV26" s="213"/>
      <c r="ACW26" s="213"/>
      <c r="ACX26" s="213"/>
      <c r="ACY26" s="213"/>
      <c r="ACZ26" s="213"/>
      <c r="ADA26" s="213"/>
      <c r="ADB26" s="213"/>
      <c r="ADC26" s="213"/>
      <c r="ADD26" s="213"/>
      <c r="ADE26" s="213"/>
      <c r="ADF26" s="213"/>
      <c r="ADG26" s="213"/>
      <c r="ADH26" s="213"/>
      <c r="ADI26" s="213"/>
      <c r="ADJ26" s="213"/>
      <c r="ADK26" s="213"/>
      <c r="ADL26" s="213"/>
      <c r="ADM26" s="213"/>
      <c r="ADN26" s="213"/>
      <c r="ADO26" s="213"/>
      <c r="ADP26" s="213"/>
      <c r="ADQ26" s="213"/>
      <c r="ADR26" s="213"/>
      <c r="ADS26" s="213"/>
      <c r="ADT26" s="213"/>
      <c r="ADU26" s="213"/>
      <c r="ADV26" s="213"/>
      <c r="ADW26" s="213"/>
      <c r="ADX26" s="213"/>
      <c r="ADY26" s="213"/>
      <c r="ADZ26" s="213"/>
      <c r="AEA26" s="213"/>
      <c r="AEB26" s="213"/>
      <c r="AEC26" s="213"/>
      <c r="AED26" s="213"/>
      <c r="AEE26" s="213"/>
      <c r="AEF26" s="213"/>
      <c r="AEG26" s="213"/>
      <c r="AEH26" s="213"/>
      <c r="AEI26" s="213"/>
      <c r="AEJ26" s="213"/>
      <c r="AEK26" s="213"/>
      <c r="AEL26" s="213"/>
      <c r="AEM26" s="213"/>
      <c r="AEN26" s="213"/>
      <c r="AEO26" s="213"/>
      <c r="AEP26" s="213"/>
      <c r="AEQ26" s="213"/>
      <c r="AER26" s="213"/>
      <c r="AES26" s="213"/>
      <c r="AET26" s="213"/>
      <c r="AEU26" s="213"/>
      <c r="AEV26" s="213"/>
      <c r="AEW26" s="213"/>
      <c r="AEX26" s="213"/>
      <c r="AEY26" s="213"/>
      <c r="AEZ26" s="213"/>
      <c r="AFA26" s="213"/>
      <c r="AFB26" s="213"/>
      <c r="AFC26" s="213"/>
      <c r="AFD26" s="213"/>
      <c r="AFE26" s="213"/>
      <c r="AFF26" s="213"/>
      <c r="AFG26" s="213"/>
      <c r="AFH26" s="213"/>
      <c r="AFI26" s="213"/>
      <c r="AFJ26" s="213"/>
      <c r="AFK26" s="213"/>
      <c r="AFL26" s="213"/>
      <c r="AFM26" s="213"/>
      <c r="AFN26" s="213"/>
      <c r="AFO26" s="213"/>
      <c r="AFP26" s="213"/>
      <c r="AFQ26" s="213"/>
      <c r="AFR26" s="213"/>
      <c r="AFS26" s="213"/>
      <c r="AFT26" s="213"/>
      <c r="AFU26" s="213"/>
      <c r="AFV26" s="213"/>
      <c r="AFW26" s="213"/>
      <c r="AFX26" s="213"/>
      <c r="AFY26" s="213"/>
      <c r="AFZ26" s="213"/>
      <c r="AGA26" s="213"/>
      <c r="AGB26" s="213"/>
      <c r="AGC26" s="213"/>
      <c r="AGD26" s="213"/>
      <c r="AGE26" s="213"/>
      <c r="AGF26" s="213"/>
      <c r="AGG26" s="213"/>
      <c r="AGH26" s="213"/>
      <c r="AGI26" s="213"/>
      <c r="AGJ26" s="213"/>
      <c r="AGK26" s="213"/>
      <c r="AGL26" s="213"/>
      <c r="AGM26" s="213"/>
      <c r="AGN26" s="213"/>
      <c r="AGO26" s="213"/>
      <c r="AGP26" s="213"/>
      <c r="AGQ26" s="213"/>
      <c r="AGR26" s="213"/>
      <c r="AGS26" s="213"/>
      <c r="AGT26" s="213"/>
      <c r="AGU26" s="213"/>
      <c r="AGV26" s="213"/>
      <c r="AGW26" s="213"/>
      <c r="AGX26" s="213"/>
      <c r="AGY26" s="213"/>
      <c r="AGZ26" s="213"/>
      <c r="AHA26" s="213"/>
      <c r="AHB26" s="213"/>
      <c r="AHC26" s="213"/>
      <c r="AHD26" s="213"/>
      <c r="AHE26" s="213"/>
      <c r="AHF26" s="213"/>
      <c r="AHG26" s="213"/>
      <c r="AHH26" s="213"/>
      <c r="AHI26" s="213"/>
      <c r="AHJ26" s="213"/>
      <c r="AHK26" s="213"/>
      <c r="AHL26" s="213"/>
      <c r="AHM26" s="213"/>
      <c r="AHN26" s="213"/>
      <c r="AHO26" s="213"/>
      <c r="AHP26" s="213"/>
      <c r="AHQ26" s="213"/>
      <c r="AHR26" s="213"/>
      <c r="AHS26" s="213"/>
      <c r="AHT26" s="213"/>
      <c r="AHU26" s="213"/>
      <c r="AHV26" s="213"/>
      <c r="AHW26" s="213"/>
      <c r="AHX26" s="213"/>
      <c r="AHY26" s="213"/>
      <c r="AHZ26" s="213"/>
      <c r="AIA26" s="213"/>
      <c r="AIB26" s="213"/>
      <c r="AIC26" s="213"/>
      <c r="AID26" s="213"/>
      <c r="AIE26" s="213"/>
      <c r="AIF26" s="213"/>
      <c r="AIG26" s="213"/>
      <c r="AIH26" s="213"/>
      <c r="AII26" s="213"/>
      <c r="AIJ26" s="213"/>
      <c r="AIK26" s="213"/>
      <c r="AIL26" s="213"/>
      <c r="AIM26" s="213"/>
      <c r="AIN26" s="213"/>
      <c r="AIO26" s="213"/>
      <c r="AIP26" s="213"/>
      <c r="AIQ26" s="213"/>
      <c r="AIR26" s="213"/>
      <c r="AIS26" s="213"/>
      <c r="AIT26" s="213"/>
      <c r="AIU26" s="213"/>
      <c r="AIV26" s="213"/>
      <c r="AIW26" s="213"/>
      <c r="AIX26" s="213"/>
      <c r="AIY26" s="213"/>
      <c r="AIZ26" s="213"/>
      <c r="AJA26" s="213"/>
      <c r="AJB26" s="213"/>
      <c r="AJC26" s="213"/>
      <c r="AJD26" s="213"/>
      <c r="AJE26" s="213"/>
      <c r="AJF26" s="213"/>
      <c r="AJG26" s="213"/>
      <c r="AJH26" s="213"/>
      <c r="AJI26" s="213"/>
      <c r="AJJ26" s="213"/>
      <c r="AJK26" s="213"/>
      <c r="AJL26" s="213"/>
      <c r="AJM26" s="213"/>
      <c r="AJN26" s="213"/>
      <c r="AJO26" s="213"/>
      <c r="AJP26" s="213"/>
      <c r="AJQ26" s="213"/>
      <c r="AJR26" s="213"/>
      <c r="AJS26" s="213"/>
      <c r="AJT26" s="213"/>
      <c r="AJU26" s="213"/>
      <c r="AJV26" s="213"/>
      <c r="AJW26" s="213"/>
      <c r="AJX26" s="213"/>
      <c r="AJY26" s="213"/>
      <c r="AJZ26" s="213"/>
      <c r="AKA26" s="213"/>
      <c r="AKB26" s="213"/>
      <c r="AKC26" s="213"/>
      <c r="AKD26" s="213"/>
      <c r="AKE26" s="213"/>
      <c r="AKF26" s="213"/>
      <c r="AKG26" s="213"/>
      <c r="AKH26" s="213"/>
      <c r="AKI26" s="213"/>
      <c r="AKJ26" s="213"/>
      <c r="AKK26" s="213"/>
      <c r="AKL26" s="213"/>
      <c r="AKM26" s="213"/>
      <c r="AKN26" s="213"/>
      <c r="AKO26" s="213"/>
      <c r="AKP26" s="213"/>
      <c r="AKQ26" s="213"/>
      <c r="AKR26" s="213"/>
      <c r="AKS26" s="213"/>
      <c r="AKT26" s="213"/>
      <c r="AKU26" s="213"/>
      <c r="AKV26" s="213"/>
      <c r="AKW26" s="213"/>
      <c r="AKX26" s="213"/>
      <c r="AKY26" s="213"/>
      <c r="AKZ26" s="213"/>
      <c r="ALA26" s="213"/>
      <c r="ALB26" s="213"/>
      <c r="ALC26" s="213"/>
      <c r="ALD26" s="213"/>
      <c r="ALE26" s="213"/>
      <c r="ALF26" s="213"/>
      <c r="ALG26" s="213"/>
      <c r="ALH26" s="213"/>
      <c r="ALI26" s="213"/>
      <c r="ALJ26" s="213"/>
      <c r="ALK26" s="213"/>
      <c r="ALL26" s="213"/>
      <c r="ALM26" s="213"/>
      <c r="ALN26" s="213"/>
      <c r="ALO26" s="213"/>
      <c r="ALP26" s="213"/>
      <c r="ALQ26" s="213"/>
      <c r="ALR26" s="213"/>
      <c r="ALS26" s="213"/>
      <c r="ALT26" s="213"/>
      <c r="ALU26" s="213"/>
      <c r="ALV26" s="213"/>
      <c r="ALW26" s="213"/>
      <c r="ALX26" s="213"/>
      <c r="ALY26" s="213"/>
      <c r="ALZ26" s="213"/>
      <c r="AMA26" s="213"/>
      <c r="AMB26" s="213"/>
      <c r="AMC26" s="213"/>
      <c r="AMD26" s="213"/>
      <c r="AME26" s="213"/>
      <c r="AMF26" s="213"/>
      <c r="AMG26" s="213"/>
      <c r="AMH26" s="213"/>
      <c r="AMI26" s="213"/>
      <c r="AMJ26" s="213"/>
      <c r="AMK26" s="213"/>
      <c r="AML26" s="213"/>
      <c r="AMM26" s="213"/>
      <c r="AMN26" s="213"/>
      <c r="AMO26" s="213"/>
      <c r="AMP26" s="213"/>
      <c r="AMQ26" s="213"/>
      <c r="AMR26" s="213"/>
      <c r="AMS26" s="213"/>
      <c r="AMT26" s="213"/>
      <c r="AMU26" s="213"/>
      <c r="AMV26" s="213"/>
      <c r="AMW26" s="213"/>
      <c r="AMX26" s="213"/>
      <c r="AMY26" s="213"/>
      <c r="AMZ26" s="213"/>
      <c r="ANA26" s="213"/>
      <c r="ANB26" s="213"/>
      <c r="ANC26" s="213"/>
      <c r="AND26" s="213"/>
      <c r="ANE26" s="213"/>
      <c r="ANF26" s="213"/>
      <c r="ANG26" s="213"/>
      <c r="ANH26" s="213"/>
      <c r="ANI26" s="213"/>
      <c r="ANJ26" s="213"/>
      <c r="ANK26" s="213"/>
      <c r="ANL26" s="213"/>
      <c r="ANM26" s="213"/>
      <c r="ANN26" s="213"/>
      <c r="ANO26" s="213"/>
      <c r="ANP26" s="213"/>
      <c r="ANQ26" s="213"/>
      <c r="ANR26" s="213"/>
      <c r="ANS26" s="213"/>
      <c r="ANT26" s="213"/>
      <c r="ANU26" s="213"/>
      <c r="ANV26" s="213"/>
      <c r="ANW26" s="213"/>
      <c r="ANX26" s="213"/>
      <c r="ANY26" s="213"/>
      <c r="ANZ26" s="213"/>
      <c r="AOA26" s="213"/>
      <c r="AOB26" s="213"/>
      <c r="AOC26" s="213"/>
      <c r="AOD26" s="213"/>
      <c r="AOE26" s="213"/>
      <c r="AOF26" s="213"/>
      <c r="AOG26" s="213"/>
      <c r="AOH26" s="213"/>
      <c r="AOI26" s="213"/>
      <c r="AOJ26" s="213"/>
      <c r="AOK26" s="213"/>
      <c r="AOL26" s="213"/>
      <c r="AOM26" s="213"/>
      <c r="AON26" s="213"/>
      <c r="AOO26" s="213"/>
      <c r="AOP26" s="213"/>
      <c r="AOQ26" s="213"/>
      <c r="AOR26" s="213"/>
      <c r="AOS26" s="213"/>
      <c r="AOT26" s="213"/>
      <c r="AOU26" s="213"/>
      <c r="AOV26" s="213"/>
      <c r="AOW26" s="213"/>
      <c r="AOX26" s="213"/>
      <c r="AOY26" s="213"/>
      <c r="AOZ26" s="213"/>
      <c r="APA26" s="213"/>
      <c r="APB26" s="213"/>
      <c r="APC26" s="213"/>
      <c r="APD26" s="213"/>
      <c r="APE26" s="213"/>
      <c r="APF26" s="213"/>
      <c r="APG26" s="213"/>
      <c r="APH26" s="213"/>
      <c r="API26" s="213"/>
      <c r="APJ26" s="213"/>
      <c r="APK26" s="213"/>
      <c r="APL26" s="213"/>
      <c r="APM26" s="213"/>
      <c r="APN26" s="213"/>
      <c r="APO26" s="213"/>
      <c r="APP26" s="213"/>
      <c r="APQ26" s="213"/>
      <c r="APR26" s="213"/>
      <c r="APS26" s="213"/>
      <c r="APT26" s="213"/>
      <c r="APU26" s="213"/>
      <c r="APV26" s="213"/>
      <c r="APW26" s="213"/>
      <c r="APX26" s="213"/>
      <c r="APY26" s="213"/>
      <c r="APZ26" s="213"/>
      <c r="AQA26" s="213"/>
      <c r="AQB26" s="213"/>
      <c r="AQC26" s="213"/>
      <c r="AQD26" s="213"/>
      <c r="AQE26" s="213"/>
      <c r="AQF26" s="213"/>
      <c r="AQG26" s="213"/>
      <c r="AQH26" s="213"/>
      <c r="AQI26" s="213"/>
      <c r="AQJ26" s="213"/>
      <c r="AQK26" s="213"/>
      <c r="AQL26" s="213"/>
      <c r="AQM26" s="213"/>
      <c r="AQN26" s="213"/>
      <c r="AQO26" s="213"/>
      <c r="AQP26" s="213"/>
      <c r="AQQ26" s="213"/>
      <c r="AQR26" s="213"/>
      <c r="AQS26" s="213"/>
      <c r="AQT26" s="213"/>
      <c r="AQU26" s="213"/>
      <c r="AQV26" s="213"/>
      <c r="AQW26" s="213"/>
      <c r="AQX26" s="213"/>
      <c r="AQY26" s="213"/>
      <c r="AQZ26" s="213"/>
      <c r="ARA26" s="213"/>
      <c r="ARB26" s="213"/>
      <c r="ARC26" s="213"/>
      <c r="ARD26" s="213"/>
      <c r="ARE26" s="213"/>
      <c r="ARF26" s="213"/>
      <c r="ARG26" s="213"/>
      <c r="ARH26" s="213"/>
      <c r="ARI26" s="213"/>
      <c r="ARJ26" s="213"/>
      <c r="ARK26" s="213"/>
      <c r="ARL26" s="213"/>
      <c r="ARM26" s="213"/>
      <c r="ARN26" s="213"/>
      <c r="ARO26" s="213"/>
      <c r="ARP26" s="213"/>
      <c r="ARQ26" s="213"/>
      <c r="ARR26" s="213"/>
      <c r="ARS26" s="213"/>
      <c r="ART26" s="213"/>
      <c r="ARU26" s="213"/>
      <c r="ARV26" s="213"/>
      <c r="ARW26" s="213"/>
      <c r="ARX26" s="213"/>
      <c r="ARY26" s="213"/>
      <c r="ARZ26" s="213"/>
      <c r="ASA26" s="213"/>
      <c r="ASB26" s="213"/>
      <c r="ASC26" s="213"/>
      <c r="ASD26" s="213"/>
      <c r="ASE26" s="213"/>
      <c r="ASF26" s="213"/>
      <c r="ASG26" s="213"/>
      <c r="ASH26" s="213"/>
      <c r="ASI26" s="213"/>
      <c r="ASJ26" s="213"/>
      <c r="ASK26" s="213"/>
      <c r="ASL26" s="213"/>
      <c r="ASM26" s="213"/>
      <c r="ASN26" s="213"/>
      <c r="ASO26" s="213"/>
      <c r="ASP26" s="213"/>
      <c r="ASQ26" s="213"/>
      <c r="ASR26" s="213"/>
      <c r="ASS26" s="213"/>
      <c r="AST26" s="213"/>
      <c r="ASU26" s="213"/>
      <c r="ASV26" s="213"/>
      <c r="ASW26" s="213"/>
      <c r="ASX26" s="213"/>
      <c r="ASY26" s="213"/>
      <c r="ASZ26" s="213"/>
      <c r="ATA26" s="213"/>
      <c r="ATB26" s="213"/>
      <c r="ATC26" s="213"/>
      <c r="ATD26" s="213"/>
      <c r="ATE26" s="213"/>
      <c r="ATF26" s="213"/>
      <c r="ATG26" s="213"/>
      <c r="ATH26" s="213"/>
      <c r="ATI26" s="213"/>
      <c r="ATJ26" s="213"/>
      <c r="ATK26" s="213"/>
      <c r="ATL26" s="213"/>
      <c r="ATM26" s="213"/>
      <c r="ATN26" s="213"/>
      <c r="ATO26" s="213"/>
      <c r="ATP26" s="213"/>
      <c r="ATQ26" s="213"/>
      <c r="ATR26" s="213"/>
      <c r="ATS26" s="213"/>
      <c r="ATT26" s="213"/>
      <c r="ATU26" s="213"/>
      <c r="ATV26" s="213"/>
      <c r="ATW26" s="213"/>
      <c r="ATX26" s="213"/>
      <c r="ATY26" s="213"/>
      <c r="ATZ26" s="213"/>
      <c r="AUA26" s="213"/>
      <c r="AUB26" s="213"/>
      <c r="AUC26" s="213"/>
      <c r="AUD26" s="213"/>
      <c r="AUE26" s="213"/>
      <c r="AUF26" s="213"/>
      <c r="AUG26" s="213"/>
      <c r="AUH26" s="213"/>
      <c r="AUI26" s="213"/>
      <c r="AUJ26" s="213"/>
      <c r="AUK26" s="213"/>
      <c r="AUL26" s="213"/>
      <c r="AUM26" s="213"/>
      <c r="AUN26" s="213"/>
      <c r="AUO26" s="213"/>
      <c r="AUP26" s="213"/>
      <c r="AUQ26" s="213"/>
      <c r="AUR26" s="213"/>
      <c r="AUS26" s="213"/>
      <c r="AUT26" s="213"/>
      <c r="AUU26" s="213"/>
      <c r="AUV26" s="213"/>
      <c r="AUW26" s="213"/>
      <c r="AUX26" s="213"/>
      <c r="AUY26" s="213"/>
      <c r="AUZ26" s="213"/>
      <c r="AVA26" s="213"/>
      <c r="AVB26" s="213"/>
      <c r="AVC26" s="213"/>
      <c r="AVD26" s="213"/>
      <c r="AVE26" s="213"/>
      <c r="AVF26" s="213"/>
      <c r="AVG26" s="213"/>
      <c r="AVH26" s="213"/>
      <c r="AVI26" s="213"/>
      <c r="AVJ26" s="213"/>
      <c r="AVK26" s="213"/>
      <c r="AVL26" s="213"/>
      <c r="AVM26" s="213"/>
      <c r="AVN26" s="213"/>
      <c r="AVO26" s="213"/>
      <c r="AVP26" s="213"/>
      <c r="AVQ26" s="213"/>
      <c r="AVR26" s="213"/>
      <c r="AVS26" s="213"/>
      <c r="AVT26" s="213"/>
      <c r="AVU26" s="213"/>
      <c r="AVV26" s="213"/>
      <c r="AVW26" s="213"/>
      <c r="AVX26" s="213"/>
      <c r="AVY26" s="213"/>
      <c r="AVZ26" s="213"/>
      <c r="AWA26" s="213"/>
      <c r="AWB26" s="213"/>
      <c r="AWC26" s="213"/>
      <c r="AWD26" s="213"/>
      <c r="AWE26" s="213"/>
      <c r="AWF26" s="213"/>
      <c r="AWG26" s="213"/>
      <c r="AWH26" s="213"/>
      <c r="AWI26" s="213"/>
      <c r="AWJ26" s="213"/>
      <c r="AWK26" s="213"/>
      <c r="AWL26" s="213"/>
      <c r="AWM26" s="213"/>
      <c r="AWN26" s="213"/>
      <c r="AWO26" s="213"/>
      <c r="AWP26" s="213"/>
      <c r="AWQ26" s="213"/>
      <c r="AWR26" s="213"/>
      <c r="AWS26" s="213"/>
      <c r="AWT26" s="213"/>
      <c r="AWU26" s="213"/>
      <c r="AWV26" s="213"/>
      <c r="AWW26" s="213"/>
      <c r="AWX26" s="213"/>
      <c r="AWY26" s="213"/>
      <c r="AWZ26" s="213"/>
      <c r="AXA26" s="213"/>
      <c r="AXB26" s="213"/>
      <c r="AXC26" s="213"/>
      <c r="AXD26" s="213"/>
      <c r="AXE26" s="213"/>
      <c r="AXF26" s="213"/>
      <c r="AXG26" s="213"/>
      <c r="AXH26" s="213"/>
      <c r="AXI26" s="213"/>
      <c r="AXJ26" s="213"/>
      <c r="AXK26" s="213"/>
      <c r="AXL26" s="213"/>
      <c r="AXM26" s="213"/>
      <c r="AXN26" s="213"/>
      <c r="AXO26" s="213"/>
      <c r="AXP26" s="213"/>
      <c r="AXQ26" s="213"/>
      <c r="AXR26" s="213"/>
      <c r="AXS26" s="213"/>
      <c r="AXT26" s="213"/>
      <c r="AXU26" s="213"/>
      <c r="AXV26" s="213"/>
      <c r="AXW26" s="213"/>
      <c r="AXX26" s="213"/>
      <c r="AXY26" s="213"/>
      <c r="AXZ26" s="213"/>
      <c r="AYA26" s="213"/>
      <c r="AYB26" s="213"/>
      <c r="AYC26" s="213"/>
      <c r="AYD26" s="213"/>
      <c r="AYE26" s="213"/>
      <c r="AYF26" s="213"/>
      <c r="AYG26" s="213"/>
      <c r="AYH26" s="213"/>
      <c r="AYI26" s="213"/>
      <c r="AYJ26" s="213"/>
      <c r="AYK26" s="213"/>
      <c r="AYL26" s="213"/>
      <c r="AYM26" s="213"/>
      <c r="AYN26" s="213"/>
      <c r="AYO26" s="213"/>
      <c r="AYP26" s="213"/>
      <c r="AYQ26" s="213"/>
      <c r="AYR26" s="213"/>
      <c r="AYS26" s="213"/>
      <c r="AYT26" s="213"/>
      <c r="AYU26" s="213"/>
      <c r="AYV26" s="213"/>
      <c r="AYW26" s="213"/>
      <c r="AYX26" s="213"/>
      <c r="AYY26" s="213"/>
      <c r="AYZ26" s="213"/>
      <c r="AZA26" s="213"/>
      <c r="AZB26" s="213"/>
      <c r="AZC26" s="213"/>
      <c r="AZD26" s="213"/>
      <c r="AZE26" s="213"/>
      <c r="AZF26" s="213"/>
      <c r="AZG26" s="213"/>
      <c r="AZH26" s="213"/>
      <c r="AZI26" s="213"/>
      <c r="AZJ26" s="213"/>
      <c r="AZK26" s="213"/>
      <c r="AZL26" s="213"/>
      <c r="AZM26" s="213"/>
      <c r="AZN26" s="213"/>
      <c r="AZO26" s="213"/>
      <c r="AZP26" s="213"/>
      <c r="AZQ26" s="213"/>
      <c r="AZR26" s="213"/>
      <c r="AZS26" s="213"/>
      <c r="AZT26" s="213"/>
      <c r="AZU26" s="213"/>
      <c r="AZV26" s="213"/>
      <c r="AZW26" s="213"/>
      <c r="AZX26" s="213"/>
      <c r="AZY26" s="213"/>
      <c r="AZZ26" s="213"/>
      <c r="BAA26" s="213"/>
      <c r="BAB26" s="213"/>
      <c r="BAC26" s="213"/>
      <c r="BAD26" s="213"/>
      <c r="BAE26" s="213"/>
      <c r="BAF26" s="213"/>
      <c r="BAG26" s="213"/>
      <c r="BAH26" s="213"/>
      <c r="BAI26" s="213"/>
      <c r="BAJ26" s="213"/>
      <c r="BAK26" s="213"/>
      <c r="BAL26" s="213"/>
      <c r="BAM26" s="213"/>
      <c r="BAN26" s="213"/>
      <c r="BAO26" s="213"/>
      <c r="BAP26" s="213"/>
      <c r="BAQ26" s="213"/>
      <c r="BAR26" s="213"/>
      <c r="BAS26" s="213"/>
      <c r="BAT26" s="213"/>
      <c r="BAU26" s="213"/>
      <c r="BAV26" s="213"/>
      <c r="BAW26" s="213"/>
      <c r="BAX26" s="213"/>
      <c r="BAY26" s="213"/>
      <c r="BAZ26" s="213"/>
      <c r="BBA26" s="213"/>
      <c r="BBB26" s="213"/>
      <c r="BBC26" s="213"/>
      <c r="BBD26" s="213"/>
      <c r="BBE26" s="213"/>
      <c r="BBF26" s="213"/>
      <c r="BBG26" s="213"/>
      <c r="BBH26" s="213"/>
      <c r="BBI26" s="213"/>
      <c r="BBJ26" s="213"/>
      <c r="BBK26" s="213"/>
      <c r="BBL26" s="213"/>
      <c r="BBM26" s="213"/>
      <c r="BBN26" s="213"/>
      <c r="BBO26" s="213"/>
      <c r="BBP26" s="213"/>
      <c r="BBQ26" s="213"/>
      <c r="BBR26" s="213"/>
      <c r="BBS26" s="213"/>
      <c r="BBT26" s="213"/>
      <c r="BBU26" s="213"/>
      <c r="BBV26" s="213"/>
      <c r="BBW26" s="213"/>
      <c r="BBX26" s="213"/>
      <c r="BBY26" s="213"/>
      <c r="BBZ26" s="213"/>
      <c r="BCA26" s="213"/>
      <c r="BCB26" s="213"/>
      <c r="BCC26" s="213"/>
      <c r="BCD26" s="213"/>
      <c r="BCE26" s="213"/>
      <c r="BCF26" s="213"/>
      <c r="BCG26" s="213"/>
      <c r="BCH26" s="213"/>
      <c r="BCI26" s="213"/>
      <c r="BCJ26" s="213"/>
      <c r="BCK26" s="213"/>
      <c r="BCL26" s="213"/>
      <c r="BCM26" s="213"/>
      <c r="BCN26" s="213"/>
      <c r="BCO26" s="213"/>
      <c r="BCP26" s="213"/>
      <c r="BCQ26" s="213"/>
      <c r="BCR26" s="213"/>
      <c r="BCS26" s="213"/>
      <c r="BCT26" s="213"/>
      <c r="BCU26" s="213"/>
      <c r="BCV26" s="213"/>
      <c r="BCW26" s="213"/>
      <c r="BCX26" s="213"/>
      <c r="BCY26" s="213"/>
      <c r="BCZ26" s="213"/>
      <c r="BDA26" s="213"/>
      <c r="BDB26" s="213"/>
      <c r="BDC26" s="213"/>
      <c r="BDD26" s="213"/>
      <c r="BDE26" s="213"/>
      <c r="BDF26" s="213"/>
      <c r="BDG26" s="213"/>
      <c r="BDH26" s="213"/>
      <c r="BDI26" s="213"/>
      <c r="BDJ26" s="213"/>
      <c r="BDK26" s="213"/>
      <c r="BDL26" s="213"/>
      <c r="BDM26" s="213"/>
      <c r="BDN26" s="213"/>
      <c r="BDO26" s="213"/>
      <c r="BDP26" s="213"/>
      <c r="BDQ26" s="213"/>
      <c r="BDR26" s="213"/>
      <c r="BDS26" s="213"/>
      <c r="BDT26" s="213"/>
      <c r="BDU26" s="213"/>
      <c r="BDV26" s="213"/>
      <c r="BDW26" s="213"/>
      <c r="BDX26" s="213"/>
      <c r="BDY26" s="213"/>
      <c r="BDZ26" s="213"/>
      <c r="BEA26" s="213"/>
      <c r="BEB26" s="213"/>
      <c r="BEC26" s="213"/>
      <c r="BED26" s="213"/>
      <c r="BEE26" s="213"/>
      <c r="BEF26" s="213"/>
      <c r="BEG26" s="213"/>
      <c r="BEH26" s="213"/>
      <c r="BEI26" s="213"/>
      <c r="BEJ26" s="213"/>
      <c r="BEK26" s="213"/>
      <c r="BEL26" s="213"/>
      <c r="BEM26" s="213"/>
      <c r="BEN26" s="213"/>
      <c r="BEO26" s="213"/>
      <c r="BEP26" s="213"/>
      <c r="BEQ26" s="213"/>
      <c r="BER26" s="213"/>
      <c r="BES26" s="213"/>
      <c r="BET26" s="213"/>
      <c r="BEU26" s="213"/>
      <c r="BEV26" s="213"/>
      <c r="BEW26" s="213"/>
      <c r="BEX26" s="213"/>
      <c r="BEY26" s="213"/>
      <c r="BEZ26" s="213"/>
      <c r="BFA26" s="213"/>
      <c r="BFB26" s="213"/>
      <c r="BFC26" s="213"/>
      <c r="BFD26" s="213"/>
      <c r="BFE26" s="213"/>
      <c r="BFF26" s="213"/>
      <c r="BFG26" s="213"/>
      <c r="BFH26" s="213"/>
      <c r="BFI26" s="213"/>
      <c r="BFJ26" s="213"/>
      <c r="BFK26" s="213"/>
      <c r="BFL26" s="213"/>
      <c r="BFM26" s="213"/>
      <c r="BFN26" s="213"/>
      <c r="BFO26" s="213"/>
      <c r="BFP26" s="213"/>
      <c r="BFQ26" s="213"/>
      <c r="BFR26" s="213"/>
      <c r="BFS26" s="213"/>
      <c r="BFT26" s="213"/>
      <c r="BFU26" s="213"/>
      <c r="BFV26" s="213"/>
      <c r="BFW26" s="213"/>
      <c r="BFX26" s="213"/>
      <c r="BFY26" s="213"/>
      <c r="BFZ26" s="213"/>
      <c r="BGA26" s="213"/>
      <c r="BGB26" s="213"/>
      <c r="BGC26" s="213"/>
      <c r="BGD26" s="213"/>
      <c r="BGE26" s="213"/>
      <c r="BGF26" s="213"/>
      <c r="BGG26" s="213"/>
      <c r="BGH26" s="213"/>
      <c r="BGI26" s="213"/>
      <c r="BGJ26" s="213"/>
      <c r="BGK26" s="213"/>
      <c r="BGL26" s="213"/>
      <c r="BGM26" s="213"/>
      <c r="BGN26" s="213"/>
      <c r="BGO26" s="213"/>
      <c r="BGP26" s="213"/>
      <c r="BGQ26" s="213"/>
      <c r="BGR26" s="213"/>
      <c r="BGS26" s="213"/>
      <c r="BGT26" s="213"/>
      <c r="BGU26" s="213"/>
      <c r="BGV26" s="213"/>
      <c r="BGW26" s="213"/>
      <c r="BGX26" s="213"/>
      <c r="BGY26" s="213"/>
      <c r="BGZ26" s="213"/>
      <c r="BHA26" s="213"/>
      <c r="BHB26" s="213"/>
      <c r="BHC26" s="213"/>
      <c r="BHD26" s="213"/>
      <c r="BHE26" s="213"/>
      <c r="BHF26" s="213"/>
      <c r="BHG26" s="213"/>
      <c r="BHH26" s="213"/>
      <c r="BHI26" s="213"/>
      <c r="BHJ26" s="213"/>
      <c r="BHK26" s="213"/>
      <c r="BHL26" s="213"/>
      <c r="BHM26" s="213"/>
      <c r="BHN26" s="213"/>
      <c r="BHO26" s="213"/>
      <c r="BHP26" s="213"/>
      <c r="BHQ26" s="213"/>
      <c r="BHR26" s="213"/>
      <c r="BHS26" s="213"/>
      <c r="BHT26" s="213"/>
      <c r="BHU26" s="213"/>
      <c r="BHV26" s="213"/>
      <c r="BHW26" s="213"/>
      <c r="BHX26" s="213"/>
      <c r="BHY26" s="213"/>
      <c r="BHZ26" s="213"/>
      <c r="BIA26" s="213"/>
      <c r="BIB26" s="213"/>
      <c r="BIC26" s="213"/>
      <c r="BID26" s="213"/>
      <c r="BIE26" s="213"/>
      <c r="BIF26" s="213"/>
      <c r="BIG26" s="213"/>
      <c r="BIH26" s="213"/>
      <c r="BII26" s="213"/>
      <c r="BIJ26" s="213"/>
      <c r="BIK26" s="213"/>
      <c r="BIL26" s="213"/>
      <c r="BIM26" s="213"/>
      <c r="BIN26" s="213"/>
      <c r="BIO26" s="213"/>
      <c r="BIP26" s="213"/>
      <c r="BIQ26" s="213"/>
      <c r="BIR26" s="213"/>
      <c r="BIS26" s="213"/>
      <c r="BIT26" s="213"/>
      <c r="BIU26" s="213"/>
      <c r="BIV26" s="213"/>
      <c r="BIW26" s="213"/>
      <c r="BIX26" s="213"/>
      <c r="BIY26" s="213"/>
      <c r="BIZ26" s="213"/>
      <c r="BJA26" s="213"/>
      <c r="BJB26" s="213"/>
      <c r="BJC26" s="213"/>
      <c r="BJD26" s="213"/>
      <c r="BJE26" s="213"/>
      <c r="BJF26" s="213"/>
      <c r="BJG26" s="213"/>
      <c r="BJH26" s="213"/>
      <c r="BJI26" s="213"/>
      <c r="BJJ26" s="213"/>
      <c r="BJK26" s="213"/>
      <c r="BJL26" s="213"/>
      <c r="BJM26" s="213"/>
      <c r="BJN26" s="213"/>
      <c r="BJO26" s="213"/>
      <c r="BJP26" s="213"/>
      <c r="BJQ26" s="213"/>
      <c r="BJR26" s="213"/>
      <c r="BJS26" s="213"/>
      <c r="BJT26" s="213"/>
      <c r="BJU26" s="213"/>
      <c r="BJV26" s="213"/>
      <c r="BJW26" s="213"/>
      <c r="BJX26" s="213"/>
      <c r="BJY26" s="213"/>
      <c r="BJZ26" s="213"/>
      <c r="BKA26" s="213"/>
      <c r="BKB26" s="213"/>
      <c r="BKC26" s="213"/>
      <c r="BKD26" s="213"/>
      <c r="BKE26" s="213"/>
      <c r="BKF26" s="213"/>
      <c r="BKG26" s="213"/>
      <c r="BKH26" s="213"/>
      <c r="BKI26" s="213"/>
      <c r="BKJ26" s="213"/>
      <c r="BKK26" s="213"/>
      <c r="BKL26" s="213"/>
      <c r="BKM26" s="213"/>
      <c r="BKN26" s="213"/>
      <c r="BKO26" s="213"/>
      <c r="BKP26" s="213"/>
      <c r="BKQ26" s="213"/>
      <c r="BKR26" s="213"/>
      <c r="BKS26" s="213"/>
      <c r="BKT26" s="213"/>
      <c r="BKU26" s="213"/>
      <c r="BKV26" s="213"/>
      <c r="BKW26" s="213"/>
      <c r="BKX26" s="213"/>
      <c r="BKY26" s="213"/>
      <c r="BKZ26" s="213"/>
      <c r="BLA26" s="213"/>
      <c r="BLB26" s="213"/>
      <c r="BLC26" s="213"/>
      <c r="BLD26" s="213"/>
      <c r="BLE26" s="213"/>
      <c r="BLF26" s="213"/>
      <c r="BLG26" s="213"/>
      <c r="BLH26" s="213"/>
      <c r="BLI26" s="213"/>
      <c r="BLJ26" s="213"/>
      <c r="BLK26" s="213"/>
      <c r="BLL26" s="213"/>
      <c r="BLM26" s="213"/>
      <c r="BLN26" s="213"/>
      <c r="BLO26" s="213"/>
      <c r="BLP26" s="213"/>
      <c r="BLQ26" s="213"/>
      <c r="BLR26" s="213"/>
      <c r="BLS26" s="213"/>
      <c r="BLT26" s="213"/>
      <c r="BLU26" s="213"/>
      <c r="BLV26" s="213"/>
      <c r="BLW26" s="213"/>
      <c r="BLX26" s="213"/>
      <c r="BLY26" s="213"/>
      <c r="BLZ26" s="213"/>
      <c r="BMA26" s="213"/>
      <c r="BMB26" s="213"/>
      <c r="BMC26" s="213"/>
      <c r="BMD26" s="213"/>
      <c r="BME26" s="213"/>
      <c r="BMF26" s="213"/>
      <c r="BMG26" s="213"/>
      <c r="BMH26" s="213"/>
      <c r="BMI26" s="213"/>
      <c r="BMJ26" s="213"/>
      <c r="BMK26" s="213"/>
      <c r="BML26" s="213"/>
      <c r="BMM26" s="213"/>
      <c r="BMN26" s="213"/>
      <c r="BMO26" s="213"/>
      <c r="BMP26" s="213"/>
      <c r="BMQ26" s="213"/>
      <c r="BMR26" s="213"/>
      <c r="BMS26" s="213"/>
      <c r="BMT26" s="213"/>
      <c r="BMU26" s="213"/>
      <c r="BMV26" s="213"/>
      <c r="BMW26" s="213"/>
      <c r="BMX26" s="213"/>
      <c r="BMY26" s="213"/>
      <c r="BMZ26" s="213"/>
      <c r="BNA26" s="213"/>
      <c r="BNB26" s="213"/>
      <c r="BNC26" s="213"/>
      <c r="BND26" s="213"/>
      <c r="BNE26" s="213"/>
      <c r="BNF26" s="213"/>
      <c r="BNG26" s="213"/>
      <c r="BNH26" s="213"/>
      <c r="BNI26" s="213"/>
      <c r="BNJ26" s="213"/>
      <c r="BNK26" s="213"/>
      <c r="BNL26" s="213"/>
      <c r="BNM26" s="213"/>
      <c r="BNN26" s="213"/>
      <c r="BNO26" s="213"/>
      <c r="BNP26" s="213"/>
      <c r="BNQ26" s="213"/>
      <c r="BNR26" s="213"/>
      <c r="BNS26" s="213"/>
      <c r="BNT26" s="213"/>
      <c r="BNU26" s="213"/>
      <c r="BNV26" s="213"/>
      <c r="BNW26" s="213"/>
      <c r="BNX26" s="213"/>
      <c r="BNY26" s="213"/>
      <c r="BNZ26" s="213"/>
      <c r="BOA26" s="213"/>
      <c r="BOB26" s="213"/>
      <c r="BOC26" s="213"/>
      <c r="BOD26" s="213"/>
      <c r="BOE26" s="213"/>
      <c r="BOF26" s="213"/>
      <c r="BOG26" s="213"/>
      <c r="BOH26" s="213"/>
      <c r="BOI26" s="213"/>
      <c r="BOJ26" s="213"/>
      <c r="BOK26" s="213"/>
      <c r="BOL26" s="213"/>
      <c r="BOM26" s="213"/>
      <c r="BON26" s="213"/>
      <c r="BOO26" s="213"/>
      <c r="BOP26" s="213"/>
      <c r="BOQ26" s="213"/>
      <c r="BOR26" s="213"/>
      <c r="BOS26" s="213"/>
      <c r="BOT26" s="213"/>
      <c r="BOU26" s="213"/>
      <c r="BOV26" s="213"/>
      <c r="BOW26" s="213"/>
      <c r="BOX26" s="213"/>
      <c r="BOY26" s="213"/>
      <c r="BOZ26" s="213"/>
      <c r="BPA26" s="213"/>
      <c r="BPB26" s="213"/>
      <c r="BPC26" s="213"/>
      <c r="BPD26" s="213"/>
      <c r="BPE26" s="213"/>
      <c r="BPF26" s="213"/>
      <c r="BPG26" s="213"/>
      <c r="BPH26" s="213"/>
      <c r="BPI26" s="213"/>
      <c r="BPJ26" s="213"/>
      <c r="BPK26" s="213"/>
      <c r="BPL26" s="213"/>
      <c r="BPM26" s="213"/>
      <c r="BPN26" s="213"/>
      <c r="BPO26" s="213"/>
      <c r="BPP26" s="213"/>
      <c r="BPQ26" s="213"/>
      <c r="BPR26" s="213"/>
      <c r="BPS26" s="213"/>
      <c r="BPT26" s="213"/>
      <c r="BPU26" s="213"/>
      <c r="BPV26" s="213"/>
      <c r="BPW26" s="213"/>
      <c r="BPX26" s="213"/>
      <c r="BPY26" s="213"/>
      <c r="BPZ26" s="213"/>
      <c r="BQA26" s="213"/>
      <c r="BQB26" s="213"/>
      <c r="BQC26" s="213"/>
      <c r="BQD26" s="213"/>
      <c r="BQE26" s="213"/>
      <c r="BQF26" s="213"/>
      <c r="BQG26" s="213"/>
      <c r="BQH26" s="213"/>
      <c r="BQI26" s="213"/>
      <c r="BQJ26" s="213"/>
      <c r="BQK26" s="213"/>
      <c r="BQL26" s="213"/>
      <c r="BQM26" s="213"/>
      <c r="BQN26" s="213"/>
      <c r="BQO26" s="213"/>
      <c r="BQP26" s="213"/>
      <c r="BQQ26" s="213"/>
      <c r="BQR26" s="213"/>
      <c r="BQS26" s="213"/>
      <c r="BQT26" s="213"/>
      <c r="BQU26" s="213"/>
      <c r="BQV26" s="213"/>
      <c r="BQW26" s="213"/>
      <c r="BQX26" s="213"/>
      <c r="BQY26" s="213"/>
      <c r="BQZ26" s="213"/>
      <c r="BRA26" s="213"/>
      <c r="BRB26" s="213"/>
      <c r="BRC26" s="213"/>
      <c r="BRD26" s="213"/>
      <c r="BRE26" s="213"/>
      <c r="BRF26" s="213"/>
      <c r="BRG26" s="213"/>
      <c r="BRH26" s="213"/>
      <c r="BRI26" s="213"/>
      <c r="BRJ26" s="213"/>
      <c r="BRK26" s="213"/>
      <c r="BRL26" s="213"/>
      <c r="BRM26" s="213"/>
      <c r="BRN26" s="213"/>
      <c r="BRO26" s="213"/>
      <c r="BRP26" s="213"/>
      <c r="BRQ26" s="213"/>
      <c r="BRR26" s="213"/>
      <c r="BRS26" s="213"/>
      <c r="BRT26" s="213"/>
      <c r="BRU26" s="213"/>
      <c r="BRV26" s="213"/>
      <c r="BRW26" s="213"/>
      <c r="BRX26" s="213"/>
      <c r="BRY26" s="213"/>
      <c r="BRZ26" s="213"/>
      <c r="BSA26" s="213"/>
      <c r="BSB26" s="213"/>
      <c r="BSC26" s="213"/>
      <c r="BSD26" s="213"/>
      <c r="BSE26" s="213"/>
      <c r="BSF26" s="213"/>
      <c r="BSG26" s="213"/>
      <c r="BSH26" s="213"/>
      <c r="BSI26" s="213"/>
      <c r="BSJ26" s="213"/>
      <c r="BSK26" s="213"/>
      <c r="BSL26" s="213"/>
      <c r="BSM26" s="213"/>
      <c r="BSN26" s="213"/>
      <c r="BSO26" s="213"/>
      <c r="BSP26" s="213"/>
      <c r="BSQ26" s="213"/>
      <c r="BSR26" s="213"/>
      <c r="BSS26" s="213"/>
      <c r="BST26" s="213"/>
      <c r="BSU26" s="213"/>
      <c r="BSV26" s="213"/>
      <c r="BSW26" s="213"/>
      <c r="BSX26" s="213"/>
      <c r="BSY26" s="213"/>
      <c r="BSZ26" s="213"/>
      <c r="BTA26" s="213"/>
      <c r="BTB26" s="213"/>
      <c r="BTC26" s="213"/>
      <c r="BTD26" s="213"/>
      <c r="BTE26" s="213"/>
      <c r="BTF26" s="213"/>
      <c r="BTG26" s="213"/>
      <c r="BTH26" s="213"/>
      <c r="BTI26" s="213"/>
      <c r="BTJ26" s="213"/>
      <c r="BTK26" s="213"/>
      <c r="BTL26" s="213"/>
      <c r="BTM26" s="213"/>
      <c r="BTN26" s="213"/>
      <c r="BTO26" s="213"/>
      <c r="BTP26" s="213"/>
      <c r="BTQ26" s="213"/>
      <c r="BTR26" s="213"/>
      <c r="BTS26" s="213"/>
      <c r="BTT26" s="213"/>
      <c r="BTU26" s="213"/>
      <c r="BTV26" s="213"/>
      <c r="BTW26" s="213"/>
      <c r="BTX26" s="213"/>
      <c r="BTY26" s="213"/>
      <c r="BTZ26" s="213"/>
      <c r="BUA26" s="213"/>
      <c r="BUB26" s="213"/>
      <c r="BUC26" s="213"/>
      <c r="BUD26" s="213"/>
      <c r="BUE26" s="213"/>
      <c r="BUF26" s="213"/>
      <c r="BUG26" s="213"/>
      <c r="BUH26" s="213"/>
      <c r="BUI26" s="213"/>
      <c r="BUJ26" s="213"/>
      <c r="BUK26" s="213"/>
      <c r="BUL26" s="213"/>
      <c r="BUM26" s="213"/>
      <c r="BUN26" s="213"/>
      <c r="BUO26" s="213"/>
      <c r="BUP26" s="213"/>
      <c r="BUQ26" s="213"/>
      <c r="BUR26" s="213"/>
      <c r="BUS26" s="213"/>
      <c r="BUT26" s="213"/>
      <c r="BUU26" s="213"/>
      <c r="BUV26" s="213"/>
      <c r="BUW26" s="213"/>
      <c r="BUX26" s="213"/>
      <c r="BUY26" s="213"/>
      <c r="BUZ26" s="213"/>
      <c r="BVA26" s="213"/>
      <c r="BVB26" s="213"/>
      <c r="BVC26" s="213"/>
      <c r="BVD26" s="213"/>
      <c r="BVE26" s="213"/>
      <c r="BVF26" s="213"/>
      <c r="BVG26" s="213"/>
      <c r="BVH26" s="213"/>
      <c r="BVI26" s="213"/>
      <c r="BVJ26" s="213"/>
      <c r="BVK26" s="213"/>
      <c r="BVL26" s="213"/>
      <c r="BVM26" s="213"/>
      <c r="BVN26" s="213"/>
      <c r="BVO26" s="213"/>
      <c r="BVP26" s="213"/>
      <c r="BVQ26" s="213"/>
      <c r="BVR26" s="213"/>
      <c r="BVS26" s="213"/>
      <c r="BVT26" s="213"/>
      <c r="BVU26" s="213"/>
      <c r="BVV26" s="213"/>
      <c r="BVW26" s="213"/>
      <c r="BVX26" s="213"/>
      <c r="BVY26" s="213"/>
      <c r="BVZ26" s="213"/>
      <c r="BWA26" s="213"/>
      <c r="BWB26" s="213"/>
      <c r="BWC26" s="213"/>
      <c r="BWD26" s="213"/>
      <c r="BWE26" s="213"/>
      <c r="BWF26" s="213"/>
      <c r="BWG26" s="213"/>
      <c r="BWH26" s="213"/>
      <c r="BWI26" s="213"/>
      <c r="BWJ26" s="213"/>
      <c r="BWK26" s="213"/>
      <c r="BWL26" s="213"/>
      <c r="BWM26" s="213"/>
      <c r="BWN26" s="213"/>
      <c r="BWO26" s="213"/>
      <c r="BWP26" s="213"/>
      <c r="BWQ26" s="213"/>
      <c r="BWR26" s="213"/>
      <c r="BWS26" s="213"/>
      <c r="BWT26" s="213"/>
      <c r="BWU26" s="213"/>
      <c r="BWV26" s="213"/>
      <c r="BWW26" s="213"/>
      <c r="BWX26" s="213"/>
      <c r="BWY26" s="213"/>
      <c r="BWZ26" s="213"/>
      <c r="BXA26" s="213"/>
      <c r="BXB26" s="213"/>
      <c r="BXC26" s="213"/>
      <c r="BXD26" s="213"/>
      <c r="BXE26" s="213"/>
      <c r="BXF26" s="213"/>
      <c r="BXG26" s="213"/>
      <c r="BXH26" s="213"/>
      <c r="BXI26" s="213"/>
      <c r="BXJ26" s="213"/>
      <c r="BXK26" s="213"/>
      <c r="BXL26" s="213"/>
      <c r="BXM26" s="213"/>
      <c r="BXN26" s="213"/>
      <c r="BXO26" s="213"/>
      <c r="BXP26" s="213"/>
      <c r="BXQ26" s="213"/>
      <c r="BXR26" s="213"/>
      <c r="BXS26" s="213"/>
      <c r="BXT26" s="213"/>
      <c r="BXU26" s="213"/>
      <c r="BXV26" s="213"/>
      <c r="BXW26" s="213"/>
      <c r="BXX26" s="213"/>
      <c r="BXY26" s="213"/>
      <c r="BXZ26" s="213"/>
      <c r="BYA26" s="213"/>
      <c r="BYB26" s="213"/>
      <c r="BYC26" s="213"/>
      <c r="BYD26" s="213"/>
      <c r="BYE26" s="213"/>
      <c r="BYF26" s="213"/>
      <c r="BYG26" s="213"/>
    </row>
    <row r="27" spans="1:2009" s="101" customFormat="1" ht="12.75" customHeight="1" thickBot="1" x14ac:dyDescent="0.3">
      <c r="A27" s="98"/>
      <c r="B27" s="98"/>
      <c r="C27" s="175"/>
      <c r="D27" s="175"/>
      <c r="E27" s="175"/>
      <c r="F27" s="175"/>
      <c r="G27" s="175"/>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c r="AIV27" s="100"/>
      <c r="AIW27" s="100"/>
      <c r="AIX27" s="100"/>
      <c r="AIY27" s="100"/>
      <c r="AIZ27" s="100"/>
      <c r="AJA27" s="100"/>
      <c r="AJB27" s="100"/>
      <c r="AJC27" s="100"/>
      <c r="AJD27" s="100"/>
      <c r="AJE27" s="100"/>
      <c r="AJF27" s="100"/>
      <c r="AJG27" s="100"/>
      <c r="AJH27" s="100"/>
      <c r="AJI27" s="100"/>
      <c r="AJJ27" s="100"/>
      <c r="AJK27" s="100"/>
      <c r="AJL27" s="100"/>
      <c r="AJM27" s="100"/>
      <c r="AJN27" s="100"/>
      <c r="AJO27" s="100"/>
      <c r="AJP27" s="100"/>
      <c r="AJQ27" s="100"/>
      <c r="AJR27" s="100"/>
      <c r="AJS27" s="100"/>
      <c r="AJT27" s="100"/>
      <c r="AJU27" s="100"/>
      <c r="AJV27" s="100"/>
      <c r="AJW27" s="100"/>
      <c r="AJX27" s="100"/>
      <c r="AJY27" s="100"/>
      <c r="AJZ27" s="100"/>
      <c r="AKA27" s="100"/>
      <c r="AKB27" s="100"/>
      <c r="AKC27" s="100"/>
      <c r="AKD27" s="100"/>
      <c r="AKE27" s="100"/>
      <c r="AKF27" s="100"/>
      <c r="AKG27" s="100"/>
      <c r="AKH27" s="100"/>
      <c r="AKI27" s="100"/>
      <c r="AKJ27" s="100"/>
      <c r="AKK27" s="100"/>
      <c r="AKL27" s="100"/>
      <c r="AKM27" s="100"/>
      <c r="AKN27" s="100"/>
      <c r="AKO27" s="100"/>
      <c r="AKP27" s="100"/>
      <c r="AKQ27" s="100"/>
      <c r="AKR27" s="100"/>
      <c r="AKS27" s="100"/>
      <c r="AKT27" s="100"/>
      <c r="AKU27" s="100"/>
      <c r="AKV27" s="100"/>
      <c r="AKW27" s="100"/>
      <c r="AKX27" s="100"/>
      <c r="AKY27" s="100"/>
      <c r="AKZ27" s="100"/>
      <c r="ALA27" s="100"/>
      <c r="ALB27" s="100"/>
      <c r="ALC27" s="100"/>
      <c r="ALD27" s="100"/>
      <c r="ALE27" s="100"/>
      <c r="ALF27" s="100"/>
      <c r="ALG27" s="100"/>
      <c r="ALH27" s="100"/>
      <c r="ALI27" s="100"/>
      <c r="ALJ27" s="100"/>
      <c r="ALK27" s="100"/>
      <c r="ALL27" s="100"/>
      <c r="ALM27" s="100"/>
      <c r="ALN27" s="100"/>
      <c r="ALO27" s="100"/>
      <c r="ALP27" s="100"/>
      <c r="ALQ27" s="100"/>
      <c r="ALR27" s="100"/>
      <c r="ALS27" s="100"/>
      <c r="ALT27" s="100"/>
      <c r="ALU27" s="100"/>
      <c r="ALV27" s="100"/>
      <c r="ALW27" s="100"/>
      <c r="ALX27" s="100"/>
      <c r="ALY27" s="100"/>
      <c r="ALZ27" s="100"/>
      <c r="AMA27" s="100"/>
      <c r="AMB27" s="100"/>
      <c r="AMC27" s="100"/>
      <c r="AMD27" s="100"/>
      <c r="AME27" s="100"/>
      <c r="AMF27" s="100"/>
      <c r="AMG27" s="100"/>
      <c r="AMH27" s="100"/>
      <c r="AMI27" s="100"/>
      <c r="AMJ27" s="100"/>
      <c r="AMK27" s="100"/>
      <c r="AML27" s="100"/>
      <c r="AMM27" s="100"/>
      <c r="AMN27" s="100"/>
      <c r="AMO27" s="100"/>
      <c r="AMP27" s="100"/>
      <c r="AMQ27" s="100"/>
      <c r="AMR27" s="100"/>
      <c r="AMS27" s="100"/>
      <c r="AMT27" s="100"/>
      <c r="AMU27" s="100"/>
      <c r="AMV27" s="100"/>
      <c r="AMW27" s="100"/>
      <c r="AMX27" s="100"/>
      <c r="AMY27" s="100"/>
      <c r="AMZ27" s="100"/>
      <c r="ANA27" s="100"/>
      <c r="ANB27" s="100"/>
      <c r="ANC27" s="100"/>
      <c r="AND27" s="100"/>
      <c r="ANE27" s="100"/>
      <c r="ANF27" s="100"/>
      <c r="ANG27" s="100"/>
      <c r="ANH27" s="100"/>
      <c r="ANI27" s="100"/>
      <c r="ANJ27" s="100"/>
      <c r="ANK27" s="100"/>
      <c r="ANL27" s="100"/>
      <c r="ANM27" s="100"/>
      <c r="ANN27" s="100"/>
      <c r="ANO27" s="100"/>
      <c r="ANP27" s="100"/>
      <c r="ANQ27" s="100"/>
      <c r="ANR27" s="100"/>
      <c r="ANS27" s="100"/>
      <c r="ANT27" s="100"/>
      <c r="ANU27" s="100"/>
      <c r="ANV27" s="100"/>
      <c r="ANW27" s="100"/>
      <c r="ANX27" s="100"/>
      <c r="ANY27" s="100"/>
      <c r="ANZ27" s="100"/>
      <c r="AOA27" s="100"/>
      <c r="AOB27" s="100"/>
      <c r="AOC27" s="100"/>
      <c r="AOD27" s="100"/>
      <c r="AOE27" s="100"/>
      <c r="AOF27" s="100"/>
      <c r="AOG27" s="100"/>
      <c r="AOH27" s="100"/>
      <c r="AOI27" s="100"/>
      <c r="AOJ27" s="100"/>
      <c r="AOK27" s="100"/>
      <c r="AOL27" s="100"/>
      <c r="AOM27" s="100"/>
      <c r="AON27" s="100"/>
      <c r="AOO27" s="100"/>
      <c r="AOP27" s="100"/>
      <c r="AOQ27" s="100"/>
      <c r="AOR27" s="100"/>
      <c r="AOS27" s="100"/>
      <c r="AOT27" s="100"/>
      <c r="AOU27" s="100"/>
      <c r="AOV27" s="100"/>
      <c r="AOW27" s="100"/>
      <c r="AOX27" s="100"/>
      <c r="AOY27" s="100"/>
      <c r="AOZ27" s="100"/>
      <c r="APA27" s="100"/>
      <c r="APB27" s="100"/>
      <c r="APC27" s="100"/>
      <c r="APD27" s="100"/>
      <c r="APE27" s="100"/>
      <c r="APF27" s="100"/>
      <c r="APG27" s="100"/>
      <c r="APH27" s="100"/>
      <c r="API27" s="100"/>
      <c r="APJ27" s="100"/>
      <c r="APK27" s="100"/>
      <c r="APL27" s="100"/>
      <c r="APM27" s="100"/>
      <c r="APN27" s="100"/>
      <c r="APO27" s="100"/>
      <c r="APP27" s="100"/>
      <c r="APQ27" s="100"/>
      <c r="APR27" s="100"/>
      <c r="APS27" s="100"/>
      <c r="APT27" s="100"/>
      <c r="APU27" s="100"/>
      <c r="APV27" s="100"/>
      <c r="APW27" s="100"/>
      <c r="APX27" s="100"/>
      <c r="APY27" s="100"/>
      <c r="APZ27" s="100"/>
      <c r="AQA27" s="100"/>
      <c r="AQB27" s="100"/>
      <c r="AQC27" s="100"/>
      <c r="AQD27" s="100"/>
      <c r="AQE27" s="100"/>
      <c r="AQF27" s="100"/>
      <c r="AQG27" s="100"/>
      <c r="AQH27" s="100"/>
      <c r="AQI27" s="100"/>
      <c r="AQJ27" s="100"/>
      <c r="AQK27" s="100"/>
      <c r="AQL27" s="100"/>
      <c r="AQM27" s="100"/>
      <c r="AQN27" s="100"/>
      <c r="AQO27" s="100"/>
      <c r="AQP27" s="100"/>
      <c r="AQQ27" s="100"/>
      <c r="AQR27" s="100"/>
      <c r="AQS27" s="100"/>
      <c r="AQT27" s="100"/>
      <c r="AQU27" s="100"/>
      <c r="AQV27" s="100"/>
      <c r="AQW27" s="100"/>
      <c r="AQX27" s="100"/>
      <c r="AQY27" s="100"/>
      <c r="AQZ27" s="100"/>
      <c r="ARA27" s="100"/>
      <c r="ARB27" s="100"/>
      <c r="ARC27" s="100"/>
      <c r="ARD27" s="100"/>
      <c r="ARE27" s="100"/>
      <c r="ARF27" s="100"/>
      <c r="ARG27" s="100"/>
      <c r="ARH27" s="100"/>
      <c r="ARI27" s="100"/>
      <c r="ARJ27" s="100"/>
      <c r="ARK27" s="100"/>
      <c r="ARL27" s="100"/>
      <c r="ARM27" s="100"/>
      <c r="ARN27" s="100"/>
      <c r="ARO27" s="100"/>
      <c r="ARP27" s="100"/>
      <c r="ARQ27" s="100"/>
      <c r="ARR27" s="100"/>
      <c r="ARS27" s="100"/>
      <c r="ART27" s="100"/>
      <c r="ARU27" s="100"/>
      <c r="ARV27" s="100"/>
      <c r="ARW27" s="100"/>
      <c r="ARX27" s="100"/>
      <c r="ARY27" s="100"/>
      <c r="ARZ27" s="100"/>
      <c r="ASA27" s="100"/>
      <c r="ASB27" s="100"/>
      <c r="ASC27" s="100"/>
      <c r="ASD27" s="100"/>
      <c r="ASE27" s="100"/>
      <c r="ASF27" s="100"/>
      <c r="ASG27" s="100"/>
      <c r="ASH27" s="100"/>
      <c r="ASI27" s="100"/>
      <c r="ASJ27" s="100"/>
      <c r="ASK27" s="100"/>
      <c r="ASL27" s="100"/>
      <c r="ASM27" s="100"/>
      <c r="ASN27" s="100"/>
      <c r="ASO27" s="100"/>
      <c r="ASP27" s="100"/>
      <c r="ASQ27" s="100"/>
      <c r="ASR27" s="100"/>
      <c r="ASS27" s="100"/>
      <c r="AST27" s="100"/>
      <c r="ASU27" s="100"/>
      <c r="ASV27" s="100"/>
      <c r="ASW27" s="100"/>
      <c r="ASX27" s="100"/>
      <c r="ASY27" s="100"/>
      <c r="ASZ27" s="100"/>
      <c r="ATA27" s="100"/>
      <c r="ATB27" s="100"/>
      <c r="ATC27" s="100"/>
      <c r="ATD27" s="100"/>
      <c r="ATE27" s="100"/>
      <c r="ATF27" s="100"/>
      <c r="ATG27" s="100"/>
      <c r="ATH27" s="100"/>
      <c r="ATI27" s="100"/>
      <c r="ATJ27" s="100"/>
      <c r="ATK27" s="100"/>
      <c r="ATL27" s="100"/>
      <c r="ATM27" s="100"/>
      <c r="ATN27" s="100"/>
      <c r="ATO27" s="100"/>
      <c r="ATP27" s="100"/>
      <c r="ATQ27" s="100"/>
      <c r="ATR27" s="100"/>
      <c r="ATS27" s="100"/>
      <c r="ATT27" s="100"/>
      <c r="ATU27" s="100"/>
      <c r="ATV27" s="100"/>
      <c r="ATW27" s="100"/>
      <c r="ATX27" s="100"/>
      <c r="ATY27" s="100"/>
      <c r="ATZ27" s="100"/>
      <c r="AUA27" s="100"/>
      <c r="AUB27" s="100"/>
      <c r="AUC27" s="100"/>
      <c r="AUD27" s="100"/>
      <c r="AUE27" s="100"/>
      <c r="AUF27" s="100"/>
      <c r="AUG27" s="100"/>
      <c r="AUH27" s="100"/>
      <c r="AUI27" s="100"/>
      <c r="AUJ27" s="100"/>
      <c r="AUK27" s="100"/>
      <c r="AUL27" s="100"/>
      <c r="AUM27" s="100"/>
      <c r="AUN27" s="100"/>
      <c r="AUO27" s="100"/>
      <c r="AUP27" s="100"/>
      <c r="AUQ27" s="100"/>
      <c r="AUR27" s="100"/>
      <c r="AUS27" s="100"/>
      <c r="AUT27" s="100"/>
      <c r="AUU27" s="100"/>
      <c r="AUV27" s="100"/>
      <c r="AUW27" s="100"/>
      <c r="AUX27" s="100"/>
      <c r="AUY27" s="100"/>
      <c r="AUZ27" s="100"/>
      <c r="AVA27" s="100"/>
      <c r="AVB27" s="100"/>
      <c r="AVC27" s="100"/>
      <c r="AVD27" s="100"/>
      <c r="AVE27" s="100"/>
      <c r="AVF27" s="100"/>
      <c r="AVG27" s="100"/>
      <c r="AVH27" s="100"/>
      <c r="AVI27" s="100"/>
      <c r="AVJ27" s="100"/>
      <c r="AVK27" s="100"/>
      <c r="AVL27" s="100"/>
      <c r="AVM27" s="100"/>
      <c r="AVN27" s="100"/>
      <c r="AVO27" s="100"/>
      <c r="AVP27" s="100"/>
      <c r="AVQ27" s="100"/>
      <c r="AVR27" s="100"/>
      <c r="AVS27" s="100"/>
      <c r="AVT27" s="100"/>
      <c r="AVU27" s="100"/>
      <c r="AVV27" s="100"/>
      <c r="AVW27" s="100"/>
      <c r="AVX27" s="100"/>
      <c r="AVY27" s="100"/>
      <c r="AVZ27" s="100"/>
      <c r="AWA27" s="100"/>
      <c r="AWB27" s="100"/>
      <c r="AWC27" s="100"/>
      <c r="AWD27" s="100"/>
      <c r="AWE27" s="100"/>
      <c r="AWF27" s="100"/>
      <c r="AWG27" s="100"/>
      <c r="AWH27" s="100"/>
      <c r="AWI27" s="100"/>
      <c r="AWJ27" s="100"/>
      <c r="AWK27" s="100"/>
      <c r="AWL27" s="100"/>
      <c r="AWM27" s="100"/>
      <c r="AWN27" s="100"/>
      <c r="AWO27" s="100"/>
      <c r="AWP27" s="100"/>
      <c r="AWQ27" s="100"/>
      <c r="AWR27" s="100"/>
      <c r="AWS27" s="100"/>
      <c r="AWT27" s="100"/>
      <c r="AWU27" s="100"/>
      <c r="AWV27" s="100"/>
      <c r="AWW27" s="100"/>
      <c r="AWX27" s="100"/>
      <c r="AWY27" s="100"/>
      <c r="AWZ27" s="100"/>
      <c r="AXA27" s="100"/>
      <c r="AXB27" s="100"/>
      <c r="AXC27" s="100"/>
      <c r="AXD27" s="100"/>
      <c r="AXE27" s="100"/>
      <c r="AXF27" s="100"/>
      <c r="AXG27" s="100"/>
      <c r="AXH27" s="100"/>
      <c r="AXI27" s="100"/>
      <c r="AXJ27" s="100"/>
      <c r="AXK27" s="100"/>
      <c r="AXL27" s="100"/>
      <c r="AXM27" s="100"/>
      <c r="AXN27" s="100"/>
      <c r="AXO27" s="100"/>
      <c r="AXP27" s="100"/>
      <c r="AXQ27" s="100"/>
      <c r="AXR27" s="100"/>
      <c r="AXS27" s="100"/>
      <c r="AXT27" s="100"/>
      <c r="AXU27" s="100"/>
      <c r="AXV27" s="100"/>
      <c r="AXW27" s="100"/>
      <c r="AXX27" s="100"/>
      <c r="AXY27" s="100"/>
      <c r="AXZ27" s="100"/>
      <c r="AYA27" s="100"/>
      <c r="AYB27" s="100"/>
      <c r="AYC27" s="100"/>
      <c r="AYD27" s="100"/>
      <c r="AYE27" s="100"/>
      <c r="AYF27" s="100"/>
      <c r="AYG27" s="100"/>
      <c r="AYH27" s="100"/>
      <c r="AYI27" s="100"/>
      <c r="AYJ27" s="100"/>
      <c r="AYK27" s="100"/>
      <c r="AYL27" s="100"/>
      <c r="AYM27" s="100"/>
      <c r="AYN27" s="100"/>
      <c r="AYO27" s="100"/>
      <c r="AYP27" s="100"/>
      <c r="AYQ27" s="100"/>
      <c r="AYR27" s="100"/>
      <c r="AYS27" s="100"/>
      <c r="AYT27" s="100"/>
      <c r="AYU27" s="100"/>
      <c r="AYV27" s="100"/>
      <c r="AYW27" s="100"/>
      <c r="AYX27" s="100"/>
      <c r="AYY27" s="100"/>
      <c r="AYZ27" s="100"/>
      <c r="AZA27" s="100"/>
      <c r="AZB27" s="100"/>
      <c r="AZC27" s="100"/>
      <c r="AZD27" s="100"/>
      <c r="AZE27" s="100"/>
      <c r="AZF27" s="100"/>
      <c r="AZG27" s="100"/>
      <c r="AZH27" s="100"/>
      <c r="AZI27" s="100"/>
      <c r="AZJ27" s="100"/>
      <c r="AZK27" s="100"/>
      <c r="AZL27" s="100"/>
      <c r="AZM27" s="100"/>
      <c r="AZN27" s="100"/>
      <c r="AZO27" s="100"/>
      <c r="AZP27" s="100"/>
      <c r="AZQ27" s="100"/>
      <c r="AZR27" s="100"/>
      <c r="AZS27" s="100"/>
      <c r="AZT27" s="100"/>
      <c r="AZU27" s="100"/>
      <c r="AZV27" s="100"/>
      <c r="AZW27" s="100"/>
      <c r="AZX27" s="100"/>
      <c r="AZY27" s="100"/>
      <c r="AZZ27" s="100"/>
      <c r="BAA27" s="100"/>
      <c r="BAB27" s="100"/>
      <c r="BAC27" s="100"/>
      <c r="BAD27" s="100"/>
      <c r="BAE27" s="100"/>
      <c r="BAF27" s="100"/>
      <c r="BAG27" s="100"/>
      <c r="BAH27" s="100"/>
      <c r="BAI27" s="100"/>
      <c r="BAJ27" s="100"/>
      <c r="BAK27" s="100"/>
      <c r="BAL27" s="100"/>
      <c r="BAM27" s="100"/>
      <c r="BAN27" s="100"/>
      <c r="BAO27" s="100"/>
      <c r="BAP27" s="100"/>
      <c r="BAQ27" s="100"/>
      <c r="BAR27" s="100"/>
      <c r="BAS27" s="100"/>
      <c r="BAT27" s="100"/>
      <c r="BAU27" s="100"/>
      <c r="BAV27" s="100"/>
      <c r="BAW27" s="100"/>
      <c r="BAX27" s="100"/>
      <c r="BAY27" s="100"/>
      <c r="BAZ27" s="100"/>
      <c r="BBA27" s="100"/>
      <c r="BBB27" s="100"/>
      <c r="BBC27" s="100"/>
      <c r="BBD27" s="100"/>
      <c r="BBE27" s="100"/>
      <c r="BBF27" s="100"/>
      <c r="BBG27" s="100"/>
      <c r="BBH27" s="100"/>
      <c r="BBI27" s="100"/>
      <c r="BBJ27" s="100"/>
      <c r="BBK27" s="100"/>
      <c r="BBL27" s="100"/>
      <c r="BBM27" s="100"/>
      <c r="BBN27" s="100"/>
      <c r="BBO27" s="100"/>
      <c r="BBP27" s="100"/>
      <c r="BBQ27" s="100"/>
      <c r="BBR27" s="100"/>
      <c r="BBS27" s="100"/>
      <c r="BBT27" s="100"/>
      <c r="BBU27" s="100"/>
      <c r="BBV27" s="100"/>
      <c r="BBW27" s="100"/>
      <c r="BBX27" s="100"/>
      <c r="BBY27" s="100"/>
      <c r="BBZ27" s="100"/>
      <c r="BCA27" s="100"/>
      <c r="BCB27" s="100"/>
      <c r="BCC27" s="100"/>
      <c r="BCD27" s="100"/>
      <c r="BCE27" s="100"/>
      <c r="BCF27" s="100"/>
      <c r="BCG27" s="100"/>
      <c r="BCH27" s="100"/>
      <c r="BCI27" s="100"/>
      <c r="BCJ27" s="100"/>
      <c r="BCK27" s="100"/>
      <c r="BCL27" s="100"/>
      <c r="BCM27" s="100"/>
      <c r="BCN27" s="100"/>
      <c r="BCO27" s="100"/>
      <c r="BCP27" s="100"/>
      <c r="BCQ27" s="100"/>
      <c r="BCR27" s="100"/>
      <c r="BCS27" s="100"/>
      <c r="BCT27" s="100"/>
      <c r="BCU27" s="100"/>
      <c r="BCV27" s="100"/>
      <c r="BCW27" s="100"/>
      <c r="BCX27" s="100"/>
      <c r="BCY27" s="100"/>
      <c r="BCZ27" s="100"/>
      <c r="BDA27" s="100"/>
      <c r="BDB27" s="100"/>
      <c r="BDC27" s="100"/>
      <c r="BDD27" s="100"/>
      <c r="BDE27" s="100"/>
      <c r="BDF27" s="100"/>
      <c r="BDG27" s="100"/>
      <c r="BDH27" s="100"/>
      <c r="BDI27" s="100"/>
      <c r="BDJ27" s="100"/>
      <c r="BDK27" s="100"/>
      <c r="BDL27" s="100"/>
      <c r="BDM27" s="100"/>
      <c r="BDN27" s="100"/>
      <c r="BDO27" s="100"/>
      <c r="BDP27" s="100"/>
      <c r="BDQ27" s="100"/>
      <c r="BDR27" s="100"/>
      <c r="BDS27" s="100"/>
      <c r="BDT27" s="100"/>
      <c r="BDU27" s="100"/>
      <c r="BDV27" s="100"/>
      <c r="BDW27" s="100"/>
      <c r="BDX27" s="100"/>
      <c r="BDY27" s="100"/>
      <c r="BDZ27" s="100"/>
      <c r="BEA27" s="100"/>
      <c r="BEB27" s="100"/>
      <c r="BEC27" s="100"/>
      <c r="BED27" s="100"/>
      <c r="BEE27" s="100"/>
      <c r="BEF27" s="100"/>
      <c r="BEG27" s="100"/>
      <c r="BEH27" s="100"/>
      <c r="BEI27" s="100"/>
      <c r="BEJ27" s="100"/>
      <c r="BEK27" s="100"/>
      <c r="BEL27" s="100"/>
      <c r="BEM27" s="100"/>
      <c r="BEN27" s="100"/>
      <c r="BEO27" s="100"/>
      <c r="BEP27" s="100"/>
      <c r="BEQ27" s="100"/>
      <c r="BER27" s="100"/>
      <c r="BES27" s="100"/>
      <c r="BET27" s="100"/>
      <c r="BEU27" s="100"/>
      <c r="BEV27" s="100"/>
      <c r="BEW27" s="100"/>
      <c r="BEX27" s="100"/>
      <c r="BEY27" s="100"/>
      <c r="BEZ27" s="100"/>
      <c r="BFA27" s="100"/>
      <c r="BFB27" s="100"/>
      <c r="BFC27" s="100"/>
      <c r="BFD27" s="100"/>
      <c r="BFE27" s="100"/>
      <c r="BFF27" s="100"/>
      <c r="BFG27" s="100"/>
      <c r="BFH27" s="100"/>
      <c r="BFI27" s="100"/>
      <c r="BFJ27" s="100"/>
      <c r="BFK27" s="100"/>
      <c r="BFL27" s="100"/>
      <c r="BFM27" s="100"/>
      <c r="BFN27" s="100"/>
      <c r="BFO27" s="100"/>
      <c r="BFP27" s="100"/>
      <c r="BFQ27" s="100"/>
      <c r="BFR27" s="100"/>
      <c r="BFS27" s="100"/>
      <c r="BFT27" s="100"/>
      <c r="BFU27" s="100"/>
      <c r="BFV27" s="100"/>
      <c r="BFW27" s="100"/>
      <c r="BFX27" s="100"/>
      <c r="BFY27" s="100"/>
      <c r="BFZ27" s="100"/>
      <c r="BGA27" s="100"/>
      <c r="BGB27" s="100"/>
      <c r="BGC27" s="100"/>
      <c r="BGD27" s="100"/>
      <c r="BGE27" s="100"/>
      <c r="BGF27" s="100"/>
      <c r="BGG27" s="100"/>
      <c r="BGH27" s="100"/>
      <c r="BGI27" s="100"/>
      <c r="BGJ27" s="100"/>
      <c r="BGK27" s="100"/>
      <c r="BGL27" s="100"/>
      <c r="BGM27" s="100"/>
      <c r="BGN27" s="100"/>
      <c r="BGO27" s="100"/>
      <c r="BGP27" s="100"/>
      <c r="BGQ27" s="100"/>
      <c r="BGR27" s="100"/>
      <c r="BGS27" s="100"/>
      <c r="BGT27" s="100"/>
      <c r="BGU27" s="100"/>
      <c r="BGV27" s="100"/>
      <c r="BGW27" s="100"/>
      <c r="BGX27" s="100"/>
      <c r="BGY27" s="100"/>
      <c r="BGZ27" s="100"/>
      <c r="BHA27" s="100"/>
      <c r="BHB27" s="100"/>
      <c r="BHC27" s="100"/>
      <c r="BHD27" s="100"/>
      <c r="BHE27" s="100"/>
      <c r="BHF27" s="100"/>
      <c r="BHG27" s="100"/>
      <c r="BHH27" s="100"/>
      <c r="BHI27" s="100"/>
      <c r="BHJ27" s="100"/>
      <c r="BHK27" s="100"/>
      <c r="BHL27" s="100"/>
      <c r="BHM27" s="100"/>
      <c r="BHN27" s="100"/>
      <c r="BHO27" s="100"/>
      <c r="BHP27" s="100"/>
      <c r="BHQ27" s="100"/>
      <c r="BHR27" s="100"/>
      <c r="BHS27" s="100"/>
      <c r="BHT27" s="100"/>
      <c r="BHU27" s="100"/>
      <c r="BHV27" s="100"/>
      <c r="BHW27" s="100"/>
      <c r="BHX27" s="100"/>
      <c r="BHY27" s="100"/>
      <c r="BHZ27" s="100"/>
      <c r="BIA27" s="100"/>
      <c r="BIB27" s="100"/>
      <c r="BIC27" s="100"/>
      <c r="BID27" s="100"/>
      <c r="BIE27" s="100"/>
      <c r="BIF27" s="100"/>
      <c r="BIG27" s="100"/>
      <c r="BIH27" s="100"/>
      <c r="BII27" s="100"/>
      <c r="BIJ27" s="100"/>
      <c r="BIK27" s="100"/>
      <c r="BIL27" s="100"/>
      <c r="BIM27" s="100"/>
      <c r="BIN27" s="100"/>
      <c r="BIO27" s="100"/>
      <c r="BIP27" s="100"/>
      <c r="BIQ27" s="100"/>
      <c r="BIR27" s="100"/>
      <c r="BIS27" s="100"/>
      <c r="BIT27" s="100"/>
      <c r="BIU27" s="100"/>
      <c r="BIV27" s="100"/>
      <c r="BIW27" s="100"/>
      <c r="BIX27" s="100"/>
      <c r="BIY27" s="100"/>
      <c r="BIZ27" s="100"/>
      <c r="BJA27" s="100"/>
      <c r="BJB27" s="100"/>
      <c r="BJC27" s="100"/>
      <c r="BJD27" s="100"/>
      <c r="BJE27" s="100"/>
      <c r="BJF27" s="100"/>
      <c r="BJG27" s="100"/>
      <c r="BJH27" s="100"/>
      <c r="BJI27" s="100"/>
      <c r="BJJ27" s="100"/>
      <c r="BJK27" s="100"/>
      <c r="BJL27" s="100"/>
      <c r="BJM27" s="100"/>
      <c r="BJN27" s="100"/>
      <c r="BJO27" s="100"/>
      <c r="BJP27" s="100"/>
      <c r="BJQ27" s="100"/>
      <c r="BJR27" s="100"/>
      <c r="BJS27" s="100"/>
      <c r="BJT27" s="100"/>
      <c r="BJU27" s="100"/>
      <c r="BJV27" s="100"/>
      <c r="BJW27" s="100"/>
      <c r="BJX27" s="100"/>
      <c r="BJY27" s="100"/>
      <c r="BJZ27" s="100"/>
      <c r="BKA27" s="100"/>
      <c r="BKB27" s="100"/>
      <c r="BKC27" s="100"/>
      <c r="BKD27" s="100"/>
      <c r="BKE27" s="100"/>
      <c r="BKF27" s="100"/>
      <c r="BKG27" s="100"/>
      <c r="BKH27" s="100"/>
      <c r="BKI27" s="100"/>
      <c r="BKJ27" s="100"/>
      <c r="BKK27" s="100"/>
      <c r="BKL27" s="100"/>
      <c r="BKM27" s="100"/>
      <c r="BKN27" s="100"/>
      <c r="BKO27" s="100"/>
      <c r="BKP27" s="100"/>
      <c r="BKQ27" s="100"/>
      <c r="BKR27" s="100"/>
      <c r="BKS27" s="100"/>
      <c r="BKT27" s="100"/>
      <c r="BKU27" s="100"/>
      <c r="BKV27" s="100"/>
      <c r="BKW27" s="100"/>
      <c r="BKX27" s="100"/>
      <c r="BKY27" s="100"/>
      <c r="BKZ27" s="100"/>
      <c r="BLA27" s="100"/>
      <c r="BLB27" s="100"/>
      <c r="BLC27" s="100"/>
      <c r="BLD27" s="100"/>
      <c r="BLE27" s="100"/>
      <c r="BLF27" s="100"/>
      <c r="BLG27" s="100"/>
      <c r="BLH27" s="100"/>
      <c r="BLI27" s="100"/>
      <c r="BLJ27" s="100"/>
      <c r="BLK27" s="100"/>
      <c r="BLL27" s="100"/>
      <c r="BLM27" s="100"/>
      <c r="BLN27" s="100"/>
      <c r="BLO27" s="100"/>
      <c r="BLP27" s="100"/>
      <c r="BLQ27" s="100"/>
      <c r="BLR27" s="100"/>
      <c r="BLS27" s="100"/>
      <c r="BLT27" s="100"/>
      <c r="BLU27" s="100"/>
      <c r="BLV27" s="100"/>
      <c r="BLW27" s="100"/>
      <c r="BLX27" s="100"/>
      <c r="BLY27" s="100"/>
      <c r="BLZ27" s="100"/>
      <c r="BMA27" s="100"/>
      <c r="BMB27" s="100"/>
      <c r="BMC27" s="100"/>
      <c r="BMD27" s="100"/>
      <c r="BME27" s="100"/>
      <c r="BMF27" s="100"/>
      <c r="BMG27" s="100"/>
      <c r="BMH27" s="100"/>
      <c r="BMI27" s="100"/>
      <c r="BMJ27" s="100"/>
      <c r="BMK27" s="100"/>
      <c r="BML27" s="100"/>
      <c r="BMM27" s="100"/>
      <c r="BMN27" s="100"/>
      <c r="BMO27" s="100"/>
      <c r="BMP27" s="100"/>
      <c r="BMQ27" s="100"/>
      <c r="BMR27" s="100"/>
      <c r="BMS27" s="100"/>
      <c r="BMT27" s="100"/>
      <c r="BMU27" s="100"/>
      <c r="BMV27" s="100"/>
      <c r="BMW27" s="100"/>
      <c r="BMX27" s="100"/>
      <c r="BMY27" s="100"/>
      <c r="BMZ27" s="100"/>
      <c r="BNA27" s="100"/>
      <c r="BNB27" s="100"/>
      <c r="BNC27" s="100"/>
      <c r="BND27" s="100"/>
      <c r="BNE27" s="100"/>
      <c r="BNF27" s="100"/>
      <c r="BNG27" s="100"/>
      <c r="BNH27" s="100"/>
      <c r="BNI27" s="100"/>
      <c r="BNJ27" s="100"/>
      <c r="BNK27" s="100"/>
      <c r="BNL27" s="100"/>
      <c r="BNM27" s="100"/>
      <c r="BNN27" s="100"/>
      <c r="BNO27" s="100"/>
      <c r="BNP27" s="100"/>
      <c r="BNQ27" s="100"/>
      <c r="BNR27" s="100"/>
      <c r="BNS27" s="100"/>
      <c r="BNT27" s="100"/>
      <c r="BNU27" s="100"/>
      <c r="BNV27" s="100"/>
      <c r="BNW27" s="100"/>
      <c r="BNX27" s="100"/>
      <c r="BNY27" s="100"/>
      <c r="BNZ27" s="100"/>
      <c r="BOA27" s="100"/>
      <c r="BOB27" s="100"/>
      <c r="BOC27" s="100"/>
      <c r="BOD27" s="100"/>
      <c r="BOE27" s="100"/>
      <c r="BOF27" s="100"/>
      <c r="BOG27" s="100"/>
      <c r="BOH27" s="100"/>
      <c r="BOI27" s="100"/>
      <c r="BOJ27" s="100"/>
      <c r="BOK27" s="100"/>
      <c r="BOL27" s="100"/>
      <c r="BOM27" s="100"/>
      <c r="BON27" s="100"/>
      <c r="BOO27" s="100"/>
      <c r="BOP27" s="100"/>
      <c r="BOQ27" s="100"/>
      <c r="BOR27" s="100"/>
      <c r="BOS27" s="100"/>
      <c r="BOT27" s="100"/>
      <c r="BOU27" s="100"/>
      <c r="BOV27" s="100"/>
      <c r="BOW27" s="100"/>
      <c r="BOX27" s="100"/>
      <c r="BOY27" s="100"/>
      <c r="BOZ27" s="100"/>
      <c r="BPA27" s="100"/>
      <c r="BPB27" s="100"/>
      <c r="BPC27" s="100"/>
      <c r="BPD27" s="100"/>
      <c r="BPE27" s="100"/>
      <c r="BPF27" s="100"/>
      <c r="BPG27" s="100"/>
      <c r="BPH27" s="100"/>
      <c r="BPI27" s="100"/>
      <c r="BPJ27" s="100"/>
      <c r="BPK27" s="100"/>
      <c r="BPL27" s="100"/>
      <c r="BPM27" s="100"/>
      <c r="BPN27" s="100"/>
      <c r="BPO27" s="100"/>
      <c r="BPP27" s="100"/>
      <c r="BPQ27" s="100"/>
      <c r="BPR27" s="100"/>
      <c r="BPS27" s="100"/>
      <c r="BPT27" s="100"/>
      <c r="BPU27" s="100"/>
      <c r="BPV27" s="100"/>
      <c r="BPW27" s="100"/>
      <c r="BPX27" s="100"/>
      <c r="BPY27" s="100"/>
      <c r="BPZ27" s="100"/>
      <c r="BQA27" s="100"/>
      <c r="BQB27" s="100"/>
      <c r="BQC27" s="100"/>
      <c r="BQD27" s="100"/>
      <c r="BQE27" s="100"/>
      <c r="BQF27" s="100"/>
      <c r="BQG27" s="100"/>
      <c r="BQH27" s="100"/>
      <c r="BQI27" s="100"/>
      <c r="BQJ27" s="100"/>
      <c r="BQK27" s="100"/>
      <c r="BQL27" s="100"/>
      <c r="BQM27" s="100"/>
      <c r="BQN27" s="100"/>
      <c r="BQO27" s="100"/>
      <c r="BQP27" s="100"/>
      <c r="BQQ27" s="100"/>
      <c r="BQR27" s="100"/>
      <c r="BQS27" s="100"/>
      <c r="BQT27" s="100"/>
      <c r="BQU27" s="100"/>
      <c r="BQV27" s="100"/>
      <c r="BQW27" s="100"/>
      <c r="BQX27" s="100"/>
      <c r="BQY27" s="100"/>
      <c r="BQZ27" s="100"/>
      <c r="BRA27" s="100"/>
      <c r="BRB27" s="100"/>
      <c r="BRC27" s="100"/>
      <c r="BRD27" s="100"/>
      <c r="BRE27" s="100"/>
      <c r="BRF27" s="100"/>
      <c r="BRG27" s="100"/>
      <c r="BRH27" s="100"/>
      <c r="BRI27" s="100"/>
      <c r="BRJ27" s="100"/>
      <c r="BRK27" s="100"/>
      <c r="BRL27" s="100"/>
      <c r="BRM27" s="100"/>
      <c r="BRN27" s="100"/>
      <c r="BRO27" s="100"/>
      <c r="BRP27" s="100"/>
      <c r="BRQ27" s="100"/>
      <c r="BRR27" s="100"/>
      <c r="BRS27" s="100"/>
      <c r="BRT27" s="100"/>
      <c r="BRU27" s="100"/>
      <c r="BRV27" s="100"/>
      <c r="BRW27" s="100"/>
      <c r="BRX27" s="100"/>
      <c r="BRY27" s="100"/>
      <c r="BRZ27" s="100"/>
      <c r="BSA27" s="100"/>
      <c r="BSB27" s="100"/>
      <c r="BSC27" s="100"/>
      <c r="BSD27" s="100"/>
      <c r="BSE27" s="100"/>
      <c r="BSF27" s="100"/>
      <c r="BSG27" s="100"/>
      <c r="BSH27" s="100"/>
      <c r="BSI27" s="100"/>
      <c r="BSJ27" s="100"/>
      <c r="BSK27" s="100"/>
      <c r="BSL27" s="100"/>
      <c r="BSM27" s="100"/>
      <c r="BSN27" s="100"/>
      <c r="BSO27" s="100"/>
      <c r="BSP27" s="100"/>
      <c r="BSQ27" s="100"/>
      <c r="BSR27" s="100"/>
      <c r="BSS27" s="100"/>
      <c r="BST27" s="100"/>
      <c r="BSU27" s="100"/>
      <c r="BSV27" s="100"/>
      <c r="BSW27" s="100"/>
      <c r="BSX27" s="100"/>
      <c r="BSY27" s="100"/>
      <c r="BSZ27" s="100"/>
      <c r="BTA27" s="100"/>
      <c r="BTB27" s="100"/>
      <c r="BTC27" s="100"/>
      <c r="BTD27" s="100"/>
      <c r="BTE27" s="100"/>
      <c r="BTF27" s="100"/>
      <c r="BTG27" s="100"/>
      <c r="BTH27" s="100"/>
      <c r="BTI27" s="100"/>
      <c r="BTJ27" s="100"/>
      <c r="BTK27" s="100"/>
      <c r="BTL27" s="100"/>
      <c r="BTM27" s="100"/>
      <c r="BTN27" s="100"/>
      <c r="BTO27" s="100"/>
      <c r="BTP27" s="100"/>
      <c r="BTQ27" s="100"/>
      <c r="BTR27" s="100"/>
      <c r="BTS27" s="100"/>
      <c r="BTT27" s="100"/>
      <c r="BTU27" s="100"/>
      <c r="BTV27" s="100"/>
      <c r="BTW27" s="100"/>
      <c r="BTX27" s="100"/>
      <c r="BTY27" s="100"/>
      <c r="BTZ27" s="100"/>
      <c r="BUA27" s="100"/>
      <c r="BUB27" s="100"/>
      <c r="BUC27" s="100"/>
      <c r="BUD27" s="100"/>
      <c r="BUE27" s="100"/>
      <c r="BUF27" s="100"/>
      <c r="BUG27" s="100"/>
      <c r="BUH27" s="100"/>
      <c r="BUI27" s="100"/>
      <c r="BUJ27" s="100"/>
      <c r="BUK27" s="100"/>
      <c r="BUL27" s="100"/>
      <c r="BUM27" s="100"/>
      <c r="BUN27" s="100"/>
      <c r="BUO27" s="100"/>
      <c r="BUP27" s="100"/>
      <c r="BUQ27" s="100"/>
      <c r="BUR27" s="100"/>
      <c r="BUS27" s="100"/>
      <c r="BUT27" s="100"/>
      <c r="BUU27" s="100"/>
      <c r="BUV27" s="100"/>
      <c r="BUW27" s="100"/>
      <c r="BUX27" s="100"/>
      <c r="BUY27" s="100"/>
      <c r="BUZ27" s="100"/>
      <c r="BVA27" s="100"/>
      <c r="BVB27" s="100"/>
      <c r="BVC27" s="100"/>
      <c r="BVD27" s="100"/>
      <c r="BVE27" s="100"/>
      <c r="BVF27" s="100"/>
      <c r="BVG27" s="100"/>
      <c r="BVH27" s="100"/>
      <c r="BVI27" s="100"/>
      <c r="BVJ27" s="100"/>
      <c r="BVK27" s="100"/>
      <c r="BVL27" s="100"/>
      <c r="BVM27" s="100"/>
      <c r="BVN27" s="100"/>
      <c r="BVO27" s="100"/>
      <c r="BVP27" s="100"/>
      <c r="BVQ27" s="100"/>
      <c r="BVR27" s="100"/>
      <c r="BVS27" s="100"/>
      <c r="BVT27" s="100"/>
      <c r="BVU27" s="100"/>
      <c r="BVV27" s="100"/>
      <c r="BVW27" s="100"/>
      <c r="BVX27" s="100"/>
      <c r="BVY27" s="100"/>
      <c r="BVZ27" s="100"/>
      <c r="BWA27" s="100"/>
      <c r="BWB27" s="100"/>
      <c r="BWC27" s="100"/>
      <c r="BWD27" s="100"/>
      <c r="BWE27" s="100"/>
      <c r="BWF27" s="100"/>
      <c r="BWG27" s="100"/>
      <c r="BWH27" s="100"/>
      <c r="BWI27" s="100"/>
      <c r="BWJ27" s="100"/>
      <c r="BWK27" s="100"/>
      <c r="BWL27" s="100"/>
      <c r="BWM27" s="100"/>
      <c r="BWN27" s="100"/>
      <c r="BWO27" s="100"/>
      <c r="BWP27" s="100"/>
      <c r="BWQ27" s="100"/>
      <c r="BWR27" s="100"/>
      <c r="BWS27" s="100"/>
      <c r="BWT27" s="100"/>
      <c r="BWU27" s="100"/>
      <c r="BWV27" s="100"/>
      <c r="BWW27" s="100"/>
      <c r="BWX27" s="100"/>
      <c r="BWY27" s="100"/>
      <c r="BWZ27" s="100"/>
      <c r="BXA27" s="100"/>
      <c r="BXB27" s="100"/>
      <c r="BXC27" s="100"/>
      <c r="BXD27" s="100"/>
      <c r="BXE27" s="100"/>
      <c r="BXF27" s="100"/>
      <c r="BXG27" s="100"/>
      <c r="BXH27" s="100"/>
      <c r="BXI27" s="100"/>
      <c r="BXJ27" s="100"/>
      <c r="BXK27" s="100"/>
      <c r="BXL27" s="100"/>
      <c r="BXM27" s="100"/>
      <c r="BXN27" s="100"/>
      <c r="BXO27" s="100"/>
      <c r="BXP27" s="100"/>
      <c r="BXQ27" s="100"/>
      <c r="BXR27" s="100"/>
      <c r="BXS27" s="100"/>
      <c r="BXT27" s="100"/>
      <c r="BXU27" s="100"/>
      <c r="BXV27" s="100"/>
      <c r="BXW27" s="100"/>
      <c r="BXX27" s="100"/>
      <c r="BXY27" s="100"/>
      <c r="BXZ27" s="100"/>
      <c r="BYA27" s="100"/>
      <c r="BYB27" s="100"/>
      <c r="BYC27" s="100"/>
      <c r="BYD27" s="100"/>
      <c r="BYE27" s="100"/>
      <c r="BYF27" s="100"/>
      <c r="BYG27" s="100"/>
    </row>
    <row r="28" spans="1:2009" s="110" customFormat="1" ht="24.95" customHeight="1" x14ac:dyDescent="0.25">
      <c r="A28" s="141" t="s">
        <v>228</v>
      </c>
      <c r="B28" s="142"/>
      <c r="C28" s="190"/>
      <c r="D28" s="190"/>
      <c r="E28" s="191"/>
      <c r="F28" s="191"/>
      <c r="G28" s="192"/>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5"/>
      <c r="NJ28" s="95"/>
      <c r="NK28" s="95"/>
      <c r="NL28" s="95"/>
      <c r="NM28" s="95"/>
      <c r="NN28" s="95"/>
      <c r="NO28" s="95"/>
      <c r="NP28" s="95"/>
      <c r="NQ28" s="95"/>
      <c r="NR28" s="95"/>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5"/>
      <c r="SD28" s="95"/>
      <c r="SE28" s="95"/>
      <c r="SF28" s="95"/>
      <c r="SG28" s="95"/>
      <c r="SH28" s="95"/>
      <c r="SI28" s="95"/>
      <c r="SJ28" s="95"/>
      <c r="SK28" s="95"/>
      <c r="SL28" s="95"/>
      <c r="SM28" s="95"/>
      <c r="SN28" s="95"/>
      <c r="SO28" s="95"/>
      <c r="SP28" s="95"/>
      <c r="SQ28" s="95"/>
      <c r="SR28" s="95"/>
      <c r="SS28" s="95"/>
      <c r="ST28" s="95"/>
      <c r="SU28" s="95"/>
      <c r="SV28" s="95"/>
      <c r="SW28" s="95"/>
      <c r="SX28" s="95"/>
      <c r="SY28" s="95"/>
      <c r="SZ28" s="95"/>
      <c r="TA28" s="95"/>
      <c r="TB28" s="95"/>
      <c r="TC28" s="95"/>
      <c r="TD28" s="95"/>
      <c r="TE28" s="95"/>
      <c r="TF28" s="95"/>
      <c r="TG28" s="95"/>
      <c r="TH28" s="95"/>
      <c r="TI28" s="95"/>
      <c r="TJ28" s="95"/>
      <c r="TK28" s="95"/>
      <c r="TL28" s="95"/>
      <c r="TM28" s="95"/>
      <c r="TN28" s="95"/>
      <c r="TO28" s="95"/>
      <c r="TP28" s="95"/>
      <c r="TQ28" s="95"/>
      <c r="TR28" s="95"/>
      <c r="TS28" s="95"/>
      <c r="TT28" s="95"/>
      <c r="TU28" s="95"/>
      <c r="TV28" s="95"/>
      <c r="TW28" s="95"/>
      <c r="TX28" s="95"/>
      <c r="TY28" s="95"/>
      <c r="TZ28" s="95"/>
      <c r="UA28" s="95"/>
      <c r="UB28" s="95"/>
      <c r="UC28" s="95"/>
      <c r="UD28" s="95"/>
      <c r="UE28" s="95"/>
      <c r="UF28" s="95"/>
      <c r="UG28" s="95"/>
      <c r="UH28" s="95"/>
      <c r="UI28" s="95"/>
      <c r="UJ28" s="95"/>
      <c r="UK28" s="95"/>
      <c r="UL28" s="95"/>
      <c r="UM28" s="95"/>
      <c r="UN28" s="95"/>
      <c r="UO28" s="95"/>
      <c r="UP28" s="95"/>
      <c r="UQ28" s="95"/>
      <c r="UR28" s="95"/>
      <c r="US28" s="95"/>
      <c r="UT28" s="95"/>
      <c r="UU28" s="95"/>
      <c r="UV28" s="95"/>
      <c r="UW28" s="95"/>
      <c r="UX28" s="95"/>
      <c r="UY28" s="95"/>
      <c r="UZ28" s="95"/>
      <c r="VA28" s="95"/>
      <c r="VB28" s="95"/>
      <c r="VC28" s="95"/>
      <c r="VD28" s="95"/>
      <c r="VE28" s="95"/>
      <c r="VF28" s="95"/>
      <c r="VG28" s="95"/>
      <c r="VH28" s="95"/>
      <c r="VI28" s="95"/>
      <c r="VJ28" s="95"/>
      <c r="VK28" s="95"/>
      <c r="VL28" s="95"/>
      <c r="VM28" s="95"/>
      <c r="VN28" s="95"/>
      <c r="VO28" s="95"/>
      <c r="VP28" s="95"/>
      <c r="VQ28" s="95"/>
      <c r="VR28" s="95"/>
      <c r="VS28" s="95"/>
      <c r="VT28" s="95"/>
      <c r="VU28" s="95"/>
      <c r="VV28" s="95"/>
      <c r="VW28" s="95"/>
      <c r="VX28" s="95"/>
      <c r="VY28" s="95"/>
      <c r="VZ28" s="95"/>
      <c r="WA28" s="95"/>
      <c r="WB28" s="95"/>
      <c r="WC28" s="95"/>
      <c r="WD28" s="95"/>
      <c r="WE28" s="95"/>
      <c r="WF28" s="95"/>
      <c r="WG28" s="95"/>
      <c r="WH28" s="95"/>
      <c r="WI28" s="95"/>
      <c r="WJ28" s="95"/>
      <c r="WK28" s="95"/>
      <c r="WL28" s="95"/>
      <c r="WM28" s="95"/>
      <c r="WN28" s="95"/>
      <c r="WO28" s="95"/>
      <c r="WP28" s="95"/>
      <c r="WQ28" s="95"/>
      <c r="WR28" s="95"/>
      <c r="WS28" s="95"/>
      <c r="WT28" s="95"/>
      <c r="WU28" s="95"/>
      <c r="WV28" s="95"/>
      <c r="WW28" s="95"/>
      <c r="WX28" s="95"/>
      <c r="WY28" s="95"/>
      <c r="WZ28" s="95"/>
      <c r="XA28" s="95"/>
      <c r="XB28" s="95"/>
      <c r="XC28" s="95"/>
      <c r="XD28" s="95"/>
      <c r="XE28" s="95"/>
      <c r="XF28" s="95"/>
      <c r="XG28" s="95"/>
      <c r="XH28" s="95"/>
      <c r="XI28" s="95"/>
      <c r="XJ28" s="95"/>
      <c r="XK28" s="95"/>
      <c r="XL28" s="95"/>
      <c r="XM28" s="95"/>
      <c r="XN28" s="95"/>
      <c r="XO28" s="95"/>
      <c r="XP28" s="95"/>
      <c r="XQ28" s="95"/>
      <c r="XR28" s="95"/>
      <c r="XS28" s="95"/>
      <c r="XT28" s="95"/>
      <c r="XU28" s="95"/>
      <c r="XV28" s="95"/>
      <c r="XW28" s="95"/>
      <c r="XX28" s="95"/>
      <c r="XY28" s="95"/>
      <c r="XZ28" s="95"/>
      <c r="YA28" s="95"/>
      <c r="YB28" s="95"/>
      <c r="YC28" s="95"/>
      <c r="YD28" s="95"/>
      <c r="YE28" s="95"/>
      <c r="YF28" s="95"/>
      <c r="YG28" s="95"/>
      <c r="YH28" s="95"/>
      <c r="YI28" s="95"/>
      <c r="YJ28" s="95"/>
      <c r="YK28" s="95"/>
      <c r="YL28" s="95"/>
      <c r="YM28" s="95"/>
      <c r="YN28" s="95"/>
      <c r="YO28" s="95"/>
      <c r="YP28" s="95"/>
      <c r="YQ28" s="95"/>
      <c r="YR28" s="95"/>
      <c r="YS28" s="95"/>
      <c r="YT28" s="95"/>
      <c r="YU28" s="95"/>
      <c r="YV28" s="95"/>
      <c r="YW28" s="95"/>
      <c r="YX28" s="95"/>
      <c r="YY28" s="95"/>
      <c r="YZ28" s="95"/>
      <c r="ZA28" s="95"/>
      <c r="ZB28" s="95"/>
      <c r="ZC28" s="95"/>
      <c r="ZD28" s="95"/>
      <c r="ZE28" s="95"/>
      <c r="ZF28" s="95"/>
      <c r="ZG28" s="95"/>
      <c r="ZH28" s="95"/>
      <c r="ZI28" s="95"/>
      <c r="ZJ28" s="95"/>
      <c r="ZK28" s="95"/>
      <c r="ZL28" s="95"/>
      <c r="ZM28" s="95"/>
      <c r="ZN28" s="95"/>
      <c r="ZO28" s="95"/>
      <c r="ZP28" s="95"/>
      <c r="ZQ28" s="95"/>
      <c r="ZR28" s="95"/>
      <c r="ZS28" s="95"/>
      <c r="ZT28" s="95"/>
      <c r="ZU28" s="95"/>
      <c r="ZV28" s="95"/>
      <c r="ZW28" s="95"/>
      <c r="ZX28" s="95"/>
      <c r="ZY28" s="95"/>
      <c r="ZZ28" s="95"/>
      <c r="AAA28" s="95"/>
      <c r="AAB28" s="95"/>
      <c r="AAC28" s="95"/>
      <c r="AAD28" s="95"/>
      <c r="AAE28" s="95"/>
      <c r="AAF28" s="95"/>
      <c r="AAG28" s="95"/>
      <c r="AAH28" s="95"/>
      <c r="AAI28" s="95"/>
      <c r="AAJ28" s="95"/>
      <c r="AAK28" s="95"/>
      <c r="AAL28" s="95"/>
      <c r="AAM28" s="95"/>
      <c r="AAN28" s="95"/>
      <c r="AAO28" s="95"/>
      <c r="AAP28" s="95"/>
      <c r="AAQ28" s="95"/>
      <c r="AAR28" s="95"/>
      <c r="AAS28" s="95"/>
      <c r="AAT28" s="95"/>
      <c r="AAU28" s="95"/>
      <c r="AAV28" s="95"/>
      <c r="AAW28" s="95"/>
      <c r="AAX28" s="95"/>
      <c r="AAY28" s="95"/>
      <c r="AAZ28" s="95"/>
      <c r="ABA28" s="95"/>
      <c r="ABB28" s="95"/>
      <c r="ABC28" s="95"/>
      <c r="ABD28" s="95"/>
      <c r="ABE28" s="95"/>
      <c r="ABF28" s="95"/>
      <c r="ABG28" s="95"/>
      <c r="ABH28" s="95"/>
      <c r="ABI28" s="95"/>
      <c r="ABJ28" s="95"/>
      <c r="ABK28" s="95"/>
      <c r="ABL28" s="95"/>
      <c r="ABM28" s="95"/>
      <c r="ABN28" s="95"/>
      <c r="ABO28" s="95"/>
      <c r="ABP28" s="95"/>
      <c r="ABQ28" s="95"/>
      <c r="ABR28" s="95"/>
      <c r="ABS28" s="95"/>
      <c r="ABT28" s="95"/>
      <c r="ABU28" s="95"/>
      <c r="ABV28" s="95"/>
      <c r="ABW28" s="95"/>
      <c r="ABX28" s="95"/>
      <c r="ABY28" s="95"/>
      <c r="ABZ28" s="95"/>
      <c r="ACA28" s="95"/>
      <c r="ACB28" s="95"/>
      <c r="ACC28" s="95"/>
      <c r="ACD28" s="95"/>
      <c r="ACE28" s="95"/>
      <c r="ACF28" s="95"/>
      <c r="ACG28" s="95"/>
      <c r="ACH28" s="95"/>
      <c r="ACI28" s="95"/>
      <c r="ACJ28" s="95"/>
      <c r="ACK28" s="95"/>
      <c r="ACL28" s="95"/>
      <c r="ACM28" s="95"/>
      <c r="ACN28" s="95"/>
      <c r="ACO28" s="95"/>
      <c r="ACP28" s="95"/>
      <c r="ACQ28" s="95"/>
      <c r="ACR28" s="95"/>
      <c r="ACS28" s="95"/>
      <c r="ACT28" s="95"/>
      <c r="ACU28" s="95"/>
      <c r="ACV28" s="95"/>
      <c r="ACW28" s="95"/>
      <c r="ACX28" s="95"/>
      <c r="ACY28" s="95"/>
      <c r="ACZ28" s="95"/>
      <c r="ADA28" s="95"/>
      <c r="ADB28" s="95"/>
      <c r="ADC28" s="95"/>
      <c r="ADD28" s="95"/>
      <c r="ADE28" s="95"/>
      <c r="ADF28" s="95"/>
      <c r="ADG28" s="95"/>
      <c r="ADH28" s="95"/>
      <c r="ADI28" s="95"/>
      <c r="ADJ28" s="95"/>
      <c r="ADK28" s="95"/>
      <c r="ADL28" s="95"/>
      <c r="ADM28" s="95"/>
      <c r="ADN28" s="95"/>
      <c r="ADO28" s="95"/>
      <c r="ADP28" s="95"/>
      <c r="ADQ28" s="95"/>
      <c r="ADR28" s="95"/>
      <c r="ADS28" s="95"/>
      <c r="ADT28" s="95"/>
      <c r="ADU28" s="95"/>
      <c r="ADV28" s="95"/>
      <c r="ADW28" s="95"/>
      <c r="ADX28" s="95"/>
      <c r="ADY28" s="95"/>
      <c r="ADZ28" s="95"/>
      <c r="AEA28" s="95"/>
      <c r="AEB28" s="95"/>
      <c r="AEC28" s="95"/>
      <c r="AED28" s="95"/>
      <c r="AEE28" s="95"/>
      <c r="AEF28" s="95"/>
      <c r="AEG28" s="95"/>
      <c r="AEH28" s="95"/>
      <c r="AEI28" s="95"/>
      <c r="AEJ28" s="95"/>
      <c r="AEK28" s="95"/>
      <c r="AEL28" s="95"/>
      <c r="AEM28" s="95"/>
      <c r="AEN28" s="95"/>
      <c r="AEO28" s="95"/>
      <c r="AEP28" s="95"/>
      <c r="AEQ28" s="95"/>
      <c r="AER28" s="95"/>
      <c r="AES28" s="95"/>
      <c r="AET28" s="95"/>
      <c r="AEU28" s="95"/>
      <c r="AEV28" s="95"/>
      <c r="AEW28" s="95"/>
      <c r="AEX28" s="95"/>
      <c r="AEY28" s="95"/>
      <c r="AEZ28" s="95"/>
      <c r="AFA28" s="95"/>
      <c r="AFB28" s="95"/>
      <c r="AFC28" s="95"/>
      <c r="AFD28" s="95"/>
      <c r="AFE28" s="95"/>
      <c r="AFF28" s="95"/>
      <c r="AFG28" s="95"/>
      <c r="AFH28" s="95"/>
      <c r="AFI28" s="95"/>
      <c r="AFJ28" s="95"/>
      <c r="AFK28" s="95"/>
      <c r="AFL28" s="95"/>
      <c r="AFM28" s="95"/>
      <c r="AFN28" s="95"/>
      <c r="AFO28" s="95"/>
      <c r="AFP28" s="95"/>
      <c r="AFQ28" s="95"/>
      <c r="AFR28" s="95"/>
      <c r="AFS28" s="95"/>
      <c r="AFT28" s="95"/>
      <c r="AFU28" s="95"/>
      <c r="AFV28" s="95"/>
      <c r="AFW28" s="95"/>
      <c r="AFX28" s="95"/>
      <c r="AFY28" s="95"/>
      <c r="AFZ28" s="95"/>
      <c r="AGA28" s="95"/>
      <c r="AGB28" s="95"/>
      <c r="AGC28" s="95"/>
      <c r="AGD28" s="95"/>
      <c r="AGE28" s="95"/>
      <c r="AGF28" s="95"/>
      <c r="AGG28" s="95"/>
      <c r="AGH28" s="95"/>
      <c r="AGI28" s="95"/>
      <c r="AGJ28" s="95"/>
      <c r="AGK28" s="95"/>
      <c r="AGL28" s="95"/>
      <c r="AGM28" s="95"/>
      <c r="AGN28" s="95"/>
      <c r="AGO28" s="95"/>
      <c r="AGP28" s="95"/>
      <c r="AGQ28" s="95"/>
      <c r="AGR28" s="95"/>
      <c r="AGS28" s="95"/>
      <c r="AGT28" s="95"/>
      <c r="AGU28" s="95"/>
      <c r="AGV28" s="95"/>
      <c r="AGW28" s="95"/>
      <c r="AGX28" s="95"/>
      <c r="AGY28" s="95"/>
      <c r="AGZ28" s="95"/>
      <c r="AHA28" s="95"/>
      <c r="AHB28" s="95"/>
      <c r="AHC28" s="95"/>
      <c r="AHD28" s="95"/>
      <c r="AHE28" s="95"/>
      <c r="AHF28" s="95"/>
      <c r="AHG28" s="95"/>
      <c r="AHH28" s="95"/>
      <c r="AHI28" s="95"/>
      <c r="AHJ28" s="95"/>
      <c r="AHK28" s="95"/>
      <c r="AHL28" s="95"/>
      <c r="AHM28" s="95"/>
      <c r="AHN28" s="95"/>
      <c r="AHO28" s="95"/>
      <c r="AHP28" s="95"/>
      <c r="AHQ28" s="95"/>
      <c r="AHR28" s="95"/>
      <c r="AHS28" s="95"/>
      <c r="AHT28" s="95"/>
      <c r="AHU28" s="95"/>
      <c r="AHV28" s="95"/>
      <c r="AHW28" s="95"/>
      <c r="AHX28" s="95"/>
      <c r="AHY28" s="95"/>
      <c r="AHZ28" s="95"/>
      <c r="AIA28" s="95"/>
      <c r="AIB28" s="95"/>
      <c r="AIC28" s="95"/>
      <c r="AID28" s="95"/>
      <c r="AIE28" s="95"/>
      <c r="AIF28" s="95"/>
      <c r="AIG28" s="95"/>
      <c r="AIH28" s="95"/>
      <c r="AII28" s="95"/>
      <c r="AIJ28" s="95"/>
      <c r="AIK28" s="95"/>
      <c r="AIL28" s="95"/>
      <c r="AIM28" s="95"/>
      <c r="AIN28" s="95"/>
      <c r="AIO28" s="95"/>
      <c r="AIP28" s="95"/>
      <c r="AIQ28" s="95"/>
      <c r="AIR28" s="95"/>
      <c r="AIS28" s="95"/>
      <c r="AIT28" s="95"/>
      <c r="AIU28" s="95"/>
      <c r="AIV28" s="95"/>
      <c r="AIW28" s="95"/>
      <c r="AIX28" s="95"/>
      <c r="AIY28" s="95"/>
      <c r="AIZ28" s="95"/>
      <c r="AJA28" s="95"/>
      <c r="AJB28" s="95"/>
      <c r="AJC28" s="95"/>
      <c r="AJD28" s="95"/>
      <c r="AJE28" s="95"/>
      <c r="AJF28" s="95"/>
      <c r="AJG28" s="95"/>
      <c r="AJH28" s="95"/>
      <c r="AJI28" s="95"/>
      <c r="AJJ28" s="95"/>
      <c r="AJK28" s="95"/>
      <c r="AJL28" s="95"/>
      <c r="AJM28" s="95"/>
      <c r="AJN28" s="95"/>
      <c r="AJO28" s="95"/>
      <c r="AJP28" s="95"/>
      <c r="AJQ28" s="95"/>
      <c r="AJR28" s="95"/>
      <c r="AJS28" s="95"/>
      <c r="AJT28" s="95"/>
      <c r="AJU28" s="95"/>
      <c r="AJV28" s="95"/>
      <c r="AJW28" s="95"/>
      <c r="AJX28" s="95"/>
      <c r="AJY28" s="95"/>
      <c r="AJZ28" s="95"/>
      <c r="AKA28" s="95"/>
      <c r="AKB28" s="95"/>
      <c r="AKC28" s="95"/>
      <c r="AKD28" s="95"/>
      <c r="AKE28" s="95"/>
      <c r="AKF28" s="95"/>
      <c r="AKG28" s="95"/>
      <c r="AKH28" s="95"/>
      <c r="AKI28" s="95"/>
      <c r="AKJ28" s="95"/>
      <c r="AKK28" s="95"/>
      <c r="AKL28" s="95"/>
      <c r="AKM28" s="95"/>
      <c r="AKN28" s="95"/>
      <c r="AKO28" s="95"/>
      <c r="AKP28" s="95"/>
      <c r="AKQ28" s="95"/>
      <c r="AKR28" s="95"/>
      <c r="AKS28" s="95"/>
      <c r="AKT28" s="95"/>
      <c r="AKU28" s="95"/>
      <c r="AKV28" s="95"/>
      <c r="AKW28" s="95"/>
      <c r="AKX28" s="95"/>
      <c r="AKY28" s="95"/>
      <c r="AKZ28" s="95"/>
      <c r="ALA28" s="95"/>
      <c r="ALB28" s="95"/>
      <c r="ALC28" s="95"/>
      <c r="ALD28" s="95"/>
      <c r="ALE28" s="95"/>
      <c r="ALF28" s="95"/>
      <c r="ALG28" s="95"/>
      <c r="ALH28" s="95"/>
      <c r="ALI28" s="95"/>
      <c r="ALJ28" s="95"/>
      <c r="ALK28" s="95"/>
      <c r="ALL28" s="95"/>
      <c r="ALM28" s="95"/>
      <c r="ALN28" s="95"/>
      <c r="ALO28" s="95"/>
      <c r="ALP28" s="95"/>
      <c r="ALQ28" s="95"/>
      <c r="ALR28" s="95"/>
      <c r="ALS28" s="95"/>
      <c r="ALT28" s="95"/>
      <c r="ALU28" s="95"/>
      <c r="ALV28" s="95"/>
      <c r="ALW28" s="95"/>
      <c r="ALX28" s="95"/>
      <c r="ALY28" s="95"/>
      <c r="ALZ28" s="95"/>
      <c r="AMA28" s="95"/>
      <c r="AMB28" s="95"/>
      <c r="AMC28" s="95"/>
      <c r="AMD28" s="95"/>
      <c r="AME28" s="95"/>
      <c r="AMF28" s="95"/>
      <c r="AMG28" s="95"/>
      <c r="AMH28" s="95"/>
      <c r="AMI28" s="95"/>
      <c r="AMJ28" s="95"/>
      <c r="AMK28" s="95"/>
      <c r="AML28" s="95"/>
      <c r="AMM28" s="95"/>
      <c r="AMN28" s="95"/>
      <c r="AMO28" s="95"/>
      <c r="AMP28" s="95"/>
      <c r="AMQ28" s="95"/>
      <c r="AMR28" s="95"/>
      <c r="AMS28" s="95"/>
      <c r="AMT28" s="95"/>
      <c r="AMU28" s="95"/>
      <c r="AMV28" s="95"/>
      <c r="AMW28" s="95"/>
      <c r="AMX28" s="95"/>
      <c r="AMY28" s="95"/>
      <c r="AMZ28" s="95"/>
      <c r="ANA28" s="95"/>
      <c r="ANB28" s="95"/>
      <c r="ANC28" s="95"/>
      <c r="AND28" s="95"/>
      <c r="ANE28" s="95"/>
      <c r="ANF28" s="95"/>
      <c r="ANG28" s="95"/>
      <c r="ANH28" s="95"/>
      <c r="ANI28" s="95"/>
      <c r="ANJ28" s="95"/>
      <c r="ANK28" s="95"/>
      <c r="ANL28" s="95"/>
      <c r="ANM28" s="95"/>
      <c r="ANN28" s="95"/>
      <c r="ANO28" s="95"/>
      <c r="ANP28" s="95"/>
      <c r="ANQ28" s="95"/>
      <c r="ANR28" s="95"/>
      <c r="ANS28" s="95"/>
      <c r="ANT28" s="95"/>
      <c r="ANU28" s="95"/>
      <c r="ANV28" s="95"/>
      <c r="ANW28" s="95"/>
      <c r="ANX28" s="95"/>
      <c r="ANY28" s="95"/>
      <c r="ANZ28" s="95"/>
      <c r="AOA28" s="95"/>
      <c r="AOB28" s="95"/>
      <c r="AOC28" s="95"/>
      <c r="AOD28" s="95"/>
      <c r="AOE28" s="95"/>
      <c r="AOF28" s="95"/>
      <c r="AOG28" s="95"/>
      <c r="AOH28" s="95"/>
      <c r="AOI28" s="95"/>
      <c r="AOJ28" s="95"/>
      <c r="AOK28" s="95"/>
      <c r="AOL28" s="95"/>
      <c r="AOM28" s="95"/>
      <c r="AON28" s="95"/>
      <c r="AOO28" s="95"/>
      <c r="AOP28" s="95"/>
      <c r="AOQ28" s="95"/>
      <c r="AOR28" s="95"/>
      <c r="AOS28" s="95"/>
      <c r="AOT28" s="95"/>
      <c r="AOU28" s="95"/>
      <c r="AOV28" s="95"/>
      <c r="AOW28" s="95"/>
      <c r="AOX28" s="95"/>
      <c r="AOY28" s="95"/>
      <c r="AOZ28" s="95"/>
      <c r="APA28" s="95"/>
      <c r="APB28" s="95"/>
      <c r="APC28" s="95"/>
      <c r="APD28" s="95"/>
      <c r="APE28" s="95"/>
      <c r="APF28" s="95"/>
      <c r="APG28" s="95"/>
      <c r="APH28" s="95"/>
      <c r="API28" s="95"/>
      <c r="APJ28" s="95"/>
      <c r="APK28" s="95"/>
      <c r="APL28" s="95"/>
      <c r="APM28" s="95"/>
      <c r="APN28" s="95"/>
      <c r="APO28" s="95"/>
      <c r="APP28" s="95"/>
      <c r="APQ28" s="95"/>
      <c r="APR28" s="95"/>
      <c r="APS28" s="95"/>
      <c r="APT28" s="95"/>
      <c r="APU28" s="95"/>
      <c r="APV28" s="95"/>
      <c r="APW28" s="95"/>
      <c r="APX28" s="95"/>
      <c r="APY28" s="95"/>
      <c r="APZ28" s="95"/>
      <c r="AQA28" s="95"/>
      <c r="AQB28" s="95"/>
      <c r="AQC28" s="95"/>
      <c r="AQD28" s="95"/>
      <c r="AQE28" s="95"/>
      <c r="AQF28" s="95"/>
      <c r="AQG28" s="95"/>
      <c r="AQH28" s="95"/>
      <c r="AQI28" s="95"/>
      <c r="AQJ28" s="95"/>
      <c r="AQK28" s="95"/>
      <c r="AQL28" s="95"/>
      <c r="AQM28" s="95"/>
      <c r="AQN28" s="95"/>
      <c r="AQO28" s="95"/>
      <c r="AQP28" s="95"/>
      <c r="AQQ28" s="95"/>
      <c r="AQR28" s="95"/>
      <c r="AQS28" s="95"/>
      <c r="AQT28" s="95"/>
      <c r="AQU28" s="95"/>
      <c r="AQV28" s="95"/>
      <c r="AQW28" s="95"/>
      <c r="AQX28" s="95"/>
      <c r="AQY28" s="95"/>
      <c r="AQZ28" s="95"/>
      <c r="ARA28" s="95"/>
      <c r="ARB28" s="95"/>
      <c r="ARC28" s="95"/>
      <c r="ARD28" s="95"/>
      <c r="ARE28" s="95"/>
      <c r="ARF28" s="95"/>
      <c r="ARG28" s="95"/>
      <c r="ARH28" s="95"/>
      <c r="ARI28" s="95"/>
      <c r="ARJ28" s="95"/>
      <c r="ARK28" s="95"/>
      <c r="ARL28" s="95"/>
      <c r="ARM28" s="95"/>
      <c r="ARN28" s="95"/>
      <c r="ARO28" s="95"/>
      <c r="ARP28" s="95"/>
      <c r="ARQ28" s="95"/>
      <c r="ARR28" s="95"/>
      <c r="ARS28" s="95"/>
      <c r="ART28" s="95"/>
      <c r="ARU28" s="95"/>
      <c r="ARV28" s="95"/>
      <c r="ARW28" s="95"/>
      <c r="ARX28" s="95"/>
      <c r="ARY28" s="95"/>
      <c r="ARZ28" s="95"/>
      <c r="ASA28" s="95"/>
      <c r="ASB28" s="95"/>
      <c r="ASC28" s="95"/>
      <c r="ASD28" s="95"/>
      <c r="ASE28" s="95"/>
      <c r="ASF28" s="95"/>
      <c r="ASG28" s="95"/>
      <c r="ASH28" s="95"/>
      <c r="ASI28" s="95"/>
      <c r="ASJ28" s="95"/>
      <c r="ASK28" s="95"/>
      <c r="ASL28" s="95"/>
      <c r="ASM28" s="95"/>
      <c r="ASN28" s="95"/>
      <c r="ASO28" s="95"/>
      <c r="ASP28" s="95"/>
      <c r="ASQ28" s="95"/>
      <c r="ASR28" s="95"/>
      <c r="ASS28" s="95"/>
      <c r="AST28" s="95"/>
      <c r="ASU28" s="95"/>
      <c r="ASV28" s="95"/>
      <c r="ASW28" s="95"/>
      <c r="ASX28" s="95"/>
      <c r="ASY28" s="95"/>
      <c r="ASZ28" s="95"/>
      <c r="ATA28" s="95"/>
      <c r="ATB28" s="95"/>
      <c r="ATC28" s="95"/>
      <c r="ATD28" s="95"/>
      <c r="ATE28" s="95"/>
      <c r="ATF28" s="95"/>
      <c r="ATG28" s="95"/>
      <c r="ATH28" s="95"/>
      <c r="ATI28" s="95"/>
      <c r="ATJ28" s="95"/>
      <c r="ATK28" s="95"/>
      <c r="ATL28" s="95"/>
      <c r="ATM28" s="95"/>
      <c r="ATN28" s="95"/>
      <c r="ATO28" s="95"/>
      <c r="ATP28" s="95"/>
      <c r="ATQ28" s="95"/>
      <c r="ATR28" s="95"/>
      <c r="ATS28" s="95"/>
      <c r="ATT28" s="95"/>
      <c r="ATU28" s="95"/>
      <c r="ATV28" s="95"/>
      <c r="ATW28" s="95"/>
      <c r="ATX28" s="95"/>
      <c r="ATY28" s="95"/>
      <c r="ATZ28" s="95"/>
      <c r="AUA28" s="95"/>
      <c r="AUB28" s="95"/>
      <c r="AUC28" s="95"/>
      <c r="AUD28" s="95"/>
      <c r="AUE28" s="95"/>
      <c r="AUF28" s="95"/>
      <c r="AUG28" s="95"/>
      <c r="AUH28" s="95"/>
      <c r="AUI28" s="95"/>
      <c r="AUJ28" s="95"/>
      <c r="AUK28" s="95"/>
      <c r="AUL28" s="95"/>
      <c r="AUM28" s="95"/>
      <c r="AUN28" s="95"/>
      <c r="AUO28" s="95"/>
      <c r="AUP28" s="95"/>
      <c r="AUQ28" s="95"/>
      <c r="AUR28" s="95"/>
      <c r="AUS28" s="95"/>
      <c r="AUT28" s="95"/>
      <c r="AUU28" s="95"/>
      <c r="AUV28" s="95"/>
      <c r="AUW28" s="95"/>
      <c r="AUX28" s="95"/>
      <c r="AUY28" s="95"/>
      <c r="AUZ28" s="95"/>
      <c r="AVA28" s="95"/>
      <c r="AVB28" s="95"/>
      <c r="AVC28" s="95"/>
      <c r="AVD28" s="95"/>
      <c r="AVE28" s="95"/>
      <c r="AVF28" s="95"/>
      <c r="AVG28" s="95"/>
      <c r="AVH28" s="95"/>
      <c r="AVI28" s="95"/>
      <c r="AVJ28" s="95"/>
      <c r="AVK28" s="95"/>
      <c r="AVL28" s="95"/>
      <c r="AVM28" s="95"/>
      <c r="AVN28" s="95"/>
      <c r="AVO28" s="95"/>
      <c r="AVP28" s="95"/>
      <c r="AVQ28" s="95"/>
      <c r="AVR28" s="95"/>
      <c r="AVS28" s="95"/>
      <c r="AVT28" s="95"/>
      <c r="AVU28" s="95"/>
      <c r="AVV28" s="95"/>
      <c r="AVW28" s="95"/>
      <c r="AVX28" s="95"/>
      <c r="AVY28" s="95"/>
      <c r="AVZ28" s="95"/>
      <c r="AWA28" s="95"/>
      <c r="AWB28" s="95"/>
      <c r="AWC28" s="95"/>
      <c r="AWD28" s="95"/>
      <c r="AWE28" s="95"/>
      <c r="AWF28" s="95"/>
      <c r="AWG28" s="95"/>
      <c r="AWH28" s="95"/>
      <c r="AWI28" s="95"/>
      <c r="AWJ28" s="95"/>
      <c r="AWK28" s="95"/>
      <c r="AWL28" s="95"/>
      <c r="AWM28" s="95"/>
      <c r="AWN28" s="95"/>
      <c r="AWO28" s="95"/>
      <c r="AWP28" s="95"/>
      <c r="AWQ28" s="95"/>
      <c r="AWR28" s="95"/>
      <c r="AWS28" s="95"/>
      <c r="AWT28" s="95"/>
      <c r="AWU28" s="95"/>
      <c r="AWV28" s="95"/>
      <c r="AWW28" s="95"/>
      <c r="AWX28" s="95"/>
      <c r="AWY28" s="95"/>
      <c r="AWZ28" s="95"/>
      <c r="AXA28" s="95"/>
      <c r="AXB28" s="95"/>
      <c r="AXC28" s="95"/>
      <c r="AXD28" s="95"/>
      <c r="AXE28" s="95"/>
      <c r="AXF28" s="95"/>
      <c r="AXG28" s="95"/>
      <c r="AXH28" s="95"/>
      <c r="AXI28" s="95"/>
      <c r="AXJ28" s="95"/>
      <c r="AXK28" s="95"/>
      <c r="AXL28" s="95"/>
      <c r="AXM28" s="95"/>
      <c r="AXN28" s="95"/>
      <c r="AXO28" s="95"/>
      <c r="AXP28" s="95"/>
      <c r="AXQ28" s="95"/>
      <c r="AXR28" s="95"/>
      <c r="AXS28" s="95"/>
      <c r="AXT28" s="95"/>
      <c r="AXU28" s="95"/>
      <c r="AXV28" s="95"/>
      <c r="AXW28" s="95"/>
      <c r="AXX28" s="95"/>
      <c r="AXY28" s="95"/>
      <c r="AXZ28" s="95"/>
      <c r="AYA28" s="95"/>
      <c r="AYB28" s="95"/>
      <c r="AYC28" s="95"/>
      <c r="AYD28" s="95"/>
      <c r="AYE28" s="95"/>
      <c r="AYF28" s="95"/>
      <c r="AYG28" s="95"/>
      <c r="AYH28" s="95"/>
      <c r="AYI28" s="95"/>
      <c r="AYJ28" s="95"/>
      <c r="AYK28" s="95"/>
      <c r="AYL28" s="95"/>
      <c r="AYM28" s="95"/>
      <c r="AYN28" s="95"/>
      <c r="AYO28" s="95"/>
      <c r="AYP28" s="95"/>
      <c r="AYQ28" s="95"/>
      <c r="AYR28" s="95"/>
      <c r="AYS28" s="95"/>
      <c r="AYT28" s="95"/>
      <c r="AYU28" s="95"/>
      <c r="AYV28" s="95"/>
      <c r="AYW28" s="95"/>
      <c r="AYX28" s="95"/>
      <c r="AYY28" s="95"/>
      <c r="AYZ28" s="95"/>
      <c r="AZA28" s="95"/>
      <c r="AZB28" s="95"/>
      <c r="AZC28" s="95"/>
      <c r="AZD28" s="95"/>
      <c r="AZE28" s="95"/>
      <c r="AZF28" s="95"/>
      <c r="AZG28" s="95"/>
      <c r="AZH28" s="95"/>
      <c r="AZI28" s="95"/>
      <c r="AZJ28" s="95"/>
      <c r="AZK28" s="95"/>
      <c r="AZL28" s="95"/>
      <c r="AZM28" s="95"/>
      <c r="AZN28" s="95"/>
      <c r="AZO28" s="95"/>
      <c r="AZP28" s="95"/>
      <c r="AZQ28" s="95"/>
      <c r="AZR28" s="95"/>
      <c r="AZS28" s="95"/>
      <c r="AZT28" s="95"/>
      <c r="AZU28" s="95"/>
      <c r="AZV28" s="95"/>
      <c r="AZW28" s="95"/>
      <c r="AZX28" s="95"/>
      <c r="AZY28" s="95"/>
      <c r="AZZ28" s="95"/>
      <c r="BAA28" s="95"/>
      <c r="BAB28" s="95"/>
      <c r="BAC28" s="95"/>
      <c r="BAD28" s="95"/>
      <c r="BAE28" s="95"/>
      <c r="BAF28" s="95"/>
      <c r="BAG28" s="95"/>
      <c r="BAH28" s="95"/>
      <c r="BAI28" s="95"/>
      <c r="BAJ28" s="95"/>
      <c r="BAK28" s="95"/>
      <c r="BAL28" s="95"/>
      <c r="BAM28" s="95"/>
      <c r="BAN28" s="95"/>
      <c r="BAO28" s="95"/>
      <c r="BAP28" s="95"/>
      <c r="BAQ28" s="95"/>
      <c r="BAR28" s="95"/>
      <c r="BAS28" s="95"/>
      <c r="BAT28" s="95"/>
      <c r="BAU28" s="95"/>
      <c r="BAV28" s="95"/>
      <c r="BAW28" s="95"/>
      <c r="BAX28" s="95"/>
      <c r="BAY28" s="95"/>
      <c r="BAZ28" s="95"/>
      <c r="BBA28" s="95"/>
      <c r="BBB28" s="95"/>
      <c r="BBC28" s="95"/>
      <c r="BBD28" s="95"/>
      <c r="BBE28" s="95"/>
      <c r="BBF28" s="95"/>
      <c r="BBG28" s="95"/>
      <c r="BBH28" s="95"/>
      <c r="BBI28" s="95"/>
      <c r="BBJ28" s="95"/>
      <c r="BBK28" s="95"/>
      <c r="BBL28" s="95"/>
      <c r="BBM28" s="95"/>
      <c r="BBN28" s="95"/>
      <c r="BBO28" s="95"/>
      <c r="BBP28" s="95"/>
      <c r="BBQ28" s="95"/>
      <c r="BBR28" s="95"/>
      <c r="BBS28" s="95"/>
      <c r="BBT28" s="95"/>
      <c r="BBU28" s="95"/>
      <c r="BBV28" s="95"/>
      <c r="BBW28" s="95"/>
      <c r="BBX28" s="95"/>
      <c r="BBY28" s="95"/>
      <c r="BBZ28" s="95"/>
      <c r="BCA28" s="95"/>
      <c r="BCB28" s="95"/>
      <c r="BCC28" s="95"/>
      <c r="BCD28" s="95"/>
      <c r="BCE28" s="95"/>
      <c r="BCF28" s="95"/>
      <c r="BCG28" s="95"/>
      <c r="BCH28" s="95"/>
      <c r="BCI28" s="95"/>
      <c r="BCJ28" s="95"/>
      <c r="BCK28" s="95"/>
      <c r="BCL28" s="95"/>
      <c r="BCM28" s="95"/>
      <c r="BCN28" s="95"/>
      <c r="BCO28" s="95"/>
      <c r="BCP28" s="95"/>
      <c r="BCQ28" s="95"/>
      <c r="BCR28" s="95"/>
      <c r="BCS28" s="95"/>
      <c r="BCT28" s="95"/>
      <c r="BCU28" s="95"/>
      <c r="BCV28" s="95"/>
      <c r="BCW28" s="95"/>
      <c r="BCX28" s="95"/>
      <c r="BCY28" s="95"/>
      <c r="BCZ28" s="95"/>
      <c r="BDA28" s="95"/>
      <c r="BDB28" s="95"/>
      <c r="BDC28" s="95"/>
      <c r="BDD28" s="95"/>
      <c r="BDE28" s="95"/>
      <c r="BDF28" s="95"/>
      <c r="BDG28" s="95"/>
      <c r="BDH28" s="95"/>
      <c r="BDI28" s="95"/>
      <c r="BDJ28" s="95"/>
      <c r="BDK28" s="95"/>
      <c r="BDL28" s="95"/>
      <c r="BDM28" s="95"/>
      <c r="BDN28" s="95"/>
      <c r="BDO28" s="95"/>
      <c r="BDP28" s="95"/>
      <c r="BDQ28" s="95"/>
      <c r="BDR28" s="95"/>
      <c r="BDS28" s="95"/>
      <c r="BDT28" s="95"/>
      <c r="BDU28" s="95"/>
      <c r="BDV28" s="95"/>
      <c r="BDW28" s="95"/>
      <c r="BDX28" s="95"/>
      <c r="BDY28" s="95"/>
      <c r="BDZ28" s="95"/>
      <c r="BEA28" s="95"/>
      <c r="BEB28" s="95"/>
      <c r="BEC28" s="95"/>
      <c r="BED28" s="95"/>
      <c r="BEE28" s="95"/>
      <c r="BEF28" s="95"/>
      <c r="BEG28" s="95"/>
      <c r="BEH28" s="95"/>
      <c r="BEI28" s="95"/>
      <c r="BEJ28" s="95"/>
      <c r="BEK28" s="95"/>
      <c r="BEL28" s="95"/>
      <c r="BEM28" s="95"/>
      <c r="BEN28" s="95"/>
      <c r="BEO28" s="95"/>
      <c r="BEP28" s="95"/>
      <c r="BEQ28" s="95"/>
      <c r="BER28" s="95"/>
      <c r="BES28" s="95"/>
      <c r="BET28" s="95"/>
      <c r="BEU28" s="95"/>
      <c r="BEV28" s="95"/>
      <c r="BEW28" s="95"/>
      <c r="BEX28" s="95"/>
      <c r="BEY28" s="95"/>
      <c r="BEZ28" s="95"/>
      <c r="BFA28" s="95"/>
      <c r="BFB28" s="95"/>
      <c r="BFC28" s="95"/>
      <c r="BFD28" s="95"/>
      <c r="BFE28" s="95"/>
      <c r="BFF28" s="95"/>
      <c r="BFG28" s="95"/>
      <c r="BFH28" s="95"/>
      <c r="BFI28" s="95"/>
      <c r="BFJ28" s="95"/>
      <c r="BFK28" s="95"/>
      <c r="BFL28" s="95"/>
      <c r="BFM28" s="95"/>
      <c r="BFN28" s="95"/>
      <c r="BFO28" s="95"/>
      <c r="BFP28" s="95"/>
      <c r="BFQ28" s="95"/>
      <c r="BFR28" s="95"/>
      <c r="BFS28" s="95"/>
      <c r="BFT28" s="95"/>
      <c r="BFU28" s="95"/>
      <c r="BFV28" s="95"/>
      <c r="BFW28" s="95"/>
      <c r="BFX28" s="95"/>
      <c r="BFY28" s="95"/>
      <c r="BFZ28" s="95"/>
      <c r="BGA28" s="95"/>
      <c r="BGB28" s="95"/>
      <c r="BGC28" s="95"/>
      <c r="BGD28" s="95"/>
      <c r="BGE28" s="95"/>
      <c r="BGF28" s="95"/>
      <c r="BGG28" s="95"/>
      <c r="BGH28" s="95"/>
      <c r="BGI28" s="95"/>
      <c r="BGJ28" s="95"/>
      <c r="BGK28" s="95"/>
      <c r="BGL28" s="95"/>
      <c r="BGM28" s="95"/>
      <c r="BGN28" s="95"/>
      <c r="BGO28" s="95"/>
      <c r="BGP28" s="95"/>
      <c r="BGQ28" s="95"/>
      <c r="BGR28" s="95"/>
      <c r="BGS28" s="95"/>
      <c r="BGT28" s="95"/>
      <c r="BGU28" s="95"/>
      <c r="BGV28" s="95"/>
      <c r="BGW28" s="95"/>
      <c r="BGX28" s="95"/>
      <c r="BGY28" s="95"/>
      <c r="BGZ28" s="95"/>
      <c r="BHA28" s="95"/>
      <c r="BHB28" s="95"/>
      <c r="BHC28" s="95"/>
      <c r="BHD28" s="95"/>
      <c r="BHE28" s="95"/>
      <c r="BHF28" s="95"/>
      <c r="BHG28" s="95"/>
      <c r="BHH28" s="95"/>
      <c r="BHI28" s="95"/>
      <c r="BHJ28" s="95"/>
      <c r="BHK28" s="95"/>
      <c r="BHL28" s="95"/>
      <c r="BHM28" s="95"/>
      <c r="BHN28" s="95"/>
      <c r="BHO28" s="95"/>
      <c r="BHP28" s="95"/>
      <c r="BHQ28" s="95"/>
      <c r="BHR28" s="95"/>
      <c r="BHS28" s="95"/>
      <c r="BHT28" s="95"/>
      <c r="BHU28" s="95"/>
      <c r="BHV28" s="95"/>
      <c r="BHW28" s="95"/>
      <c r="BHX28" s="95"/>
      <c r="BHY28" s="95"/>
      <c r="BHZ28" s="95"/>
      <c r="BIA28" s="95"/>
      <c r="BIB28" s="95"/>
      <c r="BIC28" s="95"/>
      <c r="BID28" s="95"/>
      <c r="BIE28" s="95"/>
      <c r="BIF28" s="95"/>
      <c r="BIG28" s="95"/>
      <c r="BIH28" s="95"/>
      <c r="BII28" s="95"/>
      <c r="BIJ28" s="95"/>
      <c r="BIK28" s="95"/>
      <c r="BIL28" s="95"/>
      <c r="BIM28" s="95"/>
      <c r="BIN28" s="95"/>
      <c r="BIO28" s="95"/>
      <c r="BIP28" s="95"/>
      <c r="BIQ28" s="95"/>
      <c r="BIR28" s="95"/>
      <c r="BIS28" s="95"/>
      <c r="BIT28" s="95"/>
      <c r="BIU28" s="95"/>
      <c r="BIV28" s="95"/>
      <c r="BIW28" s="95"/>
      <c r="BIX28" s="95"/>
      <c r="BIY28" s="95"/>
      <c r="BIZ28" s="95"/>
      <c r="BJA28" s="95"/>
      <c r="BJB28" s="95"/>
      <c r="BJC28" s="95"/>
      <c r="BJD28" s="95"/>
      <c r="BJE28" s="95"/>
      <c r="BJF28" s="95"/>
      <c r="BJG28" s="95"/>
      <c r="BJH28" s="95"/>
      <c r="BJI28" s="95"/>
      <c r="BJJ28" s="95"/>
      <c r="BJK28" s="95"/>
      <c r="BJL28" s="95"/>
      <c r="BJM28" s="95"/>
      <c r="BJN28" s="95"/>
      <c r="BJO28" s="95"/>
      <c r="BJP28" s="95"/>
      <c r="BJQ28" s="95"/>
      <c r="BJR28" s="95"/>
      <c r="BJS28" s="95"/>
      <c r="BJT28" s="95"/>
      <c r="BJU28" s="95"/>
      <c r="BJV28" s="95"/>
      <c r="BJW28" s="95"/>
      <c r="BJX28" s="95"/>
      <c r="BJY28" s="95"/>
      <c r="BJZ28" s="95"/>
      <c r="BKA28" s="95"/>
      <c r="BKB28" s="95"/>
      <c r="BKC28" s="95"/>
      <c r="BKD28" s="95"/>
      <c r="BKE28" s="95"/>
      <c r="BKF28" s="95"/>
      <c r="BKG28" s="95"/>
      <c r="BKH28" s="95"/>
      <c r="BKI28" s="95"/>
      <c r="BKJ28" s="95"/>
      <c r="BKK28" s="95"/>
      <c r="BKL28" s="95"/>
      <c r="BKM28" s="95"/>
      <c r="BKN28" s="95"/>
      <c r="BKO28" s="95"/>
      <c r="BKP28" s="95"/>
      <c r="BKQ28" s="95"/>
      <c r="BKR28" s="95"/>
      <c r="BKS28" s="95"/>
      <c r="BKT28" s="95"/>
      <c r="BKU28" s="95"/>
      <c r="BKV28" s="95"/>
      <c r="BKW28" s="95"/>
      <c r="BKX28" s="95"/>
      <c r="BKY28" s="95"/>
      <c r="BKZ28" s="95"/>
      <c r="BLA28" s="95"/>
      <c r="BLB28" s="95"/>
      <c r="BLC28" s="95"/>
      <c r="BLD28" s="95"/>
      <c r="BLE28" s="95"/>
      <c r="BLF28" s="95"/>
      <c r="BLG28" s="95"/>
      <c r="BLH28" s="95"/>
      <c r="BLI28" s="95"/>
      <c r="BLJ28" s="95"/>
      <c r="BLK28" s="95"/>
      <c r="BLL28" s="95"/>
      <c r="BLM28" s="95"/>
      <c r="BLN28" s="95"/>
      <c r="BLO28" s="95"/>
      <c r="BLP28" s="95"/>
      <c r="BLQ28" s="95"/>
      <c r="BLR28" s="95"/>
      <c r="BLS28" s="95"/>
      <c r="BLT28" s="95"/>
      <c r="BLU28" s="95"/>
      <c r="BLV28" s="95"/>
      <c r="BLW28" s="95"/>
      <c r="BLX28" s="95"/>
      <c r="BLY28" s="95"/>
      <c r="BLZ28" s="95"/>
      <c r="BMA28" s="95"/>
      <c r="BMB28" s="95"/>
      <c r="BMC28" s="95"/>
      <c r="BMD28" s="95"/>
      <c r="BME28" s="95"/>
      <c r="BMF28" s="95"/>
      <c r="BMG28" s="95"/>
      <c r="BMH28" s="95"/>
      <c r="BMI28" s="95"/>
      <c r="BMJ28" s="95"/>
      <c r="BMK28" s="95"/>
      <c r="BML28" s="95"/>
      <c r="BMM28" s="95"/>
      <c r="BMN28" s="95"/>
      <c r="BMO28" s="95"/>
      <c r="BMP28" s="95"/>
      <c r="BMQ28" s="95"/>
      <c r="BMR28" s="95"/>
      <c r="BMS28" s="95"/>
      <c r="BMT28" s="95"/>
      <c r="BMU28" s="95"/>
      <c r="BMV28" s="95"/>
      <c r="BMW28" s="95"/>
      <c r="BMX28" s="95"/>
      <c r="BMY28" s="95"/>
      <c r="BMZ28" s="95"/>
      <c r="BNA28" s="95"/>
      <c r="BNB28" s="95"/>
      <c r="BNC28" s="95"/>
      <c r="BND28" s="95"/>
      <c r="BNE28" s="95"/>
      <c r="BNF28" s="95"/>
      <c r="BNG28" s="95"/>
      <c r="BNH28" s="95"/>
      <c r="BNI28" s="95"/>
      <c r="BNJ28" s="95"/>
      <c r="BNK28" s="95"/>
      <c r="BNL28" s="95"/>
      <c r="BNM28" s="95"/>
      <c r="BNN28" s="95"/>
      <c r="BNO28" s="95"/>
      <c r="BNP28" s="95"/>
      <c r="BNQ28" s="95"/>
      <c r="BNR28" s="95"/>
      <c r="BNS28" s="95"/>
      <c r="BNT28" s="95"/>
      <c r="BNU28" s="95"/>
      <c r="BNV28" s="95"/>
      <c r="BNW28" s="95"/>
      <c r="BNX28" s="95"/>
      <c r="BNY28" s="95"/>
      <c r="BNZ28" s="95"/>
      <c r="BOA28" s="95"/>
      <c r="BOB28" s="95"/>
      <c r="BOC28" s="95"/>
      <c r="BOD28" s="95"/>
      <c r="BOE28" s="95"/>
      <c r="BOF28" s="95"/>
      <c r="BOG28" s="95"/>
      <c r="BOH28" s="95"/>
      <c r="BOI28" s="95"/>
      <c r="BOJ28" s="95"/>
      <c r="BOK28" s="95"/>
      <c r="BOL28" s="95"/>
      <c r="BOM28" s="95"/>
      <c r="BON28" s="95"/>
      <c r="BOO28" s="95"/>
      <c r="BOP28" s="95"/>
      <c r="BOQ28" s="95"/>
      <c r="BOR28" s="95"/>
      <c r="BOS28" s="95"/>
      <c r="BOT28" s="95"/>
      <c r="BOU28" s="95"/>
      <c r="BOV28" s="95"/>
      <c r="BOW28" s="95"/>
      <c r="BOX28" s="95"/>
      <c r="BOY28" s="95"/>
      <c r="BOZ28" s="95"/>
      <c r="BPA28" s="95"/>
      <c r="BPB28" s="95"/>
      <c r="BPC28" s="95"/>
      <c r="BPD28" s="95"/>
      <c r="BPE28" s="95"/>
      <c r="BPF28" s="95"/>
      <c r="BPG28" s="95"/>
      <c r="BPH28" s="95"/>
      <c r="BPI28" s="95"/>
      <c r="BPJ28" s="95"/>
      <c r="BPK28" s="95"/>
      <c r="BPL28" s="95"/>
      <c r="BPM28" s="95"/>
      <c r="BPN28" s="95"/>
      <c r="BPO28" s="95"/>
      <c r="BPP28" s="95"/>
      <c r="BPQ28" s="95"/>
      <c r="BPR28" s="95"/>
      <c r="BPS28" s="95"/>
      <c r="BPT28" s="95"/>
      <c r="BPU28" s="95"/>
      <c r="BPV28" s="95"/>
      <c r="BPW28" s="95"/>
      <c r="BPX28" s="95"/>
      <c r="BPY28" s="95"/>
      <c r="BPZ28" s="95"/>
      <c r="BQA28" s="95"/>
      <c r="BQB28" s="95"/>
      <c r="BQC28" s="95"/>
      <c r="BQD28" s="95"/>
      <c r="BQE28" s="95"/>
      <c r="BQF28" s="95"/>
      <c r="BQG28" s="95"/>
      <c r="BQH28" s="95"/>
      <c r="BQI28" s="95"/>
      <c r="BQJ28" s="95"/>
      <c r="BQK28" s="95"/>
      <c r="BQL28" s="95"/>
      <c r="BQM28" s="95"/>
      <c r="BQN28" s="95"/>
      <c r="BQO28" s="95"/>
      <c r="BQP28" s="95"/>
      <c r="BQQ28" s="95"/>
      <c r="BQR28" s="95"/>
      <c r="BQS28" s="95"/>
      <c r="BQT28" s="95"/>
      <c r="BQU28" s="95"/>
      <c r="BQV28" s="95"/>
      <c r="BQW28" s="95"/>
      <c r="BQX28" s="95"/>
      <c r="BQY28" s="95"/>
      <c r="BQZ28" s="95"/>
      <c r="BRA28" s="95"/>
      <c r="BRB28" s="95"/>
      <c r="BRC28" s="95"/>
      <c r="BRD28" s="95"/>
      <c r="BRE28" s="95"/>
      <c r="BRF28" s="95"/>
      <c r="BRG28" s="95"/>
      <c r="BRH28" s="95"/>
      <c r="BRI28" s="95"/>
      <c r="BRJ28" s="95"/>
      <c r="BRK28" s="95"/>
      <c r="BRL28" s="95"/>
      <c r="BRM28" s="95"/>
      <c r="BRN28" s="95"/>
      <c r="BRO28" s="95"/>
      <c r="BRP28" s="95"/>
      <c r="BRQ28" s="95"/>
      <c r="BRR28" s="95"/>
      <c r="BRS28" s="95"/>
      <c r="BRT28" s="95"/>
      <c r="BRU28" s="95"/>
      <c r="BRV28" s="95"/>
      <c r="BRW28" s="95"/>
      <c r="BRX28" s="95"/>
      <c r="BRY28" s="95"/>
      <c r="BRZ28" s="95"/>
      <c r="BSA28" s="95"/>
      <c r="BSB28" s="95"/>
      <c r="BSC28" s="95"/>
      <c r="BSD28" s="95"/>
      <c r="BSE28" s="95"/>
      <c r="BSF28" s="95"/>
      <c r="BSG28" s="95"/>
      <c r="BSH28" s="95"/>
      <c r="BSI28" s="95"/>
      <c r="BSJ28" s="95"/>
      <c r="BSK28" s="95"/>
      <c r="BSL28" s="95"/>
      <c r="BSM28" s="95"/>
      <c r="BSN28" s="95"/>
      <c r="BSO28" s="95"/>
      <c r="BSP28" s="95"/>
      <c r="BSQ28" s="95"/>
      <c r="BSR28" s="95"/>
      <c r="BSS28" s="95"/>
      <c r="BST28" s="95"/>
      <c r="BSU28" s="95"/>
      <c r="BSV28" s="95"/>
      <c r="BSW28" s="95"/>
      <c r="BSX28" s="95"/>
      <c r="BSY28" s="95"/>
      <c r="BSZ28" s="95"/>
      <c r="BTA28" s="95"/>
      <c r="BTB28" s="95"/>
      <c r="BTC28" s="95"/>
      <c r="BTD28" s="95"/>
      <c r="BTE28" s="95"/>
      <c r="BTF28" s="95"/>
      <c r="BTG28" s="95"/>
      <c r="BTH28" s="95"/>
      <c r="BTI28" s="95"/>
      <c r="BTJ28" s="95"/>
      <c r="BTK28" s="95"/>
      <c r="BTL28" s="95"/>
      <c r="BTM28" s="95"/>
      <c r="BTN28" s="95"/>
      <c r="BTO28" s="95"/>
      <c r="BTP28" s="95"/>
      <c r="BTQ28" s="95"/>
      <c r="BTR28" s="95"/>
      <c r="BTS28" s="95"/>
      <c r="BTT28" s="95"/>
      <c r="BTU28" s="95"/>
      <c r="BTV28" s="95"/>
      <c r="BTW28" s="95"/>
      <c r="BTX28" s="95"/>
      <c r="BTY28" s="95"/>
      <c r="BTZ28" s="95"/>
      <c r="BUA28" s="95"/>
      <c r="BUB28" s="95"/>
      <c r="BUC28" s="95"/>
      <c r="BUD28" s="95"/>
      <c r="BUE28" s="95"/>
      <c r="BUF28" s="95"/>
      <c r="BUG28" s="95"/>
      <c r="BUH28" s="95"/>
      <c r="BUI28" s="95"/>
      <c r="BUJ28" s="95"/>
      <c r="BUK28" s="95"/>
      <c r="BUL28" s="95"/>
      <c r="BUM28" s="95"/>
      <c r="BUN28" s="95"/>
      <c r="BUO28" s="95"/>
      <c r="BUP28" s="95"/>
      <c r="BUQ28" s="95"/>
      <c r="BUR28" s="95"/>
      <c r="BUS28" s="95"/>
      <c r="BUT28" s="95"/>
      <c r="BUU28" s="95"/>
      <c r="BUV28" s="95"/>
      <c r="BUW28" s="95"/>
      <c r="BUX28" s="95"/>
      <c r="BUY28" s="95"/>
      <c r="BUZ28" s="95"/>
      <c r="BVA28" s="95"/>
      <c r="BVB28" s="95"/>
      <c r="BVC28" s="95"/>
      <c r="BVD28" s="95"/>
      <c r="BVE28" s="95"/>
      <c r="BVF28" s="95"/>
      <c r="BVG28" s="95"/>
      <c r="BVH28" s="95"/>
      <c r="BVI28" s="95"/>
      <c r="BVJ28" s="95"/>
      <c r="BVK28" s="95"/>
      <c r="BVL28" s="95"/>
      <c r="BVM28" s="95"/>
      <c r="BVN28" s="95"/>
      <c r="BVO28" s="95"/>
      <c r="BVP28" s="95"/>
      <c r="BVQ28" s="95"/>
      <c r="BVR28" s="95"/>
      <c r="BVS28" s="95"/>
      <c r="BVT28" s="95"/>
      <c r="BVU28" s="95"/>
      <c r="BVV28" s="95"/>
      <c r="BVW28" s="95"/>
      <c r="BVX28" s="95"/>
      <c r="BVY28" s="95"/>
      <c r="BVZ28" s="95"/>
      <c r="BWA28" s="95"/>
      <c r="BWB28" s="95"/>
      <c r="BWC28" s="95"/>
      <c r="BWD28" s="95"/>
      <c r="BWE28" s="95"/>
      <c r="BWF28" s="95"/>
      <c r="BWG28" s="95"/>
      <c r="BWH28" s="95"/>
      <c r="BWI28" s="95"/>
      <c r="BWJ28" s="95"/>
      <c r="BWK28" s="95"/>
      <c r="BWL28" s="95"/>
      <c r="BWM28" s="95"/>
      <c r="BWN28" s="95"/>
      <c r="BWO28" s="95"/>
      <c r="BWP28" s="95"/>
      <c r="BWQ28" s="95"/>
      <c r="BWR28" s="95"/>
      <c r="BWS28" s="95"/>
      <c r="BWT28" s="95"/>
      <c r="BWU28" s="95"/>
      <c r="BWV28" s="95"/>
      <c r="BWW28" s="95"/>
      <c r="BWX28" s="95"/>
      <c r="BWY28" s="95"/>
      <c r="BWZ28" s="95"/>
      <c r="BXA28" s="95"/>
      <c r="BXB28" s="95"/>
      <c r="BXC28" s="95"/>
      <c r="BXD28" s="95"/>
      <c r="BXE28" s="95"/>
      <c r="BXF28" s="95"/>
      <c r="BXG28" s="95"/>
      <c r="BXH28" s="95"/>
      <c r="BXI28" s="95"/>
      <c r="BXJ28" s="95"/>
      <c r="BXK28" s="95"/>
      <c r="BXL28" s="95"/>
      <c r="BXM28" s="95"/>
      <c r="BXN28" s="95"/>
      <c r="BXO28" s="95"/>
      <c r="BXP28" s="95"/>
      <c r="BXQ28" s="95"/>
      <c r="BXR28" s="95"/>
      <c r="BXS28" s="95"/>
      <c r="BXT28" s="95"/>
      <c r="BXU28" s="95"/>
      <c r="BXV28" s="95"/>
      <c r="BXW28" s="95"/>
      <c r="BXX28" s="95"/>
      <c r="BXY28" s="95"/>
      <c r="BXZ28" s="95"/>
      <c r="BYA28" s="95"/>
      <c r="BYB28" s="95"/>
      <c r="BYC28" s="95"/>
      <c r="BYD28" s="95"/>
      <c r="BYE28" s="95"/>
      <c r="BYF28" s="95"/>
      <c r="BYG28" s="95"/>
    </row>
    <row r="29" spans="1:2009" s="110" customFormat="1" ht="24.95" hidden="1" customHeight="1" x14ac:dyDescent="0.25">
      <c r="A29" s="528"/>
      <c r="B29" s="114" t="s">
        <v>279</v>
      </c>
      <c r="C29" s="193"/>
      <c r="D29" s="193"/>
      <c r="E29" s="194"/>
      <c r="F29" s="194"/>
      <c r="G29" s="195">
        <f>SUM(C29:F29)</f>
        <v>0</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150"/>
      <c r="B30" s="114" t="s">
        <v>312</v>
      </c>
      <c r="C30" s="193">
        <v>22718</v>
      </c>
      <c r="D30" s="193">
        <f>21560.16+162.12-0.01</f>
        <v>21722.27</v>
      </c>
      <c r="E30" s="194"/>
      <c r="F30" s="194"/>
      <c r="G30" s="195">
        <f>SUM(C30:F30)</f>
        <v>44440.270000000004</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240" customFormat="1" ht="24.95" customHeight="1" thickBot="1" x14ac:dyDescent="0.3">
      <c r="A31" s="234"/>
      <c r="B31" s="235" t="s">
        <v>229</v>
      </c>
      <c r="C31" s="236">
        <f>SUM(C29:C30)</f>
        <v>22718</v>
      </c>
      <c r="D31" s="236">
        <f>SUM(D29:D30)</f>
        <v>21722.27</v>
      </c>
      <c r="E31" s="237"/>
      <c r="F31" s="237"/>
      <c r="G31" s="238">
        <f>SUM(G29:G30)</f>
        <v>44440.270000000004</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row>
    <row r="32" spans="1:2009" s="94" customFormat="1" ht="17.25" customHeight="1" thickBot="1" x14ac:dyDescent="0.3">
      <c r="A32" s="111"/>
      <c r="B32" s="111"/>
      <c r="C32" s="183"/>
      <c r="D32" s="183"/>
      <c r="E32" s="183"/>
      <c r="F32" s="183"/>
      <c r="G32" s="183"/>
    </row>
    <row r="33" spans="1:2009" s="113" customFormat="1" ht="24.95" hidden="1" customHeight="1" x14ac:dyDescent="0.25">
      <c r="A33" s="141" t="s">
        <v>54</v>
      </c>
      <c r="B33" s="142"/>
      <c r="C33" s="196"/>
      <c r="D33" s="196"/>
      <c r="E33" s="197"/>
      <c r="F33" s="197"/>
      <c r="G33" s="198"/>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row>
    <row r="34" spans="1:2009" s="115" customFormat="1" ht="24.95" hidden="1" customHeight="1" x14ac:dyDescent="0.25">
      <c r="A34" s="143"/>
      <c r="B34" s="114" t="s">
        <v>55</v>
      </c>
      <c r="C34" s="193"/>
      <c r="D34" s="193"/>
      <c r="E34" s="194"/>
      <c r="F34" s="194"/>
      <c r="G34" s="195"/>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c r="AIQ34" s="94"/>
      <c r="AIR34" s="94"/>
      <c r="AIS34" s="94"/>
      <c r="AIT34" s="94"/>
      <c r="AIU34" s="94"/>
      <c r="AIV34" s="94"/>
      <c r="AIW34" s="94"/>
      <c r="AIX34" s="94"/>
      <c r="AIY34" s="94"/>
      <c r="AIZ34" s="94"/>
      <c r="AJA34" s="94"/>
      <c r="AJB34" s="94"/>
      <c r="AJC34" s="94"/>
      <c r="AJD34" s="94"/>
      <c r="AJE34" s="94"/>
      <c r="AJF34" s="94"/>
      <c r="AJG34" s="94"/>
      <c r="AJH34" s="94"/>
      <c r="AJI34" s="94"/>
      <c r="AJJ34" s="94"/>
      <c r="AJK34" s="94"/>
      <c r="AJL34" s="94"/>
      <c r="AJM34" s="94"/>
      <c r="AJN34" s="94"/>
      <c r="AJO34" s="94"/>
      <c r="AJP34" s="94"/>
      <c r="AJQ34" s="94"/>
      <c r="AJR34" s="94"/>
      <c r="AJS34" s="94"/>
      <c r="AJT34" s="94"/>
      <c r="AJU34" s="94"/>
      <c r="AJV34" s="94"/>
      <c r="AJW34" s="94"/>
      <c r="AJX34" s="94"/>
      <c r="AJY34" s="94"/>
      <c r="AJZ34" s="94"/>
      <c r="AKA34" s="94"/>
      <c r="AKB34" s="94"/>
      <c r="AKC34" s="94"/>
      <c r="AKD34" s="94"/>
      <c r="AKE34" s="94"/>
      <c r="AKF34" s="94"/>
      <c r="AKG34" s="94"/>
      <c r="AKH34" s="94"/>
      <c r="AKI34" s="94"/>
      <c r="AKJ34" s="94"/>
      <c r="AKK34" s="94"/>
      <c r="AKL34" s="94"/>
      <c r="AKM34" s="94"/>
      <c r="AKN34" s="94"/>
      <c r="AKO34" s="94"/>
      <c r="AKP34" s="94"/>
      <c r="AKQ34" s="94"/>
      <c r="AKR34" s="94"/>
      <c r="AKS34" s="94"/>
      <c r="AKT34" s="94"/>
      <c r="AKU34" s="94"/>
      <c r="AKV34" s="94"/>
      <c r="AKW34" s="94"/>
      <c r="AKX34" s="94"/>
      <c r="AKY34" s="94"/>
      <c r="AKZ34" s="94"/>
      <c r="ALA34" s="94"/>
      <c r="ALB34" s="94"/>
      <c r="ALC34" s="94"/>
      <c r="ALD34" s="94"/>
      <c r="ALE34" s="94"/>
      <c r="ALF34" s="94"/>
      <c r="ALG34" s="94"/>
      <c r="ALH34" s="94"/>
      <c r="ALI34" s="94"/>
      <c r="ALJ34" s="94"/>
      <c r="ALK34" s="94"/>
      <c r="ALL34" s="94"/>
      <c r="ALM34" s="94"/>
      <c r="ALN34" s="94"/>
      <c r="ALO34" s="94"/>
      <c r="ALP34" s="94"/>
      <c r="ALQ34" s="94"/>
      <c r="ALR34" s="94"/>
      <c r="ALS34" s="94"/>
      <c r="ALT34" s="94"/>
      <c r="ALU34" s="94"/>
      <c r="ALV34" s="94"/>
      <c r="ALW34" s="94"/>
      <c r="ALX34" s="94"/>
      <c r="ALY34" s="94"/>
      <c r="ALZ34" s="94"/>
      <c r="AMA34" s="94"/>
      <c r="AMB34" s="94"/>
      <c r="AMC34" s="94"/>
      <c r="AMD34" s="94"/>
      <c r="AME34" s="94"/>
      <c r="AMF34" s="94"/>
      <c r="AMG34" s="94"/>
      <c r="AMH34" s="94"/>
      <c r="AMI34" s="94"/>
      <c r="AMJ34" s="94"/>
      <c r="AMK34" s="94"/>
      <c r="AML34" s="94"/>
      <c r="AMM34" s="94"/>
      <c r="AMN34" s="94"/>
      <c r="AMO34" s="94"/>
      <c r="AMP34" s="94"/>
      <c r="AMQ34" s="94"/>
      <c r="AMR34" s="94"/>
      <c r="AMS34" s="94"/>
      <c r="AMT34" s="94"/>
      <c r="AMU34" s="94"/>
      <c r="AMV34" s="94"/>
      <c r="AMW34" s="94"/>
      <c r="AMX34" s="94"/>
      <c r="AMY34" s="94"/>
      <c r="AMZ34" s="94"/>
      <c r="ANA34" s="94"/>
      <c r="ANB34" s="94"/>
      <c r="ANC34" s="94"/>
      <c r="AND34" s="94"/>
      <c r="ANE34" s="94"/>
      <c r="ANF34" s="94"/>
      <c r="ANG34" s="94"/>
      <c r="ANH34" s="94"/>
      <c r="ANI34" s="94"/>
      <c r="ANJ34" s="94"/>
      <c r="ANK34" s="94"/>
      <c r="ANL34" s="94"/>
      <c r="ANM34" s="94"/>
      <c r="ANN34" s="94"/>
      <c r="ANO34" s="94"/>
      <c r="ANP34" s="94"/>
      <c r="ANQ34" s="94"/>
      <c r="ANR34" s="94"/>
      <c r="ANS34" s="94"/>
      <c r="ANT34" s="94"/>
      <c r="ANU34" s="94"/>
      <c r="ANV34" s="94"/>
      <c r="ANW34" s="94"/>
      <c r="ANX34" s="94"/>
      <c r="ANY34" s="94"/>
      <c r="ANZ34" s="94"/>
      <c r="AOA34" s="94"/>
      <c r="AOB34" s="94"/>
      <c r="AOC34" s="94"/>
      <c r="AOD34" s="94"/>
      <c r="AOE34" s="94"/>
      <c r="AOF34" s="94"/>
      <c r="AOG34" s="94"/>
      <c r="AOH34" s="94"/>
      <c r="AOI34" s="94"/>
      <c r="AOJ34" s="94"/>
      <c r="AOK34" s="94"/>
      <c r="AOL34" s="94"/>
      <c r="AOM34" s="94"/>
      <c r="AON34" s="94"/>
      <c r="AOO34" s="94"/>
      <c r="AOP34" s="94"/>
      <c r="AOQ34" s="94"/>
      <c r="AOR34" s="94"/>
      <c r="AOS34" s="94"/>
      <c r="AOT34" s="94"/>
      <c r="AOU34" s="94"/>
      <c r="AOV34" s="94"/>
      <c r="AOW34" s="94"/>
      <c r="AOX34" s="94"/>
      <c r="AOY34" s="94"/>
      <c r="AOZ34" s="94"/>
      <c r="APA34" s="94"/>
      <c r="APB34" s="94"/>
      <c r="APC34" s="94"/>
      <c r="APD34" s="94"/>
      <c r="APE34" s="94"/>
      <c r="APF34" s="94"/>
      <c r="APG34" s="94"/>
      <c r="APH34" s="94"/>
      <c r="API34" s="94"/>
      <c r="APJ34" s="94"/>
      <c r="APK34" s="94"/>
      <c r="APL34" s="94"/>
      <c r="APM34" s="94"/>
      <c r="APN34" s="94"/>
      <c r="APO34" s="94"/>
      <c r="APP34" s="94"/>
      <c r="APQ34" s="94"/>
      <c r="APR34" s="94"/>
      <c r="APS34" s="94"/>
      <c r="APT34" s="94"/>
      <c r="APU34" s="94"/>
      <c r="APV34" s="94"/>
      <c r="APW34" s="94"/>
      <c r="APX34" s="94"/>
      <c r="APY34" s="94"/>
      <c r="APZ34" s="94"/>
      <c r="AQA34" s="94"/>
      <c r="AQB34" s="94"/>
      <c r="AQC34" s="94"/>
      <c r="AQD34" s="94"/>
      <c r="AQE34" s="94"/>
      <c r="AQF34" s="94"/>
      <c r="AQG34" s="94"/>
      <c r="AQH34" s="94"/>
      <c r="AQI34" s="94"/>
      <c r="AQJ34" s="94"/>
      <c r="AQK34" s="94"/>
      <c r="AQL34" s="94"/>
      <c r="AQM34" s="94"/>
      <c r="AQN34" s="94"/>
      <c r="AQO34" s="94"/>
      <c r="AQP34" s="94"/>
      <c r="AQQ34" s="94"/>
      <c r="AQR34" s="94"/>
      <c r="AQS34" s="94"/>
      <c r="AQT34" s="94"/>
      <c r="AQU34" s="94"/>
      <c r="AQV34" s="94"/>
      <c r="AQW34" s="94"/>
      <c r="AQX34" s="94"/>
      <c r="AQY34" s="94"/>
      <c r="AQZ34" s="94"/>
      <c r="ARA34" s="94"/>
      <c r="ARB34" s="94"/>
      <c r="ARC34" s="94"/>
      <c r="ARD34" s="94"/>
      <c r="ARE34" s="94"/>
      <c r="ARF34" s="94"/>
      <c r="ARG34" s="94"/>
      <c r="ARH34" s="94"/>
      <c r="ARI34" s="94"/>
      <c r="ARJ34" s="94"/>
      <c r="ARK34" s="94"/>
      <c r="ARL34" s="94"/>
      <c r="ARM34" s="94"/>
      <c r="ARN34" s="94"/>
      <c r="ARO34" s="94"/>
      <c r="ARP34" s="94"/>
      <c r="ARQ34" s="94"/>
      <c r="ARR34" s="94"/>
      <c r="ARS34" s="94"/>
      <c r="ART34" s="94"/>
      <c r="ARU34" s="94"/>
      <c r="ARV34" s="94"/>
      <c r="ARW34" s="94"/>
      <c r="ARX34" s="94"/>
      <c r="ARY34" s="94"/>
      <c r="ARZ34" s="94"/>
      <c r="ASA34" s="94"/>
      <c r="ASB34" s="94"/>
      <c r="ASC34" s="94"/>
      <c r="ASD34" s="94"/>
      <c r="ASE34" s="94"/>
      <c r="ASF34" s="94"/>
      <c r="ASG34" s="94"/>
      <c r="ASH34" s="94"/>
      <c r="ASI34" s="94"/>
      <c r="ASJ34" s="94"/>
      <c r="ASK34" s="94"/>
      <c r="ASL34" s="94"/>
      <c r="ASM34" s="94"/>
      <c r="ASN34" s="94"/>
      <c r="ASO34" s="94"/>
      <c r="ASP34" s="94"/>
      <c r="ASQ34" s="94"/>
      <c r="ASR34" s="94"/>
      <c r="ASS34" s="94"/>
      <c r="AST34" s="94"/>
      <c r="ASU34" s="94"/>
      <c r="ASV34" s="94"/>
      <c r="ASW34" s="94"/>
      <c r="ASX34" s="94"/>
      <c r="ASY34" s="94"/>
      <c r="ASZ34" s="94"/>
      <c r="ATA34" s="94"/>
      <c r="ATB34" s="94"/>
      <c r="ATC34" s="94"/>
      <c r="ATD34" s="94"/>
      <c r="ATE34" s="94"/>
      <c r="ATF34" s="94"/>
      <c r="ATG34" s="94"/>
      <c r="ATH34" s="94"/>
      <c r="ATI34" s="94"/>
      <c r="ATJ34" s="94"/>
      <c r="ATK34" s="94"/>
      <c r="ATL34" s="94"/>
      <c r="ATM34" s="94"/>
      <c r="ATN34" s="94"/>
      <c r="ATO34" s="94"/>
      <c r="ATP34" s="94"/>
      <c r="ATQ34" s="94"/>
      <c r="ATR34" s="94"/>
      <c r="ATS34" s="94"/>
      <c r="ATT34" s="94"/>
      <c r="ATU34" s="94"/>
      <c r="ATV34" s="94"/>
      <c r="ATW34" s="94"/>
      <c r="ATX34" s="94"/>
      <c r="ATY34" s="94"/>
      <c r="ATZ34" s="94"/>
      <c r="AUA34" s="94"/>
      <c r="AUB34" s="94"/>
      <c r="AUC34" s="94"/>
      <c r="AUD34" s="94"/>
      <c r="AUE34" s="94"/>
      <c r="AUF34" s="94"/>
      <c r="AUG34" s="94"/>
      <c r="AUH34" s="94"/>
      <c r="AUI34" s="94"/>
      <c r="AUJ34" s="94"/>
      <c r="AUK34" s="94"/>
      <c r="AUL34" s="94"/>
      <c r="AUM34" s="94"/>
      <c r="AUN34" s="94"/>
      <c r="AUO34" s="94"/>
      <c r="AUP34" s="94"/>
      <c r="AUQ34" s="94"/>
      <c r="AUR34" s="94"/>
      <c r="AUS34" s="94"/>
      <c r="AUT34" s="94"/>
      <c r="AUU34" s="94"/>
      <c r="AUV34" s="94"/>
      <c r="AUW34" s="94"/>
      <c r="AUX34" s="94"/>
      <c r="AUY34" s="94"/>
      <c r="AUZ34" s="94"/>
      <c r="AVA34" s="94"/>
      <c r="AVB34" s="94"/>
      <c r="AVC34" s="94"/>
      <c r="AVD34" s="94"/>
      <c r="AVE34" s="94"/>
      <c r="AVF34" s="94"/>
      <c r="AVG34" s="94"/>
      <c r="AVH34" s="94"/>
      <c r="AVI34" s="94"/>
      <c r="AVJ34" s="94"/>
      <c r="AVK34" s="94"/>
      <c r="AVL34" s="94"/>
      <c r="AVM34" s="94"/>
      <c r="AVN34" s="94"/>
      <c r="AVO34" s="94"/>
      <c r="AVP34" s="94"/>
      <c r="AVQ34" s="94"/>
      <c r="AVR34" s="94"/>
      <c r="AVS34" s="94"/>
      <c r="AVT34" s="94"/>
      <c r="AVU34" s="94"/>
      <c r="AVV34" s="94"/>
      <c r="AVW34" s="94"/>
      <c r="AVX34" s="94"/>
      <c r="AVY34" s="94"/>
      <c r="AVZ34" s="94"/>
      <c r="AWA34" s="94"/>
      <c r="AWB34" s="94"/>
      <c r="AWC34" s="94"/>
      <c r="AWD34" s="94"/>
      <c r="AWE34" s="94"/>
      <c r="AWF34" s="94"/>
      <c r="AWG34" s="94"/>
      <c r="AWH34" s="94"/>
      <c r="AWI34" s="94"/>
      <c r="AWJ34" s="94"/>
      <c r="AWK34" s="94"/>
      <c r="AWL34" s="94"/>
      <c r="AWM34" s="94"/>
      <c r="AWN34" s="94"/>
      <c r="AWO34" s="94"/>
      <c r="AWP34" s="94"/>
      <c r="AWQ34" s="94"/>
      <c r="AWR34" s="94"/>
      <c r="AWS34" s="94"/>
      <c r="AWT34" s="94"/>
      <c r="AWU34" s="94"/>
      <c r="AWV34" s="94"/>
      <c r="AWW34" s="94"/>
      <c r="AWX34" s="94"/>
      <c r="AWY34" s="94"/>
      <c r="AWZ34" s="94"/>
      <c r="AXA34" s="94"/>
      <c r="AXB34" s="94"/>
      <c r="AXC34" s="94"/>
      <c r="AXD34" s="94"/>
      <c r="AXE34" s="94"/>
      <c r="AXF34" s="94"/>
      <c r="AXG34" s="94"/>
      <c r="AXH34" s="94"/>
      <c r="AXI34" s="94"/>
      <c r="AXJ34" s="94"/>
      <c r="AXK34" s="94"/>
      <c r="AXL34" s="94"/>
      <c r="AXM34" s="94"/>
      <c r="AXN34" s="94"/>
      <c r="AXO34" s="94"/>
      <c r="AXP34" s="94"/>
      <c r="AXQ34" s="94"/>
      <c r="AXR34" s="94"/>
      <c r="AXS34" s="94"/>
      <c r="AXT34" s="94"/>
      <c r="AXU34" s="94"/>
      <c r="AXV34" s="94"/>
      <c r="AXW34" s="94"/>
      <c r="AXX34" s="94"/>
      <c r="AXY34" s="94"/>
      <c r="AXZ34" s="94"/>
      <c r="AYA34" s="94"/>
      <c r="AYB34" s="94"/>
      <c r="AYC34" s="94"/>
      <c r="AYD34" s="94"/>
      <c r="AYE34" s="94"/>
      <c r="AYF34" s="94"/>
      <c r="AYG34" s="94"/>
      <c r="AYH34" s="94"/>
      <c r="AYI34" s="94"/>
      <c r="AYJ34" s="94"/>
      <c r="AYK34" s="94"/>
      <c r="AYL34" s="94"/>
      <c r="AYM34" s="94"/>
      <c r="AYN34" s="94"/>
      <c r="AYO34" s="94"/>
      <c r="AYP34" s="94"/>
      <c r="AYQ34" s="94"/>
      <c r="AYR34" s="94"/>
      <c r="AYS34" s="94"/>
      <c r="AYT34" s="94"/>
      <c r="AYU34" s="94"/>
      <c r="AYV34" s="94"/>
      <c r="AYW34" s="94"/>
      <c r="AYX34" s="94"/>
      <c r="AYY34" s="94"/>
      <c r="AYZ34" s="94"/>
      <c r="AZA34" s="94"/>
      <c r="AZB34" s="94"/>
      <c r="AZC34" s="94"/>
      <c r="AZD34" s="94"/>
      <c r="AZE34" s="94"/>
      <c r="AZF34" s="94"/>
      <c r="AZG34" s="94"/>
      <c r="AZH34" s="94"/>
      <c r="AZI34" s="94"/>
      <c r="AZJ34" s="94"/>
      <c r="AZK34" s="94"/>
      <c r="AZL34" s="94"/>
      <c r="AZM34" s="94"/>
      <c r="AZN34" s="94"/>
      <c r="AZO34" s="94"/>
      <c r="AZP34" s="94"/>
      <c r="AZQ34" s="94"/>
      <c r="AZR34" s="94"/>
      <c r="AZS34" s="94"/>
      <c r="AZT34" s="94"/>
      <c r="AZU34" s="94"/>
      <c r="AZV34" s="94"/>
      <c r="AZW34" s="94"/>
      <c r="AZX34" s="94"/>
      <c r="AZY34" s="94"/>
      <c r="AZZ34" s="94"/>
      <c r="BAA34" s="94"/>
      <c r="BAB34" s="94"/>
      <c r="BAC34" s="94"/>
      <c r="BAD34" s="94"/>
      <c r="BAE34" s="94"/>
      <c r="BAF34" s="94"/>
      <c r="BAG34" s="94"/>
      <c r="BAH34" s="94"/>
      <c r="BAI34" s="94"/>
      <c r="BAJ34" s="94"/>
      <c r="BAK34" s="94"/>
      <c r="BAL34" s="94"/>
      <c r="BAM34" s="94"/>
      <c r="BAN34" s="94"/>
      <c r="BAO34" s="94"/>
      <c r="BAP34" s="94"/>
      <c r="BAQ34" s="94"/>
      <c r="BAR34" s="94"/>
      <c r="BAS34" s="94"/>
      <c r="BAT34" s="94"/>
      <c r="BAU34" s="94"/>
      <c r="BAV34" s="94"/>
      <c r="BAW34" s="94"/>
      <c r="BAX34" s="94"/>
      <c r="BAY34" s="94"/>
      <c r="BAZ34" s="94"/>
      <c r="BBA34" s="94"/>
      <c r="BBB34" s="94"/>
      <c r="BBC34" s="94"/>
      <c r="BBD34" s="94"/>
      <c r="BBE34" s="94"/>
      <c r="BBF34" s="94"/>
      <c r="BBG34" s="94"/>
      <c r="BBH34" s="94"/>
      <c r="BBI34" s="94"/>
      <c r="BBJ34" s="94"/>
      <c r="BBK34" s="94"/>
      <c r="BBL34" s="94"/>
      <c r="BBM34" s="94"/>
      <c r="BBN34" s="94"/>
      <c r="BBO34" s="94"/>
      <c r="BBP34" s="94"/>
      <c r="BBQ34" s="94"/>
      <c r="BBR34" s="94"/>
      <c r="BBS34" s="94"/>
      <c r="BBT34" s="94"/>
      <c r="BBU34" s="94"/>
      <c r="BBV34" s="94"/>
      <c r="BBW34" s="94"/>
      <c r="BBX34" s="94"/>
      <c r="BBY34" s="94"/>
      <c r="BBZ34" s="94"/>
      <c r="BCA34" s="94"/>
      <c r="BCB34" s="94"/>
      <c r="BCC34" s="94"/>
      <c r="BCD34" s="94"/>
      <c r="BCE34" s="94"/>
      <c r="BCF34" s="94"/>
      <c r="BCG34" s="94"/>
      <c r="BCH34" s="94"/>
      <c r="BCI34" s="94"/>
      <c r="BCJ34" s="94"/>
      <c r="BCK34" s="94"/>
      <c r="BCL34" s="94"/>
      <c r="BCM34" s="94"/>
      <c r="BCN34" s="94"/>
      <c r="BCO34" s="94"/>
      <c r="BCP34" s="94"/>
      <c r="BCQ34" s="94"/>
      <c r="BCR34" s="94"/>
      <c r="BCS34" s="94"/>
      <c r="BCT34" s="94"/>
      <c r="BCU34" s="94"/>
      <c r="BCV34" s="94"/>
      <c r="BCW34" s="94"/>
      <c r="BCX34" s="94"/>
      <c r="BCY34" s="94"/>
      <c r="BCZ34" s="94"/>
      <c r="BDA34" s="94"/>
      <c r="BDB34" s="94"/>
      <c r="BDC34" s="94"/>
      <c r="BDD34" s="94"/>
      <c r="BDE34" s="94"/>
      <c r="BDF34" s="94"/>
      <c r="BDG34" s="94"/>
      <c r="BDH34" s="94"/>
      <c r="BDI34" s="94"/>
      <c r="BDJ34" s="94"/>
      <c r="BDK34" s="94"/>
      <c r="BDL34" s="94"/>
      <c r="BDM34" s="94"/>
      <c r="BDN34" s="94"/>
      <c r="BDO34" s="94"/>
      <c r="BDP34" s="94"/>
      <c r="BDQ34" s="94"/>
      <c r="BDR34" s="94"/>
      <c r="BDS34" s="94"/>
      <c r="BDT34" s="94"/>
      <c r="BDU34" s="94"/>
      <c r="BDV34" s="94"/>
      <c r="BDW34" s="94"/>
      <c r="BDX34" s="94"/>
      <c r="BDY34" s="94"/>
      <c r="BDZ34" s="94"/>
      <c r="BEA34" s="94"/>
      <c r="BEB34" s="94"/>
      <c r="BEC34" s="94"/>
      <c r="BED34" s="94"/>
      <c r="BEE34" s="94"/>
      <c r="BEF34" s="94"/>
      <c r="BEG34" s="94"/>
      <c r="BEH34" s="94"/>
      <c r="BEI34" s="94"/>
      <c r="BEJ34" s="94"/>
      <c r="BEK34" s="94"/>
      <c r="BEL34" s="94"/>
      <c r="BEM34" s="94"/>
      <c r="BEN34" s="94"/>
      <c r="BEO34" s="94"/>
      <c r="BEP34" s="94"/>
      <c r="BEQ34" s="94"/>
      <c r="BER34" s="94"/>
      <c r="BES34" s="94"/>
      <c r="BET34" s="94"/>
      <c r="BEU34" s="94"/>
      <c r="BEV34" s="94"/>
      <c r="BEW34" s="94"/>
      <c r="BEX34" s="94"/>
      <c r="BEY34" s="94"/>
      <c r="BEZ34" s="94"/>
      <c r="BFA34" s="94"/>
      <c r="BFB34" s="94"/>
      <c r="BFC34" s="94"/>
      <c r="BFD34" s="94"/>
      <c r="BFE34" s="94"/>
      <c r="BFF34" s="94"/>
      <c r="BFG34" s="94"/>
      <c r="BFH34" s="94"/>
      <c r="BFI34" s="94"/>
      <c r="BFJ34" s="94"/>
      <c r="BFK34" s="94"/>
      <c r="BFL34" s="94"/>
      <c r="BFM34" s="94"/>
      <c r="BFN34" s="94"/>
      <c r="BFO34" s="94"/>
      <c r="BFP34" s="94"/>
      <c r="BFQ34" s="94"/>
      <c r="BFR34" s="94"/>
      <c r="BFS34" s="94"/>
      <c r="BFT34" s="94"/>
      <c r="BFU34" s="94"/>
      <c r="BFV34" s="94"/>
      <c r="BFW34" s="94"/>
      <c r="BFX34" s="94"/>
      <c r="BFY34" s="94"/>
      <c r="BFZ34" s="94"/>
      <c r="BGA34" s="94"/>
      <c r="BGB34" s="94"/>
      <c r="BGC34" s="94"/>
      <c r="BGD34" s="94"/>
      <c r="BGE34" s="94"/>
      <c r="BGF34" s="94"/>
      <c r="BGG34" s="94"/>
      <c r="BGH34" s="94"/>
      <c r="BGI34" s="94"/>
      <c r="BGJ34" s="94"/>
      <c r="BGK34" s="94"/>
      <c r="BGL34" s="94"/>
      <c r="BGM34" s="94"/>
      <c r="BGN34" s="94"/>
      <c r="BGO34" s="94"/>
      <c r="BGP34" s="94"/>
      <c r="BGQ34" s="94"/>
      <c r="BGR34" s="94"/>
      <c r="BGS34" s="94"/>
      <c r="BGT34" s="94"/>
      <c r="BGU34" s="94"/>
      <c r="BGV34" s="94"/>
      <c r="BGW34" s="94"/>
      <c r="BGX34" s="94"/>
      <c r="BGY34" s="94"/>
      <c r="BGZ34" s="94"/>
      <c r="BHA34" s="94"/>
      <c r="BHB34" s="94"/>
      <c r="BHC34" s="94"/>
      <c r="BHD34" s="94"/>
      <c r="BHE34" s="94"/>
      <c r="BHF34" s="94"/>
      <c r="BHG34" s="94"/>
      <c r="BHH34" s="94"/>
      <c r="BHI34" s="94"/>
      <c r="BHJ34" s="94"/>
      <c r="BHK34" s="94"/>
      <c r="BHL34" s="94"/>
      <c r="BHM34" s="94"/>
      <c r="BHN34" s="94"/>
      <c r="BHO34" s="94"/>
      <c r="BHP34" s="94"/>
      <c r="BHQ34" s="94"/>
      <c r="BHR34" s="94"/>
      <c r="BHS34" s="94"/>
      <c r="BHT34" s="94"/>
      <c r="BHU34" s="94"/>
      <c r="BHV34" s="94"/>
      <c r="BHW34" s="94"/>
      <c r="BHX34" s="94"/>
      <c r="BHY34" s="94"/>
      <c r="BHZ34" s="94"/>
      <c r="BIA34" s="94"/>
      <c r="BIB34" s="94"/>
      <c r="BIC34" s="94"/>
      <c r="BID34" s="94"/>
      <c r="BIE34" s="94"/>
      <c r="BIF34" s="94"/>
      <c r="BIG34" s="94"/>
      <c r="BIH34" s="94"/>
      <c r="BII34" s="94"/>
      <c r="BIJ34" s="94"/>
      <c r="BIK34" s="94"/>
      <c r="BIL34" s="94"/>
      <c r="BIM34" s="94"/>
      <c r="BIN34" s="94"/>
      <c r="BIO34" s="94"/>
      <c r="BIP34" s="94"/>
      <c r="BIQ34" s="94"/>
      <c r="BIR34" s="94"/>
      <c r="BIS34" s="94"/>
      <c r="BIT34" s="94"/>
      <c r="BIU34" s="94"/>
      <c r="BIV34" s="94"/>
      <c r="BIW34" s="94"/>
      <c r="BIX34" s="94"/>
      <c r="BIY34" s="94"/>
      <c r="BIZ34" s="94"/>
      <c r="BJA34" s="94"/>
      <c r="BJB34" s="94"/>
      <c r="BJC34" s="94"/>
      <c r="BJD34" s="94"/>
      <c r="BJE34" s="94"/>
      <c r="BJF34" s="94"/>
      <c r="BJG34" s="94"/>
      <c r="BJH34" s="94"/>
      <c r="BJI34" s="94"/>
      <c r="BJJ34" s="94"/>
      <c r="BJK34" s="94"/>
      <c r="BJL34" s="94"/>
      <c r="BJM34" s="94"/>
      <c r="BJN34" s="94"/>
      <c r="BJO34" s="94"/>
      <c r="BJP34" s="94"/>
      <c r="BJQ34" s="94"/>
      <c r="BJR34" s="94"/>
      <c r="BJS34" s="94"/>
      <c r="BJT34" s="94"/>
      <c r="BJU34" s="94"/>
      <c r="BJV34" s="94"/>
      <c r="BJW34" s="94"/>
      <c r="BJX34" s="94"/>
      <c r="BJY34" s="94"/>
      <c r="BJZ34" s="94"/>
      <c r="BKA34" s="94"/>
      <c r="BKB34" s="94"/>
      <c r="BKC34" s="94"/>
      <c r="BKD34" s="94"/>
      <c r="BKE34" s="94"/>
      <c r="BKF34" s="94"/>
      <c r="BKG34" s="94"/>
      <c r="BKH34" s="94"/>
      <c r="BKI34" s="94"/>
      <c r="BKJ34" s="94"/>
      <c r="BKK34" s="94"/>
      <c r="BKL34" s="94"/>
      <c r="BKM34" s="94"/>
      <c r="BKN34" s="94"/>
      <c r="BKO34" s="94"/>
      <c r="BKP34" s="94"/>
      <c r="BKQ34" s="94"/>
      <c r="BKR34" s="94"/>
      <c r="BKS34" s="94"/>
      <c r="BKT34" s="94"/>
      <c r="BKU34" s="94"/>
      <c r="BKV34" s="94"/>
      <c r="BKW34" s="94"/>
      <c r="BKX34" s="94"/>
      <c r="BKY34" s="94"/>
      <c r="BKZ34" s="94"/>
      <c r="BLA34" s="94"/>
      <c r="BLB34" s="94"/>
      <c r="BLC34" s="94"/>
      <c r="BLD34" s="94"/>
      <c r="BLE34" s="94"/>
      <c r="BLF34" s="94"/>
      <c r="BLG34" s="94"/>
      <c r="BLH34" s="94"/>
      <c r="BLI34" s="94"/>
      <c r="BLJ34" s="94"/>
      <c r="BLK34" s="94"/>
      <c r="BLL34" s="94"/>
      <c r="BLM34" s="94"/>
      <c r="BLN34" s="94"/>
      <c r="BLO34" s="94"/>
      <c r="BLP34" s="94"/>
      <c r="BLQ34" s="94"/>
      <c r="BLR34" s="94"/>
      <c r="BLS34" s="94"/>
      <c r="BLT34" s="94"/>
      <c r="BLU34" s="94"/>
      <c r="BLV34" s="94"/>
      <c r="BLW34" s="94"/>
      <c r="BLX34" s="94"/>
      <c r="BLY34" s="94"/>
      <c r="BLZ34" s="94"/>
      <c r="BMA34" s="94"/>
      <c r="BMB34" s="94"/>
      <c r="BMC34" s="94"/>
      <c r="BMD34" s="94"/>
      <c r="BME34" s="94"/>
      <c r="BMF34" s="94"/>
      <c r="BMG34" s="94"/>
      <c r="BMH34" s="94"/>
      <c r="BMI34" s="94"/>
      <c r="BMJ34" s="94"/>
      <c r="BMK34" s="94"/>
      <c r="BML34" s="94"/>
      <c r="BMM34" s="94"/>
      <c r="BMN34" s="94"/>
      <c r="BMO34" s="94"/>
      <c r="BMP34" s="94"/>
      <c r="BMQ34" s="94"/>
      <c r="BMR34" s="94"/>
      <c r="BMS34" s="94"/>
      <c r="BMT34" s="94"/>
      <c r="BMU34" s="94"/>
      <c r="BMV34" s="94"/>
      <c r="BMW34" s="94"/>
      <c r="BMX34" s="94"/>
      <c r="BMY34" s="94"/>
      <c r="BMZ34" s="94"/>
      <c r="BNA34" s="94"/>
      <c r="BNB34" s="94"/>
      <c r="BNC34" s="94"/>
      <c r="BND34" s="94"/>
      <c r="BNE34" s="94"/>
      <c r="BNF34" s="94"/>
      <c r="BNG34" s="94"/>
      <c r="BNH34" s="94"/>
      <c r="BNI34" s="94"/>
      <c r="BNJ34" s="94"/>
      <c r="BNK34" s="94"/>
      <c r="BNL34" s="94"/>
      <c r="BNM34" s="94"/>
      <c r="BNN34" s="94"/>
      <c r="BNO34" s="94"/>
      <c r="BNP34" s="94"/>
      <c r="BNQ34" s="94"/>
      <c r="BNR34" s="94"/>
      <c r="BNS34" s="94"/>
      <c r="BNT34" s="94"/>
      <c r="BNU34" s="94"/>
      <c r="BNV34" s="94"/>
      <c r="BNW34" s="94"/>
      <c r="BNX34" s="94"/>
      <c r="BNY34" s="94"/>
      <c r="BNZ34" s="94"/>
      <c r="BOA34" s="94"/>
      <c r="BOB34" s="94"/>
      <c r="BOC34" s="94"/>
      <c r="BOD34" s="94"/>
      <c r="BOE34" s="94"/>
      <c r="BOF34" s="94"/>
      <c r="BOG34" s="94"/>
      <c r="BOH34" s="94"/>
      <c r="BOI34" s="94"/>
      <c r="BOJ34" s="94"/>
      <c r="BOK34" s="94"/>
      <c r="BOL34" s="94"/>
      <c r="BOM34" s="94"/>
      <c r="BON34" s="94"/>
      <c r="BOO34" s="94"/>
      <c r="BOP34" s="94"/>
      <c r="BOQ34" s="94"/>
      <c r="BOR34" s="94"/>
      <c r="BOS34" s="94"/>
      <c r="BOT34" s="94"/>
      <c r="BOU34" s="94"/>
      <c r="BOV34" s="94"/>
      <c r="BOW34" s="94"/>
      <c r="BOX34" s="94"/>
      <c r="BOY34" s="94"/>
      <c r="BOZ34" s="94"/>
      <c r="BPA34" s="94"/>
      <c r="BPB34" s="94"/>
      <c r="BPC34" s="94"/>
      <c r="BPD34" s="94"/>
      <c r="BPE34" s="94"/>
      <c r="BPF34" s="94"/>
      <c r="BPG34" s="94"/>
      <c r="BPH34" s="94"/>
      <c r="BPI34" s="94"/>
      <c r="BPJ34" s="94"/>
      <c r="BPK34" s="94"/>
      <c r="BPL34" s="94"/>
      <c r="BPM34" s="94"/>
      <c r="BPN34" s="94"/>
      <c r="BPO34" s="94"/>
      <c r="BPP34" s="94"/>
      <c r="BPQ34" s="94"/>
      <c r="BPR34" s="94"/>
      <c r="BPS34" s="94"/>
      <c r="BPT34" s="94"/>
      <c r="BPU34" s="94"/>
      <c r="BPV34" s="94"/>
      <c r="BPW34" s="94"/>
      <c r="BPX34" s="94"/>
      <c r="BPY34" s="94"/>
      <c r="BPZ34" s="94"/>
      <c r="BQA34" s="94"/>
      <c r="BQB34" s="94"/>
      <c r="BQC34" s="94"/>
      <c r="BQD34" s="94"/>
      <c r="BQE34" s="94"/>
      <c r="BQF34" s="94"/>
      <c r="BQG34" s="94"/>
      <c r="BQH34" s="94"/>
      <c r="BQI34" s="94"/>
      <c r="BQJ34" s="94"/>
      <c r="BQK34" s="94"/>
      <c r="BQL34" s="94"/>
      <c r="BQM34" s="94"/>
      <c r="BQN34" s="94"/>
      <c r="BQO34" s="94"/>
      <c r="BQP34" s="94"/>
      <c r="BQQ34" s="94"/>
      <c r="BQR34" s="94"/>
      <c r="BQS34" s="94"/>
      <c r="BQT34" s="94"/>
      <c r="BQU34" s="94"/>
      <c r="BQV34" s="94"/>
      <c r="BQW34" s="94"/>
      <c r="BQX34" s="94"/>
      <c r="BQY34" s="94"/>
      <c r="BQZ34" s="94"/>
      <c r="BRA34" s="94"/>
      <c r="BRB34" s="94"/>
      <c r="BRC34" s="94"/>
      <c r="BRD34" s="94"/>
      <c r="BRE34" s="94"/>
      <c r="BRF34" s="94"/>
      <c r="BRG34" s="94"/>
      <c r="BRH34" s="94"/>
      <c r="BRI34" s="94"/>
      <c r="BRJ34" s="94"/>
      <c r="BRK34" s="94"/>
      <c r="BRL34" s="94"/>
      <c r="BRM34" s="94"/>
      <c r="BRN34" s="94"/>
      <c r="BRO34" s="94"/>
      <c r="BRP34" s="94"/>
      <c r="BRQ34" s="94"/>
      <c r="BRR34" s="94"/>
      <c r="BRS34" s="94"/>
      <c r="BRT34" s="94"/>
      <c r="BRU34" s="94"/>
      <c r="BRV34" s="94"/>
      <c r="BRW34" s="94"/>
      <c r="BRX34" s="94"/>
      <c r="BRY34" s="94"/>
      <c r="BRZ34" s="94"/>
      <c r="BSA34" s="94"/>
      <c r="BSB34" s="94"/>
      <c r="BSC34" s="94"/>
      <c r="BSD34" s="94"/>
      <c r="BSE34" s="94"/>
      <c r="BSF34" s="94"/>
      <c r="BSG34" s="94"/>
      <c r="BSH34" s="94"/>
      <c r="BSI34" s="94"/>
      <c r="BSJ34" s="94"/>
      <c r="BSK34" s="94"/>
      <c r="BSL34" s="94"/>
      <c r="BSM34" s="94"/>
      <c r="BSN34" s="94"/>
      <c r="BSO34" s="94"/>
      <c r="BSP34" s="94"/>
      <c r="BSQ34" s="94"/>
      <c r="BSR34" s="94"/>
      <c r="BSS34" s="94"/>
      <c r="BST34" s="94"/>
      <c r="BSU34" s="94"/>
      <c r="BSV34" s="94"/>
      <c r="BSW34" s="94"/>
      <c r="BSX34" s="94"/>
      <c r="BSY34" s="94"/>
      <c r="BSZ34" s="94"/>
      <c r="BTA34" s="94"/>
      <c r="BTB34" s="94"/>
      <c r="BTC34" s="94"/>
      <c r="BTD34" s="94"/>
      <c r="BTE34" s="94"/>
      <c r="BTF34" s="94"/>
      <c r="BTG34" s="94"/>
      <c r="BTH34" s="94"/>
      <c r="BTI34" s="94"/>
      <c r="BTJ34" s="94"/>
      <c r="BTK34" s="94"/>
      <c r="BTL34" s="94"/>
      <c r="BTM34" s="94"/>
      <c r="BTN34" s="94"/>
      <c r="BTO34" s="94"/>
      <c r="BTP34" s="94"/>
      <c r="BTQ34" s="94"/>
      <c r="BTR34" s="94"/>
      <c r="BTS34" s="94"/>
      <c r="BTT34" s="94"/>
      <c r="BTU34" s="94"/>
      <c r="BTV34" s="94"/>
      <c r="BTW34" s="94"/>
      <c r="BTX34" s="94"/>
      <c r="BTY34" s="94"/>
      <c r="BTZ34" s="94"/>
      <c r="BUA34" s="94"/>
      <c r="BUB34" s="94"/>
      <c r="BUC34" s="94"/>
      <c r="BUD34" s="94"/>
      <c r="BUE34" s="94"/>
      <c r="BUF34" s="94"/>
      <c r="BUG34" s="94"/>
      <c r="BUH34" s="94"/>
      <c r="BUI34" s="94"/>
      <c r="BUJ34" s="94"/>
      <c r="BUK34" s="94"/>
      <c r="BUL34" s="94"/>
      <c r="BUM34" s="94"/>
      <c r="BUN34" s="94"/>
      <c r="BUO34" s="94"/>
      <c r="BUP34" s="94"/>
      <c r="BUQ34" s="94"/>
      <c r="BUR34" s="94"/>
      <c r="BUS34" s="94"/>
      <c r="BUT34" s="94"/>
      <c r="BUU34" s="94"/>
      <c r="BUV34" s="94"/>
      <c r="BUW34" s="94"/>
      <c r="BUX34" s="94"/>
      <c r="BUY34" s="94"/>
      <c r="BUZ34" s="94"/>
      <c r="BVA34" s="94"/>
      <c r="BVB34" s="94"/>
      <c r="BVC34" s="94"/>
      <c r="BVD34" s="94"/>
      <c r="BVE34" s="94"/>
      <c r="BVF34" s="94"/>
      <c r="BVG34" s="94"/>
      <c r="BVH34" s="94"/>
      <c r="BVI34" s="94"/>
      <c r="BVJ34" s="94"/>
      <c r="BVK34" s="94"/>
      <c r="BVL34" s="94"/>
      <c r="BVM34" s="94"/>
      <c r="BVN34" s="94"/>
      <c r="BVO34" s="94"/>
      <c r="BVP34" s="94"/>
      <c r="BVQ34" s="94"/>
      <c r="BVR34" s="94"/>
      <c r="BVS34" s="94"/>
      <c r="BVT34" s="94"/>
      <c r="BVU34" s="94"/>
      <c r="BVV34" s="94"/>
      <c r="BVW34" s="94"/>
      <c r="BVX34" s="94"/>
      <c r="BVY34" s="94"/>
      <c r="BVZ34" s="94"/>
      <c r="BWA34" s="94"/>
      <c r="BWB34" s="94"/>
      <c r="BWC34" s="94"/>
      <c r="BWD34" s="94"/>
      <c r="BWE34" s="94"/>
      <c r="BWF34" s="94"/>
      <c r="BWG34" s="94"/>
      <c r="BWH34" s="94"/>
      <c r="BWI34" s="94"/>
      <c r="BWJ34" s="94"/>
      <c r="BWK34" s="94"/>
      <c r="BWL34" s="94"/>
      <c r="BWM34" s="94"/>
      <c r="BWN34" s="94"/>
      <c r="BWO34" s="94"/>
      <c r="BWP34" s="94"/>
      <c r="BWQ34" s="94"/>
      <c r="BWR34" s="94"/>
      <c r="BWS34" s="94"/>
      <c r="BWT34" s="94"/>
      <c r="BWU34" s="94"/>
      <c r="BWV34" s="94"/>
      <c r="BWW34" s="94"/>
      <c r="BWX34" s="94"/>
      <c r="BWY34" s="94"/>
      <c r="BWZ34" s="94"/>
      <c r="BXA34" s="94"/>
      <c r="BXB34" s="94"/>
      <c r="BXC34" s="94"/>
      <c r="BXD34" s="94"/>
      <c r="BXE34" s="94"/>
      <c r="BXF34" s="94"/>
      <c r="BXG34" s="94"/>
      <c r="BXH34" s="94"/>
      <c r="BXI34" s="94"/>
      <c r="BXJ34" s="94"/>
      <c r="BXK34" s="94"/>
      <c r="BXL34" s="94"/>
      <c r="BXM34" s="94"/>
      <c r="BXN34" s="94"/>
      <c r="BXO34" s="94"/>
      <c r="BXP34" s="94"/>
      <c r="BXQ34" s="94"/>
      <c r="BXR34" s="94"/>
      <c r="BXS34" s="94"/>
      <c r="BXT34" s="94"/>
      <c r="BXU34" s="94"/>
      <c r="BXV34" s="94"/>
      <c r="BXW34" s="94"/>
      <c r="BXX34" s="94"/>
      <c r="BXY34" s="94"/>
      <c r="BXZ34" s="94"/>
      <c r="BYA34" s="94"/>
      <c r="BYB34" s="94"/>
      <c r="BYC34" s="94"/>
      <c r="BYD34" s="94"/>
      <c r="BYE34" s="94"/>
      <c r="BYF34" s="94"/>
      <c r="BYG34" s="94"/>
    </row>
    <row r="35" spans="1:2009" s="240" customFormat="1" ht="24.95" hidden="1" customHeight="1" thickBot="1" x14ac:dyDescent="0.3">
      <c r="A35" s="241"/>
      <c r="B35" s="235" t="s">
        <v>93</v>
      </c>
      <c r="C35" s="236"/>
      <c r="D35" s="236"/>
      <c r="E35" s="236"/>
      <c r="F35" s="236"/>
      <c r="G35" s="238"/>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row>
    <row r="36" spans="1:2009" s="101" customFormat="1" ht="13.5" hidden="1" customHeight="1" thickBot="1" x14ac:dyDescent="0.3">
      <c r="A36" s="98"/>
      <c r="B36" s="98"/>
      <c r="C36" s="175"/>
      <c r="D36" s="175"/>
      <c r="E36" s="175"/>
      <c r="F36" s="175"/>
      <c r="G36" s="175"/>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c r="AIV36" s="100"/>
      <c r="AIW36" s="100"/>
      <c r="AIX36" s="100"/>
      <c r="AIY36" s="100"/>
      <c r="AIZ36" s="100"/>
      <c r="AJA36" s="100"/>
      <c r="AJB36" s="100"/>
      <c r="AJC36" s="100"/>
      <c r="AJD36" s="100"/>
      <c r="AJE36" s="100"/>
      <c r="AJF36" s="100"/>
      <c r="AJG36" s="100"/>
      <c r="AJH36" s="100"/>
      <c r="AJI36" s="100"/>
      <c r="AJJ36" s="100"/>
      <c r="AJK36" s="100"/>
      <c r="AJL36" s="100"/>
      <c r="AJM36" s="100"/>
      <c r="AJN36" s="100"/>
      <c r="AJO36" s="100"/>
      <c r="AJP36" s="100"/>
      <c r="AJQ36" s="100"/>
      <c r="AJR36" s="100"/>
      <c r="AJS36" s="100"/>
      <c r="AJT36" s="100"/>
      <c r="AJU36" s="100"/>
      <c r="AJV36" s="100"/>
      <c r="AJW36" s="100"/>
      <c r="AJX36" s="100"/>
      <c r="AJY36" s="100"/>
      <c r="AJZ36" s="100"/>
      <c r="AKA36" s="100"/>
      <c r="AKB36" s="100"/>
      <c r="AKC36" s="100"/>
      <c r="AKD36" s="100"/>
      <c r="AKE36" s="100"/>
      <c r="AKF36" s="100"/>
      <c r="AKG36" s="100"/>
      <c r="AKH36" s="100"/>
      <c r="AKI36" s="100"/>
      <c r="AKJ36" s="100"/>
      <c r="AKK36" s="100"/>
      <c r="AKL36" s="100"/>
      <c r="AKM36" s="100"/>
      <c r="AKN36" s="100"/>
      <c r="AKO36" s="100"/>
      <c r="AKP36" s="100"/>
      <c r="AKQ36" s="100"/>
      <c r="AKR36" s="100"/>
      <c r="AKS36" s="100"/>
      <c r="AKT36" s="100"/>
      <c r="AKU36" s="100"/>
      <c r="AKV36" s="100"/>
      <c r="AKW36" s="100"/>
      <c r="AKX36" s="100"/>
      <c r="AKY36" s="100"/>
      <c r="AKZ36" s="100"/>
      <c r="ALA36" s="100"/>
      <c r="ALB36" s="100"/>
      <c r="ALC36" s="100"/>
      <c r="ALD36" s="100"/>
      <c r="ALE36" s="100"/>
      <c r="ALF36" s="100"/>
      <c r="ALG36" s="100"/>
      <c r="ALH36" s="100"/>
      <c r="ALI36" s="100"/>
      <c r="ALJ36" s="100"/>
      <c r="ALK36" s="100"/>
      <c r="ALL36" s="100"/>
      <c r="ALM36" s="100"/>
      <c r="ALN36" s="100"/>
      <c r="ALO36" s="100"/>
      <c r="ALP36" s="100"/>
      <c r="ALQ36" s="100"/>
      <c r="ALR36" s="100"/>
      <c r="ALS36" s="100"/>
      <c r="ALT36" s="100"/>
      <c r="ALU36" s="100"/>
      <c r="ALV36" s="100"/>
      <c r="ALW36" s="100"/>
      <c r="ALX36" s="100"/>
      <c r="ALY36" s="100"/>
      <c r="ALZ36" s="100"/>
      <c r="AMA36" s="100"/>
      <c r="AMB36" s="100"/>
      <c r="AMC36" s="100"/>
      <c r="AMD36" s="100"/>
      <c r="AME36" s="100"/>
      <c r="AMF36" s="100"/>
      <c r="AMG36" s="100"/>
      <c r="AMH36" s="100"/>
      <c r="AMI36" s="100"/>
      <c r="AMJ36" s="100"/>
      <c r="AMK36" s="100"/>
      <c r="AML36" s="100"/>
      <c r="AMM36" s="100"/>
      <c r="AMN36" s="100"/>
      <c r="AMO36" s="100"/>
      <c r="AMP36" s="100"/>
      <c r="AMQ36" s="100"/>
      <c r="AMR36" s="100"/>
      <c r="AMS36" s="100"/>
      <c r="AMT36" s="100"/>
      <c r="AMU36" s="100"/>
      <c r="AMV36" s="100"/>
      <c r="AMW36" s="100"/>
      <c r="AMX36" s="100"/>
      <c r="AMY36" s="100"/>
      <c r="AMZ36" s="100"/>
      <c r="ANA36" s="100"/>
      <c r="ANB36" s="100"/>
      <c r="ANC36" s="100"/>
      <c r="AND36" s="100"/>
      <c r="ANE36" s="100"/>
      <c r="ANF36" s="100"/>
      <c r="ANG36" s="100"/>
      <c r="ANH36" s="100"/>
      <c r="ANI36" s="100"/>
      <c r="ANJ36" s="100"/>
      <c r="ANK36" s="100"/>
      <c r="ANL36" s="100"/>
      <c r="ANM36" s="100"/>
      <c r="ANN36" s="100"/>
      <c r="ANO36" s="100"/>
      <c r="ANP36" s="100"/>
      <c r="ANQ36" s="100"/>
      <c r="ANR36" s="100"/>
      <c r="ANS36" s="100"/>
      <c r="ANT36" s="100"/>
      <c r="ANU36" s="100"/>
      <c r="ANV36" s="100"/>
      <c r="ANW36" s="100"/>
      <c r="ANX36" s="100"/>
      <c r="ANY36" s="100"/>
      <c r="ANZ36" s="100"/>
      <c r="AOA36" s="100"/>
      <c r="AOB36" s="100"/>
      <c r="AOC36" s="100"/>
      <c r="AOD36" s="100"/>
      <c r="AOE36" s="100"/>
      <c r="AOF36" s="100"/>
      <c r="AOG36" s="100"/>
      <c r="AOH36" s="100"/>
      <c r="AOI36" s="100"/>
      <c r="AOJ36" s="100"/>
      <c r="AOK36" s="100"/>
      <c r="AOL36" s="100"/>
      <c r="AOM36" s="100"/>
      <c r="AON36" s="100"/>
      <c r="AOO36" s="100"/>
      <c r="AOP36" s="100"/>
      <c r="AOQ36" s="100"/>
      <c r="AOR36" s="100"/>
      <c r="AOS36" s="100"/>
      <c r="AOT36" s="100"/>
      <c r="AOU36" s="100"/>
      <c r="AOV36" s="100"/>
      <c r="AOW36" s="100"/>
      <c r="AOX36" s="100"/>
      <c r="AOY36" s="100"/>
      <c r="AOZ36" s="100"/>
      <c r="APA36" s="100"/>
      <c r="APB36" s="100"/>
      <c r="APC36" s="100"/>
      <c r="APD36" s="100"/>
      <c r="APE36" s="100"/>
      <c r="APF36" s="100"/>
      <c r="APG36" s="100"/>
      <c r="APH36" s="100"/>
      <c r="API36" s="100"/>
      <c r="APJ36" s="100"/>
      <c r="APK36" s="100"/>
      <c r="APL36" s="100"/>
      <c r="APM36" s="100"/>
      <c r="APN36" s="100"/>
      <c r="APO36" s="100"/>
      <c r="APP36" s="100"/>
      <c r="APQ36" s="100"/>
      <c r="APR36" s="100"/>
      <c r="APS36" s="100"/>
      <c r="APT36" s="100"/>
      <c r="APU36" s="100"/>
      <c r="APV36" s="100"/>
      <c r="APW36" s="100"/>
      <c r="APX36" s="100"/>
      <c r="APY36" s="100"/>
      <c r="APZ36" s="100"/>
      <c r="AQA36" s="100"/>
      <c r="AQB36" s="100"/>
      <c r="AQC36" s="100"/>
      <c r="AQD36" s="100"/>
      <c r="AQE36" s="100"/>
      <c r="AQF36" s="100"/>
      <c r="AQG36" s="100"/>
      <c r="AQH36" s="100"/>
      <c r="AQI36" s="100"/>
      <c r="AQJ36" s="100"/>
      <c r="AQK36" s="100"/>
      <c r="AQL36" s="100"/>
      <c r="AQM36" s="100"/>
      <c r="AQN36" s="100"/>
      <c r="AQO36" s="100"/>
      <c r="AQP36" s="100"/>
      <c r="AQQ36" s="100"/>
      <c r="AQR36" s="100"/>
      <c r="AQS36" s="100"/>
      <c r="AQT36" s="100"/>
      <c r="AQU36" s="100"/>
      <c r="AQV36" s="100"/>
      <c r="AQW36" s="100"/>
      <c r="AQX36" s="100"/>
      <c r="AQY36" s="100"/>
      <c r="AQZ36" s="100"/>
      <c r="ARA36" s="100"/>
      <c r="ARB36" s="100"/>
      <c r="ARC36" s="100"/>
      <c r="ARD36" s="100"/>
      <c r="ARE36" s="100"/>
      <c r="ARF36" s="100"/>
      <c r="ARG36" s="100"/>
      <c r="ARH36" s="100"/>
      <c r="ARI36" s="100"/>
      <c r="ARJ36" s="100"/>
      <c r="ARK36" s="100"/>
      <c r="ARL36" s="100"/>
      <c r="ARM36" s="100"/>
      <c r="ARN36" s="100"/>
      <c r="ARO36" s="100"/>
      <c r="ARP36" s="100"/>
      <c r="ARQ36" s="100"/>
      <c r="ARR36" s="100"/>
      <c r="ARS36" s="100"/>
      <c r="ART36" s="100"/>
      <c r="ARU36" s="100"/>
      <c r="ARV36" s="100"/>
      <c r="ARW36" s="100"/>
      <c r="ARX36" s="100"/>
      <c r="ARY36" s="100"/>
      <c r="ARZ36" s="100"/>
      <c r="ASA36" s="100"/>
      <c r="ASB36" s="100"/>
      <c r="ASC36" s="100"/>
      <c r="ASD36" s="100"/>
      <c r="ASE36" s="100"/>
      <c r="ASF36" s="100"/>
      <c r="ASG36" s="100"/>
      <c r="ASH36" s="100"/>
      <c r="ASI36" s="100"/>
      <c r="ASJ36" s="100"/>
      <c r="ASK36" s="100"/>
      <c r="ASL36" s="100"/>
      <c r="ASM36" s="100"/>
      <c r="ASN36" s="100"/>
      <c r="ASO36" s="100"/>
      <c r="ASP36" s="100"/>
      <c r="ASQ36" s="100"/>
      <c r="ASR36" s="100"/>
      <c r="ASS36" s="100"/>
      <c r="AST36" s="100"/>
      <c r="ASU36" s="100"/>
      <c r="ASV36" s="100"/>
      <c r="ASW36" s="100"/>
      <c r="ASX36" s="100"/>
      <c r="ASY36" s="100"/>
      <c r="ASZ36" s="100"/>
      <c r="ATA36" s="100"/>
      <c r="ATB36" s="100"/>
      <c r="ATC36" s="100"/>
      <c r="ATD36" s="100"/>
      <c r="ATE36" s="100"/>
      <c r="ATF36" s="100"/>
      <c r="ATG36" s="100"/>
      <c r="ATH36" s="100"/>
      <c r="ATI36" s="100"/>
      <c r="ATJ36" s="100"/>
      <c r="ATK36" s="100"/>
      <c r="ATL36" s="100"/>
      <c r="ATM36" s="100"/>
      <c r="ATN36" s="100"/>
      <c r="ATO36" s="100"/>
      <c r="ATP36" s="100"/>
      <c r="ATQ36" s="100"/>
      <c r="ATR36" s="100"/>
      <c r="ATS36" s="100"/>
      <c r="ATT36" s="100"/>
      <c r="ATU36" s="100"/>
      <c r="ATV36" s="100"/>
      <c r="ATW36" s="100"/>
      <c r="ATX36" s="100"/>
      <c r="ATY36" s="100"/>
      <c r="ATZ36" s="100"/>
      <c r="AUA36" s="100"/>
      <c r="AUB36" s="100"/>
      <c r="AUC36" s="100"/>
      <c r="AUD36" s="100"/>
      <c r="AUE36" s="100"/>
      <c r="AUF36" s="100"/>
      <c r="AUG36" s="100"/>
      <c r="AUH36" s="100"/>
      <c r="AUI36" s="100"/>
      <c r="AUJ36" s="100"/>
      <c r="AUK36" s="100"/>
      <c r="AUL36" s="100"/>
      <c r="AUM36" s="100"/>
      <c r="AUN36" s="100"/>
      <c r="AUO36" s="100"/>
      <c r="AUP36" s="100"/>
      <c r="AUQ36" s="100"/>
      <c r="AUR36" s="100"/>
      <c r="AUS36" s="100"/>
      <c r="AUT36" s="100"/>
      <c r="AUU36" s="100"/>
      <c r="AUV36" s="100"/>
      <c r="AUW36" s="100"/>
      <c r="AUX36" s="100"/>
      <c r="AUY36" s="100"/>
      <c r="AUZ36" s="100"/>
      <c r="AVA36" s="100"/>
      <c r="AVB36" s="100"/>
      <c r="AVC36" s="100"/>
      <c r="AVD36" s="100"/>
      <c r="AVE36" s="100"/>
      <c r="AVF36" s="100"/>
      <c r="AVG36" s="100"/>
      <c r="AVH36" s="100"/>
      <c r="AVI36" s="100"/>
      <c r="AVJ36" s="100"/>
      <c r="AVK36" s="100"/>
      <c r="AVL36" s="100"/>
      <c r="AVM36" s="100"/>
      <c r="AVN36" s="100"/>
      <c r="AVO36" s="100"/>
      <c r="AVP36" s="100"/>
      <c r="AVQ36" s="100"/>
      <c r="AVR36" s="100"/>
      <c r="AVS36" s="100"/>
      <c r="AVT36" s="100"/>
      <c r="AVU36" s="100"/>
      <c r="AVV36" s="100"/>
      <c r="AVW36" s="100"/>
      <c r="AVX36" s="100"/>
      <c r="AVY36" s="100"/>
      <c r="AVZ36" s="100"/>
      <c r="AWA36" s="100"/>
      <c r="AWB36" s="100"/>
      <c r="AWC36" s="100"/>
      <c r="AWD36" s="100"/>
      <c r="AWE36" s="100"/>
      <c r="AWF36" s="100"/>
      <c r="AWG36" s="100"/>
      <c r="AWH36" s="100"/>
      <c r="AWI36" s="100"/>
      <c r="AWJ36" s="100"/>
      <c r="AWK36" s="100"/>
      <c r="AWL36" s="100"/>
      <c r="AWM36" s="100"/>
      <c r="AWN36" s="100"/>
      <c r="AWO36" s="100"/>
      <c r="AWP36" s="100"/>
      <c r="AWQ36" s="100"/>
      <c r="AWR36" s="100"/>
      <c r="AWS36" s="100"/>
      <c r="AWT36" s="100"/>
      <c r="AWU36" s="100"/>
      <c r="AWV36" s="100"/>
      <c r="AWW36" s="100"/>
      <c r="AWX36" s="100"/>
      <c r="AWY36" s="100"/>
      <c r="AWZ36" s="100"/>
      <c r="AXA36" s="100"/>
      <c r="AXB36" s="100"/>
      <c r="AXC36" s="100"/>
      <c r="AXD36" s="100"/>
      <c r="AXE36" s="100"/>
      <c r="AXF36" s="100"/>
      <c r="AXG36" s="100"/>
      <c r="AXH36" s="100"/>
      <c r="AXI36" s="100"/>
      <c r="AXJ36" s="100"/>
      <c r="AXK36" s="100"/>
      <c r="AXL36" s="100"/>
      <c r="AXM36" s="100"/>
      <c r="AXN36" s="100"/>
      <c r="AXO36" s="100"/>
      <c r="AXP36" s="100"/>
      <c r="AXQ36" s="100"/>
      <c r="AXR36" s="100"/>
      <c r="AXS36" s="100"/>
      <c r="AXT36" s="100"/>
      <c r="AXU36" s="100"/>
      <c r="AXV36" s="100"/>
      <c r="AXW36" s="100"/>
      <c r="AXX36" s="100"/>
      <c r="AXY36" s="100"/>
      <c r="AXZ36" s="100"/>
      <c r="AYA36" s="100"/>
      <c r="AYB36" s="100"/>
      <c r="AYC36" s="100"/>
      <c r="AYD36" s="100"/>
      <c r="AYE36" s="100"/>
      <c r="AYF36" s="100"/>
      <c r="AYG36" s="100"/>
      <c r="AYH36" s="100"/>
      <c r="AYI36" s="100"/>
      <c r="AYJ36" s="100"/>
      <c r="AYK36" s="100"/>
      <c r="AYL36" s="100"/>
      <c r="AYM36" s="100"/>
      <c r="AYN36" s="100"/>
      <c r="AYO36" s="100"/>
      <c r="AYP36" s="100"/>
      <c r="AYQ36" s="100"/>
      <c r="AYR36" s="100"/>
      <c r="AYS36" s="100"/>
      <c r="AYT36" s="100"/>
      <c r="AYU36" s="100"/>
      <c r="AYV36" s="100"/>
      <c r="AYW36" s="100"/>
      <c r="AYX36" s="100"/>
      <c r="AYY36" s="100"/>
      <c r="AYZ36" s="100"/>
      <c r="AZA36" s="100"/>
      <c r="AZB36" s="100"/>
      <c r="AZC36" s="100"/>
      <c r="AZD36" s="100"/>
      <c r="AZE36" s="100"/>
      <c r="AZF36" s="100"/>
      <c r="AZG36" s="100"/>
      <c r="AZH36" s="100"/>
      <c r="AZI36" s="100"/>
      <c r="AZJ36" s="100"/>
      <c r="AZK36" s="100"/>
      <c r="AZL36" s="100"/>
      <c r="AZM36" s="100"/>
      <c r="AZN36" s="100"/>
      <c r="AZO36" s="100"/>
      <c r="AZP36" s="100"/>
      <c r="AZQ36" s="100"/>
      <c r="AZR36" s="100"/>
      <c r="AZS36" s="100"/>
      <c r="AZT36" s="100"/>
      <c r="AZU36" s="100"/>
      <c r="AZV36" s="100"/>
      <c r="AZW36" s="100"/>
      <c r="AZX36" s="100"/>
      <c r="AZY36" s="100"/>
      <c r="AZZ36" s="100"/>
      <c r="BAA36" s="100"/>
      <c r="BAB36" s="100"/>
      <c r="BAC36" s="100"/>
      <c r="BAD36" s="100"/>
      <c r="BAE36" s="100"/>
      <c r="BAF36" s="100"/>
      <c r="BAG36" s="100"/>
      <c r="BAH36" s="100"/>
      <c r="BAI36" s="100"/>
      <c r="BAJ36" s="100"/>
      <c r="BAK36" s="100"/>
      <c r="BAL36" s="100"/>
      <c r="BAM36" s="100"/>
      <c r="BAN36" s="100"/>
      <c r="BAO36" s="100"/>
      <c r="BAP36" s="100"/>
      <c r="BAQ36" s="100"/>
      <c r="BAR36" s="100"/>
      <c r="BAS36" s="100"/>
      <c r="BAT36" s="100"/>
      <c r="BAU36" s="100"/>
      <c r="BAV36" s="100"/>
      <c r="BAW36" s="100"/>
      <c r="BAX36" s="100"/>
      <c r="BAY36" s="100"/>
      <c r="BAZ36" s="100"/>
      <c r="BBA36" s="100"/>
      <c r="BBB36" s="100"/>
      <c r="BBC36" s="100"/>
      <c r="BBD36" s="100"/>
      <c r="BBE36" s="100"/>
      <c r="BBF36" s="100"/>
      <c r="BBG36" s="100"/>
      <c r="BBH36" s="100"/>
      <c r="BBI36" s="100"/>
      <c r="BBJ36" s="100"/>
      <c r="BBK36" s="100"/>
      <c r="BBL36" s="100"/>
      <c r="BBM36" s="100"/>
      <c r="BBN36" s="100"/>
      <c r="BBO36" s="100"/>
      <c r="BBP36" s="100"/>
      <c r="BBQ36" s="100"/>
      <c r="BBR36" s="100"/>
      <c r="BBS36" s="100"/>
      <c r="BBT36" s="100"/>
      <c r="BBU36" s="100"/>
      <c r="BBV36" s="100"/>
      <c r="BBW36" s="100"/>
      <c r="BBX36" s="100"/>
      <c r="BBY36" s="100"/>
      <c r="BBZ36" s="100"/>
      <c r="BCA36" s="100"/>
      <c r="BCB36" s="100"/>
      <c r="BCC36" s="100"/>
      <c r="BCD36" s="100"/>
      <c r="BCE36" s="100"/>
      <c r="BCF36" s="100"/>
      <c r="BCG36" s="100"/>
      <c r="BCH36" s="100"/>
      <c r="BCI36" s="100"/>
      <c r="BCJ36" s="100"/>
      <c r="BCK36" s="100"/>
      <c r="BCL36" s="100"/>
      <c r="BCM36" s="100"/>
      <c r="BCN36" s="100"/>
      <c r="BCO36" s="100"/>
      <c r="BCP36" s="100"/>
      <c r="BCQ36" s="100"/>
      <c r="BCR36" s="100"/>
      <c r="BCS36" s="100"/>
      <c r="BCT36" s="100"/>
      <c r="BCU36" s="100"/>
      <c r="BCV36" s="100"/>
      <c r="BCW36" s="100"/>
      <c r="BCX36" s="100"/>
      <c r="BCY36" s="100"/>
      <c r="BCZ36" s="100"/>
      <c r="BDA36" s="100"/>
      <c r="BDB36" s="100"/>
      <c r="BDC36" s="100"/>
      <c r="BDD36" s="100"/>
      <c r="BDE36" s="100"/>
      <c r="BDF36" s="100"/>
      <c r="BDG36" s="100"/>
      <c r="BDH36" s="100"/>
      <c r="BDI36" s="100"/>
      <c r="BDJ36" s="100"/>
      <c r="BDK36" s="100"/>
      <c r="BDL36" s="100"/>
      <c r="BDM36" s="100"/>
      <c r="BDN36" s="100"/>
      <c r="BDO36" s="100"/>
      <c r="BDP36" s="100"/>
      <c r="BDQ36" s="100"/>
      <c r="BDR36" s="100"/>
      <c r="BDS36" s="100"/>
      <c r="BDT36" s="100"/>
      <c r="BDU36" s="100"/>
      <c r="BDV36" s="100"/>
      <c r="BDW36" s="100"/>
      <c r="BDX36" s="100"/>
      <c r="BDY36" s="100"/>
      <c r="BDZ36" s="100"/>
      <c r="BEA36" s="100"/>
      <c r="BEB36" s="100"/>
      <c r="BEC36" s="100"/>
      <c r="BED36" s="100"/>
      <c r="BEE36" s="100"/>
      <c r="BEF36" s="100"/>
      <c r="BEG36" s="100"/>
      <c r="BEH36" s="100"/>
      <c r="BEI36" s="100"/>
      <c r="BEJ36" s="100"/>
      <c r="BEK36" s="100"/>
      <c r="BEL36" s="100"/>
      <c r="BEM36" s="100"/>
      <c r="BEN36" s="100"/>
      <c r="BEO36" s="100"/>
      <c r="BEP36" s="100"/>
      <c r="BEQ36" s="100"/>
      <c r="BER36" s="100"/>
      <c r="BES36" s="100"/>
      <c r="BET36" s="100"/>
      <c r="BEU36" s="100"/>
      <c r="BEV36" s="100"/>
      <c r="BEW36" s="100"/>
      <c r="BEX36" s="100"/>
      <c r="BEY36" s="100"/>
      <c r="BEZ36" s="100"/>
      <c r="BFA36" s="100"/>
      <c r="BFB36" s="100"/>
      <c r="BFC36" s="100"/>
      <c r="BFD36" s="100"/>
      <c r="BFE36" s="100"/>
      <c r="BFF36" s="100"/>
      <c r="BFG36" s="100"/>
      <c r="BFH36" s="100"/>
      <c r="BFI36" s="100"/>
      <c r="BFJ36" s="100"/>
      <c r="BFK36" s="100"/>
      <c r="BFL36" s="100"/>
      <c r="BFM36" s="100"/>
      <c r="BFN36" s="100"/>
      <c r="BFO36" s="100"/>
      <c r="BFP36" s="100"/>
      <c r="BFQ36" s="100"/>
      <c r="BFR36" s="100"/>
      <c r="BFS36" s="100"/>
      <c r="BFT36" s="100"/>
      <c r="BFU36" s="100"/>
      <c r="BFV36" s="100"/>
      <c r="BFW36" s="100"/>
      <c r="BFX36" s="100"/>
      <c r="BFY36" s="100"/>
      <c r="BFZ36" s="100"/>
      <c r="BGA36" s="100"/>
      <c r="BGB36" s="100"/>
      <c r="BGC36" s="100"/>
      <c r="BGD36" s="100"/>
      <c r="BGE36" s="100"/>
      <c r="BGF36" s="100"/>
      <c r="BGG36" s="100"/>
      <c r="BGH36" s="100"/>
      <c r="BGI36" s="100"/>
      <c r="BGJ36" s="100"/>
      <c r="BGK36" s="100"/>
      <c r="BGL36" s="100"/>
      <c r="BGM36" s="100"/>
      <c r="BGN36" s="100"/>
      <c r="BGO36" s="100"/>
      <c r="BGP36" s="100"/>
      <c r="BGQ36" s="100"/>
      <c r="BGR36" s="100"/>
      <c r="BGS36" s="100"/>
      <c r="BGT36" s="100"/>
      <c r="BGU36" s="100"/>
      <c r="BGV36" s="100"/>
      <c r="BGW36" s="100"/>
      <c r="BGX36" s="100"/>
      <c r="BGY36" s="100"/>
      <c r="BGZ36" s="100"/>
      <c r="BHA36" s="100"/>
      <c r="BHB36" s="100"/>
      <c r="BHC36" s="100"/>
      <c r="BHD36" s="100"/>
      <c r="BHE36" s="100"/>
      <c r="BHF36" s="100"/>
      <c r="BHG36" s="100"/>
      <c r="BHH36" s="100"/>
      <c r="BHI36" s="100"/>
      <c r="BHJ36" s="100"/>
      <c r="BHK36" s="100"/>
      <c r="BHL36" s="100"/>
      <c r="BHM36" s="100"/>
      <c r="BHN36" s="100"/>
      <c r="BHO36" s="100"/>
      <c r="BHP36" s="100"/>
      <c r="BHQ36" s="100"/>
      <c r="BHR36" s="100"/>
      <c r="BHS36" s="100"/>
      <c r="BHT36" s="100"/>
      <c r="BHU36" s="100"/>
      <c r="BHV36" s="100"/>
      <c r="BHW36" s="100"/>
      <c r="BHX36" s="100"/>
      <c r="BHY36" s="100"/>
      <c r="BHZ36" s="100"/>
      <c r="BIA36" s="100"/>
      <c r="BIB36" s="100"/>
      <c r="BIC36" s="100"/>
      <c r="BID36" s="100"/>
      <c r="BIE36" s="100"/>
      <c r="BIF36" s="100"/>
      <c r="BIG36" s="100"/>
      <c r="BIH36" s="100"/>
      <c r="BII36" s="100"/>
      <c r="BIJ36" s="100"/>
      <c r="BIK36" s="100"/>
      <c r="BIL36" s="100"/>
      <c r="BIM36" s="100"/>
      <c r="BIN36" s="100"/>
      <c r="BIO36" s="100"/>
      <c r="BIP36" s="100"/>
      <c r="BIQ36" s="100"/>
      <c r="BIR36" s="100"/>
      <c r="BIS36" s="100"/>
      <c r="BIT36" s="100"/>
      <c r="BIU36" s="100"/>
      <c r="BIV36" s="100"/>
      <c r="BIW36" s="100"/>
      <c r="BIX36" s="100"/>
      <c r="BIY36" s="100"/>
      <c r="BIZ36" s="100"/>
      <c r="BJA36" s="100"/>
      <c r="BJB36" s="100"/>
      <c r="BJC36" s="100"/>
      <c r="BJD36" s="100"/>
      <c r="BJE36" s="100"/>
      <c r="BJF36" s="100"/>
      <c r="BJG36" s="100"/>
      <c r="BJH36" s="100"/>
      <c r="BJI36" s="100"/>
      <c r="BJJ36" s="100"/>
      <c r="BJK36" s="100"/>
      <c r="BJL36" s="100"/>
      <c r="BJM36" s="100"/>
      <c r="BJN36" s="100"/>
      <c r="BJO36" s="100"/>
      <c r="BJP36" s="100"/>
      <c r="BJQ36" s="100"/>
      <c r="BJR36" s="100"/>
      <c r="BJS36" s="100"/>
      <c r="BJT36" s="100"/>
      <c r="BJU36" s="100"/>
      <c r="BJV36" s="100"/>
      <c r="BJW36" s="100"/>
      <c r="BJX36" s="100"/>
      <c r="BJY36" s="100"/>
      <c r="BJZ36" s="100"/>
      <c r="BKA36" s="100"/>
      <c r="BKB36" s="100"/>
      <c r="BKC36" s="100"/>
      <c r="BKD36" s="100"/>
      <c r="BKE36" s="100"/>
      <c r="BKF36" s="100"/>
      <c r="BKG36" s="100"/>
      <c r="BKH36" s="100"/>
      <c r="BKI36" s="100"/>
      <c r="BKJ36" s="100"/>
      <c r="BKK36" s="100"/>
      <c r="BKL36" s="100"/>
      <c r="BKM36" s="100"/>
      <c r="BKN36" s="100"/>
      <c r="BKO36" s="100"/>
      <c r="BKP36" s="100"/>
      <c r="BKQ36" s="100"/>
      <c r="BKR36" s="100"/>
      <c r="BKS36" s="100"/>
      <c r="BKT36" s="100"/>
      <c r="BKU36" s="100"/>
      <c r="BKV36" s="100"/>
      <c r="BKW36" s="100"/>
      <c r="BKX36" s="100"/>
      <c r="BKY36" s="100"/>
      <c r="BKZ36" s="100"/>
      <c r="BLA36" s="100"/>
      <c r="BLB36" s="100"/>
      <c r="BLC36" s="100"/>
      <c r="BLD36" s="100"/>
      <c r="BLE36" s="100"/>
      <c r="BLF36" s="100"/>
      <c r="BLG36" s="100"/>
      <c r="BLH36" s="100"/>
      <c r="BLI36" s="100"/>
      <c r="BLJ36" s="100"/>
      <c r="BLK36" s="100"/>
      <c r="BLL36" s="100"/>
      <c r="BLM36" s="100"/>
      <c r="BLN36" s="100"/>
      <c r="BLO36" s="100"/>
      <c r="BLP36" s="100"/>
      <c r="BLQ36" s="100"/>
      <c r="BLR36" s="100"/>
      <c r="BLS36" s="100"/>
      <c r="BLT36" s="100"/>
      <c r="BLU36" s="100"/>
      <c r="BLV36" s="100"/>
      <c r="BLW36" s="100"/>
      <c r="BLX36" s="100"/>
      <c r="BLY36" s="100"/>
      <c r="BLZ36" s="100"/>
      <c r="BMA36" s="100"/>
      <c r="BMB36" s="100"/>
      <c r="BMC36" s="100"/>
      <c r="BMD36" s="100"/>
      <c r="BME36" s="100"/>
      <c r="BMF36" s="100"/>
      <c r="BMG36" s="100"/>
      <c r="BMH36" s="100"/>
      <c r="BMI36" s="100"/>
      <c r="BMJ36" s="100"/>
      <c r="BMK36" s="100"/>
      <c r="BML36" s="100"/>
      <c r="BMM36" s="100"/>
      <c r="BMN36" s="100"/>
      <c r="BMO36" s="100"/>
      <c r="BMP36" s="100"/>
      <c r="BMQ36" s="100"/>
      <c r="BMR36" s="100"/>
      <c r="BMS36" s="100"/>
      <c r="BMT36" s="100"/>
      <c r="BMU36" s="100"/>
      <c r="BMV36" s="100"/>
      <c r="BMW36" s="100"/>
      <c r="BMX36" s="100"/>
      <c r="BMY36" s="100"/>
      <c r="BMZ36" s="100"/>
      <c r="BNA36" s="100"/>
      <c r="BNB36" s="100"/>
      <c r="BNC36" s="100"/>
      <c r="BND36" s="100"/>
      <c r="BNE36" s="100"/>
      <c r="BNF36" s="100"/>
      <c r="BNG36" s="100"/>
      <c r="BNH36" s="100"/>
      <c r="BNI36" s="100"/>
      <c r="BNJ36" s="100"/>
      <c r="BNK36" s="100"/>
      <c r="BNL36" s="100"/>
      <c r="BNM36" s="100"/>
      <c r="BNN36" s="100"/>
      <c r="BNO36" s="100"/>
      <c r="BNP36" s="100"/>
      <c r="BNQ36" s="100"/>
      <c r="BNR36" s="100"/>
      <c r="BNS36" s="100"/>
      <c r="BNT36" s="100"/>
      <c r="BNU36" s="100"/>
      <c r="BNV36" s="100"/>
      <c r="BNW36" s="100"/>
      <c r="BNX36" s="100"/>
      <c r="BNY36" s="100"/>
      <c r="BNZ36" s="100"/>
      <c r="BOA36" s="100"/>
      <c r="BOB36" s="100"/>
      <c r="BOC36" s="100"/>
      <c r="BOD36" s="100"/>
      <c r="BOE36" s="100"/>
      <c r="BOF36" s="100"/>
      <c r="BOG36" s="100"/>
      <c r="BOH36" s="100"/>
      <c r="BOI36" s="100"/>
      <c r="BOJ36" s="100"/>
      <c r="BOK36" s="100"/>
      <c r="BOL36" s="100"/>
      <c r="BOM36" s="100"/>
      <c r="BON36" s="100"/>
      <c r="BOO36" s="100"/>
      <c r="BOP36" s="100"/>
      <c r="BOQ36" s="100"/>
      <c r="BOR36" s="100"/>
      <c r="BOS36" s="100"/>
      <c r="BOT36" s="100"/>
      <c r="BOU36" s="100"/>
      <c r="BOV36" s="100"/>
      <c r="BOW36" s="100"/>
      <c r="BOX36" s="100"/>
      <c r="BOY36" s="100"/>
      <c r="BOZ36" s="100"/>
      <c r="BPA36" s="100"/>
      <c r="BPB36" s="100"/>
      <c r="BPC36" s="100"/>
      <c r="BPD36" s="100"/>
      <c r="BPE36" s="100"/>
      <c r="BPF36" s="100"/>
      <c r="BPG36" s="100"/>
      <c r="BPH36" s="100"/>
      <c r="BPI36" s="100"/>
      <c r="BPJ36" s="100"/>
      <c r="BPK36" s="100"/>
      <c r="BPL36" s="100"/>
      <c r="BPM36" s="100"/>
      <c r="BPN36" s="100"/>
      <c r="BPO36" s="100"/>
      <c r="BPP36" s="100"/>
      <c r="BPQ36" s="100"/>
      <c r="BPR36" s="100"/>
      <c r="BPS36" s="100"/>
      <c r="BPT36" s="100"/>
      <c r="BPU36" s="100"/>
      <c r="BPV36" s="100"/>
      <c r="BPW36" s="100"/>
      <c r="BPX36" s="100"/>
      <c r="BPY36" s="100"/>
      <c r="BPZ36" s="100"/>
      <c r="BQA36" s="100"/>
      <c r="BQB36" s="100"/>
      <c r="BQC36" s="100"/>
      <c r="BQD36" s="100"/>
      <c r="BQE36" s="100"/>
      <c r="BQF36" s="100"/>
      <c r="BQG36" s="100"/>
      <c r="BQH36" s="100"/>
      <c r="BQI36" s="100"/>
      <c r="BQJ36" s="100"/>
      <c r="BQK36" s="100"/>
      <c r="BQL36" s="100"/>
      <c r="BQM36" s="100"/>
      <c r="BQN36" s="100"/>
      <c r="BQO36" s="100"/>
      <c r="BQP36" s="100"/>
      <c r="BQQ36" s="100"/>
      <c r="BQR36" s="100"/>
      <c r="BQS36" s="100"/>
      <c r="BQT36" s="100"/>
      <c r="BQU36" s="100"/>
      <c r="BQV36" s="100"/>
      <c r="BQW36" s="100"/>
      <c r="BQX36" s="100"/>
      <c r="BQY36" s="100"/>
      <c r="BQZ36" s="100"/>
      <c r="BRA36" s="100"/>
      <c r="BRB36" s="100"/>
      <c r="BRC36" s="100"/>
      <c r="BRD36" s="100"/>
      <c r="BRE36" s="100"/>
      <c r="BRF36" s="100"/>
      <c r="BRG36" s="100"/>
      <c r="BRH36" s="100"/>
      <c r="BRI36" s="100"/>
      <c r="BRJ36" s="100"/>
      <c r="BRK36" s="100"/>
      <c r="BRL36" s="100"/>
      <c r="BRM36" s="100"/>
      <c r="BRN36" s="100"/>
      <c r="BRO36" s="100"/>
      <c r="BRP36" s="100"/>
      <c r="BRQ36" s="100"/>
      <c r="BRR36" s="100"/>
      <c r="BRS36" s="100"/>
      <c r="BRT36" s="100"/>
      <c r="BRU36" s="100"/>
      <c r="BRV36" s="100"/>
      <c r="BRW36" s="100"/>
      <c r="BRX36" s="100"/>
      <c r="BRY36" s="100"/>
      <c r="BRZ36" s="100"/>
      <c r="BSA36" s="100"/>
      <c r="BSB36" s="100"/>
      <c r="BSC36" s="100"/>
      <c r="BSD36" s="100"/>
      <c r="BSE36" s="100"/>
      <c r="BSF36" s="100"/>
      <c r="BSG36" s="100"/>
      <c r="BSH36" s="100"/>
      <c r="BSI36" s="100"/>
      <c r="BSJ36" s="100"/>
      <c r="BSK36" s="100"/>
      <c r="BSL36" s="100"/>
      <c r="BSM36" s="100"/>
      <c r="BSN36" s="100"/>
      <c r="BSO36" s="100"/>
      <c r="BSP36" s="100"/>
      <c r="BSQ36" s="100"/>
      <c r="BSR36" s="100"/>
      <c r="BSS36" s="100"/>
      <c r="BST36" s="100"/>
      <c r="BSU36" s="100"/>
      <c r="BSV36" s="100"/>
      <c r="BSW36" s="100"/>
      <c r="BSX36" s="100"/>
      <c r="BSY36" s="100"/>
      <c r="BSZ36" s="100"/>
      <c r="BTA36" s="100"/>
      <c r="BTB36" s="100"/>
      <c r="BTC36" s="100"/>
      <c r="BTD36" s="100"/>
      <c r="BTE36" s="100"/>
      <c r="BTF36" s="100"/>
      <c r="BTG36" s="100"/>
      <c r="BTH36" s="100"/>
      <c r="BTI36" s="100"/>
      <c r="BTJ36" s="100"/>
      <c r="BTK36" s="100"/>
      <c r="BTL36" s="100"/>
      <c r="BTM36" s="100"/>
      <c r="BTN36" s="100"/>
      <c r="BTO36" s="100"/>
      <c r="BTP36" s="100"/>
      <c r="BTQ36" s="100"/>
      <c r="BTR36" s="100"/>
      <c r="BTS36" s="100"/>
      <c r="BTT36" s="100"/>
      <c r="BTU36" s="100"/>
      <c r="BTV36" s="100"/>
      <c r="BTW36" s="100"/>
      <c r="BTX36" s="100"/>
      <c r="BTY36" s="100"/>
      <c r="BTZ36" s="100"/>
      <c r="BUA36" s="100"/>
      <c r="BUB36" s="100"/>
      <c r="BUC36" s="100"/>
      <c r="BUD36" s="100"/>
      <c r="BUE36" s="100"/>
      <c r="BUF36" s="100"/>
      <c r="BUG36" s="100"/>
      <c r="BUH36" s="100"/>
      <c r="BUI36" s="100"/>
      <c r="BUJ36" s="100"/>
      <c r="BUK36" s="100"/>
      <c r="BUL36" s="100"/>
      <c r="BUM36" s="100"/>
      <c r="BUN36" s="100"/>
      <c r="BUO36" s="100"/>
      <c r="BUP36" s="100"/>
      <c r="BUQ36" s="100"/>
      <c r="BUR36" s="100"/>
      <c r="BUS36" s="100"/>
      <c r="BUT36" s="100"/>
      <c r="BUU36" s="100"/>
      <c r="BUV36" s="100"/>
      <c r="BUW36" s="100"/>
      <c r="BUX36" s="100"/>
      <c r="BUY36" s="100"/>
      <c r="BUZ36" s="100"/>
      <c r="BVA36" s="100"/>
      <c r="BVB36" s="100"/>
      <c r="BVC36" s="100"/>
      <c r="BVD36" s="100"/>
      <c r="BVE36" s="100"/>
      <c r="BVF36" s="100"/>
      <c r="BVG36" s="100"/>
      <c r="BVH36" s="100"/>
      <c r="BVI36" s="100"/>
      <c r="BVJ36" s="100"/>
      <c r="BVK36" s="100"/>
      <c r="BVL36" s="100"/>
      <c r="BVM36" s="100"/>
      <c r="BVN36" s="100"/>
      <c r="BVO36" s="100"/>
      <c r="BVP36" s="100"/>
      <c r="BVQ36" s="100"/>
      <c r="BVR36" s="100"/>
      <c r="BVS36" s="100"/>
      <c r="BVT36" s="100"/>
      <c r="BVU36" s="100"/>
      <c r="BVV36" s="100"/>
      <c r="BVW36" s="100"/>
      <c r="BVX36" s="100"/>
      <c r="BVY36" s="100"/>
      <c r="BVZ36" s="100"/>
      <c r="BWA36" s="100"/>
      <c r="BWB36" s="100"/>
      <c r="BWC36" s="100"/>
      <c r="BWD36" s="100"/>
      <c r="BWE36" s="100"/>
      <c r="BWF36" s="100"/>
      <c r="BWG36" s="100"/>
      <c r="BWH36" s="100"/>
      <c r="BWI36" s="100"/>
      <c r="BWJ36" s="100"/>
      <c r="BWK36" s="100"/>
      <c r="BWL36" s="100"/>
      <c r="BWM36" s="100"/>
      <c r="BWN36" s="100"/>
      <c r="BWO36" s="100"/>
      <c r="BWP36" s="100"/>
      <c r="BWQ36" s="100"/>
      <c r="BWR36" s="100"/>
      <c r="BWS36" s="100"/>
      <c r="BWT36" s="100"/>
      <c r="BWU36" s="100"/>
      <c r="BWV36" s="100"/>
      <c r="BWW36" s="100"/>
      <c r="BWX36" s="100"/>
      <c r="BWY36" s="100"/>
      <c r="BWZ36" s="100"/>
      <c r="BXA36" s="100"/>
      <c r="BXB36" s="100"/>
      <c r="BXC36" s="100"/>
      <c r="BXD36" s="100"/>
      <c r="BXE36" s="100"/>
      <c r="BXF36" s="100"/>
      <c r="BXG36" s="100"/>
      <c r="BXH36" s="100"/>
      <c r="BXI36" s="100"/>
      <c r="BXJ36" s="100"/>
      <c r="BXK36" s="100"/>
      <c r="BXL36" s="100"/>
      <c r="BXM36" s="100"/>
      <c r="BXN36" s="100"/>
      <c r="BXO36" s="100"/>
      <c r="BXP36" s="100"/>
      <c r="BXQ36" s="100"/>
      <c r="BXR36" s="100"/>
      <c r="BXS36" s="100"/>
      <c r="BXT36" s="100"/>
      <c r="BXU36" s="100"/>
      <c r="BXV36" s="100"/>
      <c r="BXW36" s="100"/>
      <c r="BXX36" s="100"/>
      <c r="BXY36" s="100"/>
      <c r="BXZ36" s="100"/>
      <c r="BYA36" s="100"/>
      <c r="BYB36" s="100"/>
      <c r="BYC36" s="100"/>
      <c r="BYD36" s="100"/>
      <c r="BYE36" s="100"/>
      <c r="BYF36" s="100"/>
      <c r="BYG36" s="100"/>
    </row>
    <row r="37" spans="1:2009" s="116" customFormat="1" ht="24.95" customHeight="1" x14ac:dyDescent="0.25">
      <c r="A37" s="144" t="s">
        <v>63</v>
      </c>
      <c r="B37" s="145"/>
      <c r="C37" s="199"/>
      <c r="D37" s="199"/>
      <c r="E37" s="200"/>
      <c r="F37" s="200"/>
      <c r="G37" s="201"/>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6"/>
      <c r="B38" s="117" t="s">
        <v>200</v>
      </c>
      <c r="C38" s="202">
        <v>3000</v>
      </c>
      <c r="D38" s="202"/>
      <c r="E38" s="203"/>
      <c r="F38" s="203"/>
      <c r="G38" s="204">
        <f>ROUND(SUM(C38:F38),5)</f>
        <v>3000</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hidden="1" customHeight="1" x14ac:dyDescent="0.25">
      <c r="A39" s="146"/>
      <c r="B39" s="117" t="s">
        <v>219</v>
      </c>
      <c r="C39" s="202"/>
      <c r="D39" s="202"/>
      <c r="E39" s="203"/>
      <c r="F39" s="203"/>
      <c r="G39" s="204">
        <f>SUM(C39:F39)</f>
        <v>0</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28" t="s">
        <v>64</v>
      </c>
      <c r="C40" s="202">
        <f>1312.52+15064.59</f>
        <v>16377.11</v>
      </c>
      <c r="D40" s="202">
        <v>12231.9</v>
      </c>
      <c r="E40" s="203">
        <v>3550.64</v>
      </c>
      <c r="F40" s="203"/>
      <c r="G40" s="204">
        <f>ROUND(SUM(C40:F40),5)</f>
        <v>32159.65</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247" customFormat="1" ht="24.95" customHeight="1" thickBot="1" x14ac:dyDescent="0.3">
      <c r="A41" s="242"/>
      <c r="B41" s="243" t="s">
        <v>65</v>
      </c>
      <c r="C41" s="244">
        <f>SUM(C38:C40)</f>
        <v>19377.11</v>
      </c>
      <c r="D41" s="244">
        <f>SUM(D38:D40)</f>
        <v>12231.9</v>
      </c>
      <c r="E41" s="244">
        <f>SUM(E38:E40)</f>
        <v>3550.64</v>
      </c>
      <c r="F41" s="245"/>
      <c r="G41" s="246">
        <f t="shared" ref="G41" si="1">SUM(G38:G40)</f>
        <v>35159.65</v>
      </c>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226"/>
      <c r="MK41" s="226"/>
      <c r="ML41" s="226"/>
      <c r="MM41" s="226"/>
      <c r="MN41" s="226"/>
      <c r="MO41" s="226"/>
      <c r="MP41" s="226"/>
      <c r="MQ41" s="226"/>
      <c r="MR41" s="226"/>
      <c r="MS41" s="226"/>
      <c r="MT41" s="226"/>
      <c r="MU41" s="226"/>
      <c r="MV41" s="226"/>
      <c r="MW41" s="226"/>
      <c r="MX41" s="226"/>
      <c r="MY41" s="226"/>
      <c r="MZ41" s="226"/>
      <c r="NA41" s="226"/>
      <c r="NB41" s="226"/>
      <c r="NC41" s="226"/>
      <c r="ND41" s="226"/>
      <c r="NE41" s="226"/>
      <c r="NF41" s="226"/>
      <c r="NG41" s="226"/>
      <c r="NH41" s="226"/>
      <c r="NI41" s="226"/>
      <c r="NJ41" s="226"/>
      <c r="NK41" s="226"/>
      <c r="NL41" s="226"/>
      <c r="NM41" s="226"/>
      <c r="NN41" s="226"/>
      <c r="NO41" s="226"/>
      <c r="NP41" s="226"/>
      <c r="NQ41" s="226"/>
      <c r="NR41" s="226"/>
      <c r="NS41" s="226"/>
      <c r="NT41" s="226"/>
      <c r="NU41" s="226"/>
      <c r="NV41" s="226"/>
      <c r="NW41" s="226"/>
      <c r="NX41" s="226"/>
      <c r="NY41" s="226"/>
      <c r="NZ41" s="226"/>
      <c r="OA41" s="226"/>
      <c r="OB41" s="226"/>
      <c r="OC41" s="226"/>
      <c r="OD41" s="226"/>
      <c r="OE41" s="226"/>
      <c r="OF41" s="226"/>
      <c r="OG41" s="226"/>
      <c r="OH41" s="226"/>
      <c r="OI41" s="226"/>
      <c r="OJ41" s="226"/>
      <c r="OK41" s="226"/>
      <c r="OL41" s="226"/>
      <c r="OM41" s="226"/>
      <c r="ON41" s="226"/>
      <c r="OO41" s="226"/>
      <c r="OP41" s="226"/>
      <c r="OQ41" s="226"/>
      <c r="OR41" s="226"/>
      <c r="OS41" s="226"/>
      <c r="OT41" s="226"/>
      <c r="OU41" s="226"/>
      <c r="OV41" s="226"/>
      <c r="OW41" s="226"/>
      <c r="OX41" s="226"/>
      <c r="OY41" s="226"/>
      <c r="OZ41" s="226"/>
      <c r="PA41" s="226"/>
      <c r="PB41" s="226"/>
      <c r="PC41" s="226"/>
      <c r="PD41" s="226"/>
      <c r="PE41" s="226"/>
      <c r="PF41" s="226"/>
      <c r="PG41" s="226"/>
      <c r="PH41" s="226"/>
      <c r="PI41" s="226"/>
      <c r="PJ41" s="226"/>
      <c r="PK41" s="226"/>
      <c r="PL41" s="226"/>
      <c r="PM41" s="226"/>
      <c r="PN41" s="226"/>
      <c r="PO41" s="226"/>
      <c r="PP41" s="226"/>
      <c r="PQ41" s="226"/>
      <c r="PR41" s="226"/>
      <c r="PS41" s="226"/>
      <c r="PT41" s="226"/>
      <c r="PU41" s="226"/>
      <c r="PV41" s="226"/>
      <c r="PW41" s="226"/>
      <c r="PX41" s="226"/>
      <c r="PY41" s="226"/>
      <c r="PZ41" s="226"/>
      <c r="QA41" s="226"/>
      <c r="QB41" s="226"/>
      <c r="QC41" s="226"/>
      <c r="QD41" s="226"/>
      <c r="QE41" s="226"/>
      <c r="QF41" s="226"/>
      <c r="QG41" s="226"/>
      <c r="QH41" s="226"/>
      <c r="QI41" s="226"/>
      <c r="QJ41" s="226"/>
      <c r="QK41" s="226"/>
      <c r="QL41" s="226"/>
      <c r="QM41" s="226"/>
      <c r="QN41" s="226"/>
      <c r="QO41" s="226"/>
      <c r="QP41" s="226"/>
      <c r="QQ41" s="226"/>
      <c r="QR41" s="226"/>
      <c r="QS41" s="226"/>
      <c r="QT41" s="226"/>
      <c r="QU41" s="226"/>
      <c r="QV41" s="226"/>
      <c r="QW41" s="226"/>
      <c r="QX41" s="226"/>
      <c r="QY41" s="226"/>
      <c r="QZ41" s="226"/>
      <c r="RA41" s="226"/>
      <c r="RB41" s="226"/>
      <c r="RC41" s="226"/>
      <c r="RD41" s="226"/>
      <c r="RE41" s="226"/>
      <c r="RF41" s="226"/>
      <c r="RG41" s="226"/>
      <c r="RH41" s="226"/>
      <c r="RI41" s="226"/>
      <c r="RJ41" s="226"/>
      <c r="RK41" s="226"/>
      <c r="RL41" s="226"/>
      <c r="RM41" s="226"/>
      <c r="RN41" s="226"/>
      <c r="RO41" s="226"/>
      <c r="RP41" s="226"/>
      <c r="RQ41" s="226"/>
      <c r="RR41" s="226"/>
      <c r="RS41" s="226"/>
      <c r="RT41" s="226"/>
      <c r="RU41" s="226"/>
      <c r="RV41" s="226"/>
      <c r="RW41" s="226"/>
      <c r="RX41" s="226"/>
      <c r="RY41" s="226"/>
      <c r="RZ41" s="226"/>
      <c r="SA41" s="226"/>
      <c r="SB41" s="226"/>
      <c r="SC41" s="226"/>
      <c r="SD41" s="226"/>
      <c r="SE41" s="226"/>
      <c r="SF41" s="226"/>
      <c r="SG41" s="226"/>
      <c r="SH41" s="226"/>
      <c r="SI41" s="226"/>
      <c r="SJ41" s="226"/>
      <c r="SK41" s="226"/>
      <c r="SL41" s="226"/>
      <c r="SM41" s="226"/>
      <c r="SN41" s="226"/>
      <c r="SO41" s="226"/>
      <c r="SP41" s="226"/>
      <c r="SQ41" s="226"/>
      <c r="SR41" s="226"/>
      <c r="SS41" s="226"/>
      <c r="ST41" s="226"/>
      <c r="SU41" s="226"/>
      <c r="SV41" s="226"/>
      <c r="SW41" s="226"/>
      <c r="SX41" s="226"/>
      <c r="SY41" s="226"/>
      <c r="SZ41" s="226"/>
      <c r="TA41" s="226"/>
      <c r="TB41" s="226"/>
      <c r="TC41" s="226"/>
      <c r="TD41" s="226"/>
      <c r="TE41" s="226"/>
      <c r="TF41" s="226"/>
      <c r="TG41" s="226"/>
      <c r="TH41" s="226"/>
      <c r="TI41" s="226"/>
      <c r="TJ41" s="226"/>
      <c r="TK41" s="226"/>
      <c r="TL41" s="226"/>
      <c r="TM41" s="226"/>
      <c r="TN41" s="226"/>
      <c r="TO41" s="226"/>
      <c r="TP41" s="226"/>
      <c r="TQ41" s="226"/>
      <c r="TR41" s="226"/>
      <c r="TS41" s="226"/>
      <c r="TT41" s="226"/>
      <c r="TU41" s="226"/>
      <c r="TV41" s="226"/>
      <c r="TW41" s="226"/>
      <c r="TX41" s="226"/>
      <c r="TY41" s="226"/>
      <c r="TZ41" s="226"/>
      <c r="UA41" s="226"/>
      <c r="UB41" s="226"/>
      <c r="UC41" s="226"/>
      <c r="UD41" s="226"/>
      <c r="UE41" s="226"/>
      <c r="UF41" s="226"/>
      <c r="UG41" s="226"/>
      <c r="UH41" s="226"/>
      <c r="UI41" s="226"/>
      <c r="UJ41" s="226"/>
      <c r="UK41" s="226"/>
      <c r="UL41" s="226"/>
      <c r="UM41" s="226"/>
      <c r="UN41" s="226"/>
      <c r="UO41" s="226"/>
      <c r="UP41" s="226"/>
      <c r="UQ41" s="226"/>
      <c r="UR41" s="226"/>
      <c r="US41" s="226"/>
      <c r="UT41" s="226"/>
      <c r="UU41" s="226"/>
      <c r="UV41" s="226"/>
      <c r="UW41" s="226"/>
      <c r="UX41" s="226"/>
      <c r="UY41" s="226"/>
      <c r="UZ41" s="226"/>
      <c r="VA41" s="226"/>
      <c r="VB41" s="226"/>
      <c r="VC41" s="226"/>
      <c r="VD41" s="226"/>
      <c r="VE41" s="226"/>
      <c r="VF41" s="226"/>
      <c r="VG41" s="226"/>
      <c r="VH41" s="226"/>
      <c r="VI41" s="226"/>
      <c r="VJ41" s="226"/>
      <c r="VK41" s="226"/>
      <c r="VL41" s="226"/>
      <c r="VM41" s="226"/>
      <c r="VN41" s="226"/>
      <c r="VO41" s="226"/>
      <c r="VP41" s="226"/>
      <c r="VQ41" s="226"/>
      <c r="VR41" s="226"/>
      <c r="VS41" s="226"/>
      <c r="VT41" s="226"/>
      <c r="VU41" s="226"/>
      <c r="VV41" s="226"/>
      <c r="VW41" s="226"/>
      <c r="VX41" s="226"/>
      <c r="VY41" s="226"/>
      <c r="VZ41" s="226"/>
      <c r="WA41" s="226"/>
      <c r="WB41" s="226"/>
      <c r="WC41" s="226"/>
      <c r="WD41" s="226"/>
      <c r="WE41" s="226"/>
      <c r="WF41" s="226"/>
      <c r="WG41" s="226"/>
      <c r="WH41" s="226"/>
      <c r="WI41" s="226"/>
      <c r="WJ41" s="226"/>
      <c r="WK41" s="226"/>
      <c r="WL41" s="226"/>
      <c r="WM41" s="226"/>
      <c r="WN41" s="226"/>
      <c r="WO41" s="226"/>
      <c r="WP41" s="226"/>
      <c r="WQ41" s="226"/>
      <c r="WR41" s="226"/>
      <c r="WS41" s="226"/>
      <c r="WT41" s="226"/>
      <c r="WU41" s="226"/>
      <c r="WV41" s="226"/>
      <c r="WW41" s="226"/>
      <c r="WX41" s="226"/>
      <c r="WY41" s="226"/>
      <c r="WZ41" s="226"/>
      <c r="XA41" s="226"/>
      <c r="XB41" s="226"/>
      <c r="XC41" s="226"/>
      <c r="XD41" s="226"/>
      <c r="XE41" s="226"/>
      <c r="XF41" s="226"/>
      <c r="XG41" s="226"/>
      <c r="XH41" s="226"/>
      <c r="XI41" s="226"/>
      <c r="XJ41" s="226"/>
      <c r="XK41" s="226"/>
      <c r="XL41" s="226"/>
      <c r="XM41" s="226"/>
      <c r="XN41" s="226"/>
      <c r="XO41" s="226"/>
      <c r="XP41" s="226"/>
      <c r="XQ41" s="226"/>
      <c r="XR41" s="226"/>
      <c r="XS41" s="226"/>
      <c r="XT41" s="226"/>
      <c r="XU41" s="226"/>
      <c r="XV41" s="226"/>
      <c r="XW41" s="226"/>
      <c r="XX41" s="226"/>
      <c r="XY41" s="226"/>
      <c r="XZ41" s="226"/>
      <c r="YA41" s="226"/>
      <c r="YB41" s="226"/>
      <c r="YC41" s="226"/>
      <c r="YD41" s="226"/>
      <c r="YE41" s="226"/>
      <c r="YF41" s="226"/>
      <c r="YG41" s="226"/>
      <c r="YH41" s="226"/>
      <c r="YI41" s="226"/>
      <c r="YJ41" s="226"/>
      <c r="YK41" s="226"/>
      <c r="YL41" s="226"/>
      <c r="YM41" s="226"/>
      <c r="YN41" s="226"/>
      <c r="YO41" s="226"/>
      <c r="YP41" s="226"/>
      <c r="YQ41" s="226"/>
      <c r="YR41" s="226"/>
      <c r="YS41" s="226"/>
      <c r="YT41" s="226"/>
      <c r="YU41" s="226"/>
      <c r="YV41" s="226"/>
      <c r="YW41" s="226"/>
      <c r="YX41" s="226"/>
      <c r="YY41" s="226"/>
      <c r="YZ41" s="226"/>
      <c r="ZA41" s="226"/>
      <c r="ZB41" s="226"/>
      <c r="ZC41" s="226"/>
      <c r="ZD41" s="226"/>
      <c r="ZE41" s="226"/>
      <c r="ZF41" s="226"/>
      <c r="ZG41" s="226"/>
      <c r="ZH41" s="226"/>
      <c r="ZI41" s="226"/>
      <c r="ZJ41" s="226"/>
      <c r="ZK41" s="226"/>
      <c r="ZL41" s="226"/>
      <c r="ZM41" s="226"/>
      <c r="ZN41" s="226"/>
      <c r="ZO41" s="226"/>
      <c r="ZP41" s="226"/>
      <c r="ZQ41" s="226"/>
      <c r="ZR41" s="226"/>
      <c r="ZS41" s="226"/>
      <c r="ZT41" s="226"/>
      <c r="ZU41" s="226"/>
      <c r="ZV41" s="226"/>
      <c r="ZW41" s="226"/>
      <c r="ZX41" s="226"/>
      <c r="ZY41" s="226"/>
      <c r="ZZ41" s="226"/>
      <c r="AAA41" s="226"/>
      <c r="AAB41" s="226"/>
      <c r="AAC41" s="226"/>
      <c r="AAD41" s="226"/>
      <c r="AAE41" s="226"/>
      <c r="AAF41" s="226"/>
      <c r="AAG41" s="226"/>
      <c r="AAH41" s="226"/>
      <c r="AAI41" s="226"/>
      <c r="AAJ41" s="226"/>
      <c r="AAK41" s="226"/>
      <c r="AAL41" s="226"/>
      <c r="AAM41" s="226"/>
      <c r="AAN41" s="226"/>
      <c r="AAO41" s="226"/>
      <c r="AAP41" s="226"/>
      <c r="AAQ41" s="226"/>
      <c r="AAR41" s="226"/>
      <c r="AAS41" s="226"/>
      <c r="AAT41" s="226"/>
      <c r="AAU41" s="226"/>
      <c r="AAV41" s="226"/>
      <c r="AAW41" s="226"/>
      <c r="AAX41" s="226"/>
      <c r="AAY41" s="226"/>
      <c r="AAZ41" s="226"/>
      <c r="ABA41" s="226"/>
      <c r="ABB41" s="226"/>
      <c r="ABC41" s="226"/>
      <c r="ABD41" s="226"/>
      <c r="ABE41" s="226"/>
      <c r="ABF41" s="226"/>
      <c r="ABG41" s="226"/>
      <c r="ABH41" s="226"/>
      <c r="ABI41" s="226"/>
      <c r="ABJ41" s="226"/>
      <c r="ABK41" s="226"/>
      <c r="ABL41" s="226"/>
      <c r="ABM41" s="226"/>
      <c r="ABN41" s="226"/>
      <c r="ABO41" s="226"/>
      <c r="ABP41" s="226"/>
      <c r="ABQ41" s="226"/>
      <c r="ABR41" s="226"/>
      <c r="ABS41" s="226"/>
      <c r="ABT41" s="226"/>
      <c r="ABU41" s="226"/>
      <c r="ABV41" s="226"/>
      <c r="ABW41" s="226"/>
      <c r="ABX41" s="226"/>
      <c r="ABY41" s="226"/>
      <c r="ABZ41" s="226"/>
      <c r="ACA41" s="226"/>
      <c r="ACB41" s="226"/>
      <c r="ACC41" s="226"/>
      <c r="ACD41" s="226"/>
      <c r="ACE41" s="226"/>
      <c r="ACF41" s="226"/>
      <c r="ACG41" s="226"/>
      <c r="ACH41" s="226"/>
      <c r="ACI41" s="226"/>
      <c r="ACJ41" s="226"/>
      <c r="ACK41" s="226"/>
      <c r="ACL41" s="226"/>
      <c r="ACM41" s="226"/>
      <c r="ACN41" s="226"/>
      <c r="ACO41" s="226"/>
      <c r="ACP41" s="226"/>
      <c r="ACQ41" s="226"/>
      <c r="ACR41" s="226"/>
      <c r="ACS41" s="226"/>
      <c r="ACT41" s="226"/>
      <c r="ACU41" s="226"/>
      <c r="ACV41" s="226"/>
      <c r="ACW41" s="226"/>
      <c r="ACX41" s="226"/>
      <c r="ACY41" s="226"/>
      <c r="ACZ41" s="226"/>
      <c r="ADA41" s="226"/>
      <c r="ADB41" s="226"/>
      <c r="ADC41" s="226"/>
      <c r="ADD41" s="226"/>
      <c r="ADE41" s="226"/>
      <c r="ADF41" s="226"/>
      <c r="ADG41" s="226"/>
      <c r="ADH41" s="226"/>
      <c r="ADI41" s="226"/>
      <c r="ADJ41" s="226"/>
      <c r="ADK41" s="226"/>
      <c r="ADL41" s="226"/>
      <c r="ADM41" s="226"/>
      <c r="ADN41" s="226"/>
      <c r="ADO41" s="226"/>
      <c r="ADP41" s="226"/>
      <c r="ADQ41" s="226"/>
      <c r="ADR41" s="226"/>
      <c r="ADS41" s="226"/>
      <c r="ADT41" s="226"/>
      <c r="ADU41" s="226"/>
      <c r="ADV41" s="226"/>
      <c r="ADW41" s="226"/>
      <c r="ADX41" s="226"/>
      <c r="ADY41" s="226"/>
      <c r="ADZ41" s="226"/>
      <c r="AEA41" s="226"/>
      <c r="AEB41" s="226"/>
      <c r="AEC41" s="226"/>
      <c r="AED41" s="226"/>
      <c r="AEE41" s="226"/>
      <c r="AEF41" s="226"/>
      <c r="AEG41" s="226"/>
      <c r="AEH41" s="226"/>
      <c r="AEI41" s="226"/>
      <c r="AEJ41" s="226"/>
      <c r="AEK41" s="226"/>
      <c r="AEL41" s="226"/>
      <c r="AEM41" s="226"/>
      <c r="AEN41" s="226"/>
      <c r="AEO41" s="226"/>
      <c r="AEP41" s="226"/>
      <c r="AEQ41" s="226"/>
      <c r="AER41" s="226"/>
      <c r="AES41" s="226"/>
      <c r="AET41" s="226"/>
      <c r="AEU41" s="226"/>
      <c r="AEV41" s="226"/>
      <c r="AEW41" s="226"/>
      <c r="AEX41" s="226"/>
      <c r="AEY41" s="226"/>
      <c r="AEZ41" s="226"/>
      <c r="AFA41" s="226"/>
      <c r="AFB41" s="226"/>
      <c r="AFC41" s="226"/>
      <c r="AFD41" s="226"/>
      <c r="AFE41" s="226"/>
      <c r="AFF41" s="226"/>
      <c r="AFG41" s="226"/>
      <c r="AFH41" s="226"/>
      <c r="AFI41" s="226"/>
      <c r="AFJ41" s="226"/>
      <c r="AFK41" s="226"/>
      <c r="AFL41" s="226"/>
      <c r="AFM41" s="226"/>
      <c r="AFN41" s="226"/>
      <c r="AFO41" s="226"/>
      <c r="AFP41" s="226"/>
      <c r="AFQ41" s="226"/>
      <c r="AFR41" s="226"/>
      <c r="AFS41" s="226"/>
      <c r="AFT41" s="226"/>
      <c r="AFU41" s="226"/>
      <c r="AFV41" s="226"/>
      <c r="AFW41" s="226"/>
      <c r="AFX41" s="226"/>
      <c r="AFY41" s="226"/>
      <c r="AFZ41" s="226"/>
      <c r="AGA41" s="226"/>
      <c r="AGB41" s="226"/>
      <c r="AGC41" s="226"/>
      <c r="AGD41" s="226"/>
      <c r="AGE41" s="226"/>
      <c r="AGF41" s="226"/>
      <c r="AGG41" s="226"/>
      <c r="AGH41" s="226"/>
      <c r="AGI41" s="226"/>
      <c r="AGJ41" s="226"/>
      <c r="AGK41" s="226"/>
      <c r="AGL41" s="226"/>
      <c r="AGM41" s="226"/>
      <c r="AGN41" s="226"/>
      <c r="AGO41" s="226"/>
      <c r="AGP41" s="226"/>
      <c r="AGQ41" s="226"/>
      <c r="AGR41" s="226"/>
      <c r="AGS41" s="226"/>
      <c r="AGT41" s="226"/>
      <c r="AGU41" s="226"/>
      <c r="AGV41" s="226"/>
      <c r="AGW41" s="226"/>
      <c r="AGX41" s="226"/>
      <c r="AGY41" s="226"/>
      <c r="AGZ41" s="226"/>
      <c r="AHA41" s="226"/>
      <c r="AHB41" s="226"/>
      <c r="AHC41" s="226"/>
      <c r="AHD41" s="226"/>
      <c r="AHE41" s="226"/>
      <c r="AHF41" s="226"/>
      <c r="AHG41" s="226"/>
      <c r="AHH41" s="226"/>
      <c r="AHI41" s="226"/>
      <c r="AHJ41" s="226"/>
      <c r="AHK41" s="226"/>
      <c r="AHL41" s="226"/>
      <c r="AHM41" s="226"/>
      <c r="AHN41" s="226"/>
      <c r="AHO41" s="226"/>
      <c r="AHP41" s="226"/>
      <c r="AHQ41" s="226"/>
      <c r="AHR41" s="226"/>
      <c r="AHS41" s="226"/>
      <c r="AHT41" s="226"/>
      <c r="AHU41" s="226"/>
      <c r="AHV41" s="226"/>
      <c r="AHW41" s="226"/>
      <c r="AHX41" s="226"/>
      <c r="AHY41" s="226"/>
      <c r="AHZ41" s="226"/>
      <c r="AIA41" s="226"/>
      <c r="AIB41" s="226"/>
      <c r="AIC41" s="226"/>
      <c r="AID41" s="226"/>
      <c r="AIE41" s="226"/>
      <c r="AIF41" s="226"/>
      <c r="AIG41" s="226"/>
      <c r="AIH41" s="226"/>
      <c r="AII41" s="226"/>
      <c r="AIJ41" s="226"/>
      <c r="AIK41" s="226"/>
      <c r="AIL41" s="226"/>
      <c r="AIM41" s="226"/>
      <c r="AIN41" s="226"/>
      <c r="AIO41" s="226"/>
      <c r="AIP41" s="226"/>
      <c r="AIQ41" s="226"/>
      <c r="AIR41" s="226"/>
      <c r="AIS41" s="226"/>
      <c r="AIT41" s="226"/>
      <c r="AIU41" s="226"/>
      <c r="AIV41" s="226"/>
      <c r="AIW41" s="226"/>
      <c r="AIX41" s="226"/>
      <c r="AIY41" s="226"/>
      <c r="AIZ41" s="226"/>
      <c r="AJA41" s="226"/>
      <c r="AJB41" s="226"/>
      <c r="AJC41" s="226"/>
      <c r="AJD41" s="226"/>
      <c r="AJE41" s="226"/>
      <c r="AJF41" s="226"/>
      <c r="AJG41" s="226"/>
      <c r="AJH41" s="226"/>
      <c r="AJI41" s="226"/>
      <c r="AJJ41" s="226"/>
      <c r="AJK41" s="226"/>
      <c r="AJL41" s="226"/>
      <c r="AJM41" s="226"/>
      <c r="AJN41" s="226"/>
      <c r="AJO41" s="226"/>
      <c r="AJP41" s="226"/>
      <c r="AJQ41" s="226"/>
      <c r="AJR41" s="226"/>
      <c r="AJS41" s="226"/>
      <c r="AJT41" s="226"/>
      <c r="AJU41" s="226"/>
      <c r="AJV41" s="226"/>
      <c r="AJW41" s="226"/>
      <c r="AJX41" s="226"/>
      <c r="AJY41" s="226"/>
      <c r="AJZ41" s="226"/>
      <c r="AKA41" s="226"/>
      <c r="AKB41" s="226"/>
      <c r="AKC41" s="226"/>
      <c r="AKD41" s="226"/>
      <c r="AKE41" s="226"/>
      <c r="AKF41" s="226"/>
      <c r="AKG41" s="226"/>
      <c r="AKH41" s="226"/>
      <c r="AKI41" s="226"/>
      <c r="AKJ41" s="226"/>
      <c r="AKK41" s="226"/>
      <c r="AKL41" s="226"/>
      <c r="AKM41" s="226"/>
      <c r="AKN41" s="226"/>
      <c r="AKO41" s="226"/>
      <c r="AKP41" s="226"/>
      <c r="AKQ41" s="226"/>
      <c r="AKR41" s="226"/>
      <c r="AKS41" s="226"/>
      <c r="AKT41" s="226"/>
      <c r="AKU41" s="226"/>
      <c r="AKV41" s="226"/>
      <c r="AKW41" s="226"/>
      <c r="AKX41" s="226"/>
      <c r="AKY41" s="226"/>
      <c r="AKZ41" s="226"/>
      <c r="ALA41" s="226"/>
      <c r="ALB41" s="226"/>
      <c r="ALC41" s="226"/>
      <c r="ALD41" s="226"/>
      <c r="ALE41" s="226"/>
      <c r="ALF41" s="226"/>
      <c r="ALG41" s="226"/>
      <c r="ALH41" s="226"/>
      <c r="ALI41" s="226"/>
      <c r="ALJ41" s="226"/>
      <c r="ALK41" s="226"/>
      <c r="ALL41" s="226"/>
      <c r="ALM41" s="226"/>
      <c r="ALN41" s="226"/>
      <c r="ALO41" s="226"/>
      <c r="ALP41" s="226"/>
      <c r="ALQ41" s="226"/>
      <c r="ALR41" s="226"/>
      <c r="ALS41" s="226"/>
      <c r="ALT41" s="226"/>
      <c r="ALU41" s="226"/>
      <c r="ALV41" s="226"/>
      <c r="ALW41" s="226"/>
      <c r="ALX41" s="226"/>
      <c r="ALY41" s="226"/>
      <c r="ALZ41" s="226"/>
      <c r="AMA41" s="226"/>
      <c r="AMB41" s="226"/>
      <c r="AMC41" s="226"/>
      <c r="AMD41" s="226"/>
      <c r="AME41" s="226"/>
      <c r="AMF41" s="226"/>
      <c r="AMG41" s="226"/>
      <c r="AMH41" s="226"/>
      <c r="AMI41" s="226"/>
      <c r="AMJ41" s="226"/>
      <c r="AMK41" s="226"/>
      <c r="AML41" s="226"/>
      <c r="AMM41" s="226"/>
      <c r="AMN41" s="226"/>
      <c r="AMO41" s="226"/>
      <c r="AMP41" s="226"/>
      <c r="AMQ41" s="226"/>
      <c r="AMR41" s="226"/>
      <c r="AMS41" s="226"/>
      <c r="AMT41" s="226"/>
      <c r="AMU41" s="226"/>
      <c r="AMV41" s="226"/>
      <c r="AMW41" s="226"/>
      <c r="AMX41" s="226"/>
      <c r="AMY41" s="226"/>
      <c r="AMZ41" s="226"/>
      <c r="ANA41" s="226"/>
      <c r="ANB41" s="226"/>
      <c r="ANC41" s="226"/>
      <c r="AND41" s="226"/>
      <c r="ANE41" s="226"/>
      <c r="ANF41" s="226"/>
      <c r="ANG41" s="226"/>
      <c r="ANH41" s="226"/>
      <c r="ANI41" s="226"/>
      <c r="ANJ41" s="226"/>
      <c r="ANK41" s="226"/>
      <c r="ANL41" s="226"/>
      <c r="ANM41" s="226"/>
      <c r="ANN41" s="226"/>
      <c r="ANO41" s="226"/>
      <c r="ANP41" s="226"/>
      <c r="ANQ41" s="226"/>
      <c r="ANR41" s="226"/>
      <c r="ANS41" s="226"/>
      <c r="ANT41" s="226"/>
      <c r="ANU41" s="226"/>
      <c r="ANV41" s="226"/>
      <c r="ANW41" s="226"/>
      <c r="ANX41" s="226"/>
      <c r="ANY41" s="226"/>
      <c r="ANZ41" s="226"/>
      <c r="AOA41" s="226"/>
      <c r="AOB41" s="226"/>
      <c r="AOC41" s="226"/>
      <c r="AOD41" s="226"/>
      <c r="AOE41" s="226"/>
      <c r="AOF41" s="226"/>
      <c r="AOG41" s="226"/>
      <c r="AOH41" s="226"/>
      <c r="AOI41" s="226"/>
      <c r="AOJ41" s="226"/>
      <c r="AOK41" s="226"/>
      <c r="AOL41" s="226"/>
      <c r="AOM41" s="226"/>
      <c r="AON41" s="226"/>
      <c r="AOO41" s="226"/>
      <c r="AOP41" s="226"/>
      <c r="AOQ41" s="226"/>
      <c r="AOR41" s="226"/>
      <c r="AOS41" s="226"/>
      <c r="AOT41" s="226"/>
      <c r="AOU41" s="226"/>
      <c r="AOV41" s="226"/>
      <c r="AOW41" s="226"/>
      <c r="AOX41" s="226"/>
      <c r="AOY41" s="226"/>
      <c r="AOZ41" s="226"/>
      <c r="APA41" s="226"/>
      <c r="APB41" s="226"/>
      <c r="APC41" s="226"/>
      <c r="APD41" s="226"/>
      <c r="APE41" s="226"/>
      <c r="APF41" s="226"/>
      <c r="APG41" s="226"/>
      <c r="APH41" s="226"/>
      <c r="API41" s="226"/>
      <c r="APJ41" s="226"/>
      <c r="APK41" s="226"/>
      <c r="APL41" s="226"/>
      <c r="APM41" s="226"/>
      <c r="APN41" s="226"/>
      <c r="APO41" s="226"/>
      <c r="APP41" s="226"/>
      <c r="APQ41" s="226"/>
      <c r="APR41" s="226"/>
      <c r="APS41" s="226"/>
      <c r="APT41" s="226"/>
      <c r="APU41" s="226"/>
      <c r="APV41" s="226"/>
      <c r="APW41" s="226"/>
      <c r="APX41" s="226"/>
      <c r="APY41" s="226"/>
      <c r="APZ41" s="226"/>
      <c r="AQA41" s="226"/>
      <c r="AQB41" s="226"/>
      <c r="AQC41" s="226"/>
      <c r="AQD41" s="226"/>
      <c r="AQE41" s="226"/>
      <c r="AQF41" s="226"/>
      <c r="AQG41" s="226"/>
      <c r="AQH41" s="226"/>
      <c r="AQI41" s="226"/>
      <c r="AQJ41" s="226"/>
      <c r="AQK41" s="226"/>
      <c r="AQL41" s="226"/>
      <c r="AQM41" s="226"/>
      <c r="AQN41" s="226"/>
      <c r="AQO41" s="226"/>
      <c r="AQP41" s="226"/>
      <c r="AQQ41" s="226"/>
      <c r="AQR41" s="226"/>
      <c r="AQS41" s="226"/>
      <c r="AQT41" s="226"/>
      <c r="AQU41" s="226"/>
      <c r="AQV41" s="226"/>
      <c r="AQW41" s="226"/>
      <c r="AQX41" s="226"/>
      <c r="AQY41" s="226"/>
      <c r="AQZ41" s="226"/>
      <c r="ARA41" s="226"/>
      <c r="ARB41" s="226"/>
      <c r="ARC41" s="226"/>
      <c r="ARD41" s="226"/>
      <c r="ARE41" s="226"/>
      <c r="ARF41" s="226"/>
      <c r="ARG41" s="226"/>
      <c r="ARH41" s="226"/>
      <c r="ARI41" s="226"/>
      <c r="ARJ41" s="226"/>
      <c r="ARK41" s="226"/>
      <c r="ARL41" s="226"/>
      <c r="ARM41" s="226"/>
      <c r="ARN41" s="226"/>
      <c r="ARO41" s="226"/>
      <c r="ARP41" s="226"/>
      <c r="ARQ41" s="226"/>
      <c r="ARR41" s="226"/>
      <c r="ARS41" s="226"/>
      <c r="ART41" s="226"/>
      <c r="ARU41" s="226"/>
      <c r="ARV41" s="226"/>
      <c r="ARW41" s="226"/>
      <c r="ARX41" s="226"/>
      <c r="ARY41" s="226"/>
      <c r="ARZ41" s="226"/>
      <c r="ASA41" s="226"/>
      <c r="ASB41" s="226"/>
      <c r="ASC41" s="226"/>
      <c r="ASD41" s="226"/>
      <c r="ASE41" s="226"/>
      <c r="ASF41" s="226"/>
      <c r="ASG41" s="226"/>
      <c r="ASH41" s="226"/>
      <c r="ASI41" s="226"/>
      <c r="ASJ41" s="226"/>
      <c r="ASK41" s="226"/>
      <c r="ASL41" s="226"/>
      <c r="ASM41" s="226"/>
      <c r="ASN41" s="226"/>
      <c r="ASO41" s="226"/>
      <c r="ASP41" s="226"/>
      <c r="ASQ41" s="226"/>
      <c r="ASR41" s="226"/>
      <c r="ASS41" s="226"/>
      <c r="AST41" s="226"/>
      <c r="ASU41" s="226"/>
      <c r="ASV41" s="226"/>
      <c r="ASW41" s="226"/>
      <c r="ASX41" s="226"/>
      <c r="ASY41" s="226"/>
      <c r="ASZ41" s="226"/>
      <c r="ATA41" s="226"/>
      <c r="ATB41" s="226"/>
      <c r="ATC41" s="226"/>
      <c r="ATD41" s="226"/>
      <c r="ATE41" s="226"/>
      <c r="ATF41" s="226"/>
      <c r="ATG41" s="226"/>
      <c r="ATH41" s="226"/>
      <c r="ATI41" s="226"/>
      <c r="ATJ41" s="226"/>
      <c r="ATK41" s="226"/>
      <c r="ATL41" s="226"/>
      <c r="ATM41" s="226"/>
      <c r="ATN41" s="226"/>
      <c r="ATO41" s="226"/>
      <c r="ATP41" s="226"/>
      <c r="ATQ41" s="226"/>
      <c r="ATR41" s="226"/>
      <c r="ATS41" s="226"/>
      <c r="ATT41" s="226"/>
      <c r="ATU41" s="226"/>
      <c r="ATV41" s="226"/>
      <c r="ATW41" s="226"/>
      <c r="ATX41" s="226"/>
      <c r="ATY41" s="226"/>
      <c r="ATZ41" s="226"/>
      <c r="AUA41" s="226"/>
      <c r="AUB41" s="226"/>
      <c r="AUC41" s="226"/>
      <c r="AUD41" s="226"/>
      <c r="AUE41" s="226"/>
      <c r="AUF41" s="226"/>
      <c r="AUG41" s="226"/>
      <c r="AUH41" s="226"/>
      <c r="AUI41" s="226"/>
      <c r="AUJ41" s="226"/>
      <c r="AUK41" s="226"/>
      <c r="AUL41" s="226"/>
      <c r="AUM41" s="226"/>
      <c r="AUN41" s="226"/>
      <c r="AUO41" s="226"/>
      <c r="AUP41" s="226"/>
      <c r="AUQ41" s="226"/>
      <c r="AUR41" s="226"/>
      <c r="AUS41" s="226"/>
      <c r="AUT41" s="226"/>
      <c r="AUU41" s="226"/>
      <c r="AUV41" s="226"/>
      <c r="AUW41" s="226"/>
      <c r="AUX41" s="226"/>
      <c r="AUY41" s="226"/>
      <c r="AUZ41" s="226"/>
      <c r="AVA41" s="226"/>
      <c r="AVB41" s="226"/>
      <c r="AVC41" s="226"/>
      <c r="AVD41" s="226"/>
      <c r="AVE41" s="226"/>
      <c r="AVF41" s="226"/>
      <c r="AVG41" s="226"/>
      <c r="AVH41" s="226"/>
      <c r="AVI41" s="226"/>
      <c r="AVJ41" s="226"/>
      <c r="AVK41" s="226"/>
      <c r="AVL41" s="226"/>
      <c r="AVM41" s="226"/>
      <c r="AVN41" s="226"/>
      <c r="AVO41" s="226"/>
      <c r="AVP41" s="226"/>
      <c r="AVQ41" s="226"/>
      <c r="AVR41" s="226"/>
      <c r="AVS41" s="226"/>
      <c r="AVT41" s="226"/>
      <c r="AVU41" s="226"/>
      <c r="AVV41" s="226"/>
      <c r="AVW41" s="226"/>
      <c r="AVX41" s="226"/>
      <c r="AVY41" s="226"/>
      <c r="AVZ41" s="226"/>
      <c r="AWA41" s="226"/>
      <c r="AWB41" s="226"/>
      <c r="AWC41" s="226"/>
      <c r="AWD41" s="226"/>
      <c r="AWE41" s="226"/>
      <c r="AWF41" s="226"/>
      <c r="AWG41" s="226"/>
      <c r="AWH41" s="226"/>
      <c r="AWI41" s="226"/>
      <c r="AWJ41" s="226"/>
      <c r="AWK41" s="226"/>
      <c r="AWL41" s="226"/>
      <c r="AWM41" s="226"/>
      <c r="AWN41" s="226"/>
      <c r="AWO41" s="226"/>
      <c r="AWP41" s="226"/>
      <c r="AWQ41" s="226"/>
      <c r="AWR41" s="226"/>
      <c r="AWS41" s="226"/>
      <c r="AWT41" s="226"/>
      <c r="AWU41" s="226"/>
      <c r="AWV41" s="226"/>
      <c r="AWW41" s="226"/>
      <c r="AWX41" s="226"/>
      <c r="AWY41" s="226"/>
      <c r="AWZ41" s="226"/>
      <c r="AXA41" s="226"/>
      <c r="AXB41" s="226"/>
      <c r="AXC41" s="226"/>
      <c r="AXD41" s="226"/>
      <c r="AXE41" s="226"/>
      <c r="AXF41" s="226"/>
      <c r="AXG41" s="226"/>
      <c r="AXH41" s="226"/>
      <c r="AXI41" s="226"/>
      <c r="AXJ41" s="226"/>
      <c r="AXK41" s="226"/>
      <c r="AXL41" s="226"/>
      <c r="AXM41" s="226"/>
      <c r="AXN41" s="226"/>
      <c r="AXO41" s="226"/>
      <c r="AXP41" s="226"/>
      <c r="AXQ41" s="226"/>
      <c r="AXR41" s="226"/>
      <c r="AXS41" s="226"/>
      <c r="AXT41" s="226"/>
      <c r="AXU41" s="226"/>
      <c r="AXV41" s="226"/>
      <c r="AXW41" s="226"/>
      <c r="AXX41" s="226"/>
      <c r="AXY41" s="226"/>
      <c r="AXZ41" s="226"/>
      <c r="AYA41" s="226"/>
      <c r="AYB41" s="226"/>
      <c r="AYC41" s="226"/>
      <c r="AYD41" s="226"/>
      <c r="AYE41" s="226"/>
      <c r="AYF41" s="226"/>
      <c r="AYG41" s="226"/>
      <c r="AYH41" s="226"/>
      <c r="AYI41" s="226"/>
      <c r="AYJ41" s="226"/>
      <c r="AYK41" s="226"/>
      <c r="AYL41" s="226"/>
      <c r="AYM41" s="226"/>
      <c r="AYN41" s="226"/>
      <c r="AYO41" s="226"/>
      <c r="AYP41" s="226"/>
      <c r="AYQ41" s="226"/>
      <c r="AYR41" s="226"/>
      <c r="AYS41" s="226"/>
      <c r="AYT41" s="226"/>
      <c r="AYU41" s="226"/>
      <c r="AYV41" s="226"/>
      <c r="AYW41" s="226"/>
      <c r="AYX41" s="226"/>
      <c r="AYY41" s="226"/>
      <c r="AYZ41" s="226"/>
      <c r="AZA41" s="226"/>
      <c r="AZB41" s="226"/>
      <c r="AZC41" s="226"/>
      <c r="AZD41" s="226"/>
      <c r="AZE41" s="226"/>
      <c r="AZF41" s="226"/>
      <c r="AZG41" s="226"/>
      <c r="AZH41" s="226"/>
      <c r="AZI41" s="226"/>
      <c r="AZJ41" s="226"/>
      <c r="AZK41" s="226"/>
      <c r="AZL41" s="226"/>
      <c r="AZM41" s="226"/>
      <c r="AZN41" s="226"/>
      <c r="AZO41" s="226"/>
      <c r="AZP41" s="226"/>
      <c r="AZQ41" s="226"/>
      <c r="AZR41" s="226"/>
      <c r="AZS41" s="226"/>
      <c r="AZT41" s="226"/>
      <c r="AZU41" s="226"/>
      <c r="AZV41" s="226"/>
      <c r="AZW41" s="226"/>
      <c r="AZX41" s="226"/>
      <c r="AZY41" s="226"/>
      <c r="AZZ41" s="226"/>
      <c r="BAA41" s="226"/>
      <c r="BAB41" s="226"/>
      <c r="BAC41" s="226"/>
      <c r="BAD41" s="226"/>
      <c r="BAE41" s="226"/>
      <c r="BAF41" s="226"/>
      <c r="BAG41" s="226"/>
      <c r="BAH41" s="226"/>
      <c r="BAI41" s="226"/>
      <c r="BAJ41" s="226"/>
      <c r="BAK41" s="226"/>
      <c r="BAL41" s="226"/>
      <c r="BAM41" s="226"/>
      <c r="BAN41" s="226"/>
      <c r="BAO41" s="226"/>
      <c r="BAP41" s="226"/>
      <c r="BAQ41" s="226"/>
      <c r="BAR41" s="226"/>
      <c r="BAS41" s="226"/>
      <c r="BAT41" s="226"/>
      <c r="BAU41" s="226"/>
      <c r="BAV41" s="226"/>
      <c r="BAW41" s="226"/>
      <c r="BAX41" s="226"/>
      <c r="BAY41" s="226"/>
      <c r="BAZ41" s="226"/>
      <c r="BBA41" s="226"/>
      <c r="BBB41" s="226"/>
      <c r="BBC41" s="226"/>
      <c r="BBD41" s="226"/>
      <c r="BBE41" s="226"/>
      <c r="BBF41" s="226"/>
      <c r="BBG41" s="226"/>
      <c r="BBH41" s="226"/>
      <c r="BBI41" s="226"/>
      <c r="BBJ41" s="226"/>
      <c r="BBK41" s="226"/>
      <c r="BBL41" s="226"/>
      <c r="BBM41" s="226"/>
      <c r="BBN41" s="226"/>
      <c r="BBO41" s="226"/>
      <c r="BBP41" s="226"/>
      <c r="BBQ41" s="226"/>
      <c r="BBR41" s="226"/>
      <c r="BBS41" s="226"/>
      <c r="BBT41" s="226"/>
      <c r="BBU41" s="226"/>
      <c r="BBV41" s="226"/>
      <c r="BBW41" s="226"/>
      <c r="BBX41" s="226"/>
      <c r="BBY41" s="226"/>
      <c r="BBZ41" s="226"/>
      <c r="BCA41" s="226"/>
      <c r="BCB41" s="226"/>
      <c r="BCC41" s="226"/>
      <c r="BCD41" s="226"/>
      <c r="BCE41" s="226"/>
      <c r="BCF41" s="226"/>
      <c r="BCG41" s="226"/>
      <c r="BCH41" s="226"/>
      <c r="BCI41" s="226"/>
      <c r="BCJ41" s="226"/>
      <c r="BCK41" s="226"/>
      <c r="BCL41" s="226"/>
      <c r="BCM41" s="226"/>
      <c r="BCN41" s="226"/>
      <c r="BCO41" s="226"/>
      <c r="BCP41" s="226"/>
      <c r="BCQ41" s="226"/>
      <c r="BCR41" s="226"/>
      <c r="BCS41" s="226"/>
      <c r="BCT41" s="226"/>
      <c r="BCU41" s="226"/>
      <c r="BCV41" s="226"/>
      <c r="BCW41" s="226"/>
      <c r="BCX41" s="226"/>
      <c r="BCY41" s="226"/>
      <c r="BCZ41" s="226"/>
      <c r="BDA41" s="226"/>
      <c r="BDB41" s="226"/>
      <c r="BDC41" s="226"/>
      <c r="BDD41" s="226"/>
      <c r="BDE41" s="226"/>
      <c r="BDF41" s="226"/>
      <c r="BDG41" s="226"/>
      <c r="BDH41" s="226"/>
      <c r="BDI41" s="226"/>
      <c r="BDJ41" s="226"/>
      <c r="BDK41" s="226"/>
      <c r="BDL41" s="226"/>
      <c r="BDM41" s="226"/>
      <c r="BDN41" s="226"/>
      <c r="BDO41" s="226"/>
      <c r="BDP41" s="226"/>
      <c r="BDQ41" s="226"/>
      <c r="BDR41" s="226"/>
      <c r="BDS41" s="226"/>
      <c r="BDT41" s="226"/>
      <c r="BDU41" s="226"/>
      <c r="BDV41" s="226"/>
      <c r="BDW41" s="226"/>
      <c r="BDX41" s="226"/>
      <c r="BDY41" s="226"/>
      <c r="BDZ41" s="226"/>
      <c r="BEA41" s="226"/>
      <c r="BEB41" s="226"/>
      <c r="BEC41" s="226"/>
      <c r="BED41" s="226"/>
      <c r="BEE41" s="226"/>
      <c r="BEF41" s="226"/>
      <c r="BEG41" s="226"/>
      <c r="BEH41" s="226"/>
      <c r="BEI41" s="226"/>
      <c r="BEJ41" s="226"/>
      <c r="BEK41" s="226"/>
      <c r="BEL41" s="226"/>
      <c r="BEM41" s="226"/>
      <c r="BEN41" s="226"/>
      <c r="BEO41" s="226"/>
      <c r="BEP41" s="226"/>
      <c r="BEQ41" s="226"/>
      <c r="BER41" s="226"/>
      <c r="BES41" s="226"/>
      <c r="BET41" s="226"/>
      <c r="BEU41" s="226"/>
      <c r="BEV41" s="226"/>
      <c r="BEW41" s="226"/>
      <c r="BEX41" s="226"/>
      <c r="BEY41" s="226"/>
      <c r="BEZ41" s="226"/>
      <c r="BFA41" s="226"/>
      <c r="BFB41" s="226"/>
      <c r="BFC41" s="226"/>
      <c r="BFD41" s="226"/>
      <c r="BFE41" s="226"/>
      <c r="BFF41" s="226"/>
      <c r="BFG41" s="226"/>
      <c r="BFH41" s="226"/>
      <c r="BFI41" s="226"/>
      <c r="BFJ41" s="226"/>
      <c r="BFK41" s="226"/>
      <c r="BFL41" s="226"/>
      <c r="BFM41" s="226"/>
      <c r="BFN41" s="226"/>
      <c r="BFO41" s="226"/>
      <c r="BFP41" s="226"/>
      <c r="BFQ41" s="226"/>
      <c r="BFR41" s="226"/>
      <c r="BFS41" s="226"/>
      <c r="BFT41" s="226"/>
      <c r="BFU41" s="226"/>
      <c r="BFV41" s="226"/>
      <c r="BFW41" s="226"/>
      <c r="BFX41" s="226"/>
      <c r="BFY41" s="226"/>
      <c r="BFZ41" s="226"/>
      <c r="BGA41" s="226"/>
      <c r="BGB41" s="226"/>
      <c r="BGC41" s="226"/>
      <c r="BGD41" s="226"/>
      <c r="BGE41" s="226"/>
      <c r="BGF41" s="226"/>
      <c r="BGG41" s="226"/>
      <c r="BGH41" s="226"/>
      <c r="BGI41" s="226"/>
      <c r="BGJ41" s="226"/>
      <c r="BGK41" s="226"/>
      <c r="BGL41" s="226"/>
      <c r="BGM41" s="226"/>
      <c r="BGN41" s="226"/>
      <c r="BGO41" s="226"/>
      <c r="BGP41" s="226"/>
      <c r="BGQ41" s="226"/>
      <c r="BGR41" s="226"/>
      <c r="BGS41" s="226"/>
      <c r="BGT41" s="226"/>
      <c r="BGU41" s="226"/>
      <c r="BGV41" s="226"/>
      <c r="BGW41" s="226"/>
      <c r="BGX41" s="226"/>
      <c r="BGY41" s="226"/>
      <c r="BGZ41" s="226"/>
      <c r="BHA41" s="226"/>
      <c r="BHB41" s="226"/>
      <c r="BHC41" s="226"/>
      <c r="BHD41" s="226"/>
      <c r="BHE41" s="226"/>
      <c r="BHF41" s="226"/>
      <c r="BHG41" s="226"/>
      <c r="BHH41" s="226"/>
      <c r="BHI41" s="226"/>
      <c r="BHJ41" s="226"/>
      <c r="BHK41" s="226"/>
      <c r="BHL41" s="226"/>
      <c r="BHM41" s="226"/>
      <c r="BHN41" s="226"/>
      <c r="BHO41" s="226"/>
      <c r="BHP41" s="226"/>
      <c r="BHQ41" s="226"/>
      <c r="BHR41" s="226"/>
      <c r="BHS41" s="226"/>
      <c r="BHT41" s="226"/>
      <c r="BHU41" s="226"/>
      <c r="BHV41" s="226"/>
      <c r="BHW41" s="226"/>
      <c r="BHX41" s="226"/>
      <c r="BHY41" s="226"/>
      <c r="BHZ41" s="226"/>
      <c r="BIA41" s="226"/>
      <c r="BIB41" s="226"/>
      <c r="BIC41" s="226"/>
      <c r="BID41" s="226"/>
      <c r="BIE41" s="226"/>
      <c r="BIF41" s="226"/>
      <c r="BIG41" s="226"/>
      <c r="BIH41" s="226"/>
      <c r="BII41" s="226"/>
      <c r="BIJ41" s="226"/>
      <c r="BIK41" s="226"/>
      <c r="BIL41" s="226"/>
      <c r="BIM41" s="226"/>
      <c r="BIN41" s="226"/>
      <c r="BIO41" s="226"/>
      <c r="BIP41" s="226"/>
      <c r="BIQ41" s="226"/>
      <c r="BIR41" s="226"/>
      <c r="BIS41" s="226"/>
      <c r="BIT41" s="226"/>
      <c r="BIU41" s="226"/>
      <c r="BIV41" s="226"/>
      <c r="BIW41" s="226"/>
      <c r="BIX41" s="226"/>
      <c r="BIY41" s="226"/>
      <c r="BIZ41" s="226"/>
      <c r="BJA41" s="226"/>
      <c r="BJB41" s="226"/>
      <c r="BJC41" s="226"/>
      <c r="BJD41" s="226"/>
      <c r="BJE41" s="226"/>
      <c r="BJF41" s="226"/>
      <c r="BJG41" s="226"/>
      <c r="BJH41" s="226"/>
      <c r="BJI41" s="226"/>
      <c r="BJJ41" s="226"/>
      <c r="BJK41" s="226"/>
      <c r="BJL41" s="226"/>
      <c r="BJM41" s="226"/>
      <c r="BJN41" s="226"/>
      <c r="BJO41" s="226"/>
      <c r="BJP41" s="226"/>
      <c r="BJQ41" s="226"/>
      <c r="BJR41" s="226"/>
      <c r="BJS41" s="226"/>
      <c r="BJT41" s="226"/>
      <c r="BJU41" s="226"/>
      <c r="BJV41" s="226"/>
      <c r="BJW41" s="226"/>
      <c r="BJX41" s="226"/>
      <c r="BJY41" s="226"/>
      <c r="BJZ41" s="226"/>
      <c r="BKA41" s="226"/>
      <c r="BKB41" s="226"/>
      <c r="BKC41" s="226"/>
      <c r="BKD41" s="226"/>
      <c r="BKE41" s="226"/>
      <c r="BKF41" s="226"/>
      <c r="BKG41" s="226"/>
      <c r="BKH41" s="226"/>
      <c r="BKI41" s="226"/>
      <c r="BKJ41" s="226"/>
      <c r="BKK41" s="226"/>
      <c r="BKL41" s="226"/>
      <c r="BKM41" s="226"/>
      <c r="BKN41" s="226"/>
      <c r="BKO41" s="226"/>
      <c r="BKP41" s="226"/>
      <c r="BKQ41" s="226"/>
      <c r="BKR41" s="226"/>
      <c r="BKS41" s="226"/>
      <c r="BKT41" s="226"/>
      <c r="BKU41" s="226"/>
      <c r="BKV41" s="226"/>
      <c r="BKW41" s="226"/>
      <c r="BKX41" s="226"/>
      <c r="BKY41" s="226"/>
      <c r="BKZ41" s="226"/>
      <c r="BLA41" s="226"/>
      <c r="BLB41" s="226"/>
      <c r="BLC41" s="226"/>
      <c r="BLD41" s="226"/>
      <c r="BLE41" s="226"/>
      <c r="BLF41" s="226"/>
      <c r="BLG41" s="226"/>
      <c r="BLH41" s="226"/>
      <c r="BLI41" s="226"/>
      <c r="BLJ41" s="226"/>
      <c r="BLK41" s="226"/>
      <c r="BLL41" s="226"/>
      <c r="BLM41" s="226"/>
      <c r="BLN41" s="226"/>
      <c r="BLO41" s="226"/>
      <c r="BLP41" s="226"/>
      <c r="BLQ41" s="226"/>
      <c r="BLR41" s="226"/>
      <c r="BLS41" s="226"/>
      <c r="BLT41" s="226"/>
      <c r="BLU41" s="226"/>
      <c r="BLV41" s="226"/>
      <c r="BLW41" s="226"/>
      <c r="BLX41" s="226"/>
      <c r="BLY41" s="226"/>
      <c r="BLZ41" s="226"/>
      <c r="BMA41" s="226"/>
      <c r="BMB41" s="226"/>
      <c r="BMC41" s="226"/>
      <c r="BMD41" s="226"/>
      <c r="BME41" s="226"/>
      <c r="BMF41" s="226"/>
      <c r="BMG41" s="226"/>
      <c r="BMH41" s="226"/>
      <c r="BMI41" s="226"/>
      <c r="BMJ41" s="226"/>
      <c r="BMK41" s="226"/>
      <c r="BML41" s="226"/>
      <c r="BMM41" s="226"/>
      <c r="BMN41" s="226"/>
      <c r="BMO41" s="226"/>
      <c r="BMP41" s="226"/>
      <c r="BMQ41" s="226"/>
      <c r="BMR41" s="226"/>
      <c r="BMS41" s="226"/>
      <c r="BMT41" s="226"/>
      <c r="BMU41" s="226"/>
      <c r="BMV41" s="226"/>
      <c r="BMW41" s="226"/>
      <c r="BMX41" s="226"/>
      <c r="BMY41" s="226"/>
      <c r="BMZ41" s="226"/>
      <c r="BNA41" s="226"/>
      <c r="BNB41" s="226"/>
      <c r="BNC41" s="226"/>
      <c r="BND41" s="226"/>
      <c r="BNE41" s="226"/>
      <c r="BNF41" s="226"/>
      <c r="BNG41" s="226"/>
      <c r="BNH41" s="226"/>
      <c r="BNI41" s="226"/>
      <c r="BNJ41" s="226"/>
      <c r="BNK41" s="226"/>
      <c r="BNL41" s="226"/>
      <c r="BNM41" s="226"/>
      <c r="BNN41" s="226"/>
      <c r="BNO41" s="226"/>
      <c r="BNP41" s="226"/>
      <c r="BNQ41" s="226"/>
      <c r="BNR41" s="226"/>
      <c r="BNS41" s="226"/>
      <c r="BNT41" s="226"/>
      <c r="BNU41" s="226"/>
      <c r="BNV41" s="226"/>
      <c r="BNW41" s="226"/>
      <c r="BNX41" s="226"/>
      <c r="BNY41" s="226"/>
      <c r="BNZ41" s="226"/>
      <c r="BOA41" s="226"/>
      <c r="BOB41" s="226"/>
      <c r="BOC41" s="226"/>
      <c r="BOD41" s="226"/>
      <c r="BOE41" s="226"/>
      <c r="BOF41" s="226"/>
      <c r="BOG41" s="226"/>
      <c r="BOH41" s="226"/>
      <c r="BOI41" s="226"/>
      <c r="BOJ41" s="226"/>
      <c r="BOK41" s="226"/>
      <c r="BOL41" s="226"/>
      <c r="BOM41" s="226"/>
      <c r="BON41" s="226"/>
      <c r="BOO41" s="226"/>
      <c r="BOP41" s="226"/>
      <c r="BOQ41" s="226"/>
      <c r="BOR41" s="226"/>
      <c r="BOS41" s="226"/>
      <c r="BOT41" s="226"/>
      <c r="BOU41" s="226"/>
      <c r="BOV41" s="226"/>
      <c r="BOW41" s="226"/>
      <c r="BOX41" s="226"/>
      <c r="BOY41" s="226"/>
      <c r="BOZ41" s="226"/>
      <c r="BPA41" s="226"/>
      <c r="BPB41" s="226"/>
      <c r="BPC41" s="226"/>
      <c r="BPD41" s="226"/>
      <c r="BPE41" s="226"/>
      <c r="BPF41" s="226"/>
      <c r="BPG41" s="226"/>
      <c r="BPH41" s="226"/>
      <c r="BPI41" s="226"/>
      <c r="BPJ41" s="226"/>
      <c r="BPK41" s="226"/>
      <c r="BPL41" s="226"/>
      <c r="BPM41" s="226"/>
      <c r="BPN41" s="226"/>
      <c r="BPO41" s="226"/>
      <c r="BPP41" s="226"/>
      <c r="BPQ41" s="226"/>
      <c r="BPR41" s="226"/>
      <c r="BPS41" s="226"/>
      <c r="BPT41" s="226"/>
      <c r="BPU41" s="226"/>
      <c r="BPV41" s="226"/>
      <c r="BPW41" s="226"/>
      <c r="BPX41" s="226"/>
      <c r="BPY41" s="226"/>
      <c r="BPZ41" s="226"/>
      <c r="BQA41" s="226"/>
      <c r="BQB41" s="226"/>
      <c r="BQC41" s="226"/>
      <c r="BQD41" s="226"/>
      <c r="BQE41" s="226"/>
      <c r="BQF41" s="226"/>
      <c r="BQG41" s="226"/>
      <c r="BQH41" s="226"/>
      <c r="BQI41" s="226"/>
      <c r="BQJ41" s="226"/>
      <c r="BQK41" s="226"/>
      <c r="BQL41" s="226"/>
      <c r="BQM41" s="226"/>
      <c r="BQN41" s="226"/>
      <c r="BQO41" s="226"/>
      <c r="BQP41" s="226"/>
      <c r="BQQ41" s="226"/>
      <c r="BQR41" s="226"/>
      <c r="BQS41" s="226"/>
      <c r="BQT41" s="226"/>
      <c r="BQU41" s="226"/>
      <c r="BQV41" s="226"/>
      <c r="BQW41" s="226"/>
      <c r="BQX41" s="226"/>
      <c r="BQY41" s="226"/>
      <c r="BQZ41" s="226"/>
      <c r="BRA41" s="226"/>
      <c r="BRB41" s="226"/>
      <c r="BRC41" s="226"/>
      <c r="BRD41" s="226"/>
      <c r="BRE41" s="226"/>
      <c r="BRF41" s="226"/>
      <c r="BRG41" s="226"/>
      <c r="BRH41" s="226"/>
      <c r="BRI41" s="226"/>
      <c r="BRJ41" s="226"/>
      <c r="BRK41" s="226"/>
      <c r="BRL41" s="226"/>
      <c r="BRM41" s="226"/>
      <c r="BRN41" s="226"/>
      <c r="BRO41" s="226"/>
      <c r="BRP41" s="226"/>
      <c r="BRQ41" s="226"/>
      <c r="BRR41" s="226"/>
      <c r="BRS41" s="226"/>
      <c r="BRT41" s="226"/>
      <c r="BRU41" s="226"/>
      <c r="BRV41" s="226"/>
      <c r="BRW41" s="226"/>
      <c r="BRX41" s="226"/>
      <c r="BRY41" s="226"/>
      <c r="BRZ41" s="226"/>
      <c r="BSA41" s="226"/>
      <c r="BSB41" s="226"/>
      <c r="BSC41" s="226"/>
      <c r="BSD41" s="226"/>
      <c r="BSE41" s="226"/>
      <c r="BSF41" s="226"/>
      <c r="BSG41" s="226"/>
      <c r="BSH41" s="226"/>
      <c r="BSI41" s="226"/>
      <c r="BSJ41" s="226"/>
      <c r="BSK41" s="226"/>
      <c r="BSL41" s="226"/>
      <c r="BSM41" s="226"/>
      <c r="BSN41" s="226"/>
      <c r="BSO41" s="226"/>
      <c r="BSP41" s="226"/>
      <c r="BSQ41" s="226"/>
      <c r="BSR41" s="226"/>
      <c r="BSS41" s="226"/>
      <c r="BST41" s="226"/>
      <c r="BSU41" s="226"/>
      <c r="BSV41" s="226"/>
      <c r="BSW41" s="226"/>
      <c r="BSX41" s="226"/>
      <c r="BSY41" s="226"/>
      <c r="BSZ41" s="226"/>
      <c r="BTA41" s="226"/>
      <c r="BTB41" s="226"/>
      <c r="BTC41" s="226"/>
      <c r="BTD41" s="226"/>
      <c r="BTE41" s="226"/>
      <c r="BTF41" s="226"/>
      <c r="BTG41" s="226"/>
      <c r="BTH41" s="226"/>
      <c r="BTI41" s="226"/>
      <c r="BTJ41" s="226"/>
      <c r="BTK41" s="226"/>
      <c r="BTL41" s="226"/>
      <c r="BTM41" s="226"/>
      <c r="BTN41" s="226"/>
      <c r="BTO41" s="226"/>
      <c r="BTP41" s="226"/>
      <c r="BTQ41" s="226"/>
      <c r="BTR41" s="226"/>
      <c r="BTS41" s="226"/>
      <c r="BTT41" s="226"/>
      <c r="BTU41" s="226"/>
      <c r="BTV41" s="226"/>
      <c r="BTW41" s="226"/>
      <c r="BTX41" s="226"/>
      <c r="BTY41" s="226"/>
      <c r="BTZ41" s="226"/>
      <c r="BUA41" s="226"/>
      <c r="BUB41" s="226"/>
      <c r="BUC41" s="226"/>
      <c r="BUD41" s="226"/>
      <c r="BUE41" s="226"/>
      <c r="BUF41" s="226"/>
      <c r="BUG41" s="226"/>
      <c r="BUH41" s="226"/>
      <c r="BUI41" s="226"/>
      <c r="BUJ41" s="226"/>
      <c r="BUK41" s="226"/>
      <c r="BUL41" s="226"/>
      <c r="BUM41" s="226"/>
      <c r="BUN41" s="226"/>
      <c r="BUO41" s="226"/>
      <c r="BUP41" s="226"/>
      <c r="BUQ41" s="226"/>
      <c r="BUR41" s="226"/>
      <c r="BUS41" s="226"/>
      <c r="BUT41" s="226"/>
      <c r="BUU41" s="226"/>
      <c r="BUV41" s="226"/>
      <c r="BUW41" s="226"/>
      <c r="BUX41" s="226"/>
      <c r="BUY41" s="226"/>
      <c r="BUZ41" s="226"/>
      <c r="BVA41" s="226"/>
      <c r="BVB41" s="226"/>
      <c r="BVC41" s="226"/>
      <c r="BVD41" s="226"/>
      <c r="BVE41" s="226"/>
      <c r="BVF41" s="226"/>
      <c r="BVG41" s="226"/>
      <c r="BVH41" s="226"/>
      <c r="BVI41" s="226"/>
      <c r="BVJ41" s="226"/>
      <c r="BVK41" s="226"/>
      <c r="BVL41" s="226"/>
      <c r="BVM41" s="226"/>
      <c r="BVN41" s="226"/>
      <c r="BVO41" s="226"/>
      <c r="BVP41" s="226"/>
      <c r="BVQ41" s="226"/>
      <c r="BVR41" s="226"/>
      <c r="BVS41" s="226"/>
      <c r="BVT41" s="226"/>
      <c r="BVU41" s="226"/>
      <c r="BVV41" s="226"/>
      <c r="BVW41" s="226"/>
      <c r="BVX41" s="226"/>
      <c r="BVY41" s="226"/>
      <c r="BVZ41" s="226"/>
      <c r="BWA41" s="226"/>
      <c r="BWB41" s="226"/>
      <c r="BWC41" s="226"/>
      <c r="BWD41" s="226"/>
      <c r="BWE41" s="226"/>
      <c r="BWF41" s="226"/>
      <c r="BWG41" s="226"/>
      <c r="BWH41" s="226"/>
      <c r="BWI41" s="226"/>
      <c r="BWJ41" s="226"/>
      <c r="BWK41" s="226"/>
      <c r="BWL41" s="226"/>
      <c r="BWM41" s="226"/>
      <c r="BWN41" s="226"/>
      <c r="BWO41" s="226"/>
      <c r="BWP41" s="226"/>
      <c r="BWQ41" s="226"/>
      <c r="BWR41" s="226"/>
      <c r="BWS41" s="226"/>
      <c r="BWT41" s="226"/>
      <c r="BWU41" s="226"/>
      <c r="BWV41" s="226"/>
      <c r="BWW41" s="226"/>
      <c r="BWX41" s="226"/>
      <c r="BWY41" s="226"/>
      <c r="BWZ41" s="226"/>
      <c r="BXA41" s="226"/>
      <c r="BXB41" s="226"/>
      <c r="BXC41" s="226"/>
      <c r="BXD41" s="226"/>
      <c r="BXE41" s="226"/>
      <c r="BXF41" s="226"/>
      <c r="BXG41" s="226"/>
      <c r="BXH41" s="226"/>
      <c r="BXI41" s="226"/>
      <c r="BXJ41" s="226"/>
      <c r="BXK41" s="226"/>
      <c r="BXL41" s="226"/>
      <c r="BXM41" s="226"/>
      <c r="BXN41" s="226"/>
      <c r="BXO41" s="226"/>
      <c r="BXP41" s="226"/>
      <c r="BXQ41" s="226"/>
      <c r="BXR41" s="226"/>
      <c r="BXS41" s="226"/>
      <c r="BXT41" s="226"/>
      <c r="BXU41" s="226"/>
      <c r="BXV41" s="226"/>
      <c r="BXW41" s="226"/>
      <c r="BXX41" s="226"/>
      <c r="BXY41" s="226"/>
      <c r="BXZ41" s="226"/>
      <c r="BYA41" s="226"/>
      <c r="BYB41" s="226"/>
      <c r="BYC41" s="226"/>
      <c r="BYD41" s="226"/>
      <c r="BYE41" s="226"/>
      <c r="BYF41" s="226"/>
      <c r="BYG41" s="226"/>
    </row>
    <row r="42" spans="1:2009" s="101" customFormat="1" ht="12.75" customHeight="1" thickBot="1" x14ac:dyDescent="0.3">
      <c r="A42" s="98"/>
      <c r="B42" s="129"/>
      <c r="C42" s="176"/>
      <c r="D42" s="176"/>
      <c r="E42" s="176"/>
      <c r="F42" s="176"/>
      <c r="G42" s="176"/>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8" customFormat="1" ht="24.95" customHeight="1" x14ac:dyDescent="0.25">
      <c r="A43" s="147" t="s">
        <v>203</v>
      </c>
      <c r="B43" s="158"/>
      <c r="C43" s="557"/>
      <c r="D43" s="557"/>
      <c r="E43" s="557"/>
      <c r="F43" s="663"/>
      <c r="G43" s="557"/>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552"/>
      <c r="B44" s="553" t="s">
        <v>356</v>
      </c>
      <c r="C44" s="558">
        <v>624.65</v>
      </c>
      <c r="D44" s="558">
        <v>577.23</v>
      </c>
      <c r="E44" s="558">
        <v>251.38</v>
      </c>
      <c r="F44" s="662">
        <v>152.88999999999999</v>
      </c>
      <c r="G44" s="558">
        <f>ROUND(SUM(C44:F44),5)</f>
        <v>1606.15</v>
      </c>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552"/>
      <c r="B45" s="553" t="s">
        <v>244</v>
      </c>
      <c r="C45" s="558"/>
      <c r="D45" s="558"/>
      <c r="E45" s="558"/>
      <c r="F45" s="662"/>
      <c r="G45" s="558">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554"/>
      <c r="B46" s="553" t="s">
        <v>313</v>
      </c>
      <c r="C46" s="555">
        <v>3852.4</v>
      </c>
      <c r="D46" s="555">
        <v>3308.37</v>
      </c>
      <c r="E46" s="555">
        <f>-76.51-10+3315.4</f>
        <v>3228.89</v>
      </c>
      <c r="F46" s="664"/>
      <c r="G46" s="555">
        <f>ROUND(SUM(C46:F46),5)</f>
        <v>10389.66</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249" customFormat="1" ht="24.95" customHeight="1" thickBot="1" x14ac:dyDescent="0.3">
      <c r="A47" s="248"/>
      <c r="B47" s="556" t="s">
        <v>444</v>
      </c>
      <c r="C47" s="555">
        <f>SUM(C43:C46)</f>
        <v>4477.05</v>
      </c>
      <c r="D47" s="555">
        <f>SUM(D43:D46)</f>
        <v>3885.6</v>
      </c>
      <c r="E47" s="555">
        <f t="shared" ref="E47:F47" si="2">SUM(E43:E46)</f>
        <v>3480.27</v>
      </c>
      <c r="F47" s="555">
        <f t="shared" si="2"/>
        <v>152.88999999999999</v>
      </c>
      <c r="G47" s="555">
        <f>ROUND(SUM(C47:F47),5)</f>
        <v>11995.81</v>
      </c>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213"/>
      <c r="FF47" s="213"/>
      <c r="FG47" s="213"/>
      <c r="FH47" s="213"/>
      <c r="FI47" s="213"/>
      <c r="FJ47" s="213"/>
      <c r="FK47" s="213"/>
      <c r="FL47" s="213"/>
      <c r="FM47" s="213"/>
      <c r="FN47" s="213"/>
      <c r="FO47" s="213"/>
      <c r="FP47" s="213"/>
      <c r="FQ47" s="213"/>
      <c r="FR47" s="213"/>
      <c r="FS47" s="213"/>
      <c r="FT47" s="213"/>
      <c r="FU47" s="213"/>
      <c r="FV47" s="213"/>
      <c r="FW47" s="213"/>
      <c r="FX47" s="213"/>
      <c r="FY47" s="213"/>
      <c r="FZ47" s="213"/>
      <c r="GA47" s="213"/>
      <c r="GB47" s="213"/>
      <c r="GC47" s="213"/>
      <c r="GD47" s="213"/>
      <c r="GE47" s="213"/>
      <c r="GF47" s="213"/>
      <c r="GG47" s="213"/>
      <c r="GH47" s="213"/>
      <c r="GI47" s="213"/>
      <c r="GJ47" s="213"/>
      <c r="GK47" s="213"/>
      <c r="GL47" s="213"/>
      <c r="GM47" s="213"/>
      <c r="GN47" s="213"/>
      <c r="GO47" s="213"/>
      <c r="GP47" s="213"/>
      <c r="GQ47" s="213"/>
      <c r="GR47" s="213"/>
      <c r="GS47" s="213"/>
      <c r="GT47" s="213"/>
      <c r="GU47" s="213"/>
      <c r="GV47" s="213"/>
      <c r="GW47" s="213"/>
      <c r="GX47" s="213"/>
      <c r="GY47" s="213"/>
      <c r="GZ47" s="213"/>
      <c r="HA47" s="213"/>
      <c r="HB47" s="213"/>
      <c r="HC47" s="213"/>
      <c r="HD47" s="213"/>
      <c r="HE47" s="213"/>
      <c r="HF47" s="213"/>
      <c r="HG47" s="213"/>
      <c r="HH47" s="213"/>
      <c r="HI47" s="213"/>
      <c r="HJ47" s="213"/>
      <c r="HK47" s="213"/>
      <c r="HL47" s="213"/>
      <c r="HM47" s="213"/>
      <c r="HN47" s="213"/>
      <c r="HO47" s="213"/>
      <c r="HP47" s="213"/>
      <c r="HQ47" s="213"/>
      <c r="HR47" s="213"/>
      <c r="HS47" s="213"/>
      <c r="HT47" s="213"/>
      <c r="HU47" s="213"/>
      <c r="HV47" s="213"/>
      <c r="HW47" s="213"/>
      <c r="HX47" s="213"/>
      <c r="HY47" s="213"/>
      <c r="HZ47" s="213"/>
      <c r="IA47" s="213"/>
      <c r="IB47" s="213"/>
      <c r="IC47" s="213"/>
      <c r="ID47" s="213"/>
      <c r="IE47" s="213"/>
      <c r="IF47" s="213"/>
      <c r="IG47" s="213"/>
      <c r="IH47" s="213"/>
      <c r="II47" s="213"/>
      <c r="IJ47" s="213"/>
      <c r="IK47" s="213"/>
      <c r="IL47" s="213"/>
      <c r="IM47" s="213"/>
      <c r="IN47" s="213"/>
      <c r="IO47" s="213"/>
      <c r="IP47" s="213"/>
      <c r="IQ47" s="213"/>
      <c r="IR47" s="213"/>
      <c r="IS47" s="213"/>
      <c r="IT47" s="213"/>
      <c r="IU47" s="213"/>
      <c r="IV47" s="213"/>
      <c r="IW47" s="213"/>
      <c r="IX47" s="213"/>
      <c r="IY47" s="213"/>
      <c r="IZ47" s="213"/>
      <c r="JA47" s="213"/>
      <c r="JB47" s="213"/>
      <c r="JC47" s="213"/>
      <c r="JD47" s="213"/>
      <c r="JE47" s="213"/>
      <c r="JF47" s="213"/>
      <c r="JG47" s="213"/>
      <c r="JH47" s="213"/>
      <c r="JI47" s="213"/>
      <c r="JJ47" s="213"/>
      <c r="JK47" s="213"/>
      <c r="JL47" s="213"/>
      <c r="JM47" s="213"/>
      <c r="JN47" s="213"/>
      <c r="JO47" s="213"/>
      <c r="JP47" s="213"/>
      <c r="JQ47" s="213"/>
      <c r="JR47" s="213"/>
      <c r="JS47" s="213"/>
      <c r="JT47" s="213"/>
      <c r="JU47" s="213"/>
      <c r="JV47" s="213"/>
      <c r="JW47" s="213"/>
      <c r="JX47" s="213"/>
      <c r="JY47" s="213"/>
      <c r="JZ47" s="213"/>
      <c r="KA47" s="213"/>
      <c r="KB47" s="213"/>
      <c r="KC47" s="213"/>
      <c r="KD47" s="213"/>
      <c r="KE47" s="213"/>
      <c r="KF47" s="213"/>
      <c r="KG47" s="213"/>
      <c r="KH47" s="213"/>
      <c r="KI47" s="213"/>
      <c r="KJ47" s="213"/>
      <c r="KK47" s="213"/>
      <c r="KL47" s="213"/>
      <c r="KM47" s="213"/>
      <c r="KN47" s="213"/>
      <c r="KO47" s="213"/>
      <c r="KP47" s="213"/>
      <c r="KQ47" s="213"/>
      <c r="KR47" s="213"/>
      <c r="KS47" s="213"/>
      <c r="KT47" s="213"/>
      <c r="KU47" s="213"/>
      <c r="KV47" s="213"/>
      <c r="KW47" s="213"/>
      <c r="KX47" s="213"/>
      <c r="KY47" s="213"/>
      <c r="KZ47" s="213"/>
      <c r="LA47" s="213"/>
      <c r="LB47" s="213"/>
      <c r="LC47" s="213"/>
      <c r="LD47" s="213"/>
      <c r="LE47" s="213"/>
      <c r="LF47" s="213"/>
      <c r="LG47" s="213"/>
      <c r="LH47" s="213"/>
      <c r="LI47" s="213"/>
      <c r="LJ47" s="213"/>
      <c r="LK47" s="213"/>
      <c r="LL47" s="213"/>
      <c r="LM47" s="213"/>
      <c r="LN47" s="213"/>
      <c r="LO47" s="213"/>
      <c r="LP47" s="213"/>
      <c r="LQ47" s="213"/>
      <c r="LR47" s="213"/>
      <c r="LS47" s="213"/>
      <c r="LT47" s="213"/>
      <c r="LU47" s="213"/>
      <c r="LV47" s="213"/>
      <c r="LW47" s="213"/>
      <c r="LX47" s="213"/>
      <c r="LY47" s="213"/>
      <c r="LZ47" s="213"/>
      <c r="MA47" s="213"/>
      <c r="MB47" s="213"/>
      <c r="MC47" s="213"/>
      <c r="MD47" s="213"/>
      <c r="ME47" s="213"/>
      <c r="MF47" s="213"/>
      <c r="MG47" s="213"/>
      <c r="MH47" s="213"/>
      <c r="MI47" s="213"/>
      <c r="MJ47" s="213"/>
      <c r="MK47" s="213"/>
      <c r="ML47" s="213"/>
      <c r="MM47" s="213"/>
      <c r="MN47" s="213"/>
      <c r="MO47" s="213"/>
      <c r="MP47" s="213"/>
      <c r="MQ47" s="213"/>
      <c r="MR47" s="213"/>
      <c r="MS47" s="213"/>
      <c r="MT47" s="213"/>
      <c r="MU47" s="213"/>
      <c r="MV47" s="213"/>
      <c r="MW47" s="213"/>
      <c r="MX47" s="213"/>
      <c r="MY47" s="213"/>
      <c r="MZ47" s="213"/>
      <c r="NA47" s="213"/>
      <c r="NB47" s="213"/>
      <c r="NC47" s="213"/>
      <c r="ND47" s="213"/>
      <c r="NE47" s="213"/>
      <c r="NF47" s="213"/>
      <c r="NG47" s="213"/>
      <c r="NH47" s="213"/>
      <c r="NI47" s="213"/>
      <c r="NJ47" s="213"/>
      <c r="NK47" s="213"/>
      <c r="NL47" s="213"/>
      <c r="NM47" s="213"/>
      <c r="NN47" s="213"/>
      <c r="NO47" s="213"/>
      <c r="NP47" s="213"/>
      <c r="NQ47" s="213"/>
      <c r="NR47" s="213"/>
      <c r="NS47" s="213"/>
      <c r="NT47" s="213"/>
      <c r="NU47" s="213"/>
      <c r="NV47" s="213"/>
      <c r="NW47" s="213"/>
      <c r="NX47" s="213"/>
      <c r="NY47" s="213"/>
      <c r="NZ47" s="213"/>
      <c r="OA47" s="213"/>
      <c r="OB47" s="213"/>
      <c r="OC47" s="213"/>
      <c r="OD47" s="213"/>
      <c r="OE47" s="213"/>
      <c r="OF47" s="213"/>
      <c r="OG47" s="213"/>
      <c r="OH47" s="213"/>
      <c r="OI47" s="213"/>
      <c r="OJ47" s="213"/>
      <c r="OK47" s="213"/>
      <c r="OL47" s="213"/>
      <c r="OM47" s="213"/>
      <c r="ON47" s="213"/>
      <c r="OO47" s="213"/>
      <c r="OP47" s="213"/>
      <c r="OQ47" s="213"/>
      <c r="OR47" s="213"/>
      <c r="OS47" s="213"/>
      <c r="OT47" s="213"/>
      <c r="OU47" s="213"/>
      <c r="OV47" s="213"/>
      <c r="OW47" s="213"/>
      <c r="OX47" s="213"/>
      <c r="OY47" s="213"/>
      <c r="OZ47" s="213"/>
      <c r="PA47" s="213"/>
      <c r="PB47" s="213"/>
      <c r="PC47" s="213"/>
      <c r="PD47" s="213"/>
      <c r="PE47" s="213"/>
      <c r="PF47" s="213"/>
      <c r="PG47" s="213"/>
      <c r="PH47" s="213"/>
      <c r="PI47" s="213"/>
      <c r="PJ47" s="213"/>
      <c r="PK47" s="213"/>
      <c r="PL47" s="213"/>
      <c r="PM47" s="213"/>
      <c r="PN47" s="213"/>
      <c r="PO47" s="213"/>
      <c r="PP47" s="213"/>
      <c r="PQ47" s="213"/>
      <c r="PR47" s="213"/>
      <c r="PS47" s="213"/>
      <c r="PT47" s="213"/>
      <c r="PU47" s="213"/>
      <c r="PV47" s="213"/>
      <c r="PW47" s="213"/>
      <c r="PX47" s="213"/>
      <c r="PY47" s="213"/>
      <c r="PZ47" s="213"/>
      <c r="QA47" s="213"/>
      <c r="QB47" s="213"/>
      <c r="QC47" s="213"/>
      <c r="QD47" s="213"/>
      <c r="QE47" s="213"/>
      <c r="QF47" s="213"/>
      <c r="QG47" s="213"/>
      <c r="QH47" s="213"/>
      <c r="QI47" s="213"/>
      <c r="QJ47" s="213"/>
      <c r="QK47" s="213"/>
      <c r="QL47" s="213"/>
      <c r="QM47" s="213"/>
      <c r="QN47" s="213"/>
      <c r="QO47" s="213"/>
      <c r="QP47" s="213"/>
      <c r="QQ47" s="213"/>
      <c r="QR47" s="213"/>
      <c r="QS47" s="213"/>
      <c r="QT47" s="213"/>
      <c r="QU47" s="213"/>
      <c r="QV47" s="213"/>
      <c r="QW47" s="213"/>
      <c r="QX47" s="213"/>
      <c r="QY47" s="213"/>
      <c r="QZ47" s="213"/>
      <c r="RA47" s="213"/>
      <c r="RB47" s="213"/>
      <c r="RC47" s="213"/>
      <c r="RD47" s="213"/>
      <c r="RE47" s="213"/>
      <c r="RF47" s="213"/>
      <c r="RG47" s="213"/>
      <c r="RH47" s="213"/>
      <c r="RI47" s="213"/>
      <c r="RJ47" s="213"/>
      <c r="RK47" s="213"/>
      <c r="RL47" s="213"/>
      <c r="RM47" s="213"/>
      <c r="RN47" s="213"/>
      <c r="RO47" s="213"/>
      <c r="RP47" s="213"/>
      <c r="RQ47" s="213"/>
      <c r="RR47" s="213"/>
      <c r="RS47" s="213"/>
      <c r="RT47" s="213"/>
      <c r="RU47" s="213"/>
      <c r="RV47" s="213"/>
      <c r="RW47" s="213"/>
      <c r="RX47" s="213"/>
      <c r="RY47" s="213"/>
      <c r="RZ47" s="213"/>
      <c r="SA47" s="213"/>
      <c r="SB47" s="213"/>
      <c r="SC47" s="213"/>
      <c r="SD47" s="213"/>
      <c r="SE47" s="213"/>
      <c r="SF47" s="213"/>
      <c r="SG47" s="213"/>
      <c r="SH47" s="213"/>
      <c r="SI47" s="213"/>
      <c r="SJ47" s="213"/>
      <c r="SK47" s="213"/>
      <c r="SL47" s="213"/>
      <c r="SM47" s="213"/>
      <c r="SN47" s="213"/>
      <c r="SO47" s="213"/>
      <c r="SP47" s="213"/>
      <c r="SQ47" s="213"/>
      <c r="SR47" s="213"/>
      <c r="SS47" s="213"/>
      <c r="ST47" s="213"/>
      <c r="SU47" s="213"/>
      <c r="SV47" s="213"/>
      <c r="SW47" s="213"/>
      <c r="SX47" s="213"/>
      <c r="SY47" s="213"/>
      <c r="SZ47" s="213"/>
      <c r="TA47" s="213"/>
      <c r="TB47" s="213"/>
      <c r="TC47" s="213"/>
      <c r="TD47" s="213"/>
      <c r="TE47" s="213"/>
      <c r="TF47" s="213"/>
      <c r="TG47" s="213"/>
      <c r="TH47" s="213"/>
      <c r="TI47" s="213"/>
      <c r="TJ47" s="213"/>
      <c r="TK47" s="213"/>
      <c r="TL47" s="213"/>
      <c r="TM47" s="213"/>
      <c r="TN47" s="213"/>
      <c r="TO47" s="213"/>
      <c r="TP47" s="213"/>
      <c r="TQ47" s="213"/>
      <c r="TR47" s="213"/>
      <c r="TS47" s="213"/>
      <c r="TT47" s="213"/>
      <c r="TU47" s="213"/>
      <c r="TV47" s="213"/>
      <c r="TW47" s="213"/>
      <c r="TX47" s="213"/>
      <c r="TY47" s="213"/>
      <c r="TZ47" s="213"/>
      <c r="UA47" s="213"/>
      <c r="UB47" s="213"/>
      <c r="UC47" s="213"/>
      <c r="UD47" s="213"/>
      <c r="UE47" s="213"/>
      <c r="UF47" s="213"/>
      <c r="UG47" s="213"/>
      <c r="UH47" s="213"/>
      <c r="UI47" s="213"/>
      <c r="UJ47" s="213"/>
      <c r="UK47" s="213"/>
      <c r="UL47" s="213"/>
      <c r="UM47" s="213"/>
      <c r="UN47" s="213"/>
      <c r="UO47" s="213"/>
      <c r="UP47" s="213"/>
      <c r="UQ47" s="213"/>
      <c r="UR47" s="213"/>
      <c r="US47" s="213"/>
      <c r="UT47" s="213"/>
      <c r="UU47" s="213"/>
      <c r="UV47" s="213"/>
      <c r="UW47" s="213"/>
      <c r="UX47" s="213"/>
      <c r="UY47" s="213"/>
      <c r="UZ47" s="213"/>
      <c r="VA47" s="213"/>
      <c r="VB47" s="213"/>
      <c r="VC47" s="213"/>
      <c r="VD47" s="213"/>
      <c r="VE47" s="213"/>
      <c r="VF47" s="213"/>
      <c r="VG47" s="213"/>
      <c r="VH47" s="213"/>
      <c r="VI47" s="213"/>
      <c r="VJ47" s="213"/>
      <c r="VK47" s="213"/>
      <c r="VL47" s="213"/>
      <c r="VM47" s="213"/>
      <c r="VN47" s="213"/>
      <c r="VO47" s="213"/>
      <c r="VP47" s="213"/>
      <c r="VQ47" s="213"/>
      <c r="VR47" s="213"/>
      <c r="VS47" s="213"/>
      <c r="VT47" s="213"/>
      <c r="VU47" s="213"/>
      <c r="VV47" s="213"/>
      <c r="VW47" s="213"/>
      <c r="VX47" s="213"/>
      <c r="VY47" s="213"/>
      <c r="VZ47" s="213"/>
      <c r="WA47" s="213"/>
      <c r="WB47" s="213"/>
      <c r="WC47" s="213"/>
      <c r="WD47" s="213"/>
      <c r="WE47" s="213"/>
      <c r="WF47" s="213"/>
      <c r="WG47" s="213"/>
      <c r="WH47" s="213"/>
      <c r="WI47" s="213"/>
      <c r="WJ47" s="213"/>
      <c r="WK47" s="213"/>
      <c r="WL47" s="213"/>
      <c r="WM47" s="213"/>
      <c r="WN47" s="213"/>
      <c r="WO47" s="213"/>
      <c r="WP47" s="213"/>
      <c r="WQ47" s="213"/>
      <c r="WR47" s="213"/>
      <c r="WS47" s="213"/>
      <c r="WT47" s="213"/>
      <c r="WU47" s="213"/>
      <c r="WV47" s="213"/>
      <c r="WW47" s="213"/>
      <c r="WX47" s="213"/>
      <c r="WY47" s="213"/>
      <c r="WZ47" s="213"/>
      <c r="XA47" s="213"/>
      <c r="XB47" s="213"/>
      <c r="XC47" s="213"/>
      <c r="XD47" s="213"/>
      <c r="XE47" s="213"/>
      <c r="XF47" s="213"/>
      <c r="XG47" s="213"/>
      <c r="XH47" s="213"/>
      <c r="XI47" s="213"/>
      <c r="XJ47" s="213"/>
      <c r="XK47" s="213"/>
      <c r="XL47" s="213"/>
      <c r="XM47" s="213"/>
      <c r="XN47" s="213"/>
      <c r="XO47" s="213"/>
      <c r="XP47" s="213"/>
      <c r="XQ47" s="213"/>
      <c r="XR47" s="213"/>
      <c r="XS47" s="213"/>
      <c r="XT47" s="213"/>
      <c r="XU47" s="213"/>
      <c r="XV47" s="213"/>
      <c r="XW47" s="213"/>
      <c r="XX47" s="213"/>
      <c r="XY47" s="213"/>
      <c r="XZ47" s="213"/>
      <c r="YA47" s="213"/>
      <c r="YB47" s="213"/>
      <c r="YC47" s="213"/>
      <c r="YD47" s="213"/>
      <c r="YE47" s="213"/>
      <c r="YF47" s="213"/>
      <c r="YG47" s="213"/>
      <c r="YH47" s="213"/>
      <c r="YI47" s="213"/>
      <c r="YJ47" s="213"/>
      <c r="YK47" s="213"/>
      <c r="YL47" s="213"/>
      <c r="YM47" s="213"/>
      <c r="YN47" s="213"/>
      <c r="YO47" s="213"/>
      <c r="YP47" s="213"/>
      <c r="YQ47" s="213"/>
      <c r="YR47" s="213"/>
      <c r="YS47" s="213"/>
      <c r="YT47" s="213"/>
      <c r="YU47" s="213"/>
      <c r="YV47" s="213"/>
      <c r="YW47" s="213"/>
      <c r="YX47" s="213"/>
      <c r="YY47" s="213"/>
      <c r="YZ47" s="213"/>
      <c r="ZA47" s="213"/>
      <c r="ZB47" s="213"/>
      <c r="ZC47" s="213"/>
      <c r="ZD47" s="213"/>
      <c r="ZE47" s="213"/>
      <c r="ZF47" s="213"/>
      <c r="ZG47" s="213"/>
      <c r="ZH47" s="213"/>
      <c r="ZI47" s="213"/>
      <c r="ZJ47" s="213"/>
      <c r="ZK47" s="213"/>
      <c r="ZL47" s="213"/>
      <c r="ZM47" s="213"/>
      <c r="ZN47" s="213"/>
      <c r="ZO47" s="213"/>
      <c r="ZP47" s="213"/>
      <c r="ZQ47" s="213"/>
      <c r="ZR47" s="213"/>
      <c r="ZS47" s="213"/>
      <c r="ZT47" s="213"/>
      <c r="ZU47" s="213"/>
      <c r="ZV47" s="213"/>
      <c r="ZW47" s="213"/>
      <c r="ZX47" s="213"/>
      <c r="ZY47" s="213"/>
      <c r="ZZ47" s="213"/>
      <c r="AAA47" s="213"/>
      <c r="AAB47" s="213"/>
      <c r="AAC47" s="213"/>
      <c r="AAD47" s="213"/>
      <c r="AAE47" s="213"/>
      <c r="AAF47" s="213"/>
      <c r="AAG47" s="213"/>
      <c r="AAH47" s="213"/>
      <c r="AAI47" s="213"/>
      <c r="AAJ47" s="213"/>
      <c r="AAK47" s="213"/>
      <c r="AAL47" s="213"/>
      <c r="AAM47" s="213"/>
      <c r="AAN47" s="213"/>
      <c r="AAO47" s="213"/>
      <c r="AAP47" s="213"/>
      <c r="AAQ47" s="213"/>
      <c r="AAR47" s="213"/>
      <c r="AAS47" s="213"/>
      <c r="AAT47" s="213"/>
      <c r="AAU47" s="213"/>
      <c r="AAV47" s="213"/>
      <c r="AAW47" s="213"/>
      <c r="AAX47" s="213"/>
      <c r="AAY47" s="213"/>
      <c r="AAZ47" s="213"/>
      <c r="ABA47" s="213"/>
      <c r="ABB47" s="213"/>
      <c r="ABC47" s="213"/>
      <c r="ABD47" s="213"/>
      <c r="ABE47" s="213"/>
      <c r="ABF47" s="213"/>
      <c r="ABG47" s="213"/>
      <c r="ABH47" s="213"/>
      <c r="ABI47" s="213"/>
      <c r="ABJ47" s="213"/>
      <c r="ABK47" s="213"/>
      <c r="ABL47" s="213"/>
      <c r="ABM47" s="213"/>
      <c r="ABN47" s="213"/>
      <c r="ABO47" s="213"/>
      <c r="ABP47" s="213"/>
      <c r="ABQ47" s="213"/>
      <c r="ABR47" s="213"/>
      <c r="ABS47" s="213"/>
      <c r="ABT47" s="213"/>
      <c r="ABU47" s="213"/>
      <c r="ABV47" s="213"/>
      <c r="ABW47" s="213"/>
      <c r="ABX47" s="213"/>
      <c r="ABY47" s="213"/>
      <c r="ABZ47" s="213"/>
      <c r="ACA47" s="213"/>
      <c r="ACB47" s="213"/>
      <c r="ACC47" s="213"/>
      <c r="ACD47" s="213"/>
      <c r="ACE47" s="213"/>
      <c r="ACF47" s="213"/>
      <c r="ACG47" s="213"/>
      <c r="ACH47" s="213"/>
      <c r="ACI47" s="213"/>
      <c r="ACJ47" s="213"/>
      <c r="ACK47" s="213"/>
      <c r="ACL47" s="213"/>
      <c r="ACM47" s="213"/>
      <c r="ACN47" s="213"/>
      <c r="ACO47" s="213"/>
      <c r="ACP47" s="213"/>
      <c r="ACQ47" s="213"/>
      <c r="ACR47" s="213"/>
      <c r="ACS47" s="213"/>
      <c r="ACT47" s="213"/>
      <c r="ACU47" s="213"/>
      <c r="ACV47" s="213"/>
      <c r="ACW47" s="213"/>
      <c r="ACX47" s="213"/>
      <c r="ACY47" s="213"/>
      <c r="ACZ47" s="213"/>
      <c r="ADA47" s="213"/>
      <c r="ADB47" s="213"/>
      <c r="ADC47" s="213"/>
      <c r="ADD47" s="213"/>
      <c r="ADE47" s="213"/>
      <c r="ADF47" s="213"/>
      <c r="ADG47" s="213"/>
      <c r="ADH47" s="213"/>
      <c r="ADI47" s="213"/>
      <c r="ADJ47" s="213"/>
      <c r="ADK47" s="213"/>
      <c r="ADL47" s="213"/>
      <c r="ADM47" s="213"/>
      <c r="ADN47" s="213"/>
      <c r="ADO47" s="213"/>
      <c r="ADP47" s="213"/>
      <c r="ADQ47" s="213"/>
      <c r="ADR47" s="213"/>
      <c r="ADS47" s="213"/>
      <c r="ADT47" s="213"/>
      <c r="ADU47" s="213"/>
      <c r="ADV47" s="213"/>
      <c r="ADW47" s="213"/>
      <c r="ADX47" s="213"/>
      <c r="ADY47" s="213"/>
      <c r="ADZ47" s="213"/>
      <c r="AEA47" s="213"/>
      <c r="AEB47" s="213"/>
      <c r="AEC47" s="213"/>
      <c r="AED47" s="213"/>
      <c r="AEE47" s="213"/>
      <c r="AEF47" s="213"/>
      <c r="AEG47" s="213"/>
      <c r="AEH47" s="213"/>
      <c r="AEI47" s="213"/>
      <c r="AEJ47" s="213"/>
      <c r="AEK47" s="213"/>
      <c r="AEL47" s="213"/>
      <c r="AEM47" s="213"/>
      <c r="AEN47" s="213"/>
      <c r="AEO47" s="213"/>
      <c r="AEP47" s="213"/>
      <c r="AEQ47" s="213"/>
      <c r="AER47" s="213"/>
      <c r="AES47" s="213"/>
      <c r="AET47" s="213"/>
      <c r="AEU47" s="213"/>
      <c r="AEV47" s="213"/>
      <c r="AEW47" s="213"/>
      <c r="AEX47" s="213"/>
      <c r="AEY47" s="213"/>
      <c r="AEZ47" s="213"/>
      <c r="AFA47" s="213"/>
      <c r="AFB47" s="213"/>
      <c r="AFC47" s="213"/>
      <c r="AFD47" s="213"/>
      <c r="AFE47" s="213"/>
      <c r="AFF47" s="213"/>
      <c r="AFG47" s="213"/>
      <c r="AFH47" s="213"/>
      <c r="AFI47" s="213"/>
      <c r="AFJ47" s="213"/>
      <c r="AFK47" s="213"/>
      <c r="AFL47" s="213"/>
      <c r="AFM47" s="213"/>
      <c r="AFN47" s="213"/>
      <c r="AFO47" s="213"/>
      <c r="AFP47" s="213"/>
      <c r="AFQ47" s="213"/>
      <c r="AFR47" s="213"/>
      <c r="AFS47" s="213"/>
      <c r="AFT47" s="213"/>
      <c r="AFU47" s="213"/>
      <c r="AFV47" s="213"/>
      <c r="AFW47" s="213"/>
      <c r="AFX47" s="213"/>
      <c r="AFY47" s="213"/>
      <c r="AFZ47" s="213"/>
      <c r="AGA47" s="213"/>
      <c r="AGB47" s="213"/>
      <c r="AGC47" s="213"/>
      <c r="AGD47" s="213"/>
      <c r="AGE47" s="213"/>
      <c r="AGF47" s="213"/>
      <c r="AGG47" s="213"/>
      <c r="AGH47" s="213"/>
      <c r="AGI47" s="213"/>
      <c r="AGJ47" s="213"/>
      <c r="AGK47" s="213"/>
      <c r="AGL47" s="213"/>
      <c r="AGM47" s="213"/>
      <c r="AGN47" s="213"/>
      <c r="AGO47" s="213"/>
      <c r="AGP47" s="213"/>
      <c r="AGQ47" s="213"/>
      <c r="AGR47" s="213"/>
      <c r="AGS47" s="213"/>
      <c r="AGT47" s="213"/>
      <c r="AGU47" s="213"/>
      <c r="AGV47" s="213"/>
      <c r="AGW47" s="213"/>
      <c r="AGX47" s="213"/>
      <c r="AGY47" s="213"/>
      <c r="AGZ47" s="213"/>
      <c r="AHA47" s="213"/>
      <c r="AHB47" s="213"/>
      <c r="AHC47" s="213"/>
      <c r="AHD47" s="213"/>
      <c r="AHE47" s="213"/>
      <c r="AHF47" s="213"/>
      <c r="AHG47" s="213"/>
      <c r="AHH47" s="213"/>
      <c r="AHI47" s="213"/>
      <c r="AHJ47" s="213"/>
      <c r="AHK47" s="213"/>
      <c r="AHL47" s="213"/>
      <c r="AHM47" s="213"/>
      <c r="AHN47" s="213"/>
      <c r="AHO47" s="213"/>
      <c r="AHP47" s="213"/>
      <c r="AHQ47" s="213"/>
      <c r="AHR47" s="213"/>
      <c r="AHS47" s="213"/>
      <c r="AHT47" s="213"/>
      <c r="AHU47" s="213"/>
      <c r="AHV47" s="213"/>
      <c r="AHW47" s="213"/>
      <c r="AHX47" s="213"/>
      <c r="AHY47" s="213"/>
      <c r="AHZ47" s="213"/>
      <c r="AIA47" s="213"/>
      <c r="AIB47" s="213"/>
      <c r="AIC47" s="213"/>
      <c r="AID47" s="213"/>
      <c r="AIE47" s="213"/>
      <c r="AIF47" s="213"/>
      <c r="AIG47" s="213"/>
      <c r="AIH47" s="213"/>
      <c r="AII47" s="213"/>
      <c r="AIJ47" s="213"/>
      <c r="AIK47" s="213"/>
      <c r="AIL47" s="213"/>
      <c r="AIM47" s="213"/>
      <c r="AIN47" s="213"/>
      <c r="AIO47" s="213"/>
      <c r="AIP47" s="213"/>
      <c r="AIQ47" s="213"/>
      <c r="AIR47" s="213"/>
      <c r="AIS47" s="213"/>
      <c r="AIT47" s="213"/>
      <c r="AIU47" s="213"/>
      <c r="AIV47" s="213"/>
      <c r="AIW47" s="213"/>
      <c r="AIX47" s="213"/>
      <c r="AIY47" s="213"/>
      <c r="AIZ47" s="213"/>
      <c r="AJA47" s="213"/>
      <c r="AJB47" s="213"/>
      <c r="AJC47" s="213"/>
      <c r="AJD47" s="213"/>
      <c r="AJE47" s="213"/>
      <c r="AJF47" s="213"/>
      <c r="AJG47" s="213"/>
      <c r="AJH47" s="213"/>
      <c r="AJI47" s="213"/>
      <c r="AJJ47" s="213"/>
      <c r="AJK47" s="213"/>
      <c r="AJL47" s="213"/>
      <c r="AJM47" s="213"/>
      <c r="AJN47" s="213"/>
      <c r="AJO47" s="213"/>
      <c r="AJP47" s="213"/>
      <c r="AJQ47" s="213"/>
      <c r="AJR47" s="213"/>
      <c r="AJS47" s="213"/>
      <c r="AJT47" s="213"/>
      <c r="AJU47" s="213"/>
      <c r="AJV47" s="213"/>
      <c r="AJW47" s="213"/>
      <c r="AJX47" s="213"/>
      <c r="AJY47" s="213"/>
      <c r="AJZ47" s="213"/>
      <c r="AKA47" s="213"/>
      <c r="AKB47" s="213"/>
      <c r="AKC47" s="213"/>
      <c r="AKD47" s="213"/>
      <c r="AKE47" s="213"/>
      <c r="AKF47" s="213"/>
      <c r="AKG47" s="213"/>
      <c r="AKH47" s="213"/>
      <c r="AKI47" s="213"/>
      <c r="AKJ47" s="213"/>
      <c r="AKK47" s="213"/>
      <c r="AKL47" s="213"/>
      <c r="AKM47" s="213"/>
      <c r="AKN47" s="213"/>
      <c r="AKO47" s="213"/>
      <c r="AKP47" s="213"/>
      <c r="AKQ47" s="213"/>
      <c r="AKR47" s="213"/>
      <c r="AKS47" s="213"/>
      <c r="AKT47" s="213"/>
      <c r="AKU47" s="213"/>
      <c r="AKV47" s="213"/>
      <c r="AKW47" s="213"/>
      <c r="AKX47" s="213"/>
      <c r="AKY47" s="213"/>
      <c r="AKZ47" s="213"/>
      <c r="ALA47" s="213"/>
      <c r="ALB47" s="213"/>
      <c r="ALC47" s="213"/>
      <c r="ALD47" s="213"/>
      <c r="ALE47" s="213"/>
      <c r="ALF47" s="213"/>
      <c r="ALG47" s="213"/>
      <c r="ALH47" s="213"/>
      <c r="ALI47" s="213"/>
      <c r="ALJ47" s="213"/>
      <c r="ALK47" s="213"/>
      <c r="ALL47" s="213"/>
      <c r="ALM47" s="213"/>
      <c r="ALN47" s="213"/>
      <c r="ALO47" s="213"/>
      <c r="ALP47" s="213"/>
      <c r="ALQ47" s="213"/>
      <c r="ALR47" s="213"/>
      <c r="ALS47" s="213"/>
      <c r="ALT47" s="213"/>
      <c r="ALU47" s="213"/>
      <c r="ALV47" s="213"/>
      <c r="ALW47" s="213"/>
      <c r="ALX47" s="213"/>
      <c r="ALY47" s="213"/>
      <c r="ALZ47" s="213"/>
      <c r="AMA47" s="213"/>
      <c r="AMB47" s="213"/>
      <c r="AMC47" s="213"/>
      <c r="AMD47" s="213"/>
      <c r="AME47" s="213"/>
      <c r="AMF47" s="213"/>
      <c r="AMG47" s="213"/>
      <c r="AMH47" s="213"/>
      <c r="AMI47" s="213"/>
      <c r="AMJ47" s="213"/>
      <c r="AMK47" s="213"/>
      <c r="AML47" s="213"/>
      <c r="AMM47" s="213"/>
      <c r="AMN47" s="213"/>
      <c r="AMO47" s="213"/>
      <c r="AMP47" s="213"/>
      <c r="AMQ47" s="213"/>
      <c r="AMR47" s="213"/>
      <c r="AMS47" s="213"/>
      <c r="AMT47" s="213"/>
      <c r="AMU47" s="213"/>
      <c r="AMV47" s="213"/>
      <c r="AMW47" s="213"/>
      <c r="AMX47" s="213"/>
      <c r="AMY47" s="213"/>
      <c r="AMZ47" s="213"/>
      <c r="ANA47" s="213"/>
      <c r="ANB47" s="213"/>
      <c r="ANC47" s="213"/>
      <c r="AND47" s="213"/>
      <c r="ANE47" s="213"/>
      <c r="ANF47" s="213"/>
      <c r="ANG47" s="213"/>
      <c r="ANH47" s="213"/>
      <c r="ANI47" s="213"/>
      <c r="ANJ47" s="213"/>
      <c r="ANK47" s="213"/>
      <c r="ANL47" s="213"/>
      <c r="ANM47" s="213"/>
      <c r="ANN47" s="213"/>
      <c r="ANO47" s="213"/>
      <c r="ANP47" s="213"/>
      <c r="ANQ47" s="213"/>
      <c r="ANR47" s="213"/>
      <c r="ANS47" s="213"/>
      <c r="ANT47" s="213"/>
      <c r="ANU47" s="213"/>
      <c r="ANV47" s="213"/>
      <c r="ANW47" s="213"/>
      <c r="ANX47" s="213"/>
      <c r="ANY47" s="213"/>
      <c r="ANZ47" s="213"/>
      <c r="AOA47" s="213"/>
      <c r="AOB47" s="213"/>
      <c r="AOC47" s="213"/>
      <c r="AOD47" s="213"/>
      <c r="AOE47" s="213"/>
      <c r="AOF47" s="213"/>
      <c r="AOG47" s="213"/>
      <c r="AOH47" s="213"/>
      <c r="AOI47" s="213"/>
      <c r="AOJ47" s="213"/>
      <c r="AOK47" s="213"/>
      <c r="AOL47" s="213"/>
      <c r="AOM47" s="213"/>
      <c r="AON47" s="213"/>
      <c r="AOO47" s="213"/>
      <c r="AOP47" s="213"/>
      <c r="AOQ47" s="213"/>
      <c r="AOR47" s="213"/>
      <c r="AOS47" s="213"/>
      <c r="AOT47" s="213"/>
      <c r="AOU47" s="213"/>
      <c r="AOV47" s="213"/>
      <c r="AOW47" s="213"/>
      <c r="AOX47" s="213"/>
      <c r="AOY47" s="213"/>
      <c r="AOZ47" s="213"/>
      <c r="APA47" s="213"/>
      <c r="APB47" s="213"/>
      <c r="APC47" s="213"/>
      <c r="APD47" s="213"/>
      <c r="APE47" s="213"/>
      <c r="APF47" s="213"/>
      <c r="APG47" s="213"/>
      <c r="APH47" s="213"/>
      <c r="API47" s="213"/>
      <c r="APJ47" s="213"/>
      <c r="APK47" s="213"/>
      <c r="APL47" s="213"/>
      <c r="APM47" s="213"/>
      <c r="APN47" s="213"/>
      <c r="APO47" s="213"/>
      <c r="APP47" s="213"/>
      <c r="APQ47" s="213"/>
      <c r="APR47" s="213"/>
      <c r="APS47" s="213"/>
      <c r="APT47" s="213"/>
      <c r="APU47" s="213"/>
      <c r="APV47" s="213"/>
      <c r="APW47" s="213"/>
      <c r="APX47" s="213"/>
      <c r="APY47" s="213"/>
      <c r="APZ47" s="213"/>
      <c r="AQA47" s="213"/>
      <c r="AQB47" s="213"/>
      <c r="AQC47" s="213"/>
      <c r="AQD47" s="213"/>
      <c r="AQE47" s="213"/>
      <c r="AQF47" s="213"/>
      <c r="AQG47" s="213"/>
      <c r="AQH47" s="213"/>
      <c r="AQI47" s="213"/>
      <c r="AQJ47" s="213"/>
      <c r="AQK47" s="213"/>
      <c r="AQL47" s="213"/>
      <c r="AQM47" s="213"/>
      <c r="AQN47" s="213"/>
      <c r="AQO47" s="213"/>
      <c r="AQP47" s="213"/>
      <c r="AQQ47" s="213"/>
      <c r="AQR47" s="213"/>
      <c r="AQS47" s="213"/>
      <c r="AQT47" s="213"/>
      <c r="AQU47" s="213"/>
      <c r="AQV47" s="213"/>
      <c r="AQW47" s="213"/>
      <c r="AQX47" s="213"/>
      <c r="AQY47" s="213"/>
      <c r="AQZ47" s="213"/>
      <c r="ARA47" s="213"/>
      <c r="ARB47" s="213"/>
      <c r="ARC47" s="213"/>
      <c r="ARD47" s="213"/>
      <c r="ARE47" s="213"/>
      <c r="ARF47" s="213"/>
      <c r="ARG47" s="213"/>
      <c r="ARH47" s="213"/>
      <c r="ARI47" s="213"/>
      <c r="ARJ47" s="213"/>
      <c r="ARK47" s="213"/>
      <c r="ARL47" s="213"/>
      <c r="ARM47" s="213"/>
      <c r="ARN47" s="213"/>
      <c r="ARO47" s="213"/>
      <c r="ARP47" s="213"/>
      <c r="ARQ47" s="213"/>
      <c r="ARR47" s="213"/>
      <c r="ARS47" s="213"/>
      <c r="ART47" s="213"/>
      <c r="ARU47" s="213"/>
      <c r="ARV47" s="213"/>
      <c r="ARW47" s="213"/>
      <c r="ARX47" s="213"/>
      <c r="ARY47" s="213"/>
      <c r="ARZ47" s="213"/>
      <c r="ASA47" s="213"/>
      <c r="ASB47" s="213"/>
      <c r="ASC47" s="213"/>
      <c r="ASD47" s="213"/>
      <c r="ASE47" s="213"/>
      <c r="ASF47" s="213"/>
      <c r="ASG47" s="213"/>
      <c r="ASH47" s="213"/>
      <c r="ASI47" s="213"/>
      <c r="ASJ47" s="213"/>
      <c r="ASK47" s="213"/>
      <c r="ASL47" s="213"/>
      <c r="ASM47" s="213"/>
      <c r="ASN47" s="213"/>
      <c r="ASO47" s="213"/>
      <c r="ASP47" s="213"/>
      <c r="ASQ47" s="213"/>
      <c r="ASR47" s="213"/>
      <c r="ASS47" s="213"/>
      <c r="AST47" s="213"/>
      <c r="ASU47" s="213"/>
      <c r="ASV47" s="213"/>
      <c r="ASW47" s="213"/>
      <c r="ASX47" s="213"/>
      <c r="ASY47" s="213"/>
      <c r="ASZ47" s="213"/>
      <c r="ATA47" s="213"/>
      <c r="ATB47" s="213"/>
      <c r="ATC47" s="213"/>
      <c r="ATD47" s="213"/>
      <c r="ATE47" s="213"/>
      <c r="ATF47" s="213"/>
      <c r="ATG47" s="213"/>
      <c r="ATH47" s="213"/>
      <c r="ATI47" s="213"/>
      <c r="ATJ47" s="213"/>
      <c r="ATK47" s="213"/>
      <c r="ATL47" s="213"/>
      <c r="ATM47" s="213"/>
      <c r="ATN47" s="213"/>
      <c r="ATO47" s="213"/>
      <c r="ATP47" s="213"/>
      <c r="ATQ47" s="213"/>
      <c r="ATR47" s="213"/>
      <c r="ATS47" s="213"/>
      <c r="ATT47" s="213"/>
      <c r="ATU47" s="213"/>
      <c r="ATV47" s="213"/>
      <c r="ATW47" s="213"/>
      <c r="ATX47" s="213"/>
      <c r="ATY47" s="213"/>
      <c r="ATZ47" s="213"/>
      <c r="AUA47" s="213"/>
      <c r="AUB47" s="213"/>
      <c r="AUC47" s="213"/>
      <c r="AUD47" s="213"/>
      <c r="AUE47" s="213"/>
      <c r="AUF47" s="213"/>
      <c r="AUG47" s="213"/>
      <c r="AUH47" s="213"/>
      <c r="AUI47" s="213"/>
      <c r="AUJ47" s="213"/>
      <c r="AUK47" s="213"/>
      <c r="AUL47" s="213"/>
      <c r="AUM47" s="213"/>
      <c r="AUN47" s="213"/>
      <c r="AUO47" s="213"/>
      <c r="AUP47" s="213"/>
      <c r="AUQ47" s="213"/>
      <c r="AUR47" s="213"/>
      <c r="AUS47" s="213"/>
      <c r="AUT47" s="213"/>
      <c r="AUU47" s="213"/>
      <c r="AUV47" s="213"/>
      <c r="AUW47" s="213"/>
      <c r="AUX47" s="213"/>
      <c r="AUY47" s="213"/>
      <c r="AUZ47" s="213"/>
      <c r="AVA47" s="213"/>
      <c r="AVB47" s="213"/>
      <c r="AVC47" s="213"/>
      <c r="AVD47" s="213"/>
      <c r="AVE47" s="213"/>
      <c r="AVF47" s="213"/>
      <c r="AVG47" s="213"/>
      <c r="AVH47" s="213"/>
      <c r="AVI47" s="213"/>
      <c r="AVJ47" s="213"/>
      <c r="AVK47" s="213"/>
      <c r="AVL47" s="213"/>
      <c r="AVM47" s="213"/>
      <c r="AVN47" s="213"/>
      <c r="AVO47" s="213"/>
      <c r="AVP47" s="213"/>
      <c r="AVQ47" s="213"/>
      <c r="AVR47" s="213"/>
      <c r="AVS47" s="213"/>
      <c r="AVT47" s="213"/>
      <c r="AVU47" s="213"/>
      <c r="AVV47" s="213"/>
      <c r="AVW47" s="213"/>
      <c r="AVX47" s="213"/>
      <c r="AVY47" s="213"/>
      <c r="AVZ47" s="213"/>
      <c r="AWA47" s="213"/>
      <c r="AWB47" s="213"/>
      <c r="AWC47" s="213"/>
      <c r="AWD47" s="213"/>
      <c r="AWE47" s="213"/>
      <c r="AWF47" s="213"/>
      <c r="AWG47" s="213"/>
      <c r="AWH47" s="213"/>
      <c r="AWI47" s="213"/>
      <c r="AWJ47" s="213"/>
      <c r="AWK47" s="213"/>
      <c r="AWL47" s="213"/>
      <c r="AWM47" s="213"/>
      <c r="AWN47" s="213"/>
      <c r="AWO47" s="213"/>
      <c r="AWP47" s="213"/>
      <c r="AWQ47" s="213"/>
      <c r="AWR47" s="213"/>
      <c r="AWS47" s="213"/>
      <c r="AWT47" s="213"/>
      <c r="AWU47" s="213"/>
      <c r="AWV47" s="213"/>
      <c r="AWW47" s="213"/>
      <c r="AWX47" s="213"/>
      <c r="AWY47" s="213"/>
      <c r="AWZ47" s="213"/>
      <c r="AXA47" s="213"/>
      <c r="AXB47" s="213"/>
      <c r="AXC47" s="213"/>
      <c r="AXD47" s="213"/>
      <c r="AXE47" s="213"/>
      <c r="AXF47" s="213"/>
      <c r="AXG47" s="213"/>
      <c r="AXH47" s="213"/>
      <c r="AXI47" s="213"/>
      <c r="AXJ47" s="213"/>
      <c r="AXK47" s="213"/>
      <c r="AXL47" s="213"/>
      <c r="AXM47" s="213"/>
      <c r="AXN47" s="213"/>
      <c r="AXO47" s="213"/>
      <c r="AXP47" s="213"/>
      <c r="AXQ47" s="213"/>
      <c r="AXR47" s="213"/>
      <c r="AXS47" s="213"/>
      <c r="AXT47" s="213"/>
      <c r="AXU47" s="213"/>
      <c r="AXV47" s="213"/>
      <c r="AXW47" s="213"/>
      <c r="AXX47" s="213"/>
      <c r="AXY47" s="213"/>
      <c r="AXZ47" s="213"/>
      <c r="AYA47" s="213"/>
      <c r="AYB47" s="213"/>
      <c r="AYC47" s="213"/>
      <c r="AYD47" s="213"/>
      <c r="AYE47" s="213"/>
      <c r="AYF47" s="213"/>
      <c r="AYG47" s="213"/>
      <c r="AYH47" s="213"/>
      <c r="AYI47" s="213"/>
      <c r="AYJ47" s="213"/>
      <c r="AYK47" s="213"/>
      <c r="AYL47" s="213"/>
      <c r="AYM47" s="213"/>
      <c r="AYN47" s="213"/>
      <c r="AYO47" s="213"/>
      <c r="AYP47" s="213"/>
      <c r="AYQ47" s="213"/>
      <c r="AYR47" s="213"/>
      <c r="AYS47" s="213"/>
      <c r="AYT47" s="213"/>
      <c r="AYU47" s="213"/>
      <c r="AYV47" s="213"/>
      <c r="AYW47" s="213"/>
      <c r="AYX47" s="213"/>
      <c r="AYY47" s="213"/>
      <c r="AYZ47" s="213"/>
      <c r="AZA47" s="213"/>
      <c r="AZB47" s="213"/>
      <c r="AZC47" s="213"/>
      <c r="AZD47" s="213"/>
      <c r="AZE47" s="213"/>
      <c r="AZF47" s="213"/>
      <c r="AZG47" s="213"/>
      <c r="AZH47" s="213"/>
      <c r="AZI47" s="213"/>
      <c r="AZJ47" s="213"/>
      <c r="AZK47" s="213"/>
      <c r="AZL47" s="213"/>
      <c r="AZM47" s="213"/>
      <c r="AZN47" s="213"/>
      <c r="AZO47" s="213"/>
      <c r="AZP47" s="213"/>
      <c r="AZQ47" s="213"/>
      <c r="AZR47" s="213"/>
      <c r="AZS47" s="213"/>
      <c r="AZT47" s="213"/>
      <c r="AZU47" s="213"/>
      <c r="AZV47" s="213"/>
      <c r="AZW47" s="213"/>
      <c r="AZX47" s="213"/>
      <c r="AZY47" s="213"/>
      <c r="AZZ47" s="213"/>
      <c r="BAA47" s="213"/>
      <c r="BAB47" s="213"/>
      <c r="BAC47" s="213"/>
      <c r="BAD47" s="213"/>
      <c r="BAE47" s="213"/>
      <c r="BAF47" s="213"/>
      <c r="BAG47" s="213"/>
      <c r="BAH47" s="213"/>
      <c r="BAI47" s="213"/>
      <c r="BAJ47" s="213"/>
      <c r="BAK47" s="213"/>
      <c r="BAL47" s="213"/>
      <c r="BAM47" s="213"/>
      <c r="BAN47" s="213"/>
      <c r="BAO47" s="213"/>
      <c r="BAP47" s="213"/>
      <c r="BAQ47" s="213"/>
      <c r="BAR47" s="213"/>
      <c r="BAS47" s="213"/>
      <c r="BAT47" s="213"/>
      <c r="BAU47" s="213"/>
      <c r="BAV47" s="213"/>
      <c r="BAW47" s="213"/>
      <c r="BAX47" s="213"/>
      <c r="BAY47" s="213"/>
      <c r="BAZ47" s="213"/>
      <c r="BBA47" s="213"/>
      <c r="BBB47" s="213"/>
      <c r="BBC47" s="213"/>
      <c r="BBD47" s="213"/>
      <c r="BBE47" s="213"/>
      <c r="BBF47" s="213"/>
      <c r="BBG47" s="213"/>
      <c r="BBH47" s="213"/>
      <c r="BBI47" s="213"/>
      <c r="BBJ47" s="213"/>
      <c r="BBK47" s="213"/>
      <c r="BBL47" s="213"/>
      <c r="BBM47" s="213"/>
      <c r="BBN47" s="213"/>
      <c r="BBO47" s="213"/>
      <c r="BBP47" s="213"/>
      <c r="BBQ47" s="213"/>
      <c r="BBR47" s="213"/>
      <c r="BBS47" s="213"/>
      <c r="BBT47" s="213"/>
      <c r="BBU47" s="213"/>
      <c r="BBV47" s="213"/>
      <c r="BBW47" s="213"/>
      <c r="BBX47" s="213"/>
      <c r="BBY47" s="213"/>
      <c r="BBZ47" s="213"/>
      <c r="BCA47" s="213"/>
      <c r="BCB47" s="213"/>
      <c r="BCC47" s="213"/>
      <c r="BCD47" s="213"/>
      <c r="BCE47" s="213"/>
      <c r="BCF47" s="213"/>
      <c r="BCG47" s="213"/>
      <c r="BCH47" s="213"/>
      <c r="BCI47" s="213"/>
      <c r="BCJ47" s="213"/>
      <c r="BCK47" s="213"/>
      <c r="BCL47" s="213"/>
      <c r="BCM47" s="213"/>
      <c r="BCN47" s="213"/>
      <c r="BCO47" s="213"/>
      <c r="BCP47" s="213"/>
      <c r="BCQ47" s="213"/>
      <c r="BCR47" s="213"/>
      <c r="BCS47" s="213"/>
      <c r="BCT47" s="213"/>
      <c r="BCU47" s="213"/>
      <c r="BCV47" s="213"/>
      <c r="BCW47" s="213"/>
      <c r="BCX47" s="213"/>
      <c r="BCY47" s="213"/>
      <c r="BCZ47" s="213"/>
      <c r="BDA47" s="213"/>
      <c r="BDB47" s="213"/>
      <c r="BDC47" s="213"/>
      <c r="BDD47" s="213"/>
      <c r="BDE47" s="213"/>
      <c r="BDF47" s="213"/>
      <c r="BDG47" s="213"/>
      <c r="BDH47" s="213"/>
      <c r="BDI47" s="213"/>
      <c r="BDJ47" s="213"/>
      <c r="BDK47" s="213"/>
      <c r="BDL47" s="213"/>
      <c r="BDM47" s="213"/>
      <c r="BDN47" s="213"/>
      <c r="BDO47" s="213"/>
      <c r="BDP47" s="213"/>
      <c r="BDQ47" s="213"/>
      <c r="BDR47" s="213"/>
      <c r="BDS47" s="213"/>
      <c r="BDT47" s="213"/>
      <c r="BDU47" s="213"/>
      <c r="BDV47" s="213"/>
      <c r="BDW47" s="213"/>
      <c r="BDX47" s="213"/>
      <c r="BDY47" s="213"/>
      <c r="BDZ47" s="213"/>
      <c r="BEA47" s="213"/>
      <c r="BEB47" s="213"/>
      <c r="BEC47" s="213"/>
      <c r="BED47" s="213"/>
      <c r="BEE47" s="213"/>
      <c r="BEF47" s="213"/>
      <c r="BEG47" s="213"/>
      <c r="BEH47" s="213"/>
      <c r="BEI47" s="213"/>
      <c r="BEJ47" s="213"/>
      <c r="BEK47" s="213"/>
      <c r="BEL47" s="213"/>
      <c r="BEM47" s="213"/>
      <c r="BEN47" s="213"/>
      <c r="BEO47" s="213"/>
      <c r="BEP47" s="213"/>
      <c r="BEQ47" s="213"/>
      <c r="BER47" s="213"/>
      <c r="BES47" s="213"/>
      <c r="BET47" s="213"/>
      <c r="BEU47" s="213"/>
      <c r="BEV47" s="213"/>
      <c r="BEW47" s="213"/>
      <c r="BEX47" s="213"/>
      <c r="BEY47" s="213"/>
      <c r="BEZ47" s="213"/>
      <c r="BFA47" s="213"/>
      <c r="BFB47" s="213"/>
      <c r="BFC47" s="213"/>
      <c r="BFD47" s="213"/>
      <c r="BFE47" s="213"/>
      <c r="BFF47" s="213"/>
      <c r="BFG47" s="213"/>
      <c r="BFH47" s="213"/>
      <c r="BFI47" s="213"/>
      <c r="BFJ47" s="213"/>
      <c r="BFK47" s="213"/>
      <c r="BFL47" s="213"/>
      <c r="BFM47" s="213"/>
      <c r="BFN47" s="213"/>
      <c r="BFO47" s="213"/>
      <c r="BFP47" s="213"/>
      <c r="BFQ47" s="213"/>
      <c r="BFR47" s="213"/>
      <c r="BFS47" s="213"/>
      <c r="BFT47" s="213"/>
      <c r="BFU47" s="213"/>
      <c r="BFV47" s="213"/>
      <c r="BFW47" s="213"/>
      <c r="BFX47" s="213"/>
      <c r="BFY47" s="213"/>
      <c r="BFZ47" s="213"/>
      <c r="BGA47" s="213"/>
      <c r="BGB47" s="213"/>
      <c r="BGC47" s="213"/>
      <c r="BGD47" s="213"/>
      <c r="BGE47" s="213"/>
      <c r="BGF47" s="213"/>
      <c r="BGG47" s="213"/>
      <c r="BGH47" s="213"/>
      <c r="BGI47" s="213"/>
      <c r="BGJ47" s="213"/>
      <c r="BGK47" s="213"/>
      <c r="BGL47" s="213"/>
      <c r="BGM47" s="213"/>
      <c r="BGN47" s="213"/>
      <c r="BGO47" s="213"/>
      <c r="BGP47" s="213"/>
      <c r="BGQ47" s="213"/>
      <c r="BGR47" s="213"/>
      <c r="BGS47" s="213"/>
      <c r="BGT47" s="213"/>
      <c r="BGU47" s="213"/>
      <c r="BGV47" s="213"/>
      <c r="BGW47" s="213"/>
      <c r="BGX47" s="213"/>
      <c r="BGY47" s="213"/>
      <c r="BGZ47" s="213"/>
      <c r="BHA47" s="213"/>
      <c r="BHB47" s="213"/>
      <c r="BHC47" s="213"/>
      <c r="BHD47" s="213"/>
      <c r="BHE47" s="213"/>
      <c r="BHF47" s="213"/>
      <c r="BHG47" s="213"/>
      <c r="BHH47" s="213"/>
      <c r="BHI47" s="213"/>
      <c r="BHJ47" s="213"/>
      <c r="BHK47" s="213"/>
      <c r="BHL47" s="213"/>
      <c r="BHM47" s="213"/>
      <c r="BHN47" s="213"/>
      <c r="BHO47" s="213"/>
      <c r="BHP47" s="213"/>
      <c r="BHQ47" s="213"/>
      <c r="BHR47" s="213"/>
      <c r="BHS47" s="213"/>
      <c r="BHT47" s="213"/>
      <c r="BHU47" s="213"/>
      <c r="BHV47" s="213"/>
      <c r="BHW47" s="213"/>
      <c r="BHX47" s="213"/>
      <c r="BHY47" s="213"/>
      <c r="BHZ47" s="213"/>
      <c r="BIA47" s="213"/>
      <c r="BIB47" s="213"/>
      <c r="BIC47" s="213"/>
      <c r="BID47" s="213"/>
      <c r="BIE47" s="213"/>
      <c r="BIF47" s="213"/>
      <c r="BIG47" s="213"/>
      <c r="BIH47" s="213"/>
      <c r="BII47" s="213"/>
      <c r="BIJ47" s="213"/>
      <c r="BIK47" s="213"/>
      <c r="BIL47" s="213"/>
      <c r="BIM47" s="213"/>
      <c r="BIN47" s="213"/>
      <c r="BIO47" s="213"/>
      <c r="BIP47" s="213"/>
      <c r="BIQ47" s="213"/>
      <c r="BIR47" s="213"/>
      <c r="BIS47" s="213"/>
      <c r="BIT47" s="213"/>
      <c r="BIU47" s="213"/>
      <c r="BIV47" s="213"/>
      <c r="BIW47" s="213"/>
      <c r="BIX47" s="213"/>
      <c r="BIY47" s="213"/>
      <c r="BIZ47" s="213"/>
      <c r="BJA47" s="213"/>
      <c r="BJB47" s="213"/>
      <c r="BJC47" s="213"/>
      <c r="BJD47" s="213"/>
      <c r="BJE47" s="213"/>
      <c r="BJF47" s="213"/>
      <c r="BJG47" s="213"/>
      <c r="BJH47" s="213"/>
      <c r="BJI47" s="213"/>
      <c r="BJJ47" s="213"/>
      <c r="BJK47" s="213"/>
      <c r="BJL47" s="213"/>
      <c r="BJM47" s="213"/>
      <c r="BJN47" s="213"/>
      <c r="BJO47" s="213"/>
      <c r="BJP47" s="213"/>
      <c r="BJQ47" s="213"/>
      <c r="BJR47" s="213"/>
      <c r="BJS47" s="213"/>
      <c r="BJT47" s="213"/>
      <c r="BJU47" s="213"/>
      <c r="BJV47" s="213"/>
      <c r="BJW47" s="213"/>
      <c r="BJX47" s="213"/>
      <c r="BJY47" s="213"/>
      <c r="BJZ47" s="213"/>
      <c r="BKA47" s="213"/>
      <c r="BKB47" s="213"/>
      <c r="BKC47" s="213"/>
      <c r="BKD47" s="213"/>
      <c r="BKE47" s="213"/>
      <c r="BKF47" s="213"/>
      <c r="BKG47" s="213"/>
      <c r="BKH47" s="213"/>
      <c r="BKI47" s="213"/>
      <c r="BKJ47" s="213"/>
      <c r="BKK47" s="213"/>
      <c r="BKL47" s="213"/>
      <c r="BKM47" s="213"/>
      <c r="BKN47" s="213"/>
      <c r="BKO47" s="213"/>
      <c r="BKP47" s="213"/>
      <c r="BKQ47" s="213"/>
      <c r="BKR47" s="213"/>
      <c r="BKS47" s="213"/>
      <c r="BKT47" s="213"/>
      <c r="BKU47" s="213"/>
      <c r="BKV47" s="213"/>
      <c r="BKW47" s="213"/>
      <c r="BKX47" s="213"/>
      <c r="BKY47" s="213"/>
      <c r="BKZ47" s="213"/>
      <c r="BLA47" s="213"/>
      <c r="BLB47" s="213"/>
      <c r="BLC47" s="213"/>
      <c r="BLD47" s="213"/>
      <c r="BLE47" s="213"/>
      <c r="BLF47" s="213"/>
      <c r="BLG47" s="213"/>
      <c r="BLH47" s="213"/>
      <c r="BLI47" s="213"/>
      <c r="BLJ47" s="213"/>
      <c r="BLK47" s="213"/>
      <c r="BLL47" s="213"/>
      <c r="BLM47" s="213"/>
      <c r="BLN47" s="213"/>
      <c r="BLO47" s="213"/>
      <c r="BLP47" s="213"/>
      <c r="BLQ47" s="213"/>
      <c r="BLR47" s="213"/>
      <c r="BLS47" s="213"/>
      <c r="BLT47" s="213"/>
      <c r="BLU47" s="213"/>
      <c r="BLV47" s="213"/>
      <c r="BLW47" s="213"/>
      <c r="BLX47" s="213"/>
      <c r="BLY47" s="213"/>
      <c r="BLZ47" s="213"/>
      <c r="BMA47" s="213"/>
      <c r="BMB47" s="213"/>
      <c r="BMC47" s="213"/>
      <c r="BMD47" s="213"/>
      <c r="BME47" s="213"/>
      <c r="BMF47" s="213"/>
      <c r="BMG47" s="213"/>
      <c r="BMH47" s="213"/>
      <c r="BMI47" s="213"/>
      <c r="BMJ47" s="213"/>
      <c r="BMK47" s="213"/>
      <c r="BML47" s="213"/>
      <c r="BMM47" s="213"/>
      <c r="BMN47" s="213"/>
      <c r="BMO47" s="213"/>
      <c r="BMP47" s="213"/>
      <c r="BMQ47" s="213"/>
      <c r="BMR47" s="213"/>
      <c r="BMS47" s="213"/>
      <c r="BMT47" s="213"/>
      <c r="BMU47" s="213"/>
      <c r="BMV47" s="213"/>
      <c r="BMW47" s="213"/>
      <c r="BMX47" s="213"/>
      <c r="BMY47" s="213"/>
      <c r="BMZ47" s="213"/>
      <c r="BNA47" s="213"/>
      <c r="BNB47" s="213"/>
      <c r="BNC47" s="213"/>
      <c r="BND47" s="213"/>
      <c r="BNE47" s="213"/>
      <c r="BNF47" s="213"/>
      <c r="BNG47" s="213"/>
      <c r="BNH47" s="213"/>
      <c r="BNI47" s="213"/>
      <c r="BNJ47" s="213"/>
      <c r="BNK47" s="213"/>
      <c r="BNL47" s="213"/>
      <c r="BNM47" s="213"/>
      <c r="BNN47" s="213"/>
      <c r="BNO47" s="213"/>
      <c r="BNP47" s="213"/>
      <c r="BNQ47" s="213"/>
      <c r="BNR47" s="213"/>
      <c r="BNS47" s="213"/>
      <c r="BNT47" s="213"/>
      <c r="BNU47" s="213"/>
      <c r="BNV47" s="213"/>
      <c r="BNW47" s="213"/>
      <c r="BNX47" s="213"/>
      <c r="BNY47" s="213"/>
      <c r="BNZ47" s="213"/>
      <c r="BOA47" s="213"/>
      <c r="BOB47" s="213"/>
      <c r="BOC47" s="213"/>
      <c r="BOD47" s="213"/>
      <c r="BOE47" s="213"/>
      <c r="BOF47" s="213"/>
      <c r="BOG47" s="213"/>
      <c r="BOH47" s="213"/>
      <c r="BOI47" s="213"/>
      <c r="BOJ47" s="213"/>
      <c r="BOK47" s="213"/>
      <c r="BOL47" s="213"/>
      <c r="BOM47" s="213"/>
      <c r="BON47" s="213"/>
      <c r="BOO47" s="213"/>
      <c r="BOP47" s="213"/>
      <c r="BOQ47" s="213"/>
      <c r="BOR47" s="213"/>
      <c r="BOS47" s="213"/>
      <c r="BOT47" s="213"/>
      <c r="BOU47" s="213"/>
      <c r="BOV47" s="213"/>
      <c r="BOW47" s="213"/>
      <c r="BOX47" s="213"/>
      <c r="BOY47" s="213"/>
      <c r="BOZ47" s="213"/>
      <c r="BPA47" s="213"/>
      <c r="BPB47" s="213"/>
      <c r="BPC47" s="213"/>
      <c r="BPD47" s="213"/>
      <c r="BPE47" s="213"/>
      <c r="BPF47" s="213"/>
      <c r="BPG47" s="213"/>
      <c r="BPH47" s="213"/>
      <c r="BPI47" s="213"/>
      <c r="BPJ47" s="213"/>
      <c r="BPK47" s="213"/>
      <c r="BPL47" s="213"/>
      <c r="BPM47" s="213"/>
      <c r="BPN47" s="213"/>
      <c r="BPO47" s="213"/>
      <c r="BPP47" s="213"/>
      <c r="BPQ47" s="213"/>
      <c r="BPR47" s="213"/>
      <c r="BPS47" s="213"/>
      <c r="BPT47" s="213"/>
      <c r="BPU47" s="213"/>
      <c r="BPV47" s="213"/>
      <c r="BPW47" s="213"/>
      <c r="BPX47" s="213"/>
      <c r="BPY47" s="213"/>
      <c r="BPZ47" s="213"/>
      <c r="BQA47" s="213"/>
      <c r="BQB47" s="213"/>
      <c r="BQC47" s="213"/>
      <c r="BQD47" s="213"/>
      <c r="BQE47" s="213"/>
      <c r="BQF47" s="213"/>
      <c r="BQG47" s="213"/>
      <c r="BQH47" s="213"/>
      <c r="BQI47" s="213"/>
      <c r="BQJ47" s="213"/>
      <c r="BQK47" s="213"/>
      <c r="BQL47" s="213"/>
      <c r="BQM47" s="213"/>
      <c r="BQN47" s="213"/>
      <c r="BQO47" s="213"/>
      <c r="BQP47" s="213"/>
      <c r="BQQ47" s="213"/>
      <c r="BQR47" s="213"/>
      <c r="BQS47" s="213"/>
      <c r="BQT47" s="213"/>
      <c r="BQU47" s="213"/>
      <c r="BQV47" s="213"/>
      <c r="BQW47" s="213"/>
      <c r="BQX47" s="213"/>
      <c r="BQY47" s="213"/>
      <c r="BQZ47" s="213"/>
      <c r="BRA47" s="213"/>
      <c r="BRB47" s="213"/>
      <c r="BRC47" s="213"/>
      <c r="BRD47" s="213"/>
      <c r="BRE47" s="213"/>
      <c r="BRF47" s="213"/>
      <c r="BRG47" s="213"/>
      <c r="BRH47" s="213"/>
      <c r="BRI47" s="213"/>
      <c r="BRJ47" s="213"/>
      <c r="BRK47" s="213"/>
      <c r="BRL47" s="213"/>
      <c r="BRM47" s="213"/>
      <c r="BRN47" s="213"/>
      <c r="BRO47" s="213"/>
      <c r="BRP47" s="213"/>
      <c r="BRQ47" s="213"/>
      <c r="BRR47" s="213"/>
      <c r="BRS47" s="213"/>
      <c r="BRT47" s="213"/>
      <c r="BRU47" s="213"/>
      <c r="BRV47" s="213"/>
      <c r="BRW47" s="213"/>
      <c r="BRX47" s="213"/>
      <c r="BRY47" s="213"/>
      <c r="BRZ47" s="213"/>
      <c r="BSA47" s="213"/>
      <c r="BSB47" s="213"/>
      <c r="BSC47" s="213"/>
      <c r="BSD47" s="213"/>
      <c r="BSE47" s="213"/>
      <c r="BSF47" s="213"/>
      <c r="BSG47" s="213"/>
      <c r="BSH47" s="213"/>
      <c r="BSI47" s="213"/>
      <c r="BSJ47" s="213"/>
      <c r="BSK47" s="213"/>
      <c r="BSL47" s="213"/>
      <c r="BSM47" s="213"/>
      <c r="BSN47" s="213"/>
      <c r="BSO47" s="213"/>
      <c r="BSP47" s="213"/>
      <c r="BSQ47" s="213"/>
      <c r="BSR47" s="213"/>
      <c r="BSS47" s="213"/>
      <c r="BST47" s="213"/>
      <c r="BSU47" s="213"/>
      <c r="BSV47" s="213"/>
      <c r="BSW47" s="213"/>
      <c r="BSX47" s="213"/>
      <c r="BSY47" s="213"/>
      <c r="BSZ47" s="213"/>
      <c r="BTA47" s="213"/>
      <c r="BTB47" s="213"/>
      <c r="BTC47" s="213"/>
      <c r="BTD47" s="213"/>
      <c r="BTE47" s="213"/>
      <c r="BTF47" s="213"/>
      <c r="BTG47" s="213"/>
      <c r="BTH47" s="213"/>
      <c r="BTI47" s="213"/>
      <c r="BTJ47" s="213"/>
      <c r="BTK47" s="213"/>
      <c r="BTL47" s="213"/>
      <c r="BTM47" s="213"/>
      <c r="BTN47" s="213"/>
      <c r="BTO47" s="213"/>
      <c r="BTP47" s="213"/>
      <c r="BTQ47" s="213"/>
      <c r="BTR47" s="213"/>
      <c r="BTS47" s="213"/>
      <c r="BTT47" s="213"/>
      <c r="BTU47" s="213"/>
      <c r="BTV47" s="213"/>
      <c r="BTW47" s="213"/>
      <c r="BTX47" s="213"/>
      <c r="BTY47" s="213"/>
      <c r="BTZ47" s="213"/>
      <c r="BUA47" s="213"/>
      <c r="BUB47" s="213"/>
      <c r="BUC47" s="213"/>
      <c r="BUD47" s="213"/>
      <c r="BUE47" s="213"/>
      <c r="BUF47" s="213"/>
      <c r="BUG47" s="213"/>
      <c r="BUH47" s="213"/>
      <c r="BUI47" s="213"/>
      <c r="BUJ47" s="213"/>
      <c r="BUK47" s="213"/>
      <c r="BUL47" s="213"/>
      <c r="BUM47" s="213"/>
      <c r="BUN47" s="213"/>
      <c r="BUO47" s="213"/>
      <c r="BUP47" s="213"/>
      <c r="BUQ47" s="213"/>
      <c r="BUR47" s="213"/>
      <c r="BUS47" s="213"/>
      <c r="BUT47" s="213"/>
      <c r="BUU47" s="213"/>
      <c r="BUV47" s="213"/>
      <c r="BUW47" s="213"/>
      <c r="BUX47" s="213"/>
      <c r="BUY47" s="213"/>
      <c r="BUZ47" s="213"/>
      <c r="BVA47" s="213"/>
      <c r="BVB47" s="213"/>
      <c r="BVC47" s="213"/>
      <c r="BVD47" s="213"/>
      <c r="BVE47" s="213"/>
      <c r="BVF47" s="213"/>
      <c r="BVG47" s="213"/>
      <c r="BVH47" s="213"/>
      <c r="BVI47" s="213"/>
      <c r="BVJ47" s="213"/>
      <c r="BVK47" s="213"/>
      <c r="BVL47" s="213"/>
      <c r="BVM47" s="213"/>
      <c r="BVN47" s="213"/>
      <c r="BVO47" s="213"/>
      <c r="BVP47" s="213"/>
      <c r="BVQ47" s="213"/>
      <c r="BVR47" s="213"/>
      <c r="BVS47" s="213"/>
      <c r="BVT47" s="213"/>
      <c r="BVU47" s="213"/>
      <c r="BVV47" s="213"/>
      <c r="BVW47" s="213"/>
      <c r="BVX47" s="213"/>
      <c r="BVY47" s="213"/>
      <c r="BVZ47" s="213"/>
      <c r="BWA47" s="213"/>
      <c r="BWB47" s="213"/>
      <c r="BWC47" s="213"/>
      <c r="BWD47" s="213"/>
      <c r="BWE47" s="213"/>
      <c r="BWF47" s="213"/>
      <c r="BWG47" s="213"/>
      <c r="BWH47" s="213"/>
      <c r="BWI47" s="213"/>
      <c r="BWJ47" s="213"/>
      <c r="BWK47" s="213"/>
      <c r="BWL47" s="213"/>
      <c r="BWM47" s="213"/>
      <c r="BWN47" s="213"/>
      <c r="BWO47" s="213"/>
      <c r="BWP47" s="213"/>
      <c r="BWQ47" s="213"/>
      <c r="BWR47" s="213"/>
      <c r="BWS47" s="213"/>
      <c r="BWT47" s="213"/>
      <c r="BWU47" s="213"/>
      <c r="BWV47" s="213"/>
      <c r="BWW47" s="213"/>
      <c r="BWX47" s="213"/>
      <c r="BWY47" s="213"/>
      <c r="BWZ47" s="213"/>
      <c r="BXA47" s="213"/>
      <c r="BXB47" s="213"/>
      <c r="BXC47" s="213"/>
      <c r="BXD47" s="213"/>
      <c r="BXE47" s="213"/>
      <c r="BXF47" s="213"/>
      <c r="BXG47" s="213"/>
      <c r="BXH47" s="213"/>
      <c r="BXI47" s="213"/>
      <c r="BXJ47" s="213"/>
      <c r="BXK47" s="213"/>
      <c r="BXL47" s="213"/>
      <c r="BXM47" s="213"/>
      <c r="BXN47" s="213"/>
      <c r="BXO47" s="213"/>
      <c r="BXP47" s="213"/>
      <c r="BXQ47" s="213"/>
      <c r="BXR47" s="213"/>
      <c r="BXS47" s="213"/>
      <c r="BXT47" s="213"/>
      <c r="BXU47" s="213"/>
      <c r="BXV47" s="213"/>
      <c r="BXW47" s="213"/>
      <c r="BXX47" s="213"/>
      <c r="BXY47" s="213"/>
      <c r="BXZ47" s="213"/>
      <c r="BYA47" s="213"/>
      <c r="BYB47" s="213"/>
      <c r="BYC47" s="213"/>
      <c r="BYD47" s="213"/>
      <c r="BYE47" s="213"/>
      <c r="BYF47" s="213"/>
      <c r="BYG47" s="213"/>
    </row>
    <row r="48" spans="1:2009" s="96" customFormat="1" ht="12.75" customHeight="1" x14ac:dyDescent="0.25">
      <c r="A48" s="119"/>
      <c r="B48" s="120"/>
      <c r="C48" s="176"/>
      <c r="D48" s="176"/>
      <c r="E48" s="176"/>
      <c r="F48" s="176"/>
      <c r="G48" s="176"/>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5"/>
      <c r="NJ48" s="95"/>
      <c r="NK48" s="95"/>
      <c r="NL48" s="95"/>
      <c r="NM48" s="95"/>
      <c r="NN48" s="95"/>
      <c r="NO48" s="95"/>
      <c r="NP48" s="95"/>
      <c r="NQ48" s="95"/>
      <c r="NR48" s="95"/>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5"/>
      <c r="SD48" s="95"/>
      <c r="SE48" s="95"/>
      <c r="SF48" s="95"/>
      <c r="SG48" s="95"/>
      <c r="SH48" s="95"/>
      <c r="SI48" s="95"/>
      <c r="SJ48" s="95"/>
      <c r="SK48" s="95"/>
      <c r="SL48" s="95"/>
      <c r="SM48" s="95"/>
      <c r="SN48" s="95"/>
      <c r="SO48" s="95"/>
      <c r="SP48" s="95"/>
      <c r="SQ48" s="95"/>
      <c r="SR48" s="95"/>
      <c r="SS48" s="95"/>
      <c r="ST48" s="95"/>
      <c r="SU48" s="95"/>
      <c r="SV48" s="95"/>
      <c r="SW48" s="95"/>
      <c r="SX48" s="95"/>
      <c r="SY48" s="95"/>
      <c r="SZ48" s="95"/>
      <c r="TA48" s="95"/>
      <c r="TB48" s="95"/>
      <c r="TC48" s="95"/>
      <c r="TD48" s="95"/>
      <c r="TE48" s="95"/>
      <c r="TF48" s="95"/>
      <c r="TG48" s="95"/>
      <c r="TH48" s="95"/>
      <c r="TI48" s="95"/>
      <c r="TJ48" s="95"/>
      <c r="TK48" s="95"/>
      <c r="TL48" s="95"/>
      <c r="TM48" s="95"/>
      <c r="TN48" s="95"/>
      <c r="TO48" s="95"/>
      <c r="TP48" s="95"/>
      <c r="TQ48" s="95"/>
      <c r="TR48" s="95"/>
      <c r="TS48" s="95"/>
      <c r="TT48" s="95"/>
      <c r="TU48" s="95"/>
      <c r="TV48" s="95"/>
      <c r="TW48" s="95"/>
      <c r="TX48" s="95"/>
      <c r="TY48" s="95"/>
      <c r="TZ48" s="95"/>
      <c r="UA48" s="95"/>
      <c r="UB48" s="95"/>
      <c r="UC48" s="95"/>
      <c r="UD48" s="95"/>
      <c r="UE48" s="95"/>
      <c r="UF48" s="95"/>
      <c r="UG48" s="95"/>
      <c r="UH48" s="95"/>
      <c r="UI48" s="95"/>
      <c r="UJ48" s="95"/>
      <c r="UK48" s="95"/>
      <c r="UL48" s="95"/>
      <c r="UM48" s="95"/>
      <c r="UN48" s="95"/>
      <c r="UO48" s="95"/>
      <c r="UP48" s="95"/>
      <c r="UQ48" s="95"/>
      <c r="UR48" s="95"/>
      <c r="US48" s="95"/>
      <c r="UT48" s="95"/>
      <c r="UU48" s="95"/>
      <c r="UV48" s="95"/>
      <c r="UW48" s="95"/>
      <c r="UX48" s="95"/>
      <c r="UY48" s="95"/>
      <c r="UZ48" s="95"/>
      <c r="VA48" s="95"/>
      <c r="VB48" s="95"/>
      <c r="VC48" s="95"/>
      <c r="VD48" s="95"/>
      <c r="VE48" s="95"/>
      <c r="VF48" s="95"/>
      <c r="VG48" s="95"/>
      <c r="VH48" s="95"/>
      <c r="VI48" s="95"/>
      <c r="VJ48" s="95"/>
      <c r="VK48" s="95"/>
      <c r="VL48" s="95"/>
      <c r="VM48" s="95"/>
      <c r="VN48" s="95"/>
      <c r="VO48" s="95"/>
      <c r="VP48" s="95"/>
      <c r="VQ48" s="95"/>
      <c r="VR48" s="95"/>
      <c r="VS48" s="95"/>
      <c r="VT48" s="95"/>
      <c r="VU48" s="95"/>
      <c r="VV48" s="95"/>
      <c r="VW48" s="95"/>
      <c r="VX48" s="95"/>
      <c r="VY48" s="95"/>
      <c r="VZ48" s="95"/>
      <c r="WA48" s="95"/>
      <c r="WB48" s="95"/>
      <c r="WC48" s="95"/>
      <c r="WD48" s="95"/>
      <c r="WE48" s="95"/>
      <c r="WF48" s="95"/>
      <c r="WG48" s="95"/>
      <c r="WH48" s="95"/>
      <c r="WI48" s="95"/>
      <c r="WJ48" s="95"/>
      <c r="WK48" s="95"/>
      <c r="WL48" s="95"/>
      <c r="WM48" s="95"/>
      <c r="WN48" s="95"/>
      <c r="WO48" s="95"/>
      <c r="WP48" s="95"/>
      <c r="WQ48" s="95"/>
      <c r="WR48" s="95"/>
      <c r="WS48" s="95"/>
      <c r="WT48" s="95"/>
      <c r="WU48" s="95"/>
      <c r="WV48" s="95"/>
      <c r="WW48" s="95"/>
      <c r="WX48" s="95"/>
      <c r="WY48" s="95"/>
      <c r="WZ48" s="95"/>
      <c r="XA48" s="95"/>
      <c r="XB48" s="95"/>
      <c r="XC48" s="95"/>
      <c r="XD48" s="95"/>
      <c r="XE48" s="95"/>
      <c r="XF48" s="95"/>
      <c r="XG48" s="95"/>
      <c r="XH48" s="95"/>
      <c r="XI48" s="95"/>
      <c r="XJ48" s="95"/>
      <c r="XK48" s="95"/>
      <c r="XL48" s="95"/>
      <c r="XM48" s="95"/>
      <c r="XN48" s="95"/>
      <c r="XO48" s="95"/>
      <c r="XP48" s="95"/>
      <c r="XQ48" s="95"/>
      <c r="XR48" s="95"/>
      <c r="XS48" s="95"/>
      <c r="XT48" s="95"/>
      <c r="XU48" s="95"/>
      <c r="XV48" s="95"/>
      <c r="XW48" s="95"/>
      <c r="XX48" s="95"/>
      <c r="XY48" s="95"/>
      <c r="XZ48" s="95"/>
      <c r="YA48" s="95"/>
      <c r="YB48" s="95"/>
      <c r="YC48" s="95"/>
      <c r="YD48" s="95"/>
      <c r="YE48" s="95"/>
      <c r="YF48" s="95"/>
      <c r="YG48" s="95"/>
      <c r="YH48" s="95"/>
      <c r="YI48" s="95"/>
      <c r="YJ48" s="95"/>
      <c r="YK48" s="95"/>
      <c r="YL48" s="95"/>
      <c r="YM48" s="95"/>
      <c r="YN48" s="95"/>
      <c r="YO48" s="95"/>
      <c r="YP48" s="95"/>
      <c r="YQ48" s="95"/>
      <c r="YR48" s="95"/>
      <c r="YS48" s="95"/>
      <c r="YT48" s="95"/>
      <c r="YU48" s="95"/>
      <c r="YV48" s="95"/>
      <c r="YW48" s="95"/>
      <c r="YX48" s="95"/>
      <c r="YY48" s="95"/>
      <c r="YZ48" s="95"/>
      <c r="ZA48" s="95"/>
      <c r="ZB48" s="95"/>
      <c r="ZC48" s="95"/>
      <c r="ZD48" s="95"/>
      <c r="ZE48" s="95"/>
      <c r="ZF48" s="95"/>
      <c r="ZG48" s="95"/>
      <c r="ZH48" s="95"/>
      <c r="ZI48" s="95"/>
      <c r="ZJ48" s="95"/>
      <c r="ZK48" s="95"/>
      <c r="ZL48" s="95"/>
      <c r="ZM48" s="95"/>
      <c r="ZN48" s="95"/>
      <c r="ZO48" s="95"/>
      <c r="ZP48" s="95"/>
      <c r="ZQ48" s="95"/>
      <c r="ZR48" s="95"/>
      <c r="ZS48" s="95"/>
      <c r="ZT48" s="95"/>
      <c r="ZU48" s="95"/>
      <c r="ZV48" s="95"/>
      <c r="ZW48" s="95"/>
      <c r="ZX48" s="95"/>
      <c r="ZY48" s="95"/>
      <c r="ZZ48" s="95"/>
      <c r="AAA48" s="95"/>
      <c r="AAB48" s="95"/>
      <c r="AAC48" s="95"/>
      <c r="AAD48" s="95"/>
      <c r="AAE48" s="95"/>
      <c r="AAF48" s="95"/>
      <c r="AAG48" s="95"/>
      <c r="AAH48" s="95"/>
      <c r="AAI48" s="95"/>
      <c r="AAJ48" s="95"/>
      <c r="AAK48" s="95"/>
      <c r="AAL48" s="95"/>
      <c r="AAM48" s="95"/>
      <c r="AAN48" s="95"/>
      <c r="AAO48" s="95"/>
      <c r="AAP48" s="95"/>
      <c r="AAQ48" s="95"/>
      <c r="AAR48" s="95"/>
      <c r="AAS48" s="95"/>
      <c r="AAT48" s="95"/>
      <c r="AAU48" s="95"/>
      <c r="AAV48" s="95"/>
      <c r="AAW48" s="95"/>
      <c r="AAX48" s="95"/>
      <c r="AAY48" s="95"/>
      <c r="AAZ48" s="95"/>
      <c r="ABA48" s="95"/>
      <c r="ABB48" s="95"/>
      <c r="ABC48" s="95"/>
      <c r="ABD48" s="95"/>
      <c r="ABE48" s="95"/>
      <c r="ABF48" s="95"/>
      <c r="ABG48" s="95"/>
      <c r="ABH48" s="95"/>
      <c r="ABI48" s="95"/>
      <c r="ABJ48" s="95"/>
      <c r="ABK48" s="95"/>
      <c r="ABL48" s="95"/>
      <c r="ABM48" s="95"/>
      <c r="ABN48" s="95"/>
      <c r="ABO48" s="95"/>
      <c r="ABP48" s="95"/>
      <c r="ABQ48" s="95"/>
      <c r="ABR48" s="95"/>
      <c r="ABS48" s="95"/>
      <c r="ABT48" s="95"/>
      <c r="ABU48" s="95"/>
      <c r="ABV48" s="95"/>
      <c r="ABW48" s="95"/>
      <c r="ABX48" s="95"/>
      <c r="ABY48" s="95"/>
      <c r="ABZ48" s="95"/>
      <c r="ACA48" s="95"/>
      <c r="ACB48" s="95"/>
      <c r="ACC48" s="95"/>
      <c r="ACD48" s="95"/>
      <c r="ACE48" s="95"/>
      <c r="ACF48" s="95"/>
      <c r="ACG48" s="95"/>
      <c r="ACH48" s="95"/>
      <c r="ACI48" s="95"/>
      <c r="ACJ48" s="95"/>
      <c r="ACK48" s="95"/>
      <c r="ACL48" s="95"/>
      <c r="ACM48" s="95"/>
      <c r="ACN48" s="95"/>
      <c r="ACO48" s="95"/>
      <c r="ACP48" s="95"/>
      <c r="ACQ48" s="95"/>
      <c r="ACR48" s="95"/>
      <c r="ACS48" s="95"/>
      <c r="ACT48" s="95"/>
      <c r="ACU48" s="95"/>
      <c r="ACV48" s="95"/>
      <c r="ACW48" s="95"/>
      <c r="ACX48" s="95"/>
      <c r="ACY48" s="95"/>
      <c r="ACZ48" s="95"/>
      <c r="ADA48" s="95"/>
      <c r="ADB48" s="95"/>
      <c r="ADC48" s="95"/>
      <c r="ADD48" s="95"/>
      <c r="ADE48" s="95"/>
      <c r="ADF48" s="95"/>
      <c r="ADG48" s="95"/>
      <c r="ADH48" s="95"/>
      <c r="ADI48" s="95"/>
      <c r="ADJ48" s="95"/>
      <c r="ADK48" s="95"/>
      <c r="ADL48" s="95"/>
      <c r="ADM48" s="95"/>
      <c r="ADN48" s="95"/>
      <c r="ADO48" s="95"/>
      <c r="ADP48" s="95"/>
      <c r="ADQ48" s="95"/>
      <c r="ADR48" s="95"/>
      <c r="ADS48" s="95"/>
      <c r="ADT48" s="95"/>
      <c r="ADU48" s="95"/>
      <c r="ADV48" s="95"/>
      <c r="ADW48" s="95"/>
      <c r="ADX48" s="95"/>
      <c r="ADY48" s="95"/>
      <c r="ADZ48" s="95"/>
      <c r="AEA48" s="95"/>
      <c r="AEB48" s="95"/>
      <c r="AEC48" s="95"/>
      <c r="AED48" s="95"/>
      <c r="AEE48" s="95"/>
      <c r="AEF48" s="95"/>
      <c r="AEG48" s="95"/>
      <c r="AEH48" s="95"/>
      <c r="AEI48" s="95"/>
      <c r="AEJ48" s="95"/>
      <c r="AEK48" s="95"/>
      <c r="AEL48" s="95"/>
      <c r="AEM48" s="95"/>
      <c r="AEN48" s="95"/>
      <c r="AEO48" s="95"/>
      <c r="AEP48" s="95"/>
      <c r="AEQ48" s="95"/>
      <c r="AER48" s="95"/>
      <c r="AES48" s="95"/>
      <c r="AET48" s="95"/>
      <c r="AEU48" s="95"/>
      <c r="AEV48" s="95"/>
      <c r="AEW48" s="95"/>
      <c r="AEX48" s="95"/>
      <c r="AEY48" s="95"/>
      <c r="AEZ48" s="95"/>
      <c r="AFA48" s="95"/>
      <c r="AFB48" s="95"/>
      <c r="AFC48" s="95"/>
      <c r="AFD48" s="95"/>
      <c r="AFE48" s="95"/>
      <c r="AFF48" s="95"/>
      <c r="AFG48" s="95"/>
      <c r="AFH48" s="95"/>
      <c r="AFI48" s="95"/>
      <c r="AFJ48" s="95"/>
      <c r="AFK48" s="95"/>
      <c r="AFL48" s="95"/>
      <c r="AFM48" s="95"/>
      <c r="AFN48" s="95"/>
      <c r="AFO48" s="95"/>
      <c r="AFP48" s="95"/>
      <c r="AFQ48" s="95"/>
      <c r="AFR48" s="95"/>
      <c r="AFS48" s="95"/>
      <c r="AFT48" s="95"/>
      <c r="AFU48" s="95"/>
      <c r="AFV48" s="95"/>
      <c r="AFW48" s="95"/>
      <c r="AFX48" s="95"/>
      <c r="AFY48" s="95"/>
      <c r="AFZ48" s="95"/>
      <c r="AGA48" s="95"/>
      <c r="AGB48" s="95"/>
      <c r="AGC48" s="95"/>
      <c r="AGD48" s="95"/>
      <c r="AGE48" s="95"/>
      <c r="AGF48" s="95"/>
      <c r="AGG48" s="95"/>
      <c r="AGH48" s="95"/>
      <c r="AGI48" s="95"/>
      <c r="AGJ48" s="95"/>
      <c r="AGK48" s="95"/>
      <c r="AGL48" s="95"/>
      <c r="AGM48" s="95"/>
      <c r="AGN48" s="95"/>
      <c r="AGO48" s="95"/>
      <c r="AGP48" s="95"/>
      <c r="AGQ48" s="95"/>
      <c r="AGR48" s="95"/>
      <c r="AGS48" s="95"/>
      <c r="AGT48" s="95"/>
      <c r="AGU48" s="95"/>
      <c r="AGV48" s="95"/>
      <c r="AGW48" s="95"/>
      <c r="AGX48" s="95"/>
      <c r="AGY48" s="95"/>
      <c r="AGZ48" s="95"/>
      <c r="AHA48" s="95"/>
      <c r="AHB48" s="95"/>
      <c r="AHC48" s="95"/>
      <c r="AHD48" s="95"/>
      <c r="AHE48" s="95"/>
      <c r="AHF48" s="95"/>
      <c r="AHG48" s="95"/>
      <c r="AHH48" s="95"/>
      <c r="AHI48" s="95"/>
      <c r="AHJ48" s="95"/>
      <c r="AHK48" s="95"/>
      <c r="AHL48" s="95"/>
      <c r="AHM48" s="95"/>
      <c r="AHN48" s="95"/>
      <c r="AHO48" s="95"/>
      <c r="AHP48" s="95"/>
      <c r="AHQ48" s="95"/>
      <c r="AHR48" s="95"/>
      <c r="AHS48" s="95"/>
      <c r="AHT48" s="95"/>
      <c r="AHU48" s="95"/>
      <c r="AHV48" s="95"/>
      <c r="AHW48" s="95"/>
      <c r="AHX48" s="95"/>
      <c r="AHY48" s="95"/>
      <c r="AHZ48" s="95"/>
      <c r="AIA48" s="95"/>
      <c r="AIB48" s="95"/>
      <c r="AIC48" s="95"/>
      <c r="AID48" s="95"/>
      <c r="AIE48" s="95"/>
      <c r="AIF48" s="95"/>
      <c r="AIG48" s="95"/>
      <c r="AIH48" s="95"/>
      <c r="AII48" s="95"/>
      <c r="AIJ48" s="95"/>
      <c r="AIK48" s="95"/>
      <c r="AIL48" s="95"/>
      <c r="AIM48" s="95"/>
      <c r="AIN48" s="95"/>
      <c r="AIO48" s="95"/>
      <c r="AIP48" s="95"/>
      <c r="AIQ48" s="95"/>
      <c r="AIR48" s="95"/>
      <c r="AIS48" s="95"/>
      <c r="AIT48" s="95"/>
      <c r="AIU48" s="95"/>
      <c r="AIV48" s="95"/>
      <c r="AIW48" s="95"/>
      <c r="AIX48" s="95"/>
      <c r="AIY48" s="95"/>
      <c r="AIZ48" s="95"/>
      <c r="AJA48" s="95"/>
      <c r="AJB48" s="95"/>
      <c r="AJC48" s="95"/>
      <c r="AJD48" s="95"/>
      <c r="AJE48" s="95"/>
      <c r="AJF48" s="95"/>
      <c r="AJG48" s="95"/>
      <c r="AJH48" s="95"/>
      <c r="AJI48" s="95"/>
      <c r="AJJ48" s="95"/>
      <c r="AJK48" s="95"/>
      <c r="AJL48" s="95"/>
      <c r="AJM48" s="95"/>
      <c r="AJN48" s="95"/>
      <c r="AJO48" s="95"/>
      <c r="AJP48" s="95"/>
      <c r="AJQ48" s="95"/>
      <c r="AJR48" s="95"/>
      <c r="AJS48" s="95"/>
      <c r="AJT48" s="95"/>
      <c r="AJU48" s="95"/>
      <c r="AJV48" s="95"/>
      <c r="AJW48" s="95"/>
      <c r="AJX48" s="95"/>
      <c r="AJY48" s="95"/>
      <c r="AJZ48" s="95"/>
      <c r="AKA48" s="95"/>
      <c r="AKB48" s="95"/>
      <c r="AKC48" s="95"/>
      <c r="AKD48" s="95"/>
      <c r="AKE48" s="95"/>
      <c r="AKF48" s="95"/>
      <c r="AKG48" s="95"/>
      <c r="AKH48" s="95"/>
      <c r="AKI48" s="95"/>
      <c r="AKJ48" s="95"/>
      <c r="AKK48" s="95"/>
      <c r="AKL48" s="95"/>
      <c r="AKM48" s="95"/>
      <c r="AKN48" s="95"/>
      <c r="AKO48" s="95"/>
      <c r="AKP48" s="95"/>
      <c r="AKQ48" s="95"/>
      <c r="AKR48" s="95"/>
      <c r="AKS48" s="95"/>
      <c r="AKT48" s="95"/>
      <c r="AKU48" s="95"/>
      <c r="AKV48" s="95"/>
      <c r="AKW48" s="95"/>
      <c r="AKX48" s="95"/>
      <c r="AKY48" s="95"/>
      <c r="AKZ48" s="95"/>
      <c r="ALA48" s="95"/>
      <c r="ALB48" s="95"/>
      <c r="ALC48" s="95"/>
      <c r="ALD48" s="95"/>
      <c r="ALE48" s="95"/>
      <c r="ALF48" s="95"/>
      <c r="ALG48" s="95"/>
      <c r="ALH48" s="95"/>
      <c r="ALI48" s="95"/>
      <c r="ALJ48" s="95"/>
      <c r="ALK48" s="95"/>
      <c r="ALL48" s="95"/>
      <c r="ALM48" s="95"/>
      <c r="ALN48" s="95"/>
      <c r="ALO48" s="95"/>
      <c r="ALP48" s="95"/>
      <c r="ALQ48" s="95"/>
      <c r="ALR48" s="95"/>
      <c r="ALS48" s="95"/>
      <c r="ALT48" s="95"/>
      <c r="ALU48" s="95"/>
      <c r="ALV48" s="95"/>
      <c r="ALW48" s="95"/>
      <c r="ALX48" s="95"/>
      <c r="ALY48" s="95"/>
      <c r="ALZ48" s="95"/>
      <c r="AMA48" s="95"/>
      <c r="AMB48" s="95"/>
      <c r="AMC48" s="95"/>
      <c r="AMD48" s="95"/>
      <c r="AME48" s="95"/>
      <c r="AMF48" s="95"/>
      <c r="AMG48" s="95"/>
      <c r="AMH48" s="95"/>
      <c r="AMI48" s="95"/>
      <c r="AMJ48" s="95"/>
      <c r="AMK48" s="95"/>
      <c r="AML48" s="95"/>
      <c r="AMM48" s="95"/>
      <c r="AMN48" s="95"/>
      <c r="AMO48" s="95"/>
      <c r="AMP48" s="95"/>
      <c r="AMQ48" s="95"/>
      <c r="AMR48" s="95"/>
      <c r="AMS48" s="95"/>
      <c r="AMT48" s="95"/>
      <c r="AMU48" s="95"/>
      <c r="AMV48" s="95"/>
      <c r="AMW48" s="95"/>
      <c r="AMX48" s="95"/>
      <c r="AMY48" s="95"/>
      <c r="AMZ48" s="95"/>
      <c r="ANA48" s="95"/>
      <c r="ANB48" s="95"/>
      <c r="ANC48" s="95"/>
      <c r="AND48" s="95"/>
      <c r="ANE48" s="95"/>
      <c r="ANF48" s="95"/>
      <c r="ANG48" s="95"/>
      <c r="ANH48" s="95"/>
      <c r="ANI48" s="95"/>
      <c r="ANJ48" s="95"/>
      <c r="ANK48" s="95"/>
      <c r="ANL48" s="95"/>
      <c r="ANM48" s="95"/>
      <c r="ANN48" s="95"/>
      <c r="ANO48" s="95"/>
      <c r="ANP48" s="95"/>
      <c r="ANQ48" s="95"/>
      <c r="ANR48" s="95"/>
      <c r="ANS48" s="95"/>
      <c r="ANT48" s="95"/>
      <c r="ANU48" s="95"/>
      <c r="ANV48" s="95"/>
      <c r="ANW48" s="95"/>
      <c r="ANX48" s="95"/>
      <c r="ANY48" s="95"/>
      <c r="ANZ48" s="95"/>
      <c r="AOA48" s="95"/>
      <c r="AOB48" s="95"/>
      <c r="AOC48" s="95"/>
      <c r="AOD48" s="95"/>
      <c r="AOE48" s="95"/>
      <c r="AOF48" s="95"/>
      <c r="AOG48" s="95"/>
      <c r="AOH48" s="95"/>
      <c r="AOI48" s="95"/>
      <c r="AOJ48" s="95"/>
      <c r="AOK48" s="95"/>
      <c r="AOL48" s="95"/>
      <c r="AOM48" s="95"/>
      <c r="AON48" s="95"/>
      <c r="AOO48" s="95"/>
      <c r="AOP48" s="95"/>
      <c r="AOQ48" s="95"/>
      <c r="AOR48" s="95"/>
      <c r="AOS48" s="95"/>
      <c r="AOT48" s="95"/>
      <c r="AOU48" s="95"/>
      <c r="AOV48" s="95"/>
      <c r="AOW48" s="95"/>
      <c r="AOX48" s="95"/>
      <c r="AOY48" s="95"/>
      <c r="AOZ48" s="95"/>
      <c r="APA48" s="95"/>
      <c r="APB48" s="95"/>
      <c r="APC48" s="95"/>
      <c r="APD48" s="95"/>
      <c r="APE48" s="95"/>
      <c r="APF48" s="95"/>
      <c r="APG48" s="95"/>
      <c r="APH48" s="95"/>
      <c r="API48" s="95"/>
      <c r="APJ48" s="95"/>
      <c r="APK48" s="95"/>
      <c r="APL48" s="95"/>
      <c r="APM48" s="95"/>
      <c r="APN48" s="95"/>
      <c r="APO48" s="95"/>
      <c r="APP48" s="95"/>
      <c r="APQ48" s="95"/>
      <c r="APR48" s="95"/>
      <c r="APS48" s="95"/>
      <c r="APT48" s="95"/>
      <c r="APU48" s="95"/>
      <c r="APV48" s="95"/>
      <c r="APW48" s="95"/>
      <c r="APX48" s="95"/>
      <c r="APY48" s="95"/>
      <c r="APZ48" s="95"/>
      <c r="AQA48" s="95"/>
      <c r="AQB48" s="95"/>
      <c r="AQC48" s="95"/>
      <c r="AQD48" s="95"/>
      <c r="AQE48" s="95"/>
      <c r="AQF48" s="95"/>
      <c r="AQG48" s="95"/>
      <c r="AQH48" s="95"/>
      <c r="AQI48" s="95"/>
      <c r="AQJ48" s="95"/>
      <c r="AQK48" s="95"/>
      <c r="AQL48" s="95"/>
      <c r="AQM48" s="95"/>
      <c r="AQN48" s="95"/>
      <c r="AQO48" s="95"/>
      <c r="AQP48" s="95"/>
      <c r="AQQ48" s="95"/>
      <c r="AQR48" s="95"/>
      <c r="AQS48" s="95"/>
      <c r="AQT48" s="95"/>
      <c r="AQU48" s="95"/>
      <c r="AQV48" s="95"/>
      <c r="AQW48" s="95"/>
      <c r="AQX48" s="95"/>
      <c r="AQY48" s="95"/>
      <c r="AQZ48" s="95"/>
      <c r="ARA48" s="95"/>
      <c r="ARB48" s="95"/>
      <c r="ARC48" s="95"/>
      <c r="ARD48" s="95"/>
      <c r="ARE48" s="95"/>
      <c r="ARF48" s="95"/>
      <c r="ARG48" s="95"/>
      <c r="ARH48" s="95"/>
      <c r="ARI48" s="95"/>
      <c r="ARJ48" s="95"/>
      <c r="ARK48" s="95"/>
      <c r="ARL48" s="95"/>
      <c r="ARM48" s="95"/>
      <c r="ARN48" s="95"/>
      <c r="ARO48" s="95"/>
      <c r="ARP48" s="95"/>
      <c r="ARQ48" s="95"/>
      <c r="ARR48" s="95"/>
      <c r="ARS48" s="95"/>
      <c r="ART48" s="95"/>
      <c r="ARU48" s="95"/>
      <c r="ARV48" s="95"/>
      <c r="ARW48" s="95"/>
      <c r="ARX48" s="95"/>
      <c r="ARY48" s="95"/>
      <c r="ARZ48" s="95"/>
      <c r="ASA48" s="95"/>
      <c r="ASB48" s="95"/>
      <c r="ASC48" s="95"/>
      <c r="ASD48" s="95"/>
      <c r="ASE48" s="95"/>
      <c r="ASF48" s="95"/>
      <c r="ASG48" s="95"/>
      <c r="ASH48" s="95"/>
      <c r="ASI48" s="95"/>
      <c r="ASJ48" s="95"/>
      <c r="ASK48" s="95"/>
      <c r="ASL48" s="95"/>
      <c r="ASM48" s="95"/>
      <c r="ASN48" s="95"/>
      <c r="ASO48" s="95"/>
      <c r="ASP48" s="95"/>
      <c r="ASQ48" s="95"/>
      <c r="ASR48" s="95"/>
      <c r="ASS48" s="95"/>
      <c r="AST48" s="95"/>
      <c r="ASU48" s="95"/>
      <c r="ASV48" s="95"/>
      <c r="ASW48" s="95"/>
      <c r="ASX48" s="95"/>
      <c r="ASY48" s="95"/>
      <c r="ASZ48" s="95"/>
      <c r="ATA48" s="95"/>
      <c r="ATB48" s="95"/>
      <c r="ATC48" s="95"/>
      <c r="ATD48" s="95"/>
      <c r="ATE48" s="95"/>
      <c r="ATF48" s="95"/>
      <c r="ATG48" s="95"/>
      <c r="ATH48" s="95"/>
      <c r="ATI48" s="95"/>
      <c r="ATJ48" s="95"/>
      <c r="ATK48" s="95"/>
      <c r="ATL48" s="95"/>
      <c r="ATM48" s="95"/>
      <c r="ATN48" s="95"/>
      <c r="ATO48" s="95"/>
      <c r="ATP48" s="95"/>
      <c r="ATQ48" s="95"/>
      <c r="ATR48" s="95"/>
      <c r="ATS48" s="95"/>
      <c r="ATT48" s="95"/>
      <c r="ATU48" s="95"/>
      <c r="ATV48" s="95"/>
      <c r="ATW48" s="95"/>
      <c r="ATX48" s="95"/>
      <c r="ATY48" s="95"/>
      <c r="ATZ48" s="95"/>
      <c r="AUA48" s="95"/>
      <c r="AUB48" s="95"/>
      <c r="AUC48" s="95"/>
      <c r="AUD48" s="95"/>
      <c r="AUE48" s="95"/>
      <c r="AUF48" s="95"/>
      <c r="AUG48" s="95"/>
      <c r="AUH48" s="95"/>
      <c r="AUI48" s="95"/>
      <c r="AUJ48" s="95"/>
      <c r="AUK48" s="95"/>
      <c r="AUL48" s="95"/>
      <c r="AUM48" s="95"/>
      <c r="AUN48" s="95"/>
      <c r="AUO48" s="95"/>
      <c r="AUP48" s="95"/>
      <c r="AUQ48" s="95"/>
      <c r="AUR48" s="95"/>
      <c r="AUS48" s="95"/>
      <c r="AUT48" s="95"/>
      <c r="AUU48" s="95"/>
      <c r="AUV48" s="95"/>
      <c r="AUW48" s="95"/>
      <c r="AUX48" s="95"/>
      <c r="AUY48" s="95"/>
      <c r="AUZ48" s="95"/>
      <c r="AVA48" s="95"/>
      <c r="AVB48" s="95"/>
      <c r="AVC48" s="95"/>
      <c r="AVD48" s="95"/>
      <c r="AVE48" s="95"/>
      <c r="AVF48" s="95"/>
      <c r="AVG48" s="95"/>
      <c r="AVH48" s="95"/>
      <c r="AVI48" s="95"/>
      <c r="AVJ48" s="95"/>
      <c r="AVK48" s="95"/>
      <c r="AVL48" s="95"/>
      <c r="AVM48" s="95"/>
      <c r="AVN48" s="95"/>
      <c r="AVO48" s="95"/>
      <c r="AVP48" s="95"/>
      <c r="AVQ48" s="95"/>
      <c r="AVR48" s="95"/>
      <c r="AVS48" s="95"/>
      <c r="AVT48" s="95"/>
      <c r="AVU48" s="95"/>
      <c r="AVV48" s="95"/>
      <c r="AVW48" s="95"/>
      <c r="AVX48" s="95"/>
      <c r="AVY48" s="95"/>
      <c r="AVZ48" s="95"/>
      <c r="AWA48" s="95"/>
      <c r="AWB48" s="95"/>
      <c r="AWC48" s="95"/>
      <c r="AWD48" s="95"/>
      <c r="AWE48" s="95"/>
      <c r="AWF48" s="95"/>
      <c r="AWG48" s="95"/>
      <c r="AWH48" s="95"/>
      <c r="AWI48" s="95"/>
      <c r="AWJ48" s="95"/>
      <c r="AWK48" s="95"/>
      <c r="AWL48" s="95"/>
      <c r="AWM48" s="95"/>
      <c r="AWN48" s="95"/>
      <c r="AWO48" s="95"/>
      <c r="AWP48" s="95"/>
      <c r="AWQ48" s="95"/>
      <c r="AWR48" s="95"/>
      <c r="AWS48" s="95"/>
      <c r="AWT48" s="95"/>
      <c r="AWU48" s="95"/>
      <c r="AWV48" s="95"/>
      <c r="AWW48" s="95"/>
      <c r="AWX48" s="95"/>
      <c r="AWY48" s="95"/>
      <c r="AWZ48" s="95"/>
      <c r="AXA48" s="95"/>
      <c r="AXB48" s="95"/>
      <c r="AXC48" s="95"/>
      <c r="AXD48" s="95"/>
      <c r="AXE48" s="95"/>
      <c r="AXF48" s="95"/>
      <c r="AXG48" s="95"/>
      <c r="AXH48" s="95"/>
      <c r="AXI48" s="95"/>
      <c r="AXJ48" s="95"/>
      <c r="AXK48" s="95"/>
      <c r="AXL48" s="95"/>
      <c r="AXM48" s="95"/>
      <c r="AXN48" s="95"/>
      <c r="AXO48" s="95"/>
      <c r="AXP48" s="95"/>
      <c r="AXQ48" s="95"/>
      <c r="AXR48" s="95"/>
      <c r="AXS48" s="95"/>
      <c r="AXT48" s="95"/>
      <c r="AXU48" s="95"/>
      <c r="AXV48" s="95"/>
      <c r="AXW48" s="95"/>
      <c r="AXX48" s="95"/>
      <c r="AXY48" s="95"/>
      <c r="AXZ48" s="95"/>
      <c r="AYA48" s="95"/>
      <c r="AYB48" s="95"/>
      <c r="AYC48" s="95"/>
      <c r="AYD48" s="95"/>
      <c r="AYE48" s="95"/>
      <c r="AYF48" s="95"/>
      <c r="AYG48" s="95"/>
      <c r="AYH48" s="95"/>
      <c r="AYI48" s="95"/>
      <c r="AYJ48" s="95"/>
      <c r="AYK48" s="95"/>
      <c r="AYL48" s="95"/>
      <c r="AYM48" s="95"/>
      <c r="AYN48" s="95"/>
      <c r="AYO48" s="95"/>
      <c r="AYP48" s="95"/>
      <c r="AYQ48" s="95"/>
      <c r="AYR48" s="95"/>
      <c r="AYS48" s="95"/>
      <c r="AYT48" s="95"/>
      <c r="AYU48" s="95"/>
      <c r="AYV48" s="95"/>
      <c r="AYW48" s="95"/>
      <c r="AYX48" s="95"/>
      <c r="AYY48" s="95"/>
      <c r="AYZ48" s="95"/>
      <c r="AZA48" s="95"/>
      <c r="AZB48" s="95"/>
      <c r="AZC48" s="95"/>
      <c r="AZD48" s="95"/>
      <c r="AZE48" s="95"/>
      <c r="AZF48" s="95"/>
      <c r="AZG48" s="95"/>
      <c r="AZH48" s="95"/>
      <c r="AZI48" s="95"/>
      <c r="AZJ48" s="95"/>
      <c r="AZK48" s="95"/>
      <c r="AZL48" s="95"/>
      <c r="AZM48" s="95"/>
      <c r="AZN48" s="95"/>
      <c r="AZO48" s="95"/>
      <c r="AZP48" s="95"/>
      <c r="AZQ48" s="95"/>
      <c r="AZR48" s="95"/>
      <c r="AZS48" s="95"/>
      <c r="AZT48" s="95"/>
      <c r="AZU48" s="95"/>
      <c r="AZV48" s="95"/>
      <c r="AZW48" s="95"/>
      <c r="AZX48" s="95"/>
      <c r="AZY48" s="95"/>
      <c r="AZZ48" s="95"/>
      <c r="BAA48" s="95"/>
      <c r="BAB48" s="95"/>
      <c r="BAC48" s="95"/>
      <c r="BAD48" s="95"/>
      <c r="BAE48" s="95"/>
      <c r="BAF48" s="95"/>
      <c r="BAG48" s="95"/>
      <c r="BAH48" s="95"/>
      <c r="BAI48" s="95"/>
      <c r="BAJ48" s="95"/>
      <c r="BAK48" s="95"/>
      <c r="BAL48" s="95"/>
      <c r="BAM48" s="95"/>
      <c r="BAN48" s="95"/>
      <c r="BAO48" s="95"/>
      <c r="BAP48" s="95"/>
      <c r="BAQ48" s="95"/>
      <c r="BAR48" s="95"/>
      <c r="BAS48" s="95"/>
      <c r="BAT48" s="95"/>
      <c r="BAU48" s="95"/>
      <c r="BAV48" s="95"/>
      <c r="BAW48" s="95"/>
      <c r="BAX48" s="95"/>
      <c r="BAY48" s="95"/>
      <c r="BAZ48" s="95"/>
      <c r="BBA48" s="95"/>
      <c r="BBB48" s="95"/>
      <c r="BBC48" s="95"/>
      <c r="BBD48" s="95"/>
      <c r="BBE48" s="95"/>
      <c r="BBF48" s="95"/>
      <c r="BBG48" s="95"/>
      <c r="BBH48" s="95"/>
      <c r="BBI48" s="95"/>
      <c r="BBJ48" s="95"/>
      <c r="BBK48" s="95"/>
      <c r="BBL48" s="95"/>
      <c r="BBM48" s="95"/>
      <c r="BBN48" s="95"/>
      <c r="BBO48" s="95"/>
      <c r="BBP48" s="95"/>
      <c r="BBQ48" s="95"/>
      <c r="BBR48" s="95"/>
      <c r="BBS48" s="95"/>
      <c r="BBT48" s="95"/>
      <c r="BBU48" s="95"/>
      <c r="BBV48" s="95"/>
      <c r="BBW48" s="95"/>
      <c r="BBX48" s="95"/>
      <c r="BBY48" s="95"/>
      <c r="BBZ48" s="95"/>
      <c r="BCA48" s="95"/>
      <c r="BCB48" s="95"/>
      <c r="BCC48" s="95"/>
      <c r="BCD48" s="95"/>
      <c r="BCE48" s="95"/>
      <c r="BCF48" s="95"/>
      <c r="BCG48" s="95"/>
      <c r="BCH48" s="95"/>
      <c r="BCI48" s="95"/>
      <c r="BCJ48" s="95"/>
      <c r="BCK48" s="95"/>
      <c r="BCL48" s="95"/>
      <c r="BCM48" s="95"/>
      <c r="BCN48" s="95"/>
      <c r="BCO48" s="95"/>
      <c r="BCP48" s="95"/>
      <c r="BCQ48" s="95"/>
      <c r="BCR48" s="95"/>
      <c r="BCS48" s="95"/>
      <c r="BCT48" s="95"/>
      <c r="BCU48" s="95"/>
      <c r="BCV48" s="95"/>
      <c r="BCW48" s="95"/>
      <c r="BCX48" s="95"/>
      <c r="BCY48" s="95"/>
      <c r="BCZ48" s="95"/>
      <c r="BDA48" s="95"/>
      <c r="BDB48" s="95"/>
      <c r="BDC48" s="95"/>
      <c r="BDD48" s="95"/>
      <c r="BDE48" s="95"/>
      <c r="BDF48" s="95"/>
      <c r="BDG48" s="95"/>
      <c r="BDH48" s="95"/>
      <c r="BDI48" s="95"/>
      <c r="BDJ48" s="95"/>
      <c r="BDK48" s="95"/>
      <c r="BDL48" s="95"/>
      <c r="BDM48" s="95"/>
      <c r="BDN48" s="95"/>
      <c r="BDO48" s="95"/>
      <c r="BDP48" s="95"/>
      <c r="BDQ48" s="95"/>
      <c r="BDR48" s="95"/>
      <c r="BDS48" s="95"/>
      <c r="BDT48" s="95"/>
      <c r="BDU48" s="95"/>
      <c r="BDV48" s="95"/>
      <c r="BDW48" s="95"/>
      <c r="BDX48" s="95"/>
      <c r="BDY48" s="95"/>
      <c r="BDZ48" s="95"/>
      <c r="BEA48" s="95"/>
      <c r="BEB48" s="95"/>
      <c r="BEC48" s="95"/>
      <c r="BED48" s="95"/>
      <c r="BEE48" s="95"/>
      <c r="BEF48" s="95"/>
      <c r="BEG48" s="95"/>
      <c r="BEH48" s="95"/>
      <c r="BEI48" s="95"/>
      <c r="BEJ48" s="95"/>
      <c r="BEK48" s="95"/>
      <c r="BEL48" s="95"/>
      <c r="BEM48" s="95"/>
      <c r="BEN48" s="95"/>
      <c r="BEO48" s="95"/>
      <c r="BEP48" s="95"/>
      <c r="BEQ48" s="95"/>
      <c r="BER48" s="95"/>
      <c r="BES48" s="95"/>
      <c r="BET48" s="95"/>
      <c r="BEU48" s="95"/>
      <c r="BEV48" s="95"/>
      <c r="BEW48" s="95"/>
      <c r="BEX48" s="95"/>
      <c r="BEY48" s="95"/>
      <c r="BEZ48" s="95"/>
      <c r="BFA48" s="95"/>
      <c r="BFB48" s="95"/>
      <c r="BFC48" s="95"/>
      <c r="BFD48" s="95"/>
      <c r="BFE48" s="95"/>
      <c r="BFF48" s="95"/>
      <c r="BFG48" s="95"/>
      <c r="BFH48" s="95"/>
      <c r="BFI48" s="95"/>
      <c r="BFJ48" s="95"/>
      <c r="BFK48" s="95"/>
      <c r="BFL48" s="95"/>
      <c r="BFM48" s="95"/>
      <c r="BFN48" s="95"/>
      <c r="BFO48" s="95"/>
      <c r="BFP48" s="95"/>
      <c r="BFQ48" s="95"/>
      <c r="BFR48" s="95"/>
      <c r="BFS48" s="95"/>
      <c r="BFT48" s="95"/>
      <c r="BFU48" s="95"/>
      <c r="BFV48" s="95"/>
      <c r="BFW48" s="95"/>
      <c r="BFX48" s="95"/>
      <c r="BFY48" s="95"/>
      <c r="BFZ48" s="95"/>
      <c r="BGA48" s="95"/>
      <c r="BGB48" s="95"/>
      <c r="BGC48" s="95"/>
      <c r="BGD48" s="95"/>
      <c r="BGE48" s="95"/>
      <c r="BGF48" s="95"/>
      <c r="BGG48" s="95"/>
      <c r="BGH48" s="95"/>
      <c r="BGI48" s="95"/>
      <c r="BGJ48" s="95"/>
      <c r="BGK48" s="95"/>
      <c r="BGL48" s="95"/>
      <c r="BGM48" s="95"/>
      <c r="BGN48" s="95"/>
      <c r="BGO48" s="95"/>
      <c r="BGP48" s="95"/>
      <c r="BGQ48" s="95"/>
      <c r="BGR48" s="95"/>
      <c r="BGS48" s="95"/>
      <c r="BGT48" s="95"/>
      <c r="BGU48" s="95"/>
      <c r="BGV48" s="95"/>
      <c r="BGW48" s="95"/>
      <c r="BGX48" s="95"/>
      <c r="BGY48" s="95"/>
      <c r="BGZ48" s="95"/>
      <c r="BHA48" s="95"/>
      <c r="BHB48" s="95"/>
      <c r="BHC48" s="95"/>
      <c r="BHD48" s="95"/>
      <c r="BHE48" s="95"/>
      <c r="BHF48" s="95"/>
      <c r="BHG48" s="95"/>
      <c r="BHH48" s="95"/>
      <c r="BHI48" s="95"/>
      <c r="BHJ48" s="95"/>
      <c r="BHK48" s="95"/>
      <c r="BHL48" s="95"/>
      <c r="BHM48" s="95"/>
      <c r="BHN48" s="95"/>
      <c r="BHO48" s="95"/>
      <c r="BHP48" s="95"/>
      <c r="BHQ48" s="95"/>
      <c r="BHR48" s="95"/>
      <c r="BHS48" s="95"/>
      <c r="BHT48" s="95"/>
      <c r="BHU48" s="95"/>
      <c r="BHV48" s="95"/>
      <c r="BHW48" s="95"/>
      <c r="BHX48" s="95"/>
      <c r="BHY48" s="95"/>
      <c r="BHZ48" s="95"/>
      <c r="BIA48" s="95"/>
      <c r="BIB48" s="95"/>
      <c r="BIC48" s="95"/>
      <c r="BID48" s="95"/>
      <c r="BIE48" s="95"/>
      <c r="BIF48" s="95"/>
      <c r="BIG48" s="95"/>
      <c r="BIH48" s="95"/>
      <c r="BII48" s="95"/>
      <c r="BIJ48" s="95"/>
      <c r="BIK48" s="95"/>
      <c r="BIL48" s="95"/>
      <c r="BIM48" s="95"/>
      <c r="BIN48" s="95"/>
      <c r="BIO48" s="95"/>
      <c r="BIP48" s="95"/>
      <c r="BIQ48" s="95"/>
      <c r="BIR48" s="95"/>
      <c r="BIS48" s="95"/>
      <c r="BIT48" s="95"/>
      <c r="BIU48" s="95"/>
      <c r="BIV48" s="95"/>
      <c r="BIW48" s="95"/>
      <c r="BIX48" s="95"/>
      <c r="BIY48" s="95"/>
      <c r="BIZ48" s="95"/>
      <c r="BJA48" s="95"/>
      <c r="BJB48" s="95"/>
      <c r="BJC48" s="95"/>
      <c r="BJD48" s="95"/>
      <c r="BJE48" s="95"/>
      <c r="BJF48" s="95"/>
      <c r="BJG48" s="95"/>
      <c r="BJH48" s="95"/>
      <c r="BJI48" s="95"/>
      <c r="BJJ48" s="95"/>
      <c r="BJK48" s="95"/>
      <c r="BJL48" s="95"/>
      <c r="BJM48" s="95"/>
      <c r="BJN48" s="95"/>
      <c r="BJO48" s="95"/>
      <c r="BJP48" s="95"/>
      <c r="BJQ48" s="95"/>
      <c r="BJR48" s="95"/>
      <c r="BJS48" s="95"/>
      <c r="BJT48" s="95"/>
      <c r="BJU48" s="95"/>
      <c r="BJV48" s="95"/>
      <c r="BJW48" s="95"/>
      <c r="BJX48" s="95"/>
      <c r="BJY48" s="95"/>
      <c r="BJZ48" s="95"/>
      <c r="BKA48" s="95"/>
      <c r="BKB48" s="95"/>
      <c r="BKC48" s="95"/>
      <c r="BKD48" s="95"/>
      <c r="BKE48" s="95"/>
      <c r="BKF48" s="95"/>
      <c r="BKG48" s="95"/>
      <c r="BKH48" s="95"/>
      <c r="BKI48" s="95"/>
      <c r="BKJ48" s="95"/>
      <c r="BKK48" s="95"/>
      <c r="BKL48" s="95"/>
      <c r="BKM48" s="95"/>
      <c r="BKN48" s="95"/>
      <c r="BKO48" s="95"/>
      <c r="BKP48" s="95"/>
      <c r="BKQ48" s="95"/>
      <c r="BKR48" s="95"/>
      <c r="BKS48" s="95"/>
      <c r="BKT48" s="95"/>
      <c r="BKU48" s="95"/>
      <c r="BKV48" s="95"/>
      <c r="BKW48" s="95"/>
      <c r="BKX48" s="95"/>
      <c r="BKY48" s="95"/>
      <c r="BKZ48" s="95"/>
      <c r="BLA48" s="95"/>
      <c r="BLB48" s="95"/>
      <c r="BLC48" s="95"/>
      <c r="BLD48" s="95"/>
      <c r="BLE48" s="95"/>
      <c r="BLF48" s="95"/>
      <c r="BLG48" s="95"/>
      <c r="BLH48" s="95"/>
      <c r="BLI48" s="95"/>
      <c r="BLJ48" s="95"/>
      <c r="BLK48" s="95"/>
      <c r="BLL48" s="95"/>
      <c r="BLM48" s="95"/>
      <c r="BLN48" s="95"/>
      <c r="BLO48" s="95"/>
      <c r="BLP48" s="95"/>
      <c r="BLQ48" s="95"/>
      <c r="BLR48" s="95"/>
      <c r="BLS48" s="95"/>
      <c r="BLT48" s="95"/>
      <c r="BLU48" s="95"/>
      <c r="BLV48" s="95"/>
      <c r="BLW48" s="95"/>
      <c r="BLX48" s="95"/>
      <c r="BLY48" s="95"/>
      <c r="BLZ48" s="95"/>
      <c r="BMA48" s="95"/>
      <c r="BMB48" s="95"/>
      <c r="BMC48" s="95"/>
      <c r="BMD48" s="95"/>
      <c r="BME48" s="95"/>
      <c r="BMF48" s="95"/>
      <c r="BMG48" s="95"/>
      <c r="BMH48" s="95"/>
      <c r="BMI48" s="95"/>
      <c r="BMJ48" s="95"/>
      <c r="BMK48" s="95"/>
      <c r="BML48" s="95"/>
      <c r="BMM48" s="95"/>
      <c r="BMN48" s="95"/>
      <c r="BMO48" s="95"/>
      <c r="BMP48" s="95"/>
      <c r="BMQ48" s="95"/>
      <c r="BMR48" s="95"/>
      <c r="BMS48" s="95"/>
      <c r="BMT48" s="95"/>
      <c r="BMU48" s="95"/>
      <c r="BMV48" s="95"/>
      <c r="BMW48" s="95"/>
      <c r="BMX48" s="95"/>
      <c r="BMY48" s="95"/>
      <c r="BMZ48" s="95"/>
      <c r="BNA48" s="95"/>
      <c r="BNB48" s="95"/>
      <c r="BNC48" s="95"/>
      <c r="BND48" s="95"/>
      <c r="BNE48" s="95"/>
      <c r="BNF48" s="95"/>
      <c r="BNG48" s="95"/>
      <c r="BNH48" s="95"/>
      <c r="BNI48" s="95"/>
      <c r="BNJ48" s="95"/>
      <c r="BNK48" s="95"/>
      <c r="BNL48" s="95"/>
      <c r="BNM48" s="95"/>
      <c r="BNN48" s="95"/>
      <c r="BNO48" s="95"/>
      <c r="BNP48" s="95"/>
      <c r="BNQ48" s="95"/>
      <c r="BNR48" s="95"/>
      <c r="BNS48" s="95"/>
      <c r="BNT48" s="95"/>
      <c r="BNU48" s="95"/>
      <c r="BNV48" s="95"/>
      <c r="BNW48" s="95"/>
      <c r="BNX48" s="95"/>
      <c r="BNY48" s="95"/>
      <c r="BNZ48" s="95"/>
      <c r="BOA48" s="95"/>
      <c r="BOB48" s="95"/>
      <c r="BOC48" s="95"/>
      <c r="BOD48" s="95"/>
      <c r="BOE48" s="95"/>
      <c r="BOF48" s="95"/>
      <c r="BOG48" s="95"/>
      <c r="BOH48" s="95"/>
      <c r="BOI48" s="95"/>
      <c r="BOJ48" s="95"/>
      <c r="BOK48" s="95"/>
      <c r="BOL48" s="95"/>
      <c r="BOM48" s="95"/>
      <c r="BON48" s="95"/>
      <c r="BOO48" s="95"/>
      <c r="BOP48" s="95"/>
      <c r="BOQ48" s="95"/>
      <c r="BOR48" s="95"/>
      <c r="BOS48" s="95"/>
      <c r="BOT48" s="95"/>
      <c r="BOU48" s="95"/>
      <c r="BOV48" s="95"/>
      <c r="BOW48" s="95"/>
      <c r="BOX48" s="95"/>
      <c r="BOY48" s="95"/>
      <c r="BOZ48" s="95"/>
      <c r="BPA48" s="95"/>
      <c r="BPB48" s="95"/>
      <c r="BPC48" s="95"/>
      <c r="BPD48" s="95"/>
      <c r="BPE48" s="95"/>
      <c r="BPF48" s="95"/>
      <c r="BPG48" s="95"/>
      <c r="BPH48" s="95"/>
      <c r="BPI48" s="95"/>
      <c r="BPJ48" s="95"/>
      <c r="BPK48" s="95"/>
      <c r="BPL48" s="95"/>
      <c r="BPM48" s="95"/>
      <c r="BPN48" s="95"/>
      <c r="BPO48" s="95"/>
      <c r="BPP48" s="95"/>
      <c r="BPQ48" s="95"/>
      <c r="BPR48" s="95"/>
      <c r="BPS48" s="95"/>
      <c r="BPT48" s="95"/>
      <c r="BPU48" s="95"/>
      <c r="BPV48" s="95"/>
      <c r="BPW48" s="95"/>
      <c r="BPX48" s="95"/>
      <c r="BPY48" s="95"/>
      <c r="BPZ48" s="95"/>
      <c r="BQA48" s="95"/>
      <c r="BQB48" s="95"/>
      <c r="BQC48" s="95"/>
      <c r="BQD48" s="95"/>
      <c r="BQE48" s="95"/>
      <c r="BQF48" s="95"/>
      <c r="BQG48" s="95"/>
      <c r="BQH48" s="95"/>
      <c r="BQI48" s="95"/>
      <c r="BQJ48" s="95"/>
      <c r="BQK48" s="95"/>
      <c r="BQL48" s="95"/>
      <c r="BQM48" s="95"/>
      <c r="BQN48" s="95"/>
      <c r="BQO48" s="95"/>
      <c r="BQP48" s="95"/>
      <c r="BQQ48" s="95"/>
      <c r="BQR48" s="95"/>
      <c r="BQS48" s="95"/>
      <c r="BQT48" s="95"/>
      <c r="BQU48" s="95"/>
      <c r="BQV48" s="95"/>
      <c r="BQW48" s="95"/>
      <c r="BQX48" s="95"/>
      <c r="BQY48" s="95"/>
      <c r="BQZ48" s="95"/>
      <c r="BRA48" s="95"/>
      <c r="BRB48" s="95"/>
      <c r="BRC48" s="95"/>
      <c r="BRD48" s="95"/>
      <c r="BRE48" s="95"/>
      <c r="BRF48" s="95"/>
      <c r="BRG48" s="95"/>
      <c r="BRH48" s="95"/>
      <c r="BRI48" s="95"/>
      <c r="BRJ48" s="95"/>
      <c r="BRK48" s="95"/>
      <c r="BRL48" s="95"/>
      <c r="BRM48" s="95"/>
      <c r="BRN48" s="95"/>
      <c r="BRO48" s="95"/>
      <c r="BRP48" s="95"/>
      <c r="BRQ48" s="95"/>
      <c r="BRR48" s="95"/>
      <c r="BRS48" s="95"/>
      <c r="BRT48" s="95"/>
      <c r="BRU48" s="95"/>
      <c r="BRV48" s="95"/>
      <c r="BRW48" s="95"/>
      <c r="BRX48" s="95"/>
      <c r="BRY48" s="95"/>
      <c r="BRZ48" s="95"/>
      <c r="BSA48" s="95"/>
      <c r="BSB48" s="95"/>
      <c r="BSC48" s="95"/>
      <c r="BSD48" s="95"/>
      <c r="BSE48" s="95"/>
      <c r="BSF48" s="95"/>
      <c r="BSG48" s="95"/>
      <c r="BSH48" s="95"/>
      <c r="BSI48" s="95"/>
      <c r="BSJ48" s="95"/>
      <c r="BSK48" s="95"/>
      <c r="BSL48" s="95"/>
      <c r="BSM48" s="95"/>
      <c r="BSN48" s="95"/>
      <c r="BSO48" s="95"/>
      <c r="BSP48" s="95"/>
      <c r="BSQ48" s="95"/>
      <c r="BSR48" s="95"/>
      <c r="BSS48" s="95"/>
      <c r="BST48" s="95"/>
      <c r="BSU48" s="95"/>
      <c r="BSV48" s="95"/>
      <c r="BSW48" s="95"/>
      <c r="BSX48" s="95"/>
      <c r="BSY48" s="95"/>
      <c r="BSZ48" s="95"/>
      <c r="BTA48" s="95"/>
      <c r="BTB48" s="95"/>
      <c r="BTC48" s="95"/>
      <c r="BTD48" s="95"/>
      <c r="BTE48" s="95"/>
      <c r="BTF48" s="95"/>
      <c r="BTG48" s="95"/>
      <c r="BTH48" s="95"/>
      <c r="BTI48" s="95"/>
      <c r="BTJ48" s="95"/>
      <c r="BTK48" s="95"/>
      <c r="BTL48" s="95"/>
      <c r="BTM48" s="95"/>
      <c r="BTN48" s="95"/>
      <c r="BTO48" s="95"/>
      <c r="BTP48" s="95"/>
      <c r="BTQ48" s="95"/>
      <c r="BTR48" s="95"/>
      <c r="BTS48" s="95"/>
      <c r="BTT48" s="95"/>
      <c r="BTU48" s="95"/>
      <c r="BTV48" s="95"/>
      <c r="BTW48" s="95"/>
      <c r="BTX48" s="95"/>
      <c r="BTY48" s="95"/>
      <c r="BTZ48" s="95"/>
      <c r="BUA48" s="95"/>
      <c r="BUB48" s="95"/>
      <c r="BUC48" s="95"/>
      <c r="BUD48" s="95"/>
      <c r="BUE48" s="95"/>
      <c r="BUF48" s="95"/>
      <c r="BUG48" s="95"/>
      <c r="BUH48" s="95"/>
      <c r="BUI48" s="95"/>
      <c r="BUJ48" s="95"/>
      <c r="BUK48" s="95"/>
      <c r="BUL48" s="95"/>
      <c r="BUM48" s="95"/>
      <c r="BUN48" s="95"/>
      <c r="BUO48" s="95"/>
      <c r="BUP48" s="95"/>
      <c r="BUQ48" s="95"/>
      <c r="BUR48" s="95"/>
      <c r="BUS48" s="95"/>
      <c r="BUT48" s="95"/>
      <c r="BUU48" s="95"/>
      <c r="BUV48" s="95"/>
      <c r="BUW48" s="95"/>
      <c r="BUX48" s="95"/>
      <c r="BUY48" s="95"/>
      <c r="BUZ48" s="95"/>
      <c r="BVA48" s="95"/>
      <c r="BVB48" s="95"/>
      <c r="BVC48" s="95"/>
      <c r="BVD48" s="95"/>
      <c r="BVE48" s="95"/>
      <c r="BVF48" s="95"/>
      <c r="BVG48" s="95"/>
      <c r="BVH48" s="95"/>
      <c r="BVI48" s="95"/>
      <c r="BVJ48" s="95"/>
      <c r="BVK48" s="95"/>
      <c r="BVL48" s="95"/>
      <c r="BVM48" s="95"/>
      <c r="BVN48" s="95"/>
      <c r="BVO48" s="95"/>
      <c r="BVP48" s="95"/>
      <c r="BVQ48" s="95"/>
      <c r="BVR48" s="95"/>
      <c r="BVS48" s="95"/>
      <c r="BVT48" s="95"/>
      <c r="BVU48" s="95"/>
      <c r="BVV48" s="95"/>
      <c r="BVW48" s="95"/>
      <c r="BVX48" s="95"/>
      <c r="BVY48" s="95"/>
      <c r="BVZ48" s="95"/>
      <c r="BWA48" s="95"/>
      <c r="BWB48" s="95"/>
      <c r="BWC48" s="95"/>
      <c r="BWD48" s="95"/>
      <c r="BWE48" s="95"/>
      <c r="BWF48" s="95"/>
      <c r="BWG48" s="95"/>
      <c r="BWH48" s="95"/>
      <c r="BWI48" s="95"/>
      <c r="BWJ48" s="95"/>
      <c r="BWK48" s="95"/>
      <c r="BWL48" s="95"/>
      <c r="BWM48" s="95"/>
      <c r="BWN48" s="95"/>
      <c r="BWO48" s="95"/>
      <c r="BWP48" s="95"/>
      <c r="BWQ48" s="95"/>
      <c r="BWR48" s="95"/>
      <c r="BWS48" s="95"/>
      <c r="BWT48" s="95"/>
      <c r="BWU48" s="95"/>
      <c r="BWV48" s="95"/>
      <c r="BWW48" s="95"/>
      <c r="BWX48" s="95"/>
      <c r="BWY48" s="95"/>
      <c r="BWZ48" s="95"/>
      <c r="BXA48" s="95"/>
      <c r="BXB48" s="95"/>
      <c r="BXC48" s="95"/>
      <c r="BXD48" s="95"/>
      <c r="BXE48" s="95"/>
      <c r="BXF48" s="95"/>
      <c r="BXG48" s="95"/>
      <c r="BXH48" s="95"/>
      <c r="BXI48" s="95"/>
      <c r="BXJ48" s="95"/>
      <c r="BXK48" s="95"/>
      <c r="BXL48" s="95"/>
      <c r="BXM48" s="95"/>
      <c r="BXN48" s="95"/>
      <c r="BXO48" s="95"/>
      <c r="BXP48" s="95"/>
      <c r="BXQ48" s="95"/>
      <c r="BXR48" s="95"/>
      <c r="BXS48" s="95"/>
      <c r="BXT48" s="95"/>
      <c r="BXU48" s="95"/>
      <c r="BXV48" s="95"/>
      <c r="BXW48" s="95"/>
      <c r="BXX48" s="95"/>
      <c r="BXY48" s="95"/>
      <c r="BXZ48" s="95"/>
      <c r="BYA48" s="95"/>
      <c r="BYB48" s="95"/>
      <c r="BYC48" s="95"/>
      <c r="BYD48" s="95"/>
      <c r="BYE48" s="95"/>
      <c r="BYF48" s="95"/>
      <c r="BYG48" s="95"/>
    </row>
    <row r="49" spans="1:2009" s="96" customFormat="1" ht="12.75" customHeight="1" thickBot="1" x14ac:dyDescent="0.3">
      <c r="A49" s="119"/>
      <c r="B49" s="120"/>
      <c r="C49" s="176"/>
      <c r="D49" s="176"/>
      <c r="E49" s="176"/>
      <c r="F49" s="176"/>
      <c r="G49" s="176"/>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506" t="s">
        <v>337</v>
      </c>
      <c r="B50" s="507"/>
      <c r="C50" s="508"/>
      <c r="D50" s="526"/>
      <c r="E50" s="526"/>
      <c r="F50" s="526"/>
      <c r="G50" s="509"/>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510"/>
      <c r="B51" s="515" t="s">
        <v>24</v>
      </c>
      <c r="C51" s="513">
        <f>545+540+540</f>
        <v>1625</v>
      </c>
      <c r="D51" s="513"/>
      <c r="E51" s="513"/>
      <c r="F51" s="513"/>
      <c r="G51" s="517">
        <f>SUM(C51:F51)</f>
        <v>1625</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511"/>
      <c r="B52" s="516" t="s">
        <v>224</v>
      </c>
      <c r="C52" s="514">
        <f>1927.5-C51</f>
        <v>302.5</v>
      </c>
      <c r="D52" s="514"/>
      <c r="E52" s="514"/>
      <c r="F52" s="514"/>
      <c r="G52" s="518">
        <f>SUM(C52:F52)</f>
        <v>302.5</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854" t="s">
        <v>338</v>
      </c>
      <c r="B53" s="855"/>
      <c r="C53" s="512">
        <f t="shared" ref="C53" si="3">SUM(C50:C52)</f>
        <v>1927.5</v>
      </c>
      <c r="D53" s="512"/>
      <c r="E53" s="512"/>
      <c r="F53" s="512"/>
      <c r="G53" s="512">
        <f t="shared" ref="G53" si="4">SUM(G50:G52)</f>
        <v>1927.5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3"/>
      <c r="D54" s="183"/>
      <c r="E54" s="183"/>
      <c r="F54" s="183"/>
      <c r="G54" s="183"/>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customHeight="1" thickBot="1" x14ac:dyDescent="0.3">
      <c r="A55" s="559" t="s">
        <v>446</v>
      </c>
      <c r="B55" s="560"/>
      <c r="C55" s="561">
        <v>1518.62</v>
      </c>
      <c r="D55" s="562"/>
      <c r="E55" s="562"/>
      <c r="F55" s="562"/>
      <c r="G55" s="563">
        <f>SUM(C55:F55)</f>
        <v>1518.62</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6" customFormat="1" ht="12.75" customHeight="1" thickBot="1" x14ac:dyDescent="0.3">
      <c r="A56" s="120"/>
      <c r="B56" s="120"/>
      <c r="C56" s="176"/>
      <c r="D56" s="176"/>
      <c r="E56" s="176"/>
      <c r="F56" s="176"/>
      <c r="G56" s="176"/>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252" customFormat="1" ht="24.95" customHeight="1" thickBot="1" x14ac:dyDescent="0.3">
      <c r="A57" s="250"/>
      <c r="B57" s="251" t="s">
        <v>357</v>
      </c>
      <c r="C57" s="421">
        <f>SUM(C8+C14+C22+C26+C31+C41+C53)+C35+C47+C55</f>
        <v>117862.01000000001</v>
      </c>
      <c r="D57" s="421">
        <f>SUM(D8+D14+D22+D26+D31+D41+D53)+D35+D47+D55</f>
        <v>70060.460000000006</v>
      </c>
      <c r="E57" s="421">
        <f>SUM(E8+E14+E22+E26+E31+E41+E53)+E35+E47+E55</f>
        <v>46333.549999999996</v>
      </c>
      <c r="F57" s="421">
        <f>SUM(F8+F14+F22+F26+F31+F41+F53)+F35+F47+F55</f>
        <v>152.88999999999999</v>
      </c>
      <c r="G57" s="421">
        <f>SUM(G8+G14+G22+G26+G31+G41+G53)+G35+G47+G55</f>
        <v>234408.91</v>
      </c>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213"/>
      <c r="EV57" s="213"/>
      <c r="EW57" s="213"/>
      <c r="EX57" s="213"/>
      <c r="EY57" s="213"/>
      <c r="EZ57" s="213"/>
      <c r="FA57" s="213"/>
      <c r="FB57" s="213"/>
      <c r="FC57" s="213"/>
      <c r="FD57" s="213"/>
      <c r="FE57" s="213"/>
      <c r="FF57" s="213"/>
      <c r="FG57" s="213"/>
      <c r="FH57" s="213"/>
      <c r="FI57" s="213"/>
      <c r="FJ57" s="213"/>
      <c r="FK57" s="213"/>
      <c r="FL57" s="213"/>
      <c r="FM57" s="213"/>
      <c r="FN57" s="213"/>
      <c r="FO57" s="213"/>
      <c r="FP57" s="213"/>
      <c r="FQ57" s="213"/>
      <c r="FR57" s="213"/>
      <c r="FS57" s="213"/>
      <c r="FT57" s="213"/>
      <c r="FU57" s="213"/>
      <c r="FV57" s="213"/>
      <c r="FW57" s="213"/>
      <c r="FX57" s="213"/>
      <c r="FY57" s="213"/>
      <c r="FZ57" s="213"/>
      <c r="GA57" s="213"/>
      <c r="GB57" s="213"/>
      <c r="GC57" s="213"/>
      <c r="GD57" s="213"/>
      <c r="GE57" s="213"/>
      <c r="GF57" s="213"/>
      <c r="GG57" s="213"/>
      <c r="GH57" s="213"/>
      <c r="GI57" s="213"/>
      <c r="GJ57" s="213"/>
      <c r="GK57" s="213"/>
      <c r="GL57" s="213"/>
      <c r="GM57" s="213"/>
      <c r="GN57" s="213"/>
      <c r="GO57" s="213"/>
      <c r="GP57" s="213"/>
      <c r="GQ57" s="213"/>
      <c r="GR57" s="213"/>
      <c r="GS57" s="213"/>
      <c r="GT57" s="213"/>
      <c r="GU57" s="213"/>
      <c r="GV57" s="213"/>
      <c r="GW57" s="213"/>
      <c r="GX57" s="213"/>
      <c r="GY57" s="213"/>
      <c r="GZ57" s="213"/>
      <c r="HA57" s="213"/>
      <c r="HB57" s="213"/>
      <c r="HC57" s="213"/>
      <c r="HD57" s="213"/>
      <c r="HE57" s="213"/>
      <c r="HF57" s="213"/>
      <c r="HG57" s="213"/>
      <c r="HH57" s="213"/>
      <c r="HI57" s="213"/>
      <c r="HJ57" s="213"/>
      <c r="HK57" s="213"/>
      <c r="HL57" s="213"/>
      <c r="HM57" s="213"/>
      <c r="HN57" s="213"/>
      <c r="HO57" s="213"/>
      <c r="HP57" s="213"/>
      <c r="HQ57" s="213"/>
      <c r="HR57" s="213"/>
      <c r="HS57" s="213"/>
      <c r="HT57" s="213"/>
      <c r="HU57" s="213"/>
      <c r="HV57" s="213"/>
      <c r="HW57" s="213"/>
      <c r="HX57" s="213"/>
      <c r="HY57" s="213"/>
      <c r="HZ57" s="213"/>
      <c r="IA57" s="213"/>
      <c r="IB57" s="213"/>
      <c r="IC57" s="213"/>
      <c r="ID57" s="213"/>
      <c r="IE57" s="213"/>
      <c r="IF57" s="213"/>
      <c r="IG57" s="213"/>
      <c r="IH57" s="213"/>
      <c r="II57" s="213"/>
      <c r="IJ57" s="213"/>
      <c r="IK57" s="213"/>
      <c r="IL57" s="213"/>
      <c r="IM57" s="213"/>
      <c r="IN57" s="213"/>
      <c r="IO57" s="213"/>
      <c r="IP57" s="213"/>
      <c r="IQ57" s="213"/>
      <c r="IR57" s="213"/>
      <c r="IS57" s="213"/>
      <c r="IT57" s="213"/>
      <c r="IU57" s="213"/>
      <c r="IV57" s="213"/>
      <c r="IW57" s="213"/>
      <c r="IX57" s="213"/>
      <c r="IY57" s="213"/>
      <c r="IZ57" s="213"/>
      <c r="JA57" s="213"/>
      <c r="JB57" s="213"/>
      <c r="JC57" s="213"/>
      <c r="JD57" s="213"/>
      <c r="JE57" s="213"/>
      <c r="JF57" s="213"/>
      <c r="JG57" s="213"/>
      <c r="JH57" s="213"/>
      <c r="JI57" s="213"/>
      <c r="JJ57" s="213"/>
      <c r="JK57" s="213"/>
      <c r="JL57" s="213"/>
      <c r="JM57" s="213"/>
      <c r="JN57" s="213"/>
      <c r="JO57" s="213"/>
      <c r="JP57" s="213"/>
      <c r="JQ57" s="213"/>
      <c r="JR57" s="213"/>
      <c r="JS57" s="213"/>
      <c r="JT57" s="213"/>
      <c r="JU57" s="213"/>
      <c r="JV57" s="213"/>
      <c r="JW57" s="213"/>
      <c r="JX57" s="213"/>
      <c r="JY57" s="213"/>
      <c r="JZ57" s="213"/>
      <c r="KA57" s="213"/>
      <c r="KB57" s="213"/>
      <c r="KC57" s="213"/>
      <c r="KD57" s="213"/>
      <c r="KE57" s="213"/>
      <c r="KF57" s="213"/>
      <c r="KG57" s="213"/>
      <c r="KH57" s="213"/>
      <c r="KI57" s="213"/>
      <c r="KJ57" s="213"/>
      <c r="KK57" s="213"/>
      <c r="KL57" s="213"/>
      <c r="KM57" s="213"/>
      <c r="KN57" s="213"/>
      <c r="KO57" s="213"/>
      <c r="KP57" s="213"/>
      <c r="KQ57" s="213"/>
      <c r="KR57" s="213"/>
      <c r="KS57" s="213"/>
      <c r="KT57" s="213"/>
      <c r="KU57" s="213"/>
      <c r="KV57" s="213"/>
      <c r="KW57" s="213"/>
      <c r="KX57" s="213"/>
      <c r="KY57" s="213"/>
      <c r="KZ57" s="213"/>
      <c r="LA57" s="213"/>
      <c r="LB57" s="213"/>
      <c r="LC57" s="213"/>
      <c r="LD57" s="213"/>
      <c r="LE57" s="213"/>
      <c r="LF57" s="213"/>
      <c r="LG57" s="213"/>
      <c r="LH57" s="213"/>
      <c r="LI57" s="213"/>
      <c r="LJ57" s="213"/>
      <c r="LK57" s="213"/>
      <c r="LL57" s="213"/>
      <c r="LM57" s="213"/>
      <c r="LN57" s="213"/>
      <c r="LO57" s="213"/>
      <c r="LP57" s="213"/>
      <c r="LQ57" s="213"/>
      <c r="LR57" s="213"/>
      <c r="LS57" s="213"/>
      <c r="LT57" s="213"/>
      <c r="LU57" s="213"/>
      <c r="LV57" s="213"/>
      <c r="LW57" s="213"/>
      <c r="LX57" s="213"/>
      <c r="LY57" s="213"/>
      <c r="LZ57" s="213"/>
      <c r="MA57" s="213"/>
      <c r="MB57" s="213"/>
      <c r="MC57" s="213"/>
      <c r="MD57" s="213"/>
      <c r="ME57" s="213"/>
      <c r="MF57" s="213"/>
      <c r="MG57" s="213"/>
      <c r="MH57" s="213"/>
      <c r="MI57" s="213"/>
      <c r="MJ57" s="213"/>
      <c r="MK57" s="213"/>
      <c r="ML57" s="213"/>
      <c r="MM57" s="213"/>
      <c r="MN57" s="213"/>
      <c r="MO57" s="213"/>
      <c r="MP57" s="213"/>
      <c r="MQ57" s="213"/>
      <c r="MR57" s="213"/>
      <c r="MS57" s="213"/>
      <c r="MT57" s="213"/>
      <c r="MU57" s="213"/>
      <c r="MV57" s="213"/>
      <c r="MW57" s="213"/>
      <c r="MX57" s="213"/>
      <c r="MY57" s="213"/>
      <c r="MZ57" s="213"/>
      <c r="NA57" s="213"/>
      <c r="NB57" s="213"/>
      <c r="NC57" s="213"/>
      <c r="ND57" s="213"/>
      <c r="NE57" s="213"/>
      <c r="NF57" s="213"/>
      <c r="NG57" s="213"/>
      <c r="NH57" s="213"/>
      <c r="NI57" s="213"/>
      <c r="NJ57" s="213"/>
      <c r="NK57" s="213"/>
      <c r="NL57" s="213"/>
      <c r="NM57" s="213"/>
      <c r="NN57" s="213"/>
      <c r="NO57" s="213"/>
      <c r="NP57" s="213"/>
      <c r="NQ57" s="213"/>
      <c r="NR57" s="213"/>
      <c r="NS57" s="213"/>
      <c r="NT57" s="213"/>
      <c r="NU57" s="213"/>
      <c r="NV57" s="213"/>
      <c r="NW57" s="213"/>
      <c r="NX57" s="213"/>
      <c r="NY57" s="213"/>
      <c r="NZ57" s="213"/>
      <c r="OA57" s="213"/>
      <c r="OB57" s="213"/>
      <c r="OC57" s="213"/>
      <c r="OD57" s="213"/>
      <c r="OE57" s="213"/>
      <c r="OF57" s="213"/>
      <c r="OG57" s="213"/>
      <c r="OH57" s="213"/>
      <c r="OI57" s="213"/>
      <c r="OJ57" s="213"/>
      <c r="OK57" s="213"/>
      <c r="OL57" s="213"/>
      <c r="OM57" s="213"/>
      <c r="ON57" s="213"/>
      <c r="OO57" s="213"/>
      <c r="OP57" s="213"/>
      <c r="OQ57" s="213"/>
      <c r="OR57" s="213"/>
      <c r="OS57" s="213"/>
      <c r="OT57" s="213"/>
      <c r="OU57" s="213"/>
      <c r="OV57" s="213"/>
      <c r="OW57" s="213"/>
      <c r="OX57" s="213"/>
      <c r="OY57" s="213"/>
      <c r="OZ57" s="213"/>
      <c r="PA57" s="213"/>
      <c r="PB57" s="213"/>
      <c r="PC57" s="213"/>
      <c r="PD57" s="213"/>
      <c r="PE57" s="213"/>
      <c r="PF57" s="213"/>
      <c r="PG57" s="213"/>
      <c r="PH57" s="213"/>
      <c r="PI57" s="213"/>
      <c r="PJ57" s="213"/>
      <c r="PK57" s="213"/>
      <c r="PL57" s="213"/>
      <c r="PM57" s="213"/>
      <c r="PN57" s="213"/>
      <c r="PO57" s="213"/>
      <c r="PP57" s="213"/>
      <c r="PQ57" s="213"/>
      <c r="PR57" s="213"/>
      <c r="PS57" s="213"/>
      <c r="PT57" s="213"/>
      <c r="PU57" s="213"/>
      <c r="PV57" s="213"/>
      <c r="PW57" s="213"/>
      <c r="PX57" s="213"/>
      <c r="PY57" s="213"/>
      <c r="PZ57" s="213"/>
      <c r="QA57" s="213"/>
      <c r="QB57" s="213"/>
      <c r="QC57" s="213"/>
      <c r="QD57" s="213"/>
      <c r="QE57" s="213"/>
      <c r="QF57" s="213"/>
      <c r="QG57" s="213"/>
      <c r="QH57" s="213"/>
      <c r="QI57" s="213"/>
      <c r="QJ57" s="213"/>
      <c r="QK57" s="213"/>
      <c r="QL57" s="213"/>
      <c r="QM57" s="213"/>
      <c r="QN57" s="213"/>
      <c r="QO57" s="213"/>
      <c r="QP57" s="213"/>
      <c r="QQ57" s="213"/>
      <c r="QR57" s="213"/>
      <c r="QS57" s="213"/>
      <c r="QT57" s="213"/>
      <c r="QU57" s="213"/>
      <c r="QV57" s="213"/>
      <c r="QW57" s="213"/>
      <c r="QX57" s="213"/>
      <c r="QY57" s="213"/>
      <c r="QZ57" s="213"/>
      <c r="RA57" s="213"/>
      <c r="RB57" s="213"/>
      <c r="RC57" s="213"/>
      <c r="RD57" s="213"/>
      <c r="RE57" s="213"/>
      <c r="RF57" s="213"/>
      <c r="RG57" s="213"/>
      <c r="RH57" s="213"/>
      <c r="RI57" s="213"/>
      <c r="RJ57" s="213"/>
      <c r="RK57" s="213"/>
      <c r="RL57" s="213"/>
      <c r="RM57" s="213"/>
      <c r="RN57" s="213"/>
      <c r="RO57" s="213"/>
      <c r="RP57" s="213"/>
      <c r="RQ57" s="213"/>
      <c r="RR57" s="213"/>
      <c r="RS57" s="213"/>
      <c r="RT57" s="213"/>
      <c r="RU57" s="213"/>
      <c r="RV57" s="213"/>
      <c r="RW57" s="213"/>
      <c r="RX57" s="213"/>
      <c r="RY57" s="213"/>
      <c r="RZ57" s="213"/>
      <c r="SA57" s="213"/>
      <c r="SB57" s="213"/>
      <c r="SC57" s="213"/>
      <c r="SD57" s="213"/>
      <c r="SE57" s="213"/>
      <c r="SF57" s="213"/>
      <c r="SG57" s="213"/>
      <c r="SH57" s="213"/>
      <c r="SI57" s="213"/>
      <c r="SJ57" s="213"/>
      <c r="SK57" s="213"/>
      <c r="SL57" s="213"/>
      <c r="SM57" s="213"/>
      <c r="SN57" s="213"/>
      <c r="SO57" s="213"/>
      <c r="SP57" s="213"/>
      <c r="SQ57" s="213"/>
      <c r="SR57" s="213"/>
      <c r="SS57" s="213"/>
      <c r="ST57" s="213"/>
      <c r="SU57" s="213"/>
      <c r="SV57" s="213"/>
      <c r="SW57" s="213"/>
      <c r="SX57" s="213"/>
      <c r="SY57" s="213"/>
      <c r="SZ57" s="213"/>
      <c r="TA57" s="213"/>
      <c r="TB57" s="213"/>
      <c r="TC57" s="213"/>
      <c r="TD57" s="213"/>
      <c r="TE57" s="213"/>
      <c r="TF57" s="213"/>
      <c r="TG57" s="213"/>
      <c r="TH57" s="213"/>
      <c r="TI57" s="213"/>
      <c r="TJ57" s="213"/>
      <c r="TK57" s="213"/>
      <c r="TL57" s="213"/>
      <c r="TM57" s="213"/>
      <c r="TN57" s="213"/>
      <c r="TO57" s="213"/>
      <c r="TP57" s="213"/>
      <c r="TQ57" s="213"/>
      <c r="TR57" s="213"/>
      <c r="TS57" s="213"/>
      <c r="TT57" s="213"/>
      <c r="TU57" s="213"/>
      <c r="TV57" s="213"/>
      <c r="TW57" s="213"/>
      <c r="TX57" s="213"/>
      <c r="TY57" s="213"/>
      <c r="TZ57" s="213"/>
      <c r="UA57" s="213"/>
      <c r="UB57" s="213"/>
      <c r="UC57" s="213"/>
      <c r="UD57" s="213"/>
      <c r="UE57" s="213"/>
      <c r="UF57" s="213"/>
      <c r="UG57" s="213"/>
      <c r="UH57" s="213"/>
      <c r="UI57" s="213"/>
      <c r="UJ57" s="213"/>
      <c r="UK57" s="213"/>
      <c r="UL57" s="213"/>
      <c r="UM57" s="213"/>
      <c r="UN57" s="213"/>
      <c r="UO57" s="213"/>
      <c r="UP57" s="213"/>
      <c r="UQ57" s="213"/>
      <c r="UR57" s="213"/>
      <c r="US57" s="213"/>
      <c r="UT57" s="213"/>
      <c r="UU57" s="213"/>
      <c r="UV57" s="213"/>
      <c r="UW57" s="213"/>
      <c r="UX57" s="213"/>
      <c r="UY57" s="213"/>
      <c r="UZ57" s="213"/>
      <c r="VA57" s="213"/>
      <c r="VB57" s="213"/>
      <c r="VC57" s="213"/>
      <c r="VD57" s="213"/>
      <c r="VE57" s="213"/>
      <c r="VF57" s="213"/>
      <c r="VG57" s="213"/>
      <c r="VH57" s="213"/>
      <c r="VI57" s="213"/>
      <c r="VJ57" s="213"/>
      <c r="VK57" s="213"/>
      <c r="VL57" s="213"/>
      <c r="VM57" s="213"/>
      <c r="VN57" s="213"/>
      <c r="VO57" s="213"/>
      <c r="VP57" s="213"/>
      <c r="VQ57" s="213"/>
      <c r="VR57" s="213"/>
      <c r="VS57" s="213"/>
      <c r="VT57" s="213"/>
      <c r="VU57" s="213"/>
      <c r="VV57" s="213"/>
      <c r="VW57" s="213"/>
      <c r="VX57" s="213"/>
      <c r="VY57" s="213"/>
      <c r="VZ57" s="213"/>
      <c r="WA57" s="213"/>
      <c r="WB57" s="213"/>
      <c r="WC57" s="213"/>
      <c r="WD57" s="213"/>
      <c r="WE57" s="213"/>
      <c r="WF57" s="213"/>
      <c r="WG57" s="213"/>
      <c r="WH57" s="213"/>
      <c r="WI57" s="213"/>
      <c r="WJ57" s="213"/>
      <c r="WK57" s="213"/>
      <c r="WL57" s="213"/>
      <c r="WM57" s="213"/>
      <c r="WN57" s="213"/>
      <c r="WO57" s="213"/>
      <c r="WP57" s="213"/>
      <c r="WQ57" s="213"/>
      <c r="WR57" s="213"/>
      <c r="WS57" s="213"/>
      <c r="WT57" s="213"/>
      <c r="WU57" s="213"/>
      <c r="WV57" s="213"/>
      <c r="WW57" s="213"/>
      <c r="WX57" s="213"/>
      <c r="WY57" s="213"/>
      <c r="WZ57" s="213"/>
      <c r="XA57" s="213"/>
      <c r="XB57" s="213"/>
      <c r="XC57" s="213"/>
      <c r="XD57" s="213"/>
      <c r="XE57" s="213"/>
      <c r="XF57" s="213"/>
      <c r="XG57" s="213"/>
      <c r="XH57" s="213"/>
      <c r="XI57" s="213"/>
      <c r="XJ57" s="213"/>
      <c r="XK57" s="213"/>
      <c r="XL57" s="213"/>
      <c r="XM57" s="213"/>
      <c r="XN57" s="213"/>
      <c r="XO57" s="213"/>
      <c r="XP57" s="213"/>
      <c r="XQ57" s="213"/>
      <c r="XR57" s="213"/>
      <c r="XS57" s="213"/>
      <c r="XT57" s="213"/>
      <c r="XU57" s="213"/>
      <c r="XV57" s="213"/>
      <c r="XW57" s="213"/>
      <c r="XX57" s="213"/>
      <c r="XY57" s="213"/>
      <c r="XZ57" s="213"/>
      <c r="YA57" s="213"/>
      <c r="YB57" s="213"/>
      <c r="YC57" s="213"/>
      <c r="YD57" s="213"/>
      <c r="YE57" s="213"/>
      <c r="YF57" s="213"/>
      <c r="YG57" s="213"/>
      <c r="YH57" s="213"/>
      <c r="YI57" s="213"/>
      <c r="YJ57" s="213"/>
      <c r="YK57" s="213"/>
      <c r="YL57" s="213"/>
      <c r="YM57" s="213"/>
      <c r="YN57" s="213"/>
      <c r="YO57" s="213"/>
      <c r="YP57" s="213"/>
      <c r="YQ57" s="213"/>
      <c r="YR57" s="213"/>
      <c r="YS57" s="213"/>
      <c r="YT57" s="213"/>
      <c r="YU57" s="213"/>
      <c r="YV57" s="213"/>
      <c r="YW57" s="213"/>
      <c r="YX57" s="213"/>
      <c r="YY57" s="213"/>
      <c r="YZ57" s="213"/>
      <c r="ZA57" s="213"/>
      <c r="ZB57" s="213"/>
      <c r="ZC57" s="213"/>
      <c r="ZD57" s="213"/>
      <c r="ZE57" s="213"/>
      <c r="ZF57" s="213"/>
      <c r="ZG57" s="213"/>
      <c r="ZH57" s="213"/>
      <c r="ZI57" s="213"/>
      <c r="ZJ57" s="213"/>
      <c r="ZK57" s="213"/>
      <c r="ZL57" s="213"/>
      <c r="ZM57" s="213"/>
      <c r="ZN57" s="213"/>
      <c r="ZO57" s="213"/>
      <c r="ZP57" s="213"/>
      <c r="ZQ57" s="213"/>
      <c r="ZR57" s="213"/>
      <c r="ZS57" s="213"/>
      <c r="ZT57" s="213"/>
      <c r="ZU57" s="213"/>
      <c r="ZV57" s="213"/>
      <c r="ZW57" s="213"/>
      <c r="ZX57" s="213"/>
      <c r="ZY57" s="213"/>
      <c r="ZZ57" s="213"/>
      <c r="AAA57" s="213"/>
      <c r="AAB57" s="213"/>
      <c r="AAC57" s="213"/>
      <c r="AAD57" s="213"/>
      <c r="AAE57" s="213"/>
      <c r="AAF57" s="213"/>
      <c r="AAG57" s="213"/>
      <c r="AAH57" s="213"/>
      <c r="AAI57" s="213"/>
      <c r="AAJ57" s="213"/>
      <c r="AAK57" s="213"/>
      <c r="AAL57" s="213"/>
      <c r="AAM57" s="213"/>
      <c r="AAN57" s="213"/>
      <c r="AAO57" s="213"/>
      <c r="AAP57" s="213"/>
      <c r="AAQ57" s="213"/>
      <c r="AAR57" s="213"/>
      <c r="AAS57" s="213"/>
      <c r="AAT57" s="213"/>
      <c r="AAU57" s="213"/>
      <c r="AAV57" s="213"/>
      <c r="AAW57" s="213"/>
      <c r="AAX57" s="213"/>
      <c r="AAY57" s="213"/>
      <c r="AAZ57" s="213"/>
      <c r="ABA57" s="213"/>
      <c r="ABB57" s="213"/>
      <c r="ABC57" s="213"/>
      <c r="ABD57" s="213"/>
      <c r="ABE57" s="213"/>
      <c r="ABF57" s="213"/>
      <c r="ABG57" s="213"/>
      <c r="ABH57" s="213"/>
      <c r="ABI57" s="213"/>
      <c r="ABJ57" s="213"/>
      <c r="ABK57" s="213"/>
      <c r="ABL57" s="213"/>
      <c r="ABM57" s="213"/>
      <c r="ABN57" s="213"/>
      <c r="ABO57" s="213"/>
      <c r="ABP57" s="213"/>
      <c r="ABQ57" s="213"/>
      <c r="ABR57" s="213"/>
      <c r="ABS57" s="213"/>
      <c r="ABT57" s="213"/>
      <c r="ABU57" s="213"/>
      <c r="ABV57" s="213"/>
      <c r="ABW57" s="213"/>
      <c r="ABX57" s="213"/>
      <c r="ABY57" s="213"/>
      <c r="ABZ57" s="213"/>
      <c r="ACA57" s="213"/>
      <c r="ACB57" s="213"/>
      <c r="ACC57" s="213"/>
      <c r="ACD57" s="213"/>
      <c r="ACE57" s="213"/>
      <c r="ACF57" s="213"/>
      <c r="ACG57" s="213"/>
      <c r="ACH57" s="213"/>
      <c r="ACI57" s="213"/>
      <c r="ACJ57" s="213"/>
      <c r="ACK57" s="213"/>
      <c r="ACL57" s="213"/>
      <c r="ACM57" s="213"/>
      <c r="ACN57" s="213"/>
      <c r="ACO57" s="213"/>
      <c r="ACP57" s="213"/>
      <c r="ACQ57" s="213"/>
      <c r="ACR57" s="213"/>
      <c r="ACS57" s="213"/>
      <c r="ACT57" s="213"/>
      <c r="ACU57" s="213"/>
      <c r="ACV57" s="213"/>
      <c r="ACW57" s="213"/>
      <c r="ACX57" s="213"/>
      <c r="ACY57" s="213"/>
      <c r="ACZ57" s="213"/>
      <c r="ADA57" s="213"/>
      <c r="ADB57" s="213"/>
      <c r="ADC57" s="213"/>
      <c r="ADD57" s="213"/>
      <c r="ADE57" s="213"/>
      <c r="ADF57" s="213"/>
      <c r="ADG57" s="213"/>
      <c r="ADH57" s="213"/>
      <c r="ADI57" s="213"/>
      <c r="ADJ57" s="213"/>
      <c r="ADK57" s="213"/>
      <c r="ADL57" s="213"/>
      <c r="ADM57" s="213"/>
      <c r="ADN57" s="213"/>
      <c r="ADO57" s="213"/>
      <c r="ADP57" s="213"/>
      <c r="ADQ57" s="213"/>
      <c r="ADR57" s="213"/>
      <c r="ADS57" s="213"/>
      <c r="ADT57" s="213"/>
      <c r="ADU57" s="213"/>
      <c r="ADV57" s="213"/>
      <c r="ADW57" s="213"/>
      <c r="ADX57" s="213"/>
      <c r="ADY57" s="213"/>
      <c r="ADZ57" s="213"/>
      <c r="AEA57" s="213"/>
      <c r="AEB57" s="213"/>
      <c r="AEC57" s="213"/>
      <c r="AED57" s="213"/>
      <c r="AEE57" s="213"/>
      <c r="AEF57" s="213"/>
      <c r="AEG57" s="213"/>
      <c r="AEH57" s="213"/>
      <c r="AEI57" s="213"/>
      <c r="AEJ57" s="213"/>
      <c r="AEK57" s="213"/>
      <c r="AEL57" s="213"/>
      <c r="AEM57" s="213"/>
      <c r="AEN57" s="213"/>
      <c r="AEO57" s="213"/>
      <c r="AEP57" s="213"/>
      <c r="AEQ57" s="213"/>
      <c r="AER57" s="213"/>
      <c r="AES57" s="213"/>
      <c r="AET57" s="213"/>
      <c r="AEU57" s="213"/>
      <c r="AEV57" s="213"/>
      <c r="AEW57" s="213"/>
      <c r="AEX57" s="213"/>
      <c r="AEY57" s="213"/>
      <c r="AEZ57" s="213"/>
      <c r="AFA57" s="213"/>
      <c r="AFB57" s="213"/>
      <c r="AFC57" s="213"/>
      <c r="AFD57" s="213"/>
      <c r="AFE57" s="213"/>
      <c r="AFF57" s="213"/>
      <c r="AFG57" s="213"/>
      <c r="AFH57" s="213"/>
      <c r="AFI57" s="213"/>
      <c r="AFJ57" s="213"/>
      <c r="AFK57" s="213"/>
      <c r="AFL57" s="213"/>
      <c r="AFM57" s="213"/>
      <c r="AFN57" s="213"/>
      <c r="AFO57" s="213"/>
      <c r="AFP57" s="213"/>
      <c r="AFQ57" s="213"/>
      <c r="AFR57" s="213"/>
      <c r="AFS57" s="213"/>
      <c r="AFT57" s="213"/>
      <c r="AFU57" s="213"/>
      <c r="AFV57" s="213"/>
      <c r="AFW57" s="213"/>
      <c r="AFX57" s="213"/>
      <c r="AFY57" s="213"/>
      <c r="AFZ57" s="213"/>
      <c r="AGA57" s="213"/>
      <c r="AGB57" s="213"/>
      <c r="AGC57" s="213"/>
      <c r="AGD57" s="213"/>
      <c r="AGE57" s="213"/>
      <c r="AGF57" s="213"/>
      <c r="AGG57" s="213"/>
      <c r="AGH57" s="213"/>
      <c r="AGI57" s="213"/>
      <c r="AGJ57" s="213"/>
      <c r="AGK57" s="213"/>
      <c r="AGL57" s="213"/>
      <c r="AGM57" s="213"/>
      <c r="AGN57" s="213"/>
      <c r="AGO57" s="213"/>
      <c r="AGP57" s="213"/>
      <c r="AGQ57" s="213"/>
      <c r="AGR57" s="213"/>
      <c r="AGS57" s="213"/>
      <c r="AGT57" s="213"/>
      <c r="AGU57" s="213"/>
      <c r="AGV57" s="213"/>
      <c r="AGW57" s="213"/>
      <c r="AGX57" s="213"/>
      <c r="AGY57" s="213"/>
      <c r="AGZ57" s="213"/>
      <c r="AHA57" s="213"/>
      <c r="AHB57" s="213"/>
      <c r="AHC57" s="213"/>
      <c r="AHD57" s="213"/>
      <c r="AHE57" s="213"/>
      <c r="AHF57" s="213"/>
      <c r="AHG57" s="213"/>
      <c r="AHH57" s="213"/>
      <c r="AHI57" s="213"/>
      <c r="AHJ57" s="213"/>
      <c r="AHK57" s="213"/>
      <c r="AHL57" s="213"/>
      <c r="AHM57" s="213"/>
      <c r="AHN57" s="213"/>
      <c r="AHO57" s="213"/>
      <c r="AHP57" s="213"/>
      <c r="AHQ57" s="213"/>
      <c r="AHR57" s="213"/>
      <c r="AHS57" s="213"/>
      <c r="AHT57" s="213"/>
      <c r="AHU57" s="213"/>
      <c r="AHV57" s="213"/>
      <c r="AHW57" s="213"/>
      <c r="AHX57" s="213"/>
      <c r="AHY57" s="213"/>
      <c r="AHZ57" s="213"/>
      <c r="AIA57" s="213"/>
      <c r="AIB57" s="213"/>
      <c r="AIC57" s="213"/>
      <c r="AID57" s="213"/>
      <c r="AIE57" s="213"/>
      <c r="AIF57" s="213"/>
      <c r="AIG57" s="213"/>
      <c r="AIH57" s="213"/>
      <c r="AII57" s="213"/>
      <c r="AIJ57" s="213"/>
      <c r="AIK57" s="213"/>
      <c r="AIL57" s="213"/>
      <c r="AIM57" s="213"/>
      <c r="AIN57" s="213"/>
      <c r="AIO57" s="213"/>
      <c r="AIP57" s="213"/>
      <c r="AIQ57" s="213"/>
      <c r="AIR57" s="213"/>
      <c r="AIS57" s="213"/>
      <c r="AIT57" s="213"/>
      <c r="AIU57" s="213"/>
      <c r="AIV57" s="213"/>
      <c r="AIW57" s="213"/>
      <c r="AIX57" s="213"/>
      <c r="AIY57" s="213"/>
      <c r="AIZ57" s="213"/>
      <c r="AJA57" s="213"/>
      <c r="AJB57" s="213"/>
      <c r="AJC57" s="213"/>
      <c r="AJD57" s="213"/>
      <c r="AJE57" s="213"/>
      <c r="AJF57" s="213"/>
      <c r="AJG57" s="213"/>
      <c r="AJH57" s="213"/>
      <c r="AJI57" s="213"/>
      <c r="AJJ57" s="213"/>
      <c r="AJK57" s="213"/>
      <c r="AJL57" s="213"/>
      <c r="AJM57" s="213"/>
      <c r="AJN57" s="213"/>
      <c r="AJO57" s="213"/>
      <c r="AJP57" s="213"/>
      <c r="AJQ57" s="213"/>
      <c r="AJR57" s="213"/>
      <c r="AJS57" s="213"/>
      <c r="AJT57" s="213"/>
      <c r="AJU57" s="213"/>
      <c r="AJV57" s="213"/>
      <c r="AJW57" s="213"/>
      <c r="AJX57" s="213"/>
      <c r="AJY57" s="213"/>
      <c r="AJZ57" s="213"/>
      <c r="AKA57" s="213"/>
      <c r="AKB57" s="213"/>
      <c r="AKC57" s="213"/>
      <c r="AKD57" s="213"/>
      <c r="AKE57" s="213"/>
      <c r="AKF57" s="213"/>
      <c r="AKG57" s="213"/>
      <c r="AKH57" s="213"/>
      <c r="AKI57" s="213"/>
      <c r="AKJ57" s="213"/>
      <c r="AKK57" s="213"/>
      <c r="AKL57" s="213"/>
      <c r="AKM57" s="213"/>
      <c r="AKN57" s="213"/>
      <c r="AKO57" s="213"/>
      <c r="AKP57" s="213"/>
      <c r="AKQ57" s="213"/>
      <c r="AKR57" s="213"/>
      <c r="AKS57" s="213"/>
      <c r="AKT57" s="213"/>
      <c r="AKU57" s="213"/>
      <c r="AKV57" s="213"/>
      <c r="AKW57" s="213"/>
      <c r="AKX57" s="213"/>
      <c r="AKY57" s="213"/>
      <c r="AKZ57" s="213"/>
      <c r="ALA57" s="213"/>
      <c r="ALB57" s="213"/>
      <c r="ALC57" s="213"/>
      <c r="ALD57" s="213"/>
      <c r="ALE57" s="213"/>
      <c r="ALF57" s="213"/>
      <c r="ALG57" s="213"/>
      <c r="ALH57" s="213"/>
      <c r="ALI57" s="213"/>
      <c r="ALJ57" s="213"/>
      <c r="ALK57" s="213"/>
      <c r="ALL57" s="213"/>
      <c r="ALM57" s="213"/>
      <c r="ALN57" s="213"/>
      <c r="ALO57" s="213"/>
      <c r="ALP57" s="213"/>
      <c r="ALQ57" s="213"/>
      <c r="ALR57" s="213"/>
      <c r="ALS57" s="213"/>
      <c r="ALT57" s="213"/>
      <c r="ALU57" s="213"/>
      <c r="ALV57" s="213"/>
      <c r="ALW57" s="213"/>
      <c r="ALX57" s="213"/>
      <c r="ALY57" s="213"/>
      <c r="ALZ57" s="213"/>
      <c r="AMA57" s="213"/>
      <c r="AMB57" s="213"/>
      <c r="AMC57" s="213"/>
      <c r="AMD57" s="213"/>
      <c r="AME57" s="213"/>
      <c r="AMF57" s="213"/>
      <c r="AMG57" s="213"/>
      <c r="AMH57" s="213"/>
      <c r="AMI57" s="213"/>
      <c r="AMJ57" s="213"/>
      <c r="AMK57" s="213"/>
      <c r="AML57" s="213"/>
      <c r="AMM57" s="213"/>
      <c r="AMN57" s="213"/>
      <c r="AMO57" s="213"/>
      <c r="AMP57" s="213"/>
      <c r="AMQ57" s="213"/>
      <c r="AMR57" s="213"/>
      <c r="AMS57" s="213"/>
      <c r="AMT57" s="213"/>
      <c r="AMU57" s="213"/>
      <c r="AMV57" s="213"/>
      <c r="AMW57" s="213"/>
      <c r="AMX57" s="213"/>
      <c r="AMY57" s="213"/>
      <c r="AMZ57" s="213"/>
      <c r="ANA57" s="213"/>
      <c r="ANB57" s="213"/>
      <c r="ANC57" s="213"/>
      <c r="AND57" s="213"/>
      <c r="ANE57" s="213"/>
      <c r="ANF57" s="213"/>
      <c r="ANG57" s="213"/>
      <c r="ANH57" s="213"/>
      <c r="ANI57" s="213"/>
      <c r="ANJ57" s="213"/>
      <c r="ANK57" s="213"/>
      <c r="ANL57" s="213"/>
      <c r="ANM57" s="213"/>
      <c r="ANN57" s="213"/>
      <c r="ANO57" s="213"/>
      <c r="ANP57" s="213"/>
      <c r="ANQ57" s="213"/>
      <c r="ANR57" s="213"/>
      <c r="ANS57" s="213"/>
      <c r="ANT57" s="213"/>
      <c r="ANU57" s="213"/>
      <c r="ANV57" s="213"/>
      <c r="ANW57" s="213"/>
      <c r="ANX57" s="213"/>
      <c r="ANY57" s="213"/>
      <c r="ANZ57" s="213"/>
      <c r="AOA57" s="213"/>
      <c r="AOB57" s="213"/>
      <c r="AOC57" s="213"/>
      <c r="AOD57" s="213"/>
      <c r="AOE57" s="213"/>
      <c r="AOF57" s="213"/>
      <c r="AOG57" s="213"/>
      <c r="AOH57" s="213"/>
      <c r="AOI57" s="213"/>
      <c r="AOJ57" s="213"/>
      <c r="AOK57" s="213"/>
      <c r="AOL57" s="213"/>
      <c r="AOM57" s="213"/>
      <c r="AON57" s="213"/>
      <c r="AOO57" s="213"/>
      <c r="AOP57" s="213"/>
      <c r="AOQ57" s="213"/>
      <c r="AOR57" s="213"/>
      <c r="AOS57" s="213"/>
      <c r="AOT57" s="213"/>
      <c r="AOU57" s="213"/>
      <c r="AOV57" s="213"/>
      <c r="AOW57" s="213"/>
      <c r="AOX57" s="213"/>
      <c r="AOY57" s="213"/>
      <c r="AOZ57" s="213"/>
      <c r="APA57" s="213"/>
      <c r="APB57" s="213"/>
      <c r="APC57" s="213"/>
      <c r="APD57" s="213"/>
      <c r="APE57" s="213"/>
      <c r="APF57" s="213"/>
      <c r="APG57" s="213"/>
      <c r="APH57" s="213"/>
      <c r="API57" s="213"/>
      <c r="APJ57" s="213"/>
      <c r="APK57" s="213"/>
      <c r="APL57" s="213"/>
      <c r="APM57" s="213"/>
      <c r="APN57" s="213"/>
      <c r="APO57" s="213"/>
      <c r="APP57" s="213"/>
      <c r="APQ57" s="213"/>
      <c r="APR57" s="213"/>
      <c r="APS57" s="213"/>
      <c r="APT57" s="213"/>
      <c r="APU57" s="213"/>
      <c r="APV57" s="213"/>
      <c r="APW57" s="213"/>
      <c r="APX57" s="213"/>
      <c r="APY57" s="213"/>
      <c r="APZ57" s="213"/>
      <c r="AQA57" s="213"/>
      <c r="AQB57" s="213"/>
      <c r="AQC57" s="213"/>
      <c r="AQD57" s="213"/>
      <c r="AQE57" s="213"/>
      <c r="AQF57" s="213"/>
      <c r="AQG57" s="213"/>
      <c r="AQH57" s="213"/>
      <c r="AQI57" s="213"/>
      <c r="AQJ57" s="213"/>
      <c r="AQK57" s="213"/>
      <c r="AQL57" s="213"/>
      <c r="AQM57" s="213"/>
      <c r="AQN57" s="213"/>
      <c r="AQO57" s="213"/>
      <c r="AQP57" s="213"/>
      <c r="AQQ57" s="213"/>
      <c r="AQR57" s="213"/>
      <c r="AQS57" s="213"/>
      <c r="AQT57" s="213"/>
      <c r="AQU57" s="213"/>
      <c r="AQV57" s="213"/>
      <c r="AQW57" s="213"/>
      <c r="AQX57" s="213"/>
      <c r="AQY57" s="213"/>
      <c r="AQZ57" s="213"/>
      <c r="ARA57" s="213"/>
      <c r="ARB57" s="213"/>
      <c r="ARC57" s="213"/>
      <c r="ARD57" s="213"/>
      <c r="ARE57" s="213"/>
      <c r="ARF57" s="213"/>
      <c r="ARG57" s="213"/>
      <c r="ARH57" s="213"/>
      <c r="ARI57" s="213"/>
      <c r="ARJ57" s="213"/>
      <c r="ARK57" s="213"/>
      <c r="ARL57" s="213"/>
      <c r="ARM57" s="213"/>
      <c r="ARN57" s="213"/>
      <c r="ARO57" s="213"/>
      <c r="ARP57" s="213"/>
      <c r="ARQ57" s="213"/>
      <c r="ARR57" s="213"/>
      <c r="ARS57" s="213"/>
      <c r="ART57" s="213"/>
      <c r="ARU57" s="213"/>
      <c r="ARV57" s="213"/>
      <c r="ARW57" s="213"/>
      <c r="ARX57" s="213"/>
      <c r="ARY57" s="213"/>
      <c r="ARZ57" s="213"/>
      <c r="ASA57" s="213"/>
      <c r="ASB57" s="213"/>
      <c r="ASC57" s="213"/>
      <c r="ASD57" s="213"/>
      <c r="ASE57" s="213"/>
      <c r="ASF57" s="213"/>
      <c r="ASG57" s="213"/>
      <c r="ASH57" s="213"/>
      <c r="ASI57" s="213"/>
      <c r="ASJ57" s="213"/>
      <c r="ASK57" s="213"/>
      <c r="ASL57" s="213"/>
      <c r="ASM57" s="213"/>
      <c r="ASN57" s="213"/>
      <c r="ASO57" s="213"/>
      <c r="ASP57" s="213"/>
      <c r="ASQ57" s="213"/>
      <c r="ASR57" s="213"/>
      <c r="ASS57" s="213"/>
      <c r="AST57" s="213"/>
      <c r="ASU57" s="213"/>
      <c r="ASV57" s="213"/>
      <c r="ASW57" s="213"/>
      <c r="ASX57" s="213"/>
      <c r="ASY57" s="213"/>
      <c r="ASZ57" s="213"/>
      <c r="ATA57" s="213"/>
      <c r="ATB57" s="213"/>
      <c r="ATC57" s="213"/>
      <c r="ATD57" s="213"/>
      <c r="ATE57" s="213"/>
      <c r="ATF57" s="213"/>
      <c r="ATG57" s="213"/>
      <c r="ATH57" s="213"/>
      <c r="ATI57" s="213"/>
      <c r="ATJ57" s="213"/>
      <c r="ATK57" s="213"/>
      <c r="ATL57" s="213"/>
      <c r="ATM57" s="213"/>
      <c r="ATN57" s="213"/>
      <c r="ATO57" s="213"/>
      <c r="ATP57" s="213"/>
      <c r="ATQ57" s="213"/>
      <c r="ATR57" s="213"/>
      <c r="ATS57" s="213"/>
      <c r="ATT57" s="213"/>
      <c r="ATU57" s="213"/>
      <c r="ATV57" s="213"/>
      <c r="ATW57" s="213"/>
      <c r="ATX57" s="213"/>
      <c r="ATY57" s="213"/>
      <c r="ATZ57" s="213"/>
      <c r="AUA57" s="213"/>
      <c r="AUB57" s="213"/>
      <c r="AUC57" s="213"/>
      <c r="AUD57" s="213"/>
      <c r="AUE57" s="213"/>
      <c r="AUF57" s="213"/>
      <c r="AUG57" s="213"/>
      <c r="AUH57" s="213"/>
      <c r="AUI57" s="213"/>
      <c r="AUJ57" s="213"/>
      <c r="AUK57" s="213"/>
      <c r="AUL57" s="213"/>
      <c r="AUM57" s="213"/>
      <c r="AUN57" s="213"/>
      <c r="AUO57" s="213"/>
      <c r="AUP57" s="213"/>
      <c r="AUQ57" s="213"/>
      <c r="AUR57" s="213"/>
      <c r="AUS57" s="213"/>
      <c r="AUT57" s="213"/>
      <c r="AUU57" s="213"/>
      <c r="AUV57" s="213"/>
      <c r="AUW57" s="213"/>
      <c r="AUX57" s="213"/>
      <c r="AUY57" s="213"/>
      <c r="AUZ57" s="213"/>
      <c r="AVA57" s="213"/>
      <c r="AVB57" s="213"/>
      <c r="AVC57" s="213"/>
      <c r="AVD57" s="213"/>
      <c r="AVE57" s="213"/>
      <c r="AVF57" s="213"/>
      <c r="AVG57" s="213"/>
      <c r="AVH57" s="213"/>
      <c r="AVI57" s="213"/>
      <c r="AVJ57" s="213"/>
      <c r="AVK57" s="213"/>
      <c r="AVL57" s="213"/>
      <c r="AVM57" s="213"/>
      <c r="AVN57" s="213"/>
      <c r="AVO57" s="213"/>
      <c r="AVP57" s="213"/>
      <c r="AVQ57" s="213"/>
      <c r="AVR57" s="213"/>
      <c r="AVS57" s="213"/>
      <c r="AVT57" s="213"/>
      <c r="AVU57" s="213"/>
      <c r="AVV57" s="213"/>
      <c r="AVW57" s="213"/>
      <c r="AVX57" s="213"/>
      <c r="AVY57" s="213"/>
      <c r="AVZ57" s="213"/>
      <c r="AWA57" s="213"/>
      <c r="AWB57" s="213"/>
      <c r="AWC57" s="213"/>
      <c r="AWD57" s="213"/>
      <c r="AWE57" s="213"/>
      <c r="AWF57" s="213"/>
      <c r="AWG57" s="213"/>
      <c r="AWH57" s="213"/>
      <c r="AWI57" s="213"/>
      <c r="AWJ57" s="213"/>
      <c r="AWK57" s="213"/>
      <c r="AWL57" s="213"/>
      <c r="AWM57" s="213"/>
      <c r="AWN57" s="213"/>
      <c r="AWO57" s="213"/>
      <c r="AWP57" s="213"/>
      <c r="AWQ57" s="213"/>
      <c r="AWR57" s="213"/>
      <c r="AWS57" s="213"/>
      <c r="AWT57" s="213"/>
      <c r="AWU57" s="213"/>
      <c r="AWV57" s="213"/>
      <c r="AWW57" s="213"/>
      <c r="AWX57" s="213"/>
      <c r="AWY57" s="213"/>
      <c r="AWZ57" s="213"/>
      <c r="AXA57" s="213"/>
      <c r="AXB57" s="213"/>
      <c r="AXC57" s="213"/>
      <c r="AXD57" s="213"/>
      <c r="AXE57" s="213"/>
      <c r="AXF57" s="213"/>
      <c r="AXG57" s="213"/>
      <c r="AXH57" s="213"/>
      <c r="AXI57" s="213"/>
      <c r="AXJ57" s="213"/>
      <c r="AXK57" s="213"/>
      <c r="AXL57" s="213"/>
      <c r="AXM57" s="213"/>
      <c r="AXN57" s="213"/>
      <c r="AXO57" s="213"/>
      <c r="AXP57" s="213"/>
      <c r="AXQ57" s="213"/>
      <c r="AXR57" s="213"/>
      <c r="AXS57" s="213"/>
      <c r="AXT57" s="213"/>
      <c r="AXU57" s="213"/>
      <c r="AXV57" s="213"/>
      <c r="AXW57" s="213"/>
      <c r="AXX57" s="213"/>
      <c r="AXY57" s="213"/>
      <c r="AXZ57" s="213"/>
      <c r="AYA57" s="213"/>
      <c r="AYB57" s="213"/>
      <c r="AYC57" s="213"/>
      <c r="AYD57" s="213"/>
      <c r="AYE57" s="213"/>
      <c r="AYF57" s="213"/>
      <c r="AYG57" s="213"/>
      <c r="AYH57" s="213"/>
      <c r="AYI57" s="213"/>
      <c r="AYJ57" s="213"/>
      <c r="AYK57" s="213"/>
      <c r="AYL57" s="213"/>
      <c r="AYM57" s="213"/>
      <c r="AYN57" s="213"/>
      <c r="AYO57" s="213"/>
      <c r="AYP57" s="213"/>
      <c r="AYQ57" s="213"/>
      <c r="AYR57" s="213"/>
      <c r="AYS57" s="213"/>
      <c r="AYT57" s="213"/>
      <c r="AYU57" s="213"/>
      <c r="AYV57" s="213"/>
      <c r="AYW57" s="213"/>
      <c r="AYX57" s="213"/>
      <c r="AYY57" s="213"/>
      <c r="AYZ57" s="213"/>
      <c r="AZA57" s="213"/>
      <c r="AZB57" s="213"/>
      <c r="AZC57" s="213"/>
      <c r="AZD57" s="213"/>
      <c r="AZE57" s="213"/>
      <c r="AZF57" s="213"/>
      <c r="AZG57" s="213"/>
      <c r="AZH57" s="213"/>
      <c r="AZI57" s="213"/>
      <c r="AZJ57" s="213"/>
      <c r="AZK57" s="213"/>
      <c r="AZL57" s="213"/>
      <c r="AZM57" s="213"/>
      <c r="AZN57" s="213"/>
      <c r="AZO57" s="213"/>
      <c r="AZP57" s="213"/>
      <c r="AZQ57" s="213"/>
      <c r="AZR57" s="213"/>
      <c r="AZS57" s="213"/>
      <c r="AZT57" s="213"/>
      <c r="AZU57" s="213"/>
      <c r="AZV57" s="213"/>
      <c r="AZW57" s="213"/>
      <c r="AZX57" s="213"/>
      <c r="AZY57" s="213"/>
      <c r="AZZ57" s="213"/>
      <c r="BAA57" s="213"/>
      <c r="BAB57" s="213"/>
      <c r="BAC57" s="213"/>
      <c r="BAD57" s="213"/>
      <c r="BAE57" s="213"/>
      <c r="BAF57" s="213"/>
      <c r="BAG57" s="213"/>
      <c r="BAH57" s="213"/>
      <c r="BAI57" s="213"/>
      <c r="BAJ57" s="213"/>
      <c r="BAK57" s="213"/>
      <c r="BAL57" s="213"/>
      <c r="BAM57" s="213"/>
      <c r="BAN57" s="213"/>
      <c r="BAO57" s="213"/>
      <c r="BAP57" s="213"/>
      <c r="BAQ57" s="213"/>
      <c r="BAR57" s="213"/>
      <c r="BAS57" s="213"/>
      <c r="BAT57" s="213"/>
      <c r="BAU57" s="213"/>
      <c r="BAV57" s="213"/>
      <c r="BAW57" s="213"/>
      <c r="BAX57" s="213"/>
      <c r="BAY57" s="213"/>
      <c r="BAZ57" s="213"/>
      <c r="BBA57" s="213"/>
      <c r="BBB57" s="213"/>
      <c r="BBC57" s="213"/>
      <c r="BBD57" s="213"/>
      <c r="BBE57" s="213"/>
      <c r="BBF57" s="213"/>
      <c r="BBG57" s="213"/>
      <c r="BBH57" s="213"/>
      <c r="BBI57" s="213"/>
      <c r="BBJ57" s="213"/>
      <c r="BBK57" s="213"/>
      <c r="BBL57" s="213"/>
      <c r="BBM57" s="213"/>
      <c r="BBN57" s="213"/>
      <c r="BBO57" s="213"/>
      <c r="BBP57" s="213"/>
      <c r="BBQ57" s="213"/>
      <c r="BBR57" s="213"/>
      <c r="BBS57" s="213"/>
      <c r="BBT57" s="213"/>
      <c r="BBU57" s="213"/>
      <c r="BBV57" s="213"/>
      <c r="BBW57" s="213"/>
      <c r="BBX57" s="213"/>
      <c r="BBY57" s="213"/>
      <c r="BBZ57" s="213"/>
      <c r="BCA57" s="213"/>
      <c r="BCB57" s="213"/>
      <c r="BCC57" s="213"/>
      <c r="BCD57" s="213"/>
      <c r="BCE57" s="213"/>
      <c r="BCF57" s="213"/>
      <c r="BCG57" s="213"/>
      <c r="BCH57" s="213"/>
      <c r="BCI57" s="213"/>
      <c r="BCJ57" s="213"/>
      <c r="BCK57" s="213"/>
      <c r="BCL57" s="213"/>
      <c r="BCM57" s="213"/>
      <c r="BCN57" s="213"/>
      <c r="BCO57" s="213"/>
      <c r="BCP57" s="213"/>
      <c r="BCQ57" s="213"/>
      <c r="BCR57" s="213"/>
      <c r="BCS57" s="213"/>
      <c r="BCT57" s="213"/>
      <c r="BCU57" s="213"/>
      <c r="BCV57" s="213"/>
      <c r="BCW57" s="213"/>
      <c r="BCX57" s="213"/>
      <c r="BCY57" s="213"/>
      <c r="BCZ57" s="213"/>
      <c r="BDA57" s="213"/>
      <c r="BDB57" s="213"/>
      <c r="BDC57" s="213"/>
      <c r="BDD57" s="213"/>
      <c r="BDE57" s="213"/>
      <c r="BDF57" s="213"/>
      <c r="BDG57" s="213"/>
      <c r="BDH57" s="213"/>
      <c r="BDI57" s="213"/>
      <c r="BDJ57" s="213"/>
      <c r="BDK57" s="213"/>
      <c r="BDL57" s="213"/>
      <c r="BDM57" s="213"/>
      <c r="BDN57" s="213"/>
      <c r="BDO57" s="213"/>
      <c r="BDP57" s="213"/>
      <c r="BDQ57" s="213"/>
      <c r="BDR57" s="213"/>
      <c r="BDS57" s="213"/>
      <c r="BDT57" s="213"/>
      <c r="BDU57" s="213"/>
      <c r="BDV57" s="213"/>
      <c r="BDW57" s="213"/>
      <c r="BDX57" s="213"/>
      <c r="BDY57" s="213"/>
      <c r="BDZ57" s="213"/>
      <c r="BEA57" s="213"/>
      <c r="BEB57" s="213"/>
      <c r="BEC57" s="213"/>
      <c r="BED57" s="213"/>
      <c r="BEE57" s="213"/>
      <c r="BEF57" s="213"/>
      <c r="BEG57" s="213"/>
      <c r="BEH57" s="213"/>
      <c r="BEI57" s="213"/>
      <c r="BEJ57" s="213"/>
      <c r="BEK57" s="213"/>
      <c r="BEL57" s="213"/>
      <c r="BEM57" s="213"/>
      <c r="BEN57" s="213"/>
      <c r="BEO57" s="213"/>
      <c r="BEP57" s="213"/>
      <c r="BEQ57" s="213"/>
      <c r="BER57" s="213"/>
      <c r="BES57" s="213"/>
      <c r="BET57" s="213"/>
      <c r="BEU57" s="213"/>
      <c r="BEV57" s="213"/>
      <c r="BEW57" s="213"/>
      <c r="BEX57" s="213"/>
      <c r="BEY57" s="213"/>
      <c r="BEZ57" s="213"/>
      <c r="BFA57" s="213"/>
      <c r="BFB57" s="213"/>
      <c r="BFC57" s="213"/>
      <c r="BFD57" s="213"/>
      <c r="BFE57" s="213"/>
      <c r="BFF57" s="213"/>
      <c r="BFG57" s="213"/>
      <c r="BFH57" s="213"/>
      <c r="BFI57" s="213"/>
      <c r="BFJ57" s="213"/>
      <c r="BFK57" s="213"/>
      <c r="BFL57" s="213"/>
      <c r="BFM57" s="213"/>
      <c r="BFN57" s="213"/>
      <c r="BFO57" s="213"/>
      <c r="BFP57" s="213"/>
      <c r="BFQ57" s="213"/>
      <c r="BFR57" s="213"/>
      <c r="BFS57" s="213"/>
      <c r="BFT57" s="213"/>
      <c r="BFU57" s="213"/>
      <c r="BFV57" s="213"/>
      <c r="BFW57" s="213"/>
      <c r="BFX57" s="213"/>
      <c r="BFY57" s="213"/>
      <c r="BFZ57" s="213"/>
      <c r="BGA57" s="213"/>
      <c r="BGB57" s="213"/>
      <c r="BGC57" s="213"/>
      <c r="BGD57" s="213"/>
      <c r="BGE57" s="213"/>
      <c r="BGF57" s="213"/>
      <c r="BGG57" s="213"/>
      <c r="BGH57" s="213"/>
      <c r="BGI57" s="213"/>
      <c r="BGJ57" s="213"/>
      <c r="BGK57" s="213"/>
      <c r="BGL57" s="213"/>
      <c r="BGM57" s="213"/>
      <c r="BGN57" s="213"/>
      <c r="BGO57" s="213"/>
      <c r="BGP57" s="213"/>
      <c r="BGQ57" s="213"/>
      <c r="BGR57" s="213"/>
      <c r="BGS57" s="213"/>
      <c r="BGT57" s="213"/>
      <c r="BGU57" s="213"/>
      <c r="BGV57" s="213"/>
      <c r="BGW57" s="213"/>
      <c r="BGX57" s="213"/>
      <c r="BGY57" s="213"/>
      <c r="BGZ57" s="213"/>
      <c r="BHA57" s="213"/>
      <c r="BHB57" s="213"/>
      <c r="BHC57" s="213"/>
      <c r="BHD57" s="213"/>
      <c r="BHE57" s="213"/>
      <c r="BHF57" s="213"/>
      <c r="BHG57" s="213"/>
      <c r="BHH57" s="213"/>
      <c r="BHI57" s="213"/>
      <c r="BHJ57" s="213"/>
      <c r="BHK57" s="213"/>
      <c r="BHL57" s="213"/>
      <c r="BHM57" s="213"/>
      <c r="BHN57" s="213"/>
      <c r="BHO57" s="213"/>
      <c r="BHP57" s="213"/>
      <c r="BHQ57" s="213"/>
      <c r="BHR57" s="213"/>
      <c r="BHS57" s="213"/>
      <c r="BHT57" s="213"/>
      <c r="BHU57" s="213"/>
      <c r="BHV57" s="213"/>
      <c r="BHW57" s="213"/>
      <c r="BHX57" s="213"/>
      <c r="BHY57" s="213"/>
      <c r="BHZ57" s="213"/>
      <c r="BIA57" s="213"/>
      <c r="BIB57" s="213"/>
      <c r="BIC57" s="213"/>
      <c r="BID57" s="213"/>
      <c r="BIE57" s="213"/>
      <c r="BIF57" s="213"/>
      <c r="BIG57" s="213"/>
      <c r="BIH57" s="213"/>
      <c r="BII57" s="213"/>
      <c r="BIJ57" s="213"/>
      <c r="BIK57" s="213"/>
      <c r="BIL57" s="213"/>
      <c r="BIM57" s="213"/>
      <c r="BIN57" s="213"/>
      <c r="BIO57" s="213"/>
      <c r="BIP57" s="213"/>
      <c r="BIQ57" s="213"/>
      <c r="BIR57" s="213"/>
      <c r="BIS57" s="213"/>
      <c r="BIT57" s="213"/>
      <c r="BIU57" s="213"/>
      <c r="BIV57" s="213"/>
      <c r="BIW57" s="213"/>
      <c r="BIX57" s="213"/>
      <c r="BIY57" s="213"/>
      <c r="BIZ57" s="213"/>
      <c r="BJA57" s="213"/>
      <c r="BJB57" s="213"/>
      <c r="BJC57" s="213"/>
      <c r="BJD57" s="213"/>
      <c r="BJE57" s="213"/>
      <c r="BJF57" s="213"/>
      <c r="BJG57" s="213"/>
      <c r="BJH57" s="213"/>
      <c r="BJI57" s="213"/>
      <c r="BJJ57" s="213"/>
      <c r="BJK57" s="213"/>
      <c r="BJL57" s="213"/>
      <c r="BJM57" s="213"/>
      <c r="BJN57" s="213"/>
      <c r="BJO57" s="213"/>
      <c r="BJP57" s="213"/>
      <c r="BJQ57" s="213"/>
      <c r="BJR57" s="213"/>
      <c r="BJS57" s="213"/>
      <c r="BJT57" s="213"/>
      <c r="BJU57" s="213"/>
      <c r="BJV57" s="213"/>
      <c r="BJW57" s="213"/>
      <c r="BJX57" s="213"/>
      <c r="BJY57" s="213"/>
      <c r="BJZ57" s="213"/>
      <c r="BKA57" s="213"/>
      <c r="BKB57" s="213"/>
      <c r="BKC57" s="213"/>
      <c r="BKD57" s="213"/>
      <c r="BKE57" s="213"/>
      <c r="BKF57" s="213"/>
      <c r="BKG57" s="213"/>
      <c r="BKH57" s="213"/>
      <c r="BKI57" s="213"/>
      <c r="BKJ57" s="213"/>
      <c r="BKK57" s="213"/>
      <c r="BKL57" s="213"/>
      <c r="BKM57" s="213"/>
      <c r="BKN57" s="213"/>
      <c r="BKO57" s="213"/>
      <c r="BKP57" s="213"/>
      <c r="BKQ57" s="213"/>
      <c r="BKR57" s="213"/>
      <c r="BKS57" s="213"/>
      <c r="BKT57" s="213"/>
      <c r="BKU57" s="213"/>
      <c r="BKV57" s="213"/>
      <c r="BKW57" s="213"/>
      <c r="BKX57" s="213"/>
      <c r="BKY57" s="213"/>
      <c r="BKZ57" s="213"/>
      <c r="BLA57" s="213"/>
      <c r="BLB57" s="213"/>
      <c r="BLC57" s="213"/>
      <c r="BLD57" s="213"/>
      <c r="BLE57" s="213"/>
      <c r="BLF57" s="213"/>
      <c r="BLG57" s="213"/>
      <c r="BLH57" s="213"/>
      <c r="BLI57" s="213"/>
      <c r="BLJ57" s="213"/>
      <c r="BLK57" s="213"/>
      <c r="BLL57" s="213"/>
      <c r="BLM57" s="213"/>
      <c r="BLN57" s="213"/>
      <c r="BLO57" s="213"/>
      <c r="BLP57" s="213"/>
      <c r="BLQ57" s="213"/>
      <c r="BLR57" s="213"/>
      <c r="BLS57" s="213"/>
      <c r="BLT57" s="213"/>
      <c r="BLU57" s="213"/>
      <c r="BLV57" s="213"/>
      <c r="BLW57" s="213"/>
      <c r="BLX57" s="213"/>
      <c r="BLY57" s="213"/>
      <c r="BLZ57" s="213"/>
      <c r="BMA57" s="213"/>
      <c r="BMB57" s="213"/>
      <c r="BMC57" s="213"/>
      <c r="BMD57" s="213"/>
      <c r="BME57" s="213"/>
      <c r="BMF57" s="213"/>
      <c r="BMG57" s="213"/>
      <c r="BMH57" s="213"/>
      <c r="BMI57" s="213"/>
      <c r="BMJ57" s="213"/>
      <c r="BMK57" s="213"/>
      <c r="BML57" s="213"/>
      <c r="BMM57" s="213"/>
      <c r="BMN57" s="213"/>
      <c r="BMO57" s="213"/>
      <c r="BMP57" s="213"/>
      <c r="BMQ57" s="213"/>
      <c r="BMR57" s="213"/>
      <c r="BMS57" s="213"/>
      <c r="BMT57" s="213"/>
      <c r="BMU57" s="213"/>
      <c r="BMV57" s="213"/>
      <c r="BMW57" s="213"/>
      <c r="BMX57" s="213"/>
      <c r="BMY57" s="213"/>
      <c r="BMZ57" s="213"/>
      <c r="BNA57" s="213"/>
      <c r="BNB57" s="213"/>
      <c r="BNC57" s="213"/>
      <c r="BND57" s="213"/>
      <c r="BNE57" s="213"/>
      <c r="BNF57" s="213"/>
      <c r="BNG57" s="213"/>
      <c r="BNH57" s="213"/>
      <c r="BNI57" s="213"/>
      <c r="BNJ57" s="213"/>
      <c r="BNK57" s="213"/>
      <c r="BNL57" s="213"/>
      <c r="BNM57" s="213"/>
      <c r="BNN57" s="213"/>
      <c r="BNO57" s="213"/>
      <c r="BNP57" s="213"/>
      <c r="BNQ57" s="213"/>
      <c r="BNR57" s="213"/>
      <c r="BNS57" s="213"/>
      <c r="BNT57" s="213"/>
      <c r="BNU57" s="213"/>
      <c r="BNV57" s="213"/>
      <c r="BNW57" s="213"/>
      <c r="BNX57" s="213"/>
      <c r="BNY57" s="213"/>
      <c r="BNZ57" s="213"/>
      <c r="BOA57" s="213"/>
      <c r="BOB57" s="213"/>
      <c r="BOC57" s="213"/>
      <c r="BOD57" s="213"/>
      <c r="BOE57" s="213"/>
      <c r="BOF57" s="213"/>
      <c r="BOG57" s="213"/>
      <c r="BOH57" s="213"/>
      <c r="BOI57" s="213"/>
      <c r="BOJ57" s="213"/>
      <c r="BOK57" s="213"/>
      <c r="BOL57" s="213"/>
      <c r="BOM57" s="213"/>
      <c r="BON57" s="213"/>
      <c r="BOO57" s="213"/>
      <c r="BOP57" s="213"/>
      <c r="BOQ57" s="213"/>
      <c r="BOR57" s="213"/>
      <c r="BOS57" s="213"/>
      <c r="BOT57" s="213"/>
      <c r="BOU57" s="213"/>
      <c r="BOV57" s="213"/>
      <c r="BOW57" s="213"/>
      <c r="BOX57" s="213"/>
      <c r="BOY57" s="213"/>
      <c r="BOZ57" s="213"/>
      <c r="BPA57" s="213"/>
      <c r="BPB57" s="213"/>
      <c r="BPC57" s="213"/>
      <c r="BPD57" s="213"/>
      <c r="BPE57" s="213"/>
      <c r="BPF57" s="213"/>
      <c r="BPG57" s="213"/>
      <c r="BPH57" s="213"/>
      <c r="BPI57" s="213"/>
      <c r="BPJ57" s="213"/>
      <c r="BPK57" s="213"/>
      <c r="BPL57" s="213"/>
      <c r="BPM57" s="213"/>
      <c r="BPN57" s="213"/>
      <c r="BPO57" s="213"/>
      <c r="BPP57" s="213"/>
      <c r="BPQ57" s="213"/>
      <c r="BPR57" s="213"/>
      <c r="BPS57" s="213"/>
      <c r="BPT57" s="213"/>
      <c r="BPU57" s="213"/>
      <c r="BPV57" s="213"/>
      <c r="BPW57" s="213"/>
      <c r="BPX57" s="213"/>
      <c r="BPY57" s="213"/>
      <c r="BPZ57" s="213"/>
      <c r="BQA57" s="213"/>
      <c r="BQB57" s="213"/>
      <c r="BQC57" s="213"/>
      <c r="BQD57" s="213"/>
      <c r="BQE57" s="213"/>
      <c r="BQF57" s="213"/>
      <c r="BQG57" s="213"/>
      <c r="BQH57" s="213"/>
      <c r="BQI57" s="213"/>
      <c r="BQJ57" s="213"/>
      <c r="BQK57" s="213"/>
      <c r="BQL57" s="213"/>
      <c r="BQM57" s="213"/>
      <c r="BQN57" s="213"/>
      <c r="BQO57" s="213"/>
      <c r="BQP57" s="213"/>
      <c r="BQQ57" s="213"/>
      <c r="BQR57" s="213"/>
      <c r="BQS57" s="213"/>
      <c r="BQT57" s="213"/>
      <c r="BQU57" s="213"/>
      <c r="BQV57" s="213"/>
      <c r="BQW57" s="213"/>
      <c r="BQX57" s="213"/>
      <c r="BQY57" s="213"/>
      <c r="BQZ57" s="213"/>
      <c r="BRA57" s="213"/>
      <c r="BRB57" s="213"/>
      <c r="BRC57" s="213"/>
      <c r="BRD57" s="213"/>
      <c r="BRE57" s="213"/>
      <c r="BRF57" s="213"/>
      <c r="BRG57" s="213"/>
      <c r="BRH57" s="213"/>
      <c r="BRI57" s="213"/>
      <c r="BRJ57" s="213"/>
      <c r="BRK57" s="213"/>
      <c r="BRL57" s="213"/>
      <c r="BRM57" s="213"/>
      <c r="BRN57" s="213"/>
      <c r="BRO57" s="213"/>
      <c r="BRP57" s="213"/>
      <c r="BRQ57" s="213"/>
      <c r="BRR57" s="213"/>
      <c r="BRS57" s="213"/>
      <c r="BRT57" s="213"/>
      <c r="BRU57" s="213"/>
      <c r="BRV57" s="213"/>
      <c r="BRW57" s="213"/>
      <c r="BRX57" s="213"/>
      <c r="BRY57" s="213"/>
      <c r="BRZ57" s="213"/>
      <c r="BSA57" s="213"/>
      <c r="BSB57" s="213"/>
      <c r="BSC57" s="213"/>
      <c r="BSD57" s="213"/>
      <c r="BSE57" s="213"/>
      <c r="BSF57" s="213"/>
      <c r="BSG57" s="213"/>
      <c r="BSH57" s="213"/>
      <c r="BSI57" s="213"/>
      <c r="BSJ57" s="213"/>
      <c r="BSK57" s="213"/>
      <c r="BSL57" s="213"/>
      <c r="BSM57" s="213"/>
      <c r="BSN57" s="213"/>
      <c r="BSO57" s="213"/>
      <c r="BSP57" s="213"/>
      <c r="BSQ57" s="213"/>
      <c r="BSR57" s="213"/>
      <c r="BSS57" s="213"/>
      <c r="BST57" s="213"/>
      <c r="BSU57" s="213"/>
      <c r="BSV57" s="213"/>
      <c r="BSW57" s="213"/>
      <c r="BSX57" s="213"/>
      <c r="BSY57" s="213"/>
      <c r="BSZ57" s="213"/>
      <c r="BTA57" s="213"/>
      <c r="BTB57" s="213"/>
      <c r="BTC57" s="213"/>
      <c r="BTD57" s="213"/>
      <c r="BTE57" s="213"/>
      <c r="BTF57" s="213"/>
      <c r="BTG57" s="213"/>
      <c r="BTH57" s="213"/>
      <c r="BTI57" s="213"/>
      <c r="BTJ57" s="213"/>
      <c r="BTK57" s="213"/>
      <c r="BTL57" s="213"/>
      <c r="BTM57" s="213"/>
      <c r="BTN57" s="213"/>
      <c r="BTO57" s="213"/>
      <c r="BTP57" s="213"/>
      <c r="BTQ57" s="213"/>
      <c r="BTR57" s="213"/>
      <c r="BTS57" s="213"/>
      <c r="BTT57" s="213"/>
      <c r="BTU57" s="213"/>
      <c r="BTV57" s="213"/>
      <c r="BTW57" s="213"/>
      <c r="BTX57" s="213"/>
      <c r="BTY57" s="213"/>
      <c r="BTZ57" s="213"/>
      <c r="BUA57" s="213"/>
      <c r="BUB57" s="213"/>
      <c r="BUC57" s="213"/>
      <c r="BUD57" s="213"/>
      <c r="BUE57" s="213"/>
      <c r="BUF57" s="213"/>
      <c r="BUG57" s="213"/>
      <c r="BUH57" s="213"/>
      <c r="BUI57" s="213"/>
      <c r="BUJ57" s="213"/>
      <c r="BUK57" s="213"/>
      <c r="BUL57" s="213"/>
      <c r="BUM57" s="213"/>
      <c r="BUN57" s="213"/>
      <c r="BUO57" s="213"/>
      <c r="BUP57" s="213"/>
      <c r="BUQ57" s="213"/>
      <c r="BUR57" s="213"/>
      <c r="BUS57" s="213"/>
      <c r="BUT57" s="213"/>
      <c r="BUU57" s="213"/>
      <c r="BUV57" s="213"/>
      <c r="BUW57" s="213"/>
      <c r="BUX57" s="213"/>
      <c r="BUY57" s="213"/>
      <c r="BUZ57" s="213"/>
      <c r="BVA57" s="213"/>
      <c r="BVB57" s="213"/>
      <c r="BVC57" s="213"/>
      <c r="BVD57" s="213"/>
      <c r="BVE57" s="213"/>
      <c r="BVF57" s="213"/>
      <c r="BVG57" s="213"/>
      <c r="BVH57" s="213"/>
      <c r="BVI57" s="213"/>
      <c r="BVJ57" s="213"/>
      <c r="BVK57" s="213"/>
      <c r="BVL57" s="213"/>
      <c r="BVM57" s="213"/>
      <c r="BVN57" s="213"/>
      <c r="BVO57" s="213"/>
      <c r="BVP57" s="213"/>
      <c r="BVQ57" s="213"/>
      <c r="BVR57" s="213"/>
      <c r="BVS57" s="213"/>
      <c r="BVT57" s="213"/>
      <c r="BVU57" s="213"/>
      <c r="BVV57" s="213"/>
      <c r="BVW57" s="213"/>
      <c r="BVX57" s="213"/>
      <c r="BVY57" s="213"/>
      <c r="BVZ57" s="213"/>
      <c r="BWA57" s="213"/>
      <c r="BWB57" s="213"/>
      <c r="BWC57" s="213"/>
      <c r="BWD57" s="213"/>
      <c r="BWE57" s="213"/>
      <c r="BWF57" s="213"/>
      <c r="BWG57" s="213"/>
      <c r="BWH57" s="213"/>
      <c r="BWI57" s="213"/>
      <c r="BWJ57" s="213"/>
      <c r="BWK57" s="213"/>
      <c r="BWL57" s="213"/>
      <c r="BWM57" s="213"/>
      <c r="BWN57" s="213"/>
      <c r="BWO57" s="213"/>
      <c r="BWP57" s="213"/>
      <c r="BWQ57" s="213"/>
      <c r="BWR57" s="213"/>
      <c r="BWS57" s="213"/>
      <c r="BWT57" s="213"/>
      <c r="BWU57" s="213"/>
      <c r="BWV57" s="213"/>
      <c r="BWW57" s="213"/>
      <c r="BWX57" s="213"/>
      <c r="BWY57" s="213"/>
      <c r="BWZ57" s="213"/>
      <c r="BXA57" s="213"/>
      <c r="BXB57" s="213"/>
      <c r="BXC57" s="213"/>
      <c r="BXD57" s="213"/>
      <c r="BXE57" s="213"/>
      <c r="BXF57" s="213"/>
      <c r="BXG57" s="213"/>
      <c r="BXH57" s="213"/>
      <c r="BXI57" s="213"/>
      <c r="BXJ57" s="213"/>
      <c r="BXK57" s="213"/>
      <c r="BXL57" s="213"/>
      <c r="BXM57" s="213"/>
      <c r="BXN57" s="213"/>
      <c r="BXO57" s="213"/>
      <c r="BXP57" s="213"/>
      <c r="BXQ57" s="213"/>
      <c r="BXR57" s="213"/>
      <c r="BXS57" s="213"/>
      <c r="BXT57" s="213"/>
      <c r="BXU57" s="213"/>
      <c r="BXV57" s="213"/>
      <c r="BXW57" s="213"/>
      <c r="BXX57" s="213"/>
      <c r="BXY57" s="213"/>
      <c r="BXZ57" s="213"/>
      <c r="BYA57" s="213"/>
      <c r="BYB57" s="213"/>
      <c r="BYC57" s="213"/>
      <c r="BYD57" s="213"/>
      <c r="BYE57" s="213"/>
      <c r="BYF57" s="213"/>
      <c r="BYG57" s="213"/>
    </row>
    <row r="58" spans="1:2009" s="96" customFormat="1" ht="10.5" customHeight="1" x14ac:dyDescent="0.25">
      <c r="A58" s="122"/>
      <c r="B58" s="122"/>
      <c r="C58" s="205"/>
      <c r="D58" s="205"/>
      <c r="E58" s="205"/>
      <c r="F58" s="205"/>
      <c r="G58" s="205"/>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6" customFormat="1" ht="10.5" customHeight="1" x14ac:dyDescent="0.25">
      <c r="A59" s="122"/>
      <c r="B59" s="122"/>
      <c r="C59" s="205"/>
      <c r="D59" s="205"/>
      <c r="E59" s="205"/>
      <c r="F59" s="205"/>
      <c r="G59" s="205"/>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96" customFormat="1" ht="10.5" customHeight="1" x14ac:dyDescent="0.25">
      <c r="A60" s="122"/>
      <c r="B60" s="122"/>
      <c r="C60" s="205"/>
      <c r="D60" s="205"/>
      <c r="E60" s="205"/>
      <c r="F60" s="205"/>
      <c r="G60" s="20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ht="15" customHeight="1" x14ac:dyDescent="0.25">
      <c r="A61" s="123"/>
      <c r="B61" s="467" t="s">
        <v>445</v>
      </c>
      <c r="C61" s="206"/>
      <c r="D61" s="206"/>
      <c r="E61" s="206"/>
      <c r="F61" s="206"/>
      <c r="G61" s="206"/>
    </row>
    <row r="62" spans="1:2009" ht="8.25" customHeight="1" x14ac:dyDescent="0.25">
      <c r="A62" s="123"/>
      <c r="B62" s="163"/>
      <c r="C62" s="206"/>
      <c r="D62" s="206"/>
      <c r="E62" s="206"/>
      <c r="F62" s="206"/>
      <c r="G62" s="206"/>
    </row>
    <row r="63" spans="1:2009" ht="15" customHeight="1" x14ac:dyDescent="0.25">
      <c r="A63" s="647"/>
      <c r="B63" s="466" t="s">
        <v>314</v>
      </c>
      <c r="C63" s="656">
        <f>4171.32+4237.2+8062.78</f>
        <v>16471.3</v>
      </c>
      <c r="D63" s="206"/>
      <c r="E63" s="206"/>
      <c r="F63" s="206"/>
      <c r="G63" s="206"/>
    </row>
    <row r="64" spans="1:2009" ht="15" customHeight="1" x14ac:dyDescent="0.25">
      <c r="A64" s="647"/>
      <c r="B64" s="466" t="s">
        <v>448</v>
      </c>
      <c r="C64" s="529">
        <v>2925.05</v>
      </c>
      <c r="D64" s="206"/>
      <c r="E64" s="206"/>
      <c r="F64" s="206"/>
      <c r="G64" s="206"/>
    </row>
    <row r="65" spans="1:7" ht="15" customHeight="1" x14ac:dyDescent="0.25">
      <c r="A65" s="647"/>
      <c r="B65" s="466" t="s">
        <v>359</v>
      </c>
      <c r="C65" s="529"/>
      <c r="D65" s="206"/>
      <c r="E65" s="206"/>
      <c r="F65" s="206"/>
      <c r="G65" s="206"/>
    </row>
    <row r="66" spans="1:7" ht="15" customHeight="1" x14ac:dyDescent="0.25">
      <c r="A66" s="647"/>
      <c r="B66" s="466" t="s">
        <v>447</v>
      </c>
      <c r="C66" s="529">
        <v>1644.09</v>
      </c>
      <c r="D66" s="206"/>
      <c r="E66" s="206"/>
      <c r="F66" s="206"/>
      <c r="G66" s="206"/>
    </row>
    <row r="67" spans="1:7" ht="15" customHeight="1" x14ac:dyDescent="0.25">
      <c r="A67" s="647"/>
      <c r="B67" s="466" t="s">
        <v>360</v>
      </c>
      <c r="C67" s="529">
        <f>759.3</f>
        <v>759.3</v>
      </c>
      <c r="D67" s="206"/>
      <c r="E67" s="206"/>
      <c r="F67" s="206"/>
      <c r="G67" s="206"/>
    </row>
    <row r="68" spans="1:7" ht="15" hidden="1" customHeight="1" x14ac:dyDescent="0.25">
      <c r="A68" s="647"/>
      <c r="B68" s="466" t="s">
        <v>358</v>
      </c>
      <c r="C68" s="529">
        <v>2621.21</v>
      </c>
      <c r="D68" s="206"/>
      <c r="E68" s="206"/>
      <c r="F68" s="206"/>
      <c r="G68" s="206"/>
    </row>
    <row r="69" spans="1:7" ht="15" hidden="1" customHeight="1" x14ac:dyDescent="0.25">
      <c r="A69" s="647"/>
      <c r="B69" s="466" t="s">
        <v>324</v>
      </c>
      <c r="C69" s="529"/>
      <c r="D69" s="206"/>
      <c r="E69" s="206"/>
      <c r="F69" s="206"/>
      <c r="G69" s="206"/>
    </row>
    <row r="70" spans="1:7" ht="15" hidden="1" customHeight="1" x14ac:dyDescent="0.25">
      <c r="A70" s="647"/>
      <c r="B70" s="466" t="s">
        <v>336</v>
      </c>
      <c r="C70" s="657"/>
      <c r="D70" s="206"/>
      <c r="E70" s="206"/>
      <c r="F70" s="206"/>
      <c r="G70" s="206"/>
    </row>
    <row r="71" spans="1:7" ht="15" x14ac:dyDescent="0.25">
      <c r="A71" s="648"/>
      <c r="B71" s="164" t="s">
        <v>449</v>
      </c>
      <c r="C71" s="520">
        <f>SUM(C62:C70)</f>
        <v>24420.949999999997</v>
      </c>
      <c r="D71" s="207"/>
      <c r="E71" s="207"/>
      <c r="F71" s="207"/>
      <c r="G71" s="207"/>
    </row>
    <row r="72" spans="1:7" ht="5.25" customHeight="1" x14ac:dyDescent="0.2">
      <c r="C72" s="207"/>
      <c r="D72" s="207"/>
      <c r="E72" s="207"/>
      <c r="F72" s="207"/>
      <c r="G72" s="207"/>
    </row>
    <row r="73" spans="1:7" ht="15.75" thickBot="1" x14ac:dyDescent="0.3">
      <c r="B73" s="164" t="s">
        <v>450</v>
      </c>
      <c r="C73" s="628">
        <f>G57-C71</f>
        <v>209987.96000000002</v>
      </c>
      <c r="D73" s="207"/>
      <c r="E73" s="207"/>
      <c r="F73" s="207"/>
      <c r="G73" s="207"/>
    </row>
    <row r="74" spans="1:7" ht="12" customHeight="1" thickTop="1" x14ac:dyDescent="0.2">
      <c r="C74" s="207"/>
      <c r="D74" s="207"/>
      <c r="E74" s="207"/>
      <c r="F74" s="207"/>
      <c r="G74" s="207"/>
    </row>
    <row r="75" spans="1:7" ht="15.75" x14ac:dyDescent="0.25">
      <c r="B75" s="467" t="s">
        <v>326</v>
      </c>
      <c r="C75" s="207"/>
      <c r="D75" s="207"/>
      <c r="E75" s="207"/>
      <c r="F75" s="207"/>
      <c r="G75" s="207"/>
    </row>
    <row r="76" spans="1:7" ht="16.5" customHeight="1" x14ac:dyDescent="0.2">
      <c r="B76" s="422"/>
      <c r="C76" s="521"/>
      <c r="D76" s="207"/>
      <c r="E76" s="207"/>
      <c r="F76" s="207"/>
      <c r="G76" s="207"/>
    </row>
    <row r="77" spans="1:7" ht="16.5" customHeight="1" x14ac:dyDescent="0.2">
      <c r="B77" s="652"/>
      <c r="C77" s="207"/>
      <c r="D77" s="207"/>
      <c r="E77" s="207"/>
      <c r="F77" s="207"/>
      <c r="G77" s="207"/>
    </row>
    <row r="78" spans="1:7" ht="16.5" customHeight="1" x14ac:dyDescent="0.2">
      <c r="B78" s="422"/>
      <c r="C78" s="207"/>
      <c r="D78" s="207"/>
      <c r="E78" s="207"/>
      <c r="F78" s="207"/>
      <c r="G78" s="207"/>
    </row>
    <row r="79" spans="1:7" ht="16.5" customHeight="1" x14ac:dyDescent="0.2">
      <c r="B79" s="422"/>
      <c r="C79" s="207"/>
      <c r="D79" s="207"/>
      <c r="E79" s="207"/>
      <c r="F79" s="207"/>
      <c r="G79" s="207"/>
    </row>
    <row r="80" spans="1:7" ht="16.5" customHeight="1" x14ac:dyDescent="0.2">
      <c r="B80" s="422"/>
      <c r="C80" s="207"/>
      <c r="D80" s="207"/>
      <c r="E80" s="207"/>
      <c r="F80" s="207"/>
      <c r="G80" s="207"/>
    </row>
    <row r="81" spans="2:7" ht="16.5" customHeight="1" x14ac:dyDescent="0.2">
      <c r="B81" s="422"/>
      <c r="C81" s="207"/>
      <c r="D81" s="207"/>
      <c r="E81" s="207"/>
      <c r="F81" s="207"/>
      <c r="G81" s="207"/>
    </row>
    <row r="82" spans="2:7" ht="16.5" customHeight="1" x14ac:dyDescent="0.2">
      <c r="B82" s="422"/>
      <c r="C82" s="207"/>
      <c r="D82" s="207"/>
      <c r="E82" s="207"/>
      <c r="F82" s="207"/>
      <c r="G82" s="207"/>
    </row>
    <row r="83" spans="2:7" ht="12" customHeight="1" x14ac:dyDescent="0.2">
      <c r="B83" s="422"/>
      <c r="C83" s="207"/>
      <c r="D83" s="207"/>
      <c r="E83" s="207"/>
      <c r="F83" s="207"/>
      <c r="G83" s="207"/>
    </row>
    <row r="84" spans="2:7" ht="12" customHeight="1" x14ac:dyDescent="0.2">
      <c r="C84" s="207"/>
      <c r="D84" s="207"/>
      <c r="E84" s="207"/>
      <c r="F84" s="207"/>
      <c r="G84" s="207"/>
    </row>
    <row r="85" spans="2:7" ht="12" customHeight="1" x14ac:dyDescent="0.2">
      <c r="C85" s="207"/>
      <c r="D85" s="207"/>
      <c r="E85" s="207"/>
      <c r="F85" s="207"/>
      <c r="G85" s="207"/>
    </row>
    <row r="86" spans="2:7" ht="12" customHeight="1" x14ac:dyDescent="0.2">
      <c r="C86" s="207"/>
      <c r="D86" s="207"/>
      <c r="E86" s="207"/>
      <c r="F86" s="207"/>
      <c r="G86" s="207"/>
    </row>
    <row r="87" spans="2:7" ht="12" customHeight="1" x14ac:dyDescent="0.2">
      <c r="C87" s="207"/>
      <c r="D87" s="207"/>
      <c r="E87" s="207"/>
      <c r="F87" s="207"/>
      <c r="G87" s="207"/>
    </row>
    <row r="88" spans="2:7" ht="12" customHeight="1" x14ac:dyDescent="0.2">
      <c r="C88" s="207"/>
      <c r="D88" s="207"/>
      <c r="E88" s="207"/>
      <c r="F88" s="207"/>
      <c r="G88" s="207"/>
    </row>
    <row r="89" spans="2:7" ht="12" customHeight="1" x14ac:dyDescent="0.2">
      <c r="C89" s="207"/>
      <c r="D89" s="207"/>
      <c r="E89" s="207"/>
      <c r="F89" s="207"/>
      <c r="G89" s="207"/>
    </row>
    <row r="90" spans="2:7" ht="12" customHeight="1" x14ac:dyDescent="0.2">
      <c r="C90" s="207"/>
      <c r="D90" s="207"/>
      <c r="E90" s="207"/>
      <c r="F90" s="207"/>
      <c r="G90" s="207"/>
    </row>
    <row r="91" spans="2:7" ht="12" customHeight="1" x14ac:dyDescent="0.2">
      <c r="C91" s="207"/>
      <c r="D91" s="207"/>
      <c r="E91" s="207"/>
      <c r="F91" s="207"/>
      <c r="G91" s="207"/>
    </row>
    <row r="92" spans="2:7" ht="12" customHeight="1" x14ac:dyDescent="0.2">
      <c r="C92" s="207"/>
      <c r="D92" s="207"/>
      <c r="E92" s="207"/>
      <c r="F92" s="207"/>
      <c r="G92" s="207"/>
    </row>
    <row r="93" spans="2:7" ht="12" customHeight="1" x14ac:dyDescent="0.2">
      <c r="C93" s="207"/>
      <c r="D93" s="207"/>
      <c r="E93" s="207"/>
      <c r="F93" s="207"/>
      <c r="G93" s="207"/>
    </row>
    <row r="94" spans="2:7" ht="12" customHeight="1" x14ac:dyDescent="0.2">
      <c r="C94" s="207"/>
      <c r="D94" s="207"/>
      <c r="E94" s="207"/>
      <c r="F94" s="207"/>
      <c r="G94" s="207"/>
    </row>
    <row r="95" spans="2:7" ht="12" customHeight="1" x14ac:dyDescent="0.2">
      <c r="C95" s="207"/>
      <c r="D95" s="207"/>
      <c r="E95" s="207"/>
      <c r="F95" s="207"/>
      <c r="G95" s="207"/>
    </row>
    <row r="96" spans="2:7" ht="12" customHeight="1" x14ac:dyDescent="0.2">
      <c r="C96" s="207"/>
      <c r="D96" s="207"/>
      <c r="E96" s="207"/>
      <c r="F96" s="207"/>
      <c r="G96" s="207"/>
    </row>
    <row r="97" spans="3:7" ht="12" customHeight="1" x14ac:dyDescent="0.2">
      <c r="C97" s="207"/>
      <c r="D97" s="207"/>
      <c r="E97" s="207"/>
      <c r="F97" s="207"/>
      <c r="G97" s="207"/>
    </row>
    <row r="98" spans="3:7" ht="12" customHeight="1" x14ac:dyDescent="0.2">
      <c r="C98" s="207"/>
      <c r="D98" s="207"/>
      <c r="E98" s="207"/>
      <c r="F98" s="207"/>
      <c r="G98" s="207"/>
    </row>
    <row r="99" spans="3:7" ht="12" customHeight="1" x14ac:dyDescent="0.2">
      <c r="C99" s="207"/>
      <c r="D99" s="207"/>
      <c r="E99" s="207"/>
      <c r="F99" s="207"/>
      <c r="G99" s="207"/>
    </row>
    <row r="100" spans="3:7" ht="12" customHeight="1" x14ac:dyDescent="0.2">
      <c r="C100" s="207"/>
      <c r="D100" s="207"/>
      <c r="E100" s="207"/>
      <c r="F100" s="207"/>
      <c r="G100" s="207"/>
    </row>
    <row r="101" spans="3:7" ht="12" customHeight="1" x14ac:dyDescent="0.2">
      <c r="C101" s="207"/>
      <c r="D101" s="207"/>
      <c r="E101" s="207"/>
      <c r="F101" s="207"/>
      <c r="G101" s="207"/>
    </row>
    <row r="102" spans="3:7" ht="12" customHeight="1" x14ac:dyDescent="0.2">
      <c r="C102" s="207"/>
      <c r="D102" s="207"/>
      <c r="E102" s="207"/>
      <c r="F102" s="207"/>
      <c r="G102" s="207"/>
    </row>
    <row r="103" spans="3:7" ht="12" customHeight="1" x14ac:dyDescent="0.2">
      <c r="C103" s="207"/>
      <c r="D103" s="207"/>
      <c r="E103" s="207"/>
      <c r="F103" s="207"/>
      <c r="G103" s="207"/>
    </row>
    <row r="104" spans="3:7" ht="12" customHeight="1" x14ac:dyDescent="0.2">
      <c r="C104" s="207"/>
      <c r="D104" s="207"/>
      <c r="E104" s="207"/>
      <c r="F104" s="207"/>
      <c r="G104" s="207"/>
    </row>
    <row r="105" spans="3:7" ht="12" customHeight="1" x14ac:dyDescent="0.2">
      <c r="C105" s="207"/>
      <c r="D105" s="207"/>
      <c r="E105" s="207"/>
      <c r="F105" s="207"/>
      <c r="G105" s="207"/>
    </row>
    <row r="106" spans="3:7" ht="12" customHeight="1" x14ac:dyDescent="0.2">
      <c r="C106" s="207"/>
      <c r="D106" s="207"/>
      <c r="E106" s="207"/>
      <c r="F106" s="207"/>
      <c r="G106" s="207"/>
    </row>
    <row r="107" spans="3:7" ht="12" customHeight="1" x14ac:dyDescent="0.2">
      <c r="C107" s="207"/>
      <c r="D107" s="207"/>
      <c r="E107" s="207"/>
      <c r="F107" s="207"/>
      <c r="G107" s="207"/>
    </row>
    <row r="108" spans="3:7" ht="12" customHeight="1" x14ac:dyDescent="0.2">
      <c r="C108" s="207"/>
      <c r="D108" s="207"/>
      <c r="E108" s="207"/>
      <c r="F108" s="207"/>
      <c r="G108" s="207"/>
    </row>
    <row r="109" spans="3:7" ht="12" customHeight="1" x14ac:dyDescent="0.2">
      <c r="C109" s="207"/>
      <c r="D109" s="207"/>
      <c r="E109" s="207"/>
      <c r="F109" s="207"/>
      <c r="G109" s="207"/>
    </row>
    <row r="110" spans="3:7" ht="12" customHeight="1" x14ac:dyDescent="0.2">
      <c r="C110" s="207"/>
      <c r="D110" s="207"/>
      <c r="E110" s="207"/>
      <c r="F110" s="207"/>
      <c r="G110" s="207"/>
    </row>
    <row r="111" spans="3:7" ht="12" customHeight="1" x14ac:dyDescent="0.2">
      <c r="C111" s="207"/>
      <c r="D111" s="207"/>
      <c r="E111" s="207"/>
      <c r="F111" s="207"/>
      <c r="G111" s="207"/>
    </row>
    <row r="112" spans="3:7" ht="12" customHeight="1" x14ac:dyDescent="0.2">
      <c r="C112" s="207"/>
      <c r="D112" s="207"/>
      <c r="E112" s="207"/>
      <c r="F112" s="207"/>
      <c r="G112" s="207"/>
    </row>
    <row r="113" spans="3:7" ht="12" customHeight="1" x14ac:dyDescent="0.2">
      <c r="C113" s="207"/>
      <c r="D113" s="207"/>
      <c r="E113" s="207"/>
      <c r="F113" s="207"/>
      <c r="G113" s="207"/>
    </row>
    <row r="114" spans="3:7" ht="12" customHeight="1" x14ac:dyDescent="0.2">
      <c r="C114" s="207"/>
      <c r="D114" s="207"/>
      <c r="E114" s="207"/>
      <c r="F114" s="207"/>
      <c r="G114" s="207"/>
    </row>
    <row r="115" spans="3:7" ht="12" customHeight="1" x14ac:dyDescent="0.2">
      <c r="C115" s="207"/>
      <c r="D115" s="207"/>
      <c r="E115" s="207"/>
      <c r="F115" s="207"/>
      <c r="G115" s="207"/>
    </row>
    <row r="116" spans="3:7" ht="12" customHeight="1" x14ac:dyDescent="0.2">
      <c r="C116" s="207"/>
      <c r="D116" s="207"/>
      <c r="E116" s="207"/>
      <c r="F116" s="207"/>
      <c r="G116" s="207"/>
    </row>
    <row r="117" spans="3:7" ht="12" customHeight="1" x14ac:dyDescent="0.2">
      <c r="C117" s="207"/>
      <c r="D117" s="207"/>
      <c r="E117" s="207"/>
      <c r="F117" s="207"/>
      <c r="G117" s="207"/>
    </row>
    <row r="118" spans="3:7" ht="12" customHeight="1" x14ac:dyDescent="0.2">
      <c r="C118" s="207"/>
      <c r="D118" s="207"/>
      <c r="E118" s="207"/>
      <c r="F118" s="207"/>
      <c r="G118" s="207"/>
    </row>
    <row r="119" spans="3:7" ht="12" customHeight="1" x14ac:dyDescent="0.2">
      <c r="C119" s="207"/>
      <c r="D119" s="207"/>
      <c r="E119" s="207"/>
      <c r="F119" s="207"/>
      <c r="G119" s="207"/>
    </row>
    <row r="120" spans="3:7" ht="12" customHeight="1" x14ac:dyDescent="0.2">
      <c r="C120" s="207"/>
      <c r="D120" s="207"/>
      <c r="E120" s="207"/>
      <c r="F120" s="207"/>
      <c r="G120" s="207"/>
    </row>
    <row r="121" spans="3:7" ht="12" customHeight="1" x14ac:dyDescent="0.2">
      <c r="C121" s="207"/>
      <c r="D121" s="207"/>
      <c r="E121" s="207"/>
      <c r="F121" s="207"/>
      <c r="G121" s="207"/>
    </row>
    <row r="122" spans="3:7" ht="12" customHeight="1" x14ac:dyDescent="0.2">
      <c r="C122" s="207"/>
      <c r="D122" s="207"/>
      <c r="E122" s="207"/>
      <c r="F122" s="207"/>
      <c r="G122" s="207"/>
    </row>
    <row r="123" spans="3:7" ht="12" customHeight="1" x14ac:dyDescent="0.2">
      <c r="C123" s="207"/>
      <c r="D123" s="207"/>
      <c r="E123" s="207"/>
      <c r="F123" s="207"/>
      <c r="G123" s="207"/>
    </row>
    <row r="124" spans="3:7" ht="12" customHeight="1" x14ac:dyDescent="0.2">
      <c r="C124" s="207"/>
      <c r="D124" s="207"/>
      <c r="E124" s="207"/>
      <c r="F124" s="207"/>
      <c r="G124" s="207"/>
    </row>
    <row r="125" spans="3:7" ht="12" customHeight="1" x14ac:dyDescent="0.2">
      <c r="C125" s="207"/>
      <c r="D125" s="207"/>
      <c r="E125" s="207"/>
      <c r="F125" s="207"/>
      <c r="G125" s="207"/>
    </row>
    <row r="126" spans="3:7" ht="12" customHeight="1" x14ac:dyDescent="0.2">
      <c r="C126" s="207"/>
      <c r="D126" s="207"/>
      <c r="E126" s="207"/>
      <c r="F126" s="207"/>
      <c r="G126" s="207"/>
    </row>
    <row r="127" spans="3:7" ht="12" customHeight="1" x14ac:dyDescent="0.2">
      <c r="C127" s="207"/>
      <c r="D127" s="207"/>
      <c r="E127" s="207"/>
      <c r="F127" s="207"/>
      <c r="G127" s="207"/>
    </row>
    <row r="128" spans="3:7" ht="12" customHeight="1" x14ac:dyDescent="0.2">
      <c r="C128" s="207"/>
      <c r="D128" s="207"/>
      <c r="E128" s="207"/>
      <c r="F128" s="207"/>
      <c r="G128" s="207"/>
    </row>
    <row r="129" spans="3:7" ht="12" customHeight="1" x14ac:dyDescent="0.2">
      <c r="C129" s="207"/>
      <c r="D129" s="207"/>
      <c r="E129" s="207"/>
      <c r="F129" s="207"/>
      <c r="G129" s="207"/>
    </row>
    <row r="130" spans="3:7" ht="12" customHeight="1" x14ac:dyDescent="0.2">
      <c r="C130" s="207"/>
      <c r="D130" s="207"/>
      <c r="E130" s="207"/>
      <c r="F130" s="207"/>
      <c r="G130" s="207"/>
    </row>
    <row r="131" spans="3:7" ht="12" customHeight="1" x14ac:dyDescent="0.2">
      <c r="C131" s="207"/>
      <c r="D131" s="207"/>
      <c r="E131" s="207"/>
      <c r="F131" s="207"/>
      <c r="G131" s="207"/>
    </row>
    <row r="132" spans="3:7" ht="12" customHeight="1" x14ac:dyDescent="0.2">
      <c r="C132" s="207"/>
      <c r="D132" s="207"/>
      <c r="E132" s="207"/>
      <c r="F132" s="207"/>
      <c r="G132" s="207"/>
    </row>
    <row r="133" spans="3:7" ht="12" customHeight="1" x14ac:dyDescent="0.2">
      <c r="C133" s="207"/>
      <c r="D133" s="207"/>
      <c r="E133" s="207"/>
      <c r="F133" s="207"/>
      <c r="G133" s="207"/>
    </row>
    <row r="134" spans="3:7" ht="12" customHeight="1" x14ac:dyDescent="0.2">
      <c r="C134" s="207"/>
      <c r="D134" s="207"/>
      <c r="E134" s="207"/>
      <c r="F134" s="207"/>
      <c r="G134" s="207"/>
    </row>
    <row r="135" spans="3:7" ht="12" customHeight="1" x14ac:dyDescent="0.2">
      <c r="C135" s="207"/>
      <c r="D135" s="207"/>
      <c r="E135" s="207"/>
      <c r="F135" s="207"/>
      <c r="G135" s="207"/>
    </row>
    <row r="136" spans="3:7" ht="12" customHeight="1" x14ac:dyDescent="0.2">
      <c r="C136" s="207"/>
      <c r="D136" s="207"/>
      <c r="E136" s="207"/>
      <c r="F136" s="207"/>
      <c r="G136" s="207"/>
    </row>
    <row r="137" spans="3:7" ht="12" customHeight="1" x14ac:dyDescent="0.2">
      <c r="C137" s="207"/>
      <c r="D137" s="207"/>
      <c r="E137" s="207"/>
      <c r="F137" s="207"/>
      <c r="G137" s="207"/>
    </row>
    <row r="138" spans="3:7" ht="12" customHeight="1" x14ac:dyDescent="0.2">
      <c r="C138" s="207"/>
      <c r="D138" s="207"/>
      <c r="E138" s="207"/>
      <c r="F138" s="207"/>
      <c r="G138" s="207"/>
    </row>
    <row r="139" spans="3:7" ht="12" customHeight="1" x14ac:dyDescent="0.2">
      <c r="C139" s="207"/>
      <c r="D139" s="207"/>
      <c r="E139" s="207"/>
      <c r="F139" s="207"/>
      <c r="G139" s="207"/>
    </row>
    <row r="140" spans="3:7" ht="12" customHeight="1" x14ac:dyDescent="0.2">
      <c r="C140" s="207"/>
      <c r="D140" s="207"/>
      <c r="E140" s="207"/>
      <c r="F140" s="207"/>
      <c r="G140" s="207"/>
    </row>
    <row r="141" spans="3:7" ht="12" customHeight="1" x14ac:dyDescent="0.2">
      <c r="C141" s="207"/>
      <c r="D141" s="207"/>
      <c r="E141" s="207"/>
      <c r="F141" s="207"/>
      <c r="G141" s="207"/>
    </row>
    <row r="142" spans="3:7" ht="12" customHeight="1" x14ac:dyDescent="0.2">
      <c r="C142" s="207"/>
      <c r="D142" s="207"/>
      <c r="E142" s="207"/>
      <c r="F142" s="207"/>
      <c r="G142" s="207"/>
    </row>
    <row r="143" spans="3:7" ht="12" customHeight="1" x14ac:dyDescent="0.2">
      <c r="C143" s="207"/>
      <c r="D143" s="207"/>
      <c r="E143" s="207"/>
      <c r="F143" s="207"/>
      <c r="G143" s="207"/>
    </row>
    <row r="144" spans="3:7" ht="12" customHeight="1" x14ac:dyDescent="0.2">
      <c r="C144" s="207"/>
      <c r="D144" s="207"/>
      <c r="E144" s="207"/>
      <c r="F144" s="207"/>
      <c r="G144" s="207"/>
    </row>
    <row r="145" spans="2:14" ht="12" customHeight="1" x14ac:dyDescent="0.2">
      <c r="C145" s="207"/>
      <c r="D145" s="207"/>
      <c r="E145" s="207"/>
      <c r="F145" s="207"/>
      <c r="G145" s="207"/>
    </row>
    <row r="146" spans="2:14" ht="12" customHeight="1" x14ac:dyDescent="0.2">
      <c r="C146" s="207"/>
      <c r="D146" s="207"/>
      <c r="E146" s="207"/>
      <c r="F146" s="207"/>
      <c r="G146" s="207"/>
    </row>
    <row r="147" spans="2:14" ht="14.25" customHeight="1" x14ac:dyDescent="0.2"/>
    <row r="148" spans="2:14" ht="15.75" hidden="1" x14ac:dyDescent="0.25">
      <c r="B148" s="519"/>
      <c r="C148" s="253"/>
    </row>
    <row r="149" spans="2:14" ht="15" hidden="1" x14ac:dyDescent="0.25">
      <c r="B149" s="468"/>
      <c r="C149" s="521"/>
    </row>
    <row r="150" spans="2:14" ht="15" hidden="1" x14ac:dyDescent="0.25">
      <c r="B150" s="468"/>
      <c r="C150" s="530"/>
    </row>
    <row r="151" spans="2:14" ht="15" hidden="1" x14ac:dyDescent="0.25">
      <c r="B151" s="468"/>
      <c r="C151" s="207"/>
    </row>
    <row r="152" spans="2:14" hidden="1" x14ac:dyDescent="0.2">
      <c r="B152" s="422"/>
    </row>
    <row r="153" spans="2:14" hidden="1" x14ac:dyDescent="0.2">
      <c r="B153" s="422"/>
    </row>
    <row r="154" spans="2:14" hidden="1" x14ac:dyDescent="0.2">
      <c r="B154" s="422"/>
    </row>
    <row r="155" spans="2:14" hidden="1" x14ac:dyDescent="0.2"/>
    <row r="156" spans="2:14" hidden="1" x14ac:dyDescent="0.2"/>
    <row r="157" spans="2:14" hidden="1" x14ac:dyDescent="0.2">
      <c r="C157" s="464">
        <v>41698</v>
      </c>
      <c r="D157" s="464">
        <v>41609</v>
      </c>
      <c r="E157" s="464">
        <v>41548</v>
      </c>
      <c r="F157" s="464">
        <v>41487</v>
      </c>
      <c r="G157" s="464">
        <v>41426</v>
      </c>
      <c r="H157" s="464">
        <v>41365</v>
      </c>
      <c r="I157" s="464">
        <v>41306</v>
      </c>
      <c r="J157" s="464">
        <v>41274</v>
      </c>
      <c r="K157" s="464">
        <v>41213</v>
      </c>
      <c r="L157" s="464">
        <v>41152</v>
      </c>
      <c r="M157" s="465">
        <v>41090</v>
      </c>
      <c r="N157" s="464">
        <v>41029</v>
      </c>
    </row>
    <row r="158" spans="2:14" hidden="1" x14ac:dyDescent="0.2">
      <c r="B158" s="58" t="s">
        <v>196</v>
      </c>
      <c r="C158" s="253">
        <f>C57</f>
        <v>117862.01000000001</v>
      </c>
      <c r="D158" s="253">
        <f>105452.64+311868.06-305987</f>
        <v>111333.70000000001</v>
      </c>
      <c r="E158" s="253">
        <v>85798.300000000017</v>
      </c>
      <c r="F158" s="207">
        <f>53253.08+18642.89</f>
        <v>71895.97</v>
      </c>
      <c r="G158" s="207">
        <v>126315</v>
      </c>
      <c r="H158" s="207">
        <v>69404</v>
      </c>
      <c r="I158" s="207">
        <v>75744</v>
      </c>
      <c r="J158" s="207">
        <v>119840.47</v>
      </c>
      <c r="K158" s="207">
        <v>120024</v>
      </c>
      <c r="L158" s="207">
        <v>109142</v>
      </c>
      <c r="M158" s="463">
        <v>142216.66</v>
      </c>
      <c r="N158" s="207">
        <v>104785.62</v>
      </c>
    </row>
    <row r="159" spans="2:14" hidden="1" x14ac:dyDescent="0.2">
      <c r="B159" s="58" t="s">
        <v>197</v>
      </c>
      <c r="C159" s="253">
        <f>D57</f>
        <v>70060.460000000006</v>
      </c>
      <c r="D159" s="253">
        <f>74767.18-13600.56</f>
        <v>61166.619999999995</v>
      </c>
      <c r="E159" s="253">
        <v>86248.31</v>
      </c>
      <c r="F159" s="207">
        <v>43187.16</v>
      </c>
      <c r="G159" s="207">
        <v>60049</v>
      </c>
      <c r="H159" s="207">
        <v>101941</v>
      </c>
      <c r="I159" s="207">
        <v>43152</v>
      </c>
      <c r="J159" s="207">
        <v>58938.2</v>
      </c>
      <c r="K159" s="207">
        <v>85767</v>
      </c>
      <c r="L159" s="207">
        <v>119436</v>
      </c>
      <c r="M159" s="463">
        <v>73223.850000000006</v>
      </c>
      <c r="N159" s="207">
        <v>86907.23</v>
      </c>
    </row>
    <row r="160" spans="2:14" hidden="1" x14ac:dyDescent="0.2">
      <c r="B160" s="58" t="s">
        <v>198</v>
      </c>
      <c r="C160" s="253">
        <f>E57</f>
        <v>46333.549999999996</v>
      </c>
      <c r="D160" s="253">
        <f>66720.93-13675.33</f>
        <v>53045.599999999991</v>
      </c>
      <c r="E160" s="253">
        <v>32950.589999999997</v>
      </c>
      <c r="F160" s="207">
        <v>65970.55</v>
      </c>
      <c r="G160" s="207">
        <v>18719</v>
      </c>
      <c r="H160" s="207">
        <v>3668</v>
      </c>
      <c r="I160" s="207">
        <v>50430</v>
      </c>
      <c r="J160" s="207">
        <v>88408.17</v>
      </c>
      <c r="K160" s="207">
        <v>26680</v>
      </c>
      <c r="L160" s="207">
        <v>51922</v>
      </c>
      <c r="M160" s="463">
        <v>77261.37</v>
      </c>
      <c r="N160" s="207">
        <v>11021.67</v>
      </c>
    </row>
    <row r="161" spans="2:14" hidden="1" x14ac:dyDescent="0.2">
      <c r="B161" s="58" t="s">
        <v>199</v>
      </c>
      <c r="C161" s="253">
        <f>F57</f>
        <v>152.88999999999999</v>
      </c>
      <c r="D161" s="253">
        <v>86322.43</v>
      </c>
      <c r="E161" s="253">
        <v>66109.450000000012</v>
      </c>
      <c r="F161" s="207">
        <v>56011.13</v>
      </c>
      <c r="G161" s="207">
        <v>1250</v>
      </c>
      <c r="H161" s="207">
        <v>0</v>
      </c>
      <c r="I161" s="207">
        <v>9959</v>
      </c>
      <c r="J161" s="207">
        <v>18374.45</v>
      </c>
      <c r="K161" s="207">
        <v>22103</v>
      </c>
      <c r="L161" s="207">
        <v>71168</v>
      </c>
      <c r="M161" s="463">
        <v>55167.87</v>
      </c>
      <c r="N161" s="207"/>
    </row>
    <row r="162" spans="2:14" hidden="1" x14ac:dyDescent="0.2">
      <c r="C162" s="253">
        <f>SUM(C158:C161)</f>
        <v>234408.91000000003</v>
      </c>
      <c r="D162" s="253">
        <f>SUM(D158:D161)</f>
        <v>311868.34999999998</v>
      </c>
      <c r="E162" s="253">
        <v>271106.65000000002</v>
      </c>
      <c r="F162" s="207">
        <f>SUM(F158:F161)</f>
        <v>237064.81</v>
      </c>
      <c r="G162" s="207">
        <f t="shared" ref="G162:N162" si="5">SUM(G158:G161)</f>
        <v>206333</v>
      </c>
      <c r="H162" s="207">
        <f t="shared" si="5"/>
        <v>175013</v>
      </c>
      <c r="I162" s="207">
        <f t="shared" si="5"/>
        <v>179285</v>
      </c>
      <c r="J162" s="207">
        <f t="shared" si="5"/>
        <v>285561.28999999998</v>
      </c>
      <c r="K162" s="207">
        <f t="shared" si="5"/>
        <v>254574</v>
      </c>
      <c r="L162" s="207">
        <f t="shared" si="5"/>
        <v>351668</v>
      </c>
      <c r="M162" s="207">
        <f t="shared" si="5"/>
        <v>347869.75</v>
      </c>
      <c r="N162" s="207">
        <f t="shared" si="5"/>
        <v>202714.52</v>
      </c>
    </row>
    <row r="163" spans="2:14" hidden="1" x14ac:dyDescent="0.2">
      <c r="D163" s="207"/>
      <c r="E163" s="207"/>
      <c r="F163" s="207"/>
      <c r="G163" s="207"/>
      <c r="H163" s="207"/>
      <c r="I163" s="207"/>
      <c r="J163" s="207"/>
      <c r="K163" s="207"/>
      <c r="L163" s="463"/>
    </row>
    <row r="164" spans="2:14" hidden="1" x14ac:dyDescent="0.2">
      <c r="C164" s="207"/>
      <c r="D164" s="207"/>
      <c r="E164" s="207"/>
      <c r="F164" s="207"/>
      <c r="G164" s="207"/>
      <c r="H164" s="463"/>
      <c r="I164" s="463"/>
      <c r="J164" s="463"/>
      <c r="K164" s="463"/>
    </row>
    <row r="165" spans="2:14" hidden="1" x14ac:dyDescent="0.2">
      <c r="C165" s="207"/>
      <c r="D165" s="207"/>
      <c r="E165" s="207"/>
      <c r="F165" s="207"/>
      <c r="G165" s="207"/>
      <c r="H165" s="463"/>
      <c r="I165" s="463"/>
      <c r="J165" s="463"/>
      <c r="K165" s="463"/>
    </row>
    <row r="166" spans="2:14" hidden="1" x14ac:dyDescent="0.2"/>
    <row r="167" spans="2:14" hidden="1" x14ac:dyDescent="0.2"/>
    <row r="168" spans="2:14" hidden="1" x14ac:dyDescent="0.2"/>
    <row r="169" spans="2:14" hidden="1" x14ac:dyDescent="0.2"/>
    <row r="170" spans="2:14" hidden="1" x14ac:dyDescent="0.2"/>
    <row r="171" spans="2:14" hidden="1" x14ac:dyDescent="0.2"/>
    <row r="172" spans="2:14" hidden="1" x14ac:dyDescent="0.2"/>
    <row r="173" spans="2:14" hidden="1" x14ac:dyDescent="0.2"/>
    <row r="174" spans="2:14" hidden="1" x14ac:dyDescent="0.2"/>
    <row r="175" spans="2:14" hidden="1" x14ac:dyDescent="0.2"/>
    <row r="176" spans="2:1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sheetData>
  <sortState ref="A82:J85">
    <sortCondition ref="A82:A85"/>
  </sortState>
  <mergeCells count="2">
    <mergeCell ref="A5:B5"/>
    <mergeCell ref="A53:B53"/>
  </mergeCells>
  <pageMargins left="0.45" right="0" top="0.25" bottom="0.25" header="0.3" footer="0.3"/>
  <pageSetup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A4" sqref="A4:L38"/>
    </sheetView>
  </sheetViews>
  <sheetFormatPr defaultRowHeight="14.25" x14ac:dyDescent="0.2"/>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98"/>
  <sheetViews>
    <sheetView zoomScale="75" zoomScaleNormal="75" workbookViewId="0">
      <selection activeCell="Q23" sqref="Q23"/>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2.25" style="370" hidden="1" customWidth="1"/>
    <col min="8" max="8" width="1.25" style="414" hidden="1" customWidth="1"/>
    <col min="9" max="9" width="24" style="18" hidden="1" customWidth="1"/>
    <col min="10" max="10" width="1.5" style="18" hidden="1" customWidth="1"/>
    <col min="11" max="11" width="23.875" style="18" hidden="1" customWidth="1"/>
    <col min="12" max="12" width="1.25" style="18" customWidth="1"/>
    <col min="13" max="13" width="24" style="18" customWidth="1"/>
    <col min="14" max="14" width="1.25" style="18" customWidth="1"/>
    <col min="15" max="15" width="24" style="18" customWidth="1"/>
    <col min="16" max="16" width="1.25" style="18" customWidth="1"/>
    <col min="17" max="17" width="24" style="18" customWidth="1"/>
    <col min="18" max="20" width="9" style="18"/>
    <col min="21" max="21" width="12.5" style="18" bestFit="1" customWidth="1"/>
    <col min="22" max="66" width="9" style="18"/>
    <col min="260" max="260" width="2.875" customWidth="1"/>
    <col min="261" max="261" width="8.125" customWidth="1"/>
    <col min="262" max="262" width="8.75" customWidth="1"/>
    <col min="263" max="263" width="11" customWidth="1"/>
    <col min="264" max="264" width="2.875" customWidth="1"/>
    <col min="265" max="265" width="77.625" customWidth="1"/>
    <col min="266" max="266" width="20.875" customWidth="1"/>
    <col min="516" max="516" width="2.875" customWidth="1"/>
    <col min="517" max="517" width="8.125" customWidth="1"/>
    <col min="518" max="518" width="8.75" customWidth="1"/>
    <col min="519" max="519" width="11" customWidth="1"/>
    <col min="520" max="520" width="2.875" customWidth="1"/>
    <col min="521" max="521" width="77.625" customWidth="1"/>
    <col min="522" max="522" width="20.875" customWidth="1"/>
    <col min="772" max="772" width="2.875" customWidth="1"/>
    <col min="773" max="773" width="8.125" customWidth="1"/>
    <col min="774" max="774" width="8.75" customWidth="1"/>
    <col min="775" max="775" width="11" customWidth="1"/>
    <col min="776" max="776" width="2.875" customWidth="1"/>
    <col min="777" max="777" width="77.625" customWidth="1"/>
    <col min="778" max="778" width="20.875" customWidth="1"/>
    <col min="1028" max="1028" width="2.875" customWidth="1"/>
    <col min="1029" max="1029" width="8.125" customWidth="1"/>
    <col min="1030" max="1030" width="8.75" customWidth="1"/>
    <col min="1031" max="1031" width="11" customWidth="1"/>
    <col min="1032" max="1032" width="2.875" customWidth="1"/>
    <col min="1033" max="1033" width="77.625" customWidth="1"/>
    <col min="1034" max="1034" width="20.875" customWidth="1"/>
    <col min="1284" max="1284" width="2.875" customWidth="1"/>
    <col min="1285" max="1285" width="8.125" customWidth="1"/>
    <col min="1286" max="1286" width="8.75" customWidth="1"/>
    <col min="1287" max="1287" width="11" customWidth="1"/>
    <col min="1288" max="1288" width="2.875" customWidth="1"/>
    <col min="1289" max="1289" width="77.625" customWidth="1"/>
    <col min="1290" max="1290" width="20.875" customWidth="1"/>
    <col min="1540" max="1540" width="2.875" customWidth="1"/>
    <col min="1541" max="1541" width="8.125" customWidth="1"/>
    <col min="1542" max="1542" width="8.75" customWidth="1"/>
    <col min="1543" max="1543" width="11" customWidth="1"/>
    <col min="1544" max="1544" width="2.875" customWidth="1"/>
    <col min="1545" max="1545" width="77.625" customWidth="1"/>
    <col min="1546" max="1546" width="20.875" customWidth="1"/>
    <col min="1796" max="1796" width="2.875" customWidth="1"/>
    <col min="1797" max="1797" width="8.125" customWidth="1"/>
    <col min="1798" max="1798" width="8.75" customWidth="1"/>
    <col min="1799" max="1799" width="11" customWidth="1"/>
    <col min="1800" max="1800" width="2.875" customWidth="1"/>
    <col min="1801" max="1801" width="77.625" customWidth="1"/>
    <col min="1802" max="1802" width="20.875" customWidth="1"/>
    <col min="2052" max="2052" width="2.875" customWidth="1"/>
    <col min="2053" max="2053" width="8.125" customWidth="1"/>
    <col min="2054" max="2054" width="8.75" customWidth="1"/>
    <col min="2055" max="2055" width="11" customWidth="1"/>
    <col min="2056" max="2056" width="2.875" customWidth="1"/>
    <col min="2057" max="2057" width="77.625" customWidth="1"/>
    <col min="2058" max="2058" width="20.875" customWidth="1"/>
    <col min="2308" max="2308" width="2.875" customWidth="1"/>
    <col min="2309" max="2309" width="8.125" customWidth="1"/>
    <col min="2310" max="2310" width="8.75" customWidth="1"/>
    <col min="2311" max="2311" width="11" customWidth="1"/>
    <col min="2312" max="2312" width="2.875" customWidth="1"/>
    <col min="2313" max="2313" width="77.625" customWidth="1"/>
    <col min="2314" max="2314" width="20.875" customWidth="1"/>
    <col min="2564" max="2564" width="2.875" customWidth="1"/>
    <col min="2565" max="2565" width="8.125" customWidth="1"/>
    <col min="2566" max="2566" width="8.75" customWidth="1"/>
    <col min="2567" max="2567" width="11" customWidth="1"/>
    <col min="2568" max="2568" width="2.875" customWidth="1"/>
    <col min="2569" max="2569" width="77.625" customWidth="1"/>
    <col min="2570" max="2570" width="20.875" customWidth="1"/>
    <col min="2820" max="2820" width="2.875" customWidth="1"/>
    <col min="2821" max="2821" width="8.125" customWidth="1"/>
    <col min="2822" max="2822" width="8.75" customWidth="1"/>
    <col min="2823" max="2823" width="11" customWidth="1"/>
    <col min="2824" max="2824" width="2.875" customWidth="1"/>
    <col min="2825" max="2825" width="77.625" customWidth="1"/>
    <col min="2826" max="2826" width="20.875" customWidth="1"/>
    <col min="3076" max="3076" width="2.875" customWidth="1"/>
    <col min="3077" max="3077" width="8.125" customWidth="1"/>
    <col min="3078" max="3078" width="8.75" customWidth="1"/>
    <col min="3079" max="3079" width="11" customWidth="1"/>
    <col min="3080" max="3080" width="2.875" customWidth="1"/>
    <col min="3081" max="3081" width="77.625" customWidth="1"/>
    <col min="3082" max="3082" width="20.875" customWidth="1"/>
    <col min="3332" max="3332" width="2.875" customWidth="1"/>
    <col min="3333" max="3333" width="8.125" customWidth="1"/>
    <col min="3334" max="3334" width="8.75" customWidth="1"/>
    <col min="3335" max="3335" width="11" customWidth="1"/>
    <col min="3336" max="3336" width="2.875" customWidth="1"/>
    <col min="3337" max="3337" width="77.625" customWidth="1"/>
    <col min="3338" max="3338" width="20.875" customWidth="1"/>
    <col min="3588" max="3588" width="2.875" customWidth="1"/>
    <col min="3589" max="3589" width="8.125" customWidth="1"/>
    <col min="3590" max="3590" width="8.75" customWidth="1"/>
    <col min="3591" max="3591" width="11" customWidth="1"/>
    <col min="3592" max="3592" width="2.875" customWidth="1"/>
    <col min="3593" max="3593" width="77.625" customWidth="1"/>
    <col min="3594" max="3594" width="20.875" customWidth="1"/>
    <col min="3844" max="3844" width="2.875" customWidth="1"/>
    <col min="3845" max="3845" width="8.125" customWidth="1"/>
    <col min="3846" max="3846" width="8.75" customWidth="1"/>
    <col min="3847" max="3847" width="11" customWidth="1"/>
    <col min="3848" max="3848" width="2.875" customWidth="1"/>
    <col min="3849" max="3849" width="77.625" customWidth="1"/>
    <col min="3850" max="3850" width="20.875" customWidth="1"/>
    <col min="4100" max="4100" width="2.875" customWidth="1"/>
    <col min="4101" max="4101" width="8.125" customWidth="1"/>
    <col min="4102" max="4102" width="8.75" customWidth="1"/>
    <col min="4103" max="4103" width="11" customWidth="1"/>
    <col min="4104" max="4104" width="2.875" customWidth="1"/>
    <col min="4105" max="4105" width="77.625" customWidth="1"/>
    <col min="4106" max="4106" width="20.875" customWidth="1"/>
    <col min="4356" max="4356" width="2.875" customWidth="1"/>
    <col min="4357" max="4357" width="8.125" customWidth="1"/>
    <col min="4358" max="4358" width="8.75" customWidth="1"/>
    <col min="4359" max="4359" width="11" customWidth="1"/>
    <col min="4360" max="4360" width="2.875" customWidth="1"/>
    <col min="4361" max="4361" width="77.625" customWidth="1"/>
    <col min="4362" max="4362" width="20.875" customWidth="1"/>
    <col min="4612" max="4612" width="2.875" customWidth="1"/>
    <col min="4613" max="4613" width="8.125" customWidth="1"/>
    <col min="4614" max="4614" width="8.75" customWidth="1"/>
    <col min="4615" max="4615" width="11" customWidth="1"/>
    <col min="4616" max="4616" width="2.875" customWidth="1"/>
    <col min="4617" max="4617" width="77.625" customWidth="1"/>
    <col min="4618" max="4618" width="20.875" customWidth="1"/>
    <col min="4868" max="4868" width="2.875" customWidth="1"/>
    <col min="4869" max="4869" width="8.125" customWidth="1"/>
    <col min="4870" max="4870" width="8.75" customWidth="1"/>
    <col min="4871" max="4871" width="11" customWidth="1"/>
    <col min="4872" max="4872" width="2.875" customWidth="1"/>
    <col min="4873" max="4873" width="77.625" customWidth="1"/>
    <col min="4874" max="4874" width="20.875" customWidth="1"/>
    <col min="5124" max="5124" width="2.875" customWidth="1"/>
    <col min="5125" max="5125" width="8.125" customWidth="1"/>
    <col min="5126" max="5126" width="8.75" customWidth="1"/>
    <col min="5127" max="5127" width="11" customWidth="1"/>
    <col min="5128" max="5128" width="2.875" customWidth="1"/>
    <col min="5129" max="5129" width="77.625" customWidth="1"/>
    <col min="5130" max="5130" width="20.875" customWidth="1"/>
    <col min="5380" max="5380" width="2.875" customWidth="1"/>
    <col min="5381" max="5381" width="8.125" customWidth="1"/>
    <col min="5382" max="5382" width="8.75" customWidth="1"/>
    <col min="5383" max="5383" width="11" customWidth="1"/>
    <col min="5384" max="5384" width="2.875" customWidth="1"/>
    <col min="5385" max="5385" width="77.625" customWidth="1"/>
    <col min="5386" max="5386" width="20.875" customWidth="1"/>
    <col min="5636" max="5636" width="2.875" customWidth="1"/>
    <col min="5637" max="5637" width="8.125" customWidth="1"/>
    <col min="5638" max="5638" width="8.75" customWidth="1"/>
    <col min="5639" max="5639" width="11" customWidth="1"/>
    <col min="5640" max="5640" width="2.875" customWidth="1"/>
    <col min="5641" max="5641" width="77.625" customWidth="1"/>
    <col min="5642" max="5642" width="20.875" customWidth="1"/>
    <col min="5892" max="5892" width="2.875" customWidth="1"/>
    <col min="5893" max="5893" width="8.125" customWidth="1"/>
    <col min="5894" max="5894" width="8.75" customWidth="1"/>
    <col min="5895" max="5895" width="11" customWidth="1"/>
    <col min="5896" max="5896" width="2.875" customWidth="1"/>
    <col min="5897" max="5897" width="77.625" customWidth="1"/>
    <col min="5898" max="5898" width="20.875" customWidth="1"/>
    <col min="6148" max="6148" width="2.875" customWidth="1"/>
    <col min="6149" max="6149" width="8.125" customWidth="1"/>
    <col min="6150" max="6150" width="8.75" customWidth="1"/>
    <col min="6151" max="6151" width="11" customWidth="1"/>
    <col min="6152" max="6152" width="2.875" customWidth="1"/>
    <col min="6153" max="6153" width="77.625" customWidth="1"/>
    <col min="6154" max="6154" width="20.875" customWidth="1"/>
    <col min="6404" max="6404" width="2.875" customWidth="1"/>
    <col min="6405" max="6405" width="8.125" customWidth="1"/>
    <col min="6406" max="6406" width="8.75" customWidth="1"/>
    <col min="6407" max="6407" width="11" customWidth="1"/>
    <col min="6408" max="6408" width="2.875" customWidth="1"/>
    <col min="6409" max="6409" width="77.625" customWidth="1"/>
    <col min="6410" max="6410" width="20.875" customWidth="1"/>
    <col min="6660" max="6660" width="2.875" customWidth="1"/>
    <col min="6661" max="6661" width="8.125" customWidth="1"/>
    <col min="6662" max="6662" width="8.75" customWidth="1"/>
    <col min="6663" max="6663" width="11" customWidth="1"/>
    <col min="6664" max="6664" width="2.875" customWidth="1"/>
    <col min="6665" max="6665" width="77.625" customWidth="1"/>
    <col min="6666" max="6666" width="20.875" customWidth="1"/>
    <col min="6916" max="6916" width="2.875" customWidth="1"/>
    <col min="6917" max="6917" width="8.125" customWidth="1"/>
    <col min="6918" max="6918" width="8.75" customWidth="1"/>
    <col min="6919" max="6919" width="11" customWidth="1"/>
    <col min="6920" max="6920" width="2.875" customWidth="1"/>
    <col min="6921" max="6921" width="77.625" customWidth="1"/>
    <col min="6922" max="6922" width="20.875" customWidth="1"/>
    <col min="7172" max="7172" width="2.875" customWidth="1"/>
    <col min="7173" max="7173" width="8.125" customWidth="1"/>
    <col min="7174" max="7174" width="8.75" customWidth="1"/>
    <col min="7175" max="7175" width="11" customWidth="1"/>
    <col min="7176" max="7176" width="2.875" customWidth="1"/>
    <col min="7177" max="7177" width="77.625" customWidth="1"/>
    <col min="7178" max="7178" width="20.875" customWidth="1"/>
    <col min="7428" max="7428" width="2.875" customWidth="1"/>
    <col min="7429" max="7429" width="8.125" customWidth="1"/>
    <col min="7430" max="7430" width="8.75" customWidth="1"/>
    <col min="7431" max="7431" width="11" customWidth="1"/>
    <col min="7432" max="7432" width="2.875" customWidth="1"/>
    <col min="7433" max="7433" width="77.625" customWidth="1"/>
    <col min="7434" max="7434" width="20.875" customWidth="1"/>
    <col min="7684" max="7684" width="2.875" customWidth="1"/>
    <col min="7685" max="7685" width="8.125" customWidth="1"/>
    <col min="7686" max="7686" width="8.75" customWidth="1"/>
    <col min="7687" max="7687" width="11" customWidth="1"/>
    <col min="7688" max="7688" width="2.875" customWidth="1"/>
    <col min="7689" max="7689" width="77.625" customWidth="1"/>
    <col min="7690" max="7690" width="20.875" customWidth="1"/>
    <col min="7940" max="7940" width="2.875" customWidth="1"/>
    <col min="7941" max="7941" width="8.125" customWidth="1"/>
    <col min="7942" max="7942" width="8.75" customWidth="1"/>
    <col min="7943" max="7943" width="11" customWidth="1"/>
    <col min="7944" max="7944" width="2.875" customWidth="1"/>
    <col min="7945" max="7945" width="77.625" customWidth="1"/>
    <col min="7946" max="7946" width="20.875" customWidth="1"/>
    <col min="8196" max="8196" width="2.875" customWidth="1"/>
    <col min="8197" max="8197" width="8.125" customWidth="1"/>
    <col min="8198" max="8198" width="8.75" customWidth="1"/>
    <col min="8199" max="8199" width="11" customWidth="1"/>
    <col min="8200" max="8200" width="2.875" customWidth="1"/>
    <col min="8201" max="8201" width="77.625" customWidth="1"/>
    <col min="8202" max="8202" width="20.875" customWidth="1"/>
    <col min="8452" max="8452" width="2.875" customWidth="1"/>
    <col min="8453" max="8453" width="8.125" customWidth="1"/>
    <col min="8454" max="8454" width="8.75" customWidth="1"/>
    <col min="8455" max="8455" width="11" customWidth="1"/>
    <col min="8456" max="8456" width="2.875" customWidth="1"/>
    <col min="8457" max="8457" width="77.625" customWidth="1"/>
    <col min="8458" max="8458" width="20.875" customWidth="1"/>
    <col min="8708" max="8708" width="2.875" customWidth="1"/>
    <col min="8709" max="8709" width="8.125" customWidth="1"/>
    <col min="8710" max="8710" width="8.75" customWidth="1"/>
    <col min="8711" max="8711" width="11" customWidth="1"/>
    <col min="8712" max="8712" width="2.875" customWidth="1"/>
    <col min="8713" max="8713" width="77.625" customWidth="1"/>
    <col min="8714" max="8714" width="20.875" customWidth="1"/>
    <col min="8964" max="8964" width="2.875" customWidth="1"/>
    <col min="8965" max="8965" width="8.125" customWidth="1"/>
    <col min="8966" max="8966" width="8.75" customWidth="1"/>
    <col min="8967" max="8967" width="11" customWidth="1"/>
    <col min="8968" max="8968" width="2.875" customWidth="1"/>
    <col min="8969" max="8969" width="77.625" customWidth="1"/>
    <col min="8970" max="8970" width="20.875" customWidth="1"/>
    <col min="9220" max="9220" width="2.875" customWidth="1"/>
    <col min="9221" max="9221" width="8.125" customWidth="1"/>
    <col min="9222" max="9222" width="8.75" customWidth="1"/>
    <col min="9223" max="9223" width="11" customWidth="1"/>
    <col min="9224" max="9224" width="2.875" customWidth="1"/>
    <col min="9225" max="9225" width="77.625" customWidth="1"/>
    <col min="9226" max="9226" width="20.875" customWidth="1"/>
    <col min="9476" max="9476" width="2.875" customWidth="1"/>
    <col min="9477" max="9477" width="8.125" customWidth="1"/>
    <col min="9478" max="9478" width="8.75" customWidth="1"/>
    <col min="9479" max="9479" width="11" customWidth="1"/>
    <col min="9480" max="9480" width="2.875" customWidth="1"/>
    <col min="9481" max="9481" width="77.625" customWidth="1"/>
    <col min="9482" max="9482" width="20.875" customWidth="1"/>
    <col min="9732" max="9732" width="2.875" customWidth="1"/>
    <col min="9733" max="9733" width="8.125" customWidth="1"/>
    <col min="9734" max="9734" width="8.75" customWidth="1"/>
    <col min="9735" max="9735" width="11" customWidth="1"/>
    <col min="9736" max="9736" width="2.875" customWidth="1"/>
    <col min="9737" max="9737" width="77.625" customWidth="1"/>
    <col min="9738" max="9738" width="20.875" customWidth="1"/>
    <col min="9988" max="9988" width="2.875" customWidth="1"/>
    <col min="9989" max="9989" width="8.125" customWidth="1"/>
    <col min="9990" max="9990" width="8.75" customWidth="1"/>
    <col min="9991" max="9991" width="11" customWidth="1"/>
    <col min="9992" max="9992" width="2.875" customWidth="1"/>
    <col min="9993" max="9993" width="77.625" customWidth="1"/>
    <col min="9994" max="9994" width="20.875" customWidth="1"/>
    <col min="10244" max="10244" width="2.875" customWidth="1"/>
    <col min="10245" max="10245" width="8.125" customWidth="1"/>
    <col min="10246" max="10246" width="8.75" customWidth="1"/>
    <col min="10247" max="10247" width="11" customWidth="1"/>
    <col min="10248" max="10248" width="2.875" customWidth="1"/>
    <col min="10249" max="10249" width="77.625" customWidth="1"/>
    <col min="10250" max="10250" width="20.875" customWidth="1"/>
    <col min="10500" max="10500" width="2.875" customWidth="1"/>
    <col min="10501" max="10501" width="8.125" customWidth="1"/>
    <col min="10502" max="10502" width="8.75" customWidth="1"/>
    <col min="10503" max="10503" width="11" customWidth="1"/>
    <col min="10504" max="10504" width="2.875" customWidth="1"/>
    <col min="10505" max="10505" width="77.625" customWidth="1"/>
    <col min="10506" max="10506" width="20.875" customWidth="1"/>
    <col min="10756" max="10756" width="2.875" customWidth="1"/>
    <col min="10757" max="10757" width="8.125" customWidth="1"/>
    <col min="10758" max="10758" width="8.75" customWidth="1"/>
    <col min="10759" max="10759" width="11" customWidth="1"/>
    <col min="10760" max="10760" width="2.875" customWidth="1"/>
    <col min="10761" max="10761" width="77.625" customWidth="1"/>
    <col min="10762" max="10762" width="20.875" customWidth="1"/>
    <col min="11012" max="11012" width="2.875" customWidth="1"/>
    <col min="11013" max="11013" width="8.125" customWidth="1"/>
    <col min="11014" max="11014" width="8.75" customWidth="1"/>
    <col min="11015" max="11015" width="11" customWidth="1"/>
    <col min="11016" max="11016" width="2.875" customWidth="1"/>
    <col min="11017" max="11017" width="77.625" customWidth="1"/>
    <col min="11018" max="11018" width="20.875" customWidth="1"/>
    <col min="11268" max="11268" width="2.875" customWidth="1"/>
    <col min="11269" max="11269" width="8.125" customWidth="1"/>
    <col min="11270" max="11270" width="8.75" customWidth="1"/>
    <col min="11271" max="11271" width="11" customWidth="1"/>
    <col min="11272" max="11272" width="2.875" customWidth="1"/>
    <col min="11273" max="11273" width="77.625" customWidth="1"/>
    <col min="11274" max="11274" width="20.875" customWidth="1"/>
    <col min="11524" max="11524" width="2.875" customWidth="1"/>
    <col min="11525" max="11525" width="8.125" customWidth="1"/>
    <col min="11526" max="11526" width="8.75" customWidth="1"/>
    <col min="11527" max="11527" width="11" customWidth="1"/>
    <col min="11528" max="11528" width="2.875" customWidth="1"/>
    <col min="11529" max="11529" width="77.625" customWidth="1"/>
    <col min="11530" max="11530" width="20.875" customWidth="1"/>
    <col min="11780" max="11780" width="2.875" customWidth="1"/>
    <col min="11781" max="11781" width="8.125" customWidth="1"/>
    <col min="11782" max="11782" width="8.75" customWidth="1"/>
    <col min="11783" max="11783" width="11" customWidth="1"/>
    <col min="11784" max="11784" width="2.875" customWidth="1"/>
    <col min="11785" max="11785" width="77.625" customWidth="1"/>
    <col min="11786" max="11786" width="20.875" customWidth="1"/>
    <col min="12036" max="12036" width="2.875" customWidth="1"/>
    <col min="12037" max="12037" width="8.125" customWidth="1"/>
    <col min="12038" max="12038" width="8.75" customWidth="1"/>
    <col min="12039" max="12039" width="11" customWidth="1"/>
    <col min="12040" max="12040" width="2.875" customWidth="1"/>
    <col min="12041" max="12041" width="77.625" customWidth="1"/>
    <col min="12042" max="12042" width="20.875" customWidth="1"/>
    <col min="12292" max="12292" width="2.875" customWidth="1"/>
    <col min="12293" max="12293" width="8.125" customWidth="1"/>
    <col min="12294" max="12294" width="8.75" customWidth="1"/>
    <col min="12295" max="12295" width="11" customWidth="1"/>
    <col min="12296" max="12296" width="2.875" customWidth="1"/>
    <col min="12297" max="12297" width="77.625" customWidth="1"/>
    <col min="12298" max="12298" width="20.875" customWidth="1"/>
    <col min="12548" max="12548" width="2.875" customWidth="1"/>
    <col min="12549" max="12549" width="8.125" customWidth="1"/>
    <col min="12550" max="12550" width="8.75" customWidth="1"/>
    <col min="12551" max="12551" width="11" customWidth="1"/>
    <col min="12552" max="12552" width="2.875" customWidth="1"/>
    <col min="12553" max="12553" width="77.625" customWidth="1"/>
    <col min="12554" max="12554" width="20.875" customWidth="1"/>
    <col min="12804" max="12804" width="2.875" customWidth="1"/>
    <col min="12805" max="12805" width="8.125" customWidth="1"/>
    <col min="12806" max="12806" width="8.75" customWidth="1"/>
    <col min="12807" max="12807" width="11" customWidth="1"/>
    <col min="12808" max="12808" width="2.875" customWidth="1"/>
    <col min="12809" max="12809" width="77.625" customWidth="1"/>
    <col min="12810" max="12810" width="20.875" customWidth="1"/>
    <col min="13060" max="13060" width="2.875" customWidth="1"/>
    <col min="13061" max="13061" width="8.125" customWidth="1"/>
    <col min="13062" max="13062" width="8.75" customWidth="1"/>
    <col min="13063" max="13063" width="11" customWidth="1"/>
    <col min="13064" max="13064" width="2.875" customWidth="1"/>
    <col min="13065" max="13065" width="77.625" customWidth="1"/>
    <col min="13066" max="13066" width="20.875" customWidth="1"/>
    <col min="13316" max="13316" width="2.875" customWidth="1"/>
    <col min="13317" max="13317" width="8.125" customWidth="1"/>
    <col min="13318" max="13318" width="8.75" customWidth="1"/>
    <col min="13319" max="13319" width="11" customWidth="1"/>
    <col min="13320" max="13320" width="2.875" customWidth="1"/>
    <col min="13321" max="13321" width="77.625" customWidth="1"/>
    <col min="13322" max="13322" width="20.875" customWidth="1"/>
    <col min="13572" max="13572" width="2.875" customWidth="1"/>
    <col min="13573" max="13573" width="8.125" customWidth="1"/>
    <col min="13574" max="13574" width="8.75" customWidth="1"/>
    <col min="13575" max="13575" width="11" customWidth="1"/>
    <col min="13576" max="13576" width="2.875" customWidth="1"/>
    <col min="13577" max="13577" width="77.625" customWidth="1"/>
    <col min="13578" max="13578" width="20.875" customWidth="1"/>
    <col min="13828" max="13828" width="2.875" customWidth="1"/>
    <col min="13829" max="13829" width="8.125" customWidth="1"/>
    <col min="13830" max="13830" width="8.75" customWidth="1"/>
    <col min="13831" max="13831" width="11" customWidth="1"/>
    <col min="13832" max="13832" width="2.875" customWidth="1"/>
    <col min="13833" max="13833" width="77.625" customWidth="1"/>
    <col min="13834" max="13834" width="20.875" customWidth="1"/>
    <col min="14084" max="14084" width="2.875" customWidth="1"/>
    <col min="14085" max="14085" width="8.125" customWidth="1"/>
    <col min="14086" max="14086" width="8.75" customWidth="1"/>
    <col min="14087" max="14087" width="11" customWidth="1"/>
    <col min="14088" max="14088" width="2.875" customWidth="1"/>
    <col min="14089" max="14089" width="77.625" customWidth="1"/>
    <col min="14090" max="14090" width="20.875" customWidth="1"/>
    <col min="14340" max="14340" width="2.875" customWidth="1"/>
    <col min="14341" max="14341" width="8.125" customWidth="1"/>
    <col min="14342" max="14342" width="8.75" customWidth="1"/>
    <col min="14343" max="14343" width="11" customWidth="1"/>
    <col min="14344" max="14344" width="2.875" customWidth="1"/>
    <col min="14345" max="14345" width="77.625" customWidth="1"/>
    <col min="14346" max="14346" width="20.875" customWidth="1"/>
    <col min="14596" max="14596" width="2.875" customWidth="1"/>
    <col min="14597" max="14597" width="8.125" customWidth="1"/>
    <col min="14598" max="14598" width="8.75" customWidth="1"/>
    <col min="14599" max="14599" width="11" customWidth="1"/>
    <col min="14600" max="14600" width="2.875" customWidth="1"/>
    <col min="14601" max="14601" width="77.625" customWidth="1"/>
    <col min="14602" max="14602" width="20.875" customWidth="1"/>
    <col min="14852" max="14852" width="2.875" customWidth="1"/>
    <col min="14853" max="14853" width="8.125" customWidth="1"/>
    <col min="14854" max="14854" width="8.75" customWidth="1"/>
    <col min="14855" max="14855" width="11" customWidth="1"/>
    <col min="14856" max="14856" width="2.875" customWidth="1"/>
    <col min="14857" max="14857" width="77.625" customWidth="1"/>
    <col min="14858" max="14858" width="20.875" customWidth="1"/>
    <col min="15108" max="15108" width="2.875" customWidth="1"/>
    <col min="15109" max="15109" width="8.125" customWidth="1"/>
    <col min="15110" max="15110" width="8.75" customWidth="1"/>
    <col min="15111" max="15111" width="11" customWidth="1"/>
    <col min="15112" max="15112" width="2.875" customWidth="1"/>
    <col min="15113" max="15113" width="77.625" customWidth="1"/>
    <col min="15114" max="15114" width="20.875" customWidth="1"/>
    <col min="15364" max="15364" width="2.875" customWidth="1"/>
    <col min="15365" max="15365" width="8.125" customWidth="1"/>
    <col min="15366" max="15366" width="8.75" customWidth="1"/>
    <col min="15367" max="15367" width="11" customWidth="1"/>
    <col min="15368" max="15368" width="2.875" customWidth="1"/>
    <col min="15369" max="15369" width="77.625" customWidth="1"/>
    <col min="15370" max="15370" width="20.875" customWidth="1"/>
    <col min="15620" max="15620" width="2.875" customWidth="1"/>
    <col min="15621" max="15621" width="8.125" customWidth="1"/>
    <col min="15622" max="15622" width="8.75" customWidth="1"/>
    <col min="15623" max="15623" width="11" customWidth="1"/>
    <col min="15624" max="15624" width="2.875" customWidth="1"/>
    <col min="15625" max="15625" width="77.625" customWidth="1"/>
    <col min="15626" max="15626" width="20.875" customWidth="1"/>
    <col min="15876" max="15876" width="2.875" customWidth="1"/>
    <col min="15877" max="15877" width="8.125" customWidth="1"/>
    <col min="15878" max="15878" width="8.75" customWidth="1"/>
    <col min="15879" max="15879" width="11" customWidth="1"/>
    <col min="15880" max="15880" width="2.875" customWidth="1"/>
    <col min="15881" max="15881" width="77.625" customWidth="1"/>
    <col min="15882" max="15882" width="20.875" customWidth="1"/>
    <col min="16132" max="16132" width="2.875" customWidth="1"/>
    <col min="16133" max="16133" width="8.125" customWidth="1"/>
    <col min="16134" max="16134" width="8.75" customWidth="1"/>
    <col min="16135" max="16135" width="11" customWidth="1"/>
    <col min="16136" max="16136" width="2.875" customWidth="1"/>
    <col min="16137" max="16137" width="77.625" customWidth="1"/>
    <col min="16138" max="16138" width="20.875" customWidth="1"/>
  </cols>
  <sheetData>
    <row r="1" spans="1:133" ht="22.5" customHeight="1" x14ac:dyDescent="0.4">
      <c r="A1" s="59" t="s">
        <v>149</v>
      </c>
      <c r="B1" s="60"/>
      <c r="C1" s="61"/>
      <c r="D1" s="61"/>
      <c r="E1" s="61"/>
      <c r="F1" s="60"/>
      <c r="G1" s="356"/>
      <c r="H1" s="522"/>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row>
    <row r="2" spans="1:133" ht="22.5" customHeight="1" x14ac:dyDescent="0.4">
      <c r="A2" s="59" t="s">
        <v>301</v>
      </c>
      <c r="B2" s="60"/>
      <c r="C2" s="61"/>
      <c r="D2" s="61"/>
      <c r="E2" s="61"/>
      <c r="F2" s="60"/>
      <c r="G2" s="356"/>
      <c r="H2" s="522"/>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ht="11.25" customHeight="1" x14ac:dyDescent="0.4">
      <c r="A3" s="59"/>
      <c r="B3" s="60"/>
      <c r="C3" s="61"/>
      <c r="D3" s="61"/>
      <c r="E3" s="61"/>
      <c r="F3" s="60"/>
      <c r="G3" s="356"/>
      <c r="H3" s="522"/>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ht="35.1" hidden="1" customHeight="1" x14ac:dyDescent="0.4">
      <c r="A4" s="59" t="s">
        <v>69</v>
      </c>
      <c r="B4" s="60"/>
      <c r="C4" s="61"/>
      <c r="D4" s="61"/>
      <c r="E4" s="61"/>
      <c r="F4" s="60"/>
      <c r="G4" s="356"/>
      <c r="H4" s="522"/>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row>
    <row r="5" spans="1:133" s="64" customFormat="1" ht="8.25" customHeight="1" thickBot="1" x14ac:dyDescent="0.25">
      <c r="A5" s="62"/>
      <c r="B5" s="62"/>
      <c r="C5" s="62"/>
      <c r="D5" s="62"/>
      <c r="E5" s="62"/>
      <c r="F5" s="62"/>
      <c r="G5" s="357"/>
      <c r="H5" s="357"/>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133" s="67" customFormat="1" ht="27.75" thickTop="1" thickBot="1" x14ac:dyDescent="0.25">
      <c r="A6" s="65" t="s">
        <v>70</v>
      </c>
      <c r="B6" s="65"/>
      <c r="C6" s="65"/>
      <c r="D6" s="65"/>
      <c r="E6" s="65"/>
      <c r="F6" s="65"/>
      <c r="G6" s="367" t="s">
        <v>71</v>
      </c>
      <c r="H6" s="367"/>
      <c r="I6" s="367"/>
      <c r="J6" s="367"/>
      <c r="K6" s="367"/>
      <c r="L6" s="856" t="s">
        <v>71</v>
      </c>
      <c r="M6" s="856"/>
      <c r="N6" s="856"/>
      <c r="O6" s="856"/>
      <c r="P6" s="856"/>
      <c r="Q6" s="367"/>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133" s="69" customFormat="1" ht="8.25" customHeight="1" thickTop="1" x14ac:dyDescent="0.2">
      <c r="A7" s="68"/>
      <c r="B7" s="68"/>
      <c r="C7" s="68"/>
      <c r="D7" s="68"/>
      <c r="E7" s="68"/>
      <c r="F7" s="68"/>
      <c r="G7" s="358"/>
      <c r="H7" s="358"/>
    </row>
    <row r="8" spans="1:133" s="73" customFormat="1" ht="21" thickBot="1" x14ac:dyDescent="0.35">
      <c r="A8" s="70"/>
      <c r="B8" s="155" t="s">
        <v>72</v>
      </c>
      <c r="C8" s="155"/>
      <c r="D8" s="155"/>
      <c r="E8" s="155"/>
      <c r="F8" s="155"/>
      <c r="G8" s="424">
        <v>41090</v>
      </c>
      <c r="H8" s="482"/>
      <c r="I8" s="424">
        <v>41455</v>
      </c>
      <c r="J8" s="482"/>
      <c r="K8" s="424">
        <v>41639</v>
      </c>
      <c r="L8" s="424"/>
      <c r="M8" s="424">
        <v>42185</v>
      </c>
      <c r="N8" s="72"/>
      <c r="O8" s="424">
        <v>42004</v>
      </c>
      <c r="P8" s="72"/>
      <c r="Q8" s="424">
        <v>41820</v>
      </c>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133" s="75" customFormat="1" ht="6.75" customHeight="1" x14ac:dyDescent="0.2">
      <c r="A9" s="74"/>
      <c r="B9" s="74"/>
      <c r="C9" s="74"/>
      <c r="D9" s="74"/>
      <c r="E9" s="74"/>
      <c r="F9" s="74"/>
      <c r="G9" s="360"/>
      <c r="H9" s="358"/>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row>
    <row r="10" spans="1:133" s="75" customFormat="1" ht="20.25" x14ac:dyDescent="0.2">
      <c r="A10" s="74"/>
      <c r="B10" s="74"/>
      <c r="C10" s="74" t="s">
        <v>73</v>
      </c>
      <c r="D10" s="74"/>
      <c r="E10" s="74"/>
      <c r="F10" s="74"/>
      <c r="G10" s="360"/>
      <c r="H10" s="35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row>
    <row r="11" spans="1:133" s="78" customFormat="1" ht="20.25" hidden="1" x14ac:dyDescent="0.2">
      <c r="A11" s="76"/>
      <c r="B11" s="76"/>
      <c r="C11" s="76"/>
      <c r="D11" s="76" t="s">
        <v>128</v>
      </c>
      <c r="E11" s="76"/>
      <c r="F11" s="76"/>
      <c r="G11" s="371">
        <v>10134.870000000001</v>
      </c>
      <c r="H11" s="373"/>
      <c r="I11" s="403" t="s">
        <v>156</v>
      </c>
      <c r="J11" s="403"/>
      <c r="K11" s="403" t="s">
        <v>156</v>
      </c>
      <c r="L11" s="403"/>
      <c r="M11" s="403" t="s">
        <v>156</v>
      </c>
      <c r="N11" s="77"/>
      <c r="O11" s="403" t="s">
        <v>156</v>
      </c>
      <c r="P11" s="77"/>
      <c r="Q11" s="403" t="s">
        <v>156</v>
      </c>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row>
    <row r="12" spans="1:133" s="78" customFormat="1" ht="20.25" hidden="1" x14ac:dyDescent="0.2">
      <c r="A12" s="76"/>
      <c r="B12" s="76"/>
      <c r="C12" s="76"/>
      <c r="D12" s="76" t="s">
        <v>129</v>
      </c>
      <c r="E12" s="76"/>
      <c r="F12" s="76"/>
      <c r="G12" s="360">
        <v>450.42</v>
      </c>
      <c r="H12" s="358"/>
      <c r="I12" s="403" t="s">
        <v>156</v>
      </c>
      <c r="J12" s="403"/>
      <c r="K12" s="403" t="s">
        <v>156</v>
      </c>
      <c r="L12" s="403"/>
      <c r="M12" s="403" t="s">
        <v>156</v>
      </c>
      <c r="N12" s="77"/>
      <c r="O12" s="403" t="s">
        <v>156</v>
      </c>
      <c r="P12" s="77"/>
      <c r="Q12" s="403" t="s">
        <v>156</v>
      </c>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row>
    <row r="13" spans="1:133" s="78" customFormat="1" ht="20.25" x14ac:dyDescent="0.2">
      <c r="A13" s="76"/>
      <c r="B13" s="76"/>
      <c r="C13" s="76"/>
      <c r="D13" s="76" t="s">
        <v>349</v>
      </c>
      <c r="E13" s="76"/>
      <c r="F13" s="76"/>
      <c r="G13" s="371">
        <v>145331.82999999999</v>
      </c>
      <c r="H13" s="358"/>
      <c r="I13" s="371">
        <v>292506.39</v>
      </c>
      <c r="J13" s="371"/>
      <c r="K13" s="371">
        <v>197801.29</v>
      </c>
      <c r="L13" s="371"/>
      <c r="M13" s="371">
        <v>357943.2</v>
      </c>
      <c r="N13" s="77"/>
      <c r="O13" s="371">
        <v>332375.05</v>
      </c>
      <c r="P13" s="77"/>
      <c r="Q13" s="371">
        <v>210713.22</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row>
    <row r="14" spans="1:133" s="78" customFormat="1" ht="20.25" x14ac:dyDescent="0.2">
      <c r="A14" s="76"/>
      <c r="B14" s="76"/>
      <c r="C14" s="76"/>
      <c r="D14" s="76" t="s">
        <v>350</v>
      </c>
      <c r="E14" s="76"/>
      <c r="F14" s="76"/>
      <c r="G14" s="360">
        <v>692</v>
      </c>
      <c r="H14" s="358"/>
      <c r="I14" s="360">
        <v>134.44999999999999</v>
      </c>
      <c r="J14" s="360"/>
      <c r="K14" s="360">
        <v>12917.57</v>
      </c>
      <c r="L14" s="360"/>
      <c r="M14" s="360">
        <v>34375.410000000003</v>
      </c>
      <c r="N14" s="77"/>
      <c r="O14" s="360">
        <v>902.02</v>
      </c>
      <c r="P14" s="77"/>
      <c r="Q14" s="360">
        <v>232.47</v>
      </c>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row>
    <row r="15" spans="1:133" s="78" customFormat="1" ht="20.25" x14ac:dyDescent="0.2">
      <c r="A15" s="76"/>
      <c r="B15" s="76"/>
      <c r="C15" s="79"/>
      <c r="D15" s="79" t="s">
        <v>130</v>
      </c>
      <c r="E15" s="79"/>
      <c r="F15" s="79"/>
      <c r="G15" s="361">
        <v>200</v>
      </c>
      <c r="H15" s="358"/>
      <c r="I15" s="361">
        <v>200</v>
      </c>
      <c r="J15" s="358"/>
      <c r="K15" s="361">
        <v>200</v>
      </c>
      <c r="L15" s="358"/>
      <c r="M15" s="361">
        <v>200</v>
      </c>
      <c r="N15" s="77"/>
      <c r="O15" s="361">
        <v>200</v>
      </c>
      <c r="P15" s="77"/>
      <c r="Q15" s="361">
        <v>200</v>
      </c>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row>
    <row r="16" spans="1:133" s="75" customFormat="1" ht="20.25" x14ac:dyDescent="0.2">
      <c r="A16" s="74"/>
      <c r="B16" s="74"/>
      <c r="C16" s="74" t="s">
        <v>74</v>
      </c>
      <c r="D16" s="74"/>
      <c r="E16" s="74"/>
      <c r="F16" s="74"/>
      <c r="G16" s="362">
        <f>ROUND(SUM(G10:G15),5)</f>
        <v>156809.12</v>
      </c>
      <c r="H16" s="363"/>
      <c r="I16" s="362">
        <f>ROUND(SUM(I10:I15),5)</f>
        <v>292840.84000000003</v>
      </c>
      <c r="J16" s="362"/>
      <c r="K16" s="362">
        <f>ROUND(SUM(K10:K15),5)</f>
        <v>210918.86</v>
      </c>
      <c r="L16" s="362"/>
      <c r="M16" s="362">
        <f>ROUND(SUM(M10:M15),5)</f>
        <v>392518.61</v>
      </c>
      <c r="N16" s="69"/>
      <c r="O16" s="362">
        <f>ROUND(SUM(O10:O15),5)</f>
        <v>333477.07</v>
      </c>
      <c r="P16" s="69"/>
      <c r="Q16" s="362">
        <f>ROUND(SUM(Q10:Q15),5)</f>
        <v>211145.69</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row>
    <row r="17" spans="1:66" s="75" customFormat="1" ht="14.25" customHeight="1" x14ac:dyDescent="0.2">
      <c r="A17" s="74"/>
      <c r="B17" s="74"/>
      <c r="C17" s="74"/>
      <c r="D17" s="74"/>
      <c r="E17" s="74"/>
      <c r="F17" s="74"/>
      <c r="G17" s="360"/>
      <c r="H17" s="358"/>
      <c r="I17" s="360"/>
      <c r="J17" s="360"/>
      <c r="K17" s="360"/>
      <c r="L17" s="360"/>
      <c r="M17" s="360"/>
      <c r="N17" s="69"/>
      <c r="O17" s="360"/>
      <c r="P17" s="69"/>
      <c r="Q17" s="360"/>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row>
    <row r="18" spans="1:66" s="75" customFormat="1" ht="20.25" x14ac:dyDescent="0.2">
      <c r="A18" s="74"/>
      <c r="B18" s="74"/>
      <c r="C18" s="74" t="s">
        <v>76</v>
      </c>
      <c r="D18" s="74"/>
      <c r="E18" s="74"/>
      <c r="F18" s="74"/>
      <c r="G18" s="360"/>
      <c r="H18" s="358"/>
      <c r="I18" s="360"/>
      <c r="J18" s="360"/>
      <c r="K18" s="360"/>
      <c r="L18" s="360"/>
      <c r="M18" s="360"/>
      <c r="N18" s="69"/>
      <c r="O18" s="360"/>
      <c r="P18" s="69"/>
      <c r="Q18" s="360"/>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row>
    <row r="19" spans="1:66" s="78" customFormat="1" ht="20.25" x14ac:dyDescent="0.2">
      <c r="A19" s="76"/>
      <c r="B19" s="76"/>
      <c r="C19" s="80"/>
      <c r="D19" s="80" t="s">
        <v>222</v>
      </c>
      <c r="E19" s="80"/>
      <c r="F19" s="80"/>
      <c r="G19" s="358">
        <v>347869.75</v>
      </c>
      <c r="H19" s="358"/>
      <c r="I19" s="423">
        <v>192875.7</v>
      </c>
      <c r="J19" s="423"/>
      <c r="K19" s="423">
        <v>311774.73</v>
      </c>
      <c r="L19" s="423"/>
      <c r="M19" s="423">
        <f>'June 15 AR Aging '!G57</f>
        <v>234408.91</v>
      </c>
      <c r="N19" s="374"/>
      <c r="O19" s="423">
        <v>247907.12</v>
      </c>
      <c r="P19" s="77"/>
      <c r="Q19" s="423">
        <v>261143.5</v>
      </c>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row>
    <row r="20" spans="1:66" s="78" customFormat="1" ht="20.25" x14ac:dyDescent="0.2">
      <c r="A20" s="638"/>
      <c r="B20" s="641"/>
      <c r="C20" s="80"/>
      <c r="D20" s="80" t="s">
        <v>289</v>
      </c>
      <c r="E20" s="80"/>
      <c r="F20" s="80"/>
      <c r="G20" s="358"/>
      <c r="H20" s="358"/>
      <c r="I20" s="423"/>
      <c r="J20" s="423"/>
      <c r="K20" s="423">
        <v>5142.0600000000004</v>
      </c>
      <c r="L20" s="423"/>
      <c r="M20" s="423">
        <v>0</v>
      </c>
      <c r="N20" s="374"/>
      <c r="O20" s="423">
        <v>48.6</v>
      </c>
      <c r="P20" s="77"/>
      <c r="Q20" s="423">
        <v>0</v>
      </c>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row>
    <row r="21" spans="1:66" s="78" customFormat="1" ht="20.25" x14ac:dyDescent="0.2">
      <c r="A21" s="76"/>
      <c r="B21" s="641"/>
      <c r="C21" s="76"/>
      <c r="D21" s="76" t="s">
        <v>131</v>
      </c>
      <c r="E21" s="76"/>
      <c r="F21" s="76"/>
      <c r="G21" s="360">
        <v>30505.9</v>
      </c>
      <c r="H21" s="358"/>
      <c r="I21" s="360">
        <v>29987.94</v>
      </c>
      <c r="J21" s="360"/>
      <c r="K21" s="360">
        <v>30012.080000000002</v>
      </c>
      <c r="L21" s="360"/>
      <c r="M21" s="360">
        <v>30946.89</v>
      </c>
      <c r="N21" s="374"/>
      <c r="O21" s="360">
        <v>31129.64</v>
      </c>
      <c r="P21" s="77"/>
      <c r="Q21" s="360">
        <v>30929.72</v>
      </c>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row>
    <row r="22" spans="1:66" s="78" customFormat="1" ht="20.25" x14ac:dyDescent="0.2">
      <c r="A22" s="76"/>
      <c r="B22" s="641"/>
      <c r="C22" s="79"/>
      <c r="D22" s="79" t="s">
        <v>132</v>
      </c>
      <c r="E22" s="79"/>
      <c r="F22" s="79"/>
      <c r="G22" s="361">
        <f>1051.41+611.29+577.49</f>
        <v>2240.19</v>
      </c>
      <c r="H22" s="358"/>
      <c r="I22" s="361">
        <f>5038.66+643.04+451.79</f>
        <v>6133.49</v>
      </c>
      <c r="J22" s="358"/>
      <c r="K22" s="361">
        <f>2941+1337.37+451.79</f>
        <v>4730.16</v>
      </c>
      <c r="L22" s="358"/>
      <c r="M22" s="649">
        <f>1124.15+5927.85</f>
        <v>7052</v>
      </c>
      <c r="N22" s="374"/>
      <c r="O22" s="361">
        <f>5354.73+614.15</f>
        <v>5968.8799999999992</v>
      </c>
      <c r="P22" s="77"/>
      <c r="Q22" s="361">
        <f>4430.52+576.15+1500</f>
        <v>6506.67</v>
      </c>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row>
    <row r="23" spans="1:66" s="75" customFormat="1" ht="20.25" x14ac:dyDescent="0.2">
      <c r="A23" s="74"/>
      <c r="B23" s="68"/>
      <c r="C23" s="68" t="s">
        <v>77</v>
      </c>
      <c r="D23" s="68"/>
      <c r="E23" s="68"/>
      <c r="F23" s="68"/>
      <c r="G23" s="363">
        <f>SUM(G19:G22)</f>
        <v>380615.84</v>
      </c>
      <c r="H23" s="363"/>
      <c r="I23" s="363">
        <f>SUM(I19:I22)</f>
        <v>228997.13</v>
      </c>
      <c r="J23" s="363"/>
      <c r="K23" s="363">
        <f>SUM(K19:K22)</f>
        <v>351659.02999999997</v>
      </c>
      <c r="L23" s="363"/>
      <c r="M23" s="363">
        <f>SUM(M19:M22)</f>
        <v>272407.8</v>
      </c>
      <c r="N23" s="404"/>
      <c r="O23" s="363">
        <f>SUM(O19:O22)</f>
        <v>285054.24</v>
      </c>
      <c r="P23" s="69"/>
      <c r="Q23" s="363">
        <f>SUM(Q19:Q22)</f>
        <v>298579.88999999996</v>
      </c>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row>
    <row r="24" spans="1:66" s="75" customFormat="1" ht="20.25" x14ac:dyDescent="0.2">
      <c r="A24" s="74"/>
      <c r="B24" s="68"/>
      <c r="C24" s="68"/>
      <c r="D24" s="68"/>
      <c r="E24" s="68"/>
      <c r="F24" s="68"/>
      <c r="G24" s="358"/>
      <c r="H24" s="358"/>
      <c r="I24" s="358"/>
      <c r="J24" s="358"/>
      <c r="K24" s="358"/>
      <c r="L24" s="358"/>
      <c r="M24" s="358"/>
      <c r="N24" s="69"/>
      <c r="O24" s="358"/>
      <c r="P24" s="69"/>
      <c r="Q24" s="358"/>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row>
    <row r="25" spans="1:66" s="75" customFormat="1" ht="21" thickBot="1" x14ac:dyDescent="0.25">
      <c r="A25" s="74"/>
      <c r="B25" s="81" t="s">
        <v>78</v>
      </c>
      <c r="C25" s="81"/>
      <c r="D25" s="81"/>
      <c r="E25" s="81"/>
      <c r="F25" s="81"/>
      <c r="G25" s="364">
        <f>G16+G23</f>
        <v>537424.96</v>
      </c>
      <c r="H25" s="363"/>
      <c r="I25" s="364">
        <f>I16+I23</f>
        <v>521837.97000000003</v>
      </c>
      <c r="J25" s="363"/>
      <c r="K25" s="364">
        <f>K16+K23</f>
        <v>562577.8899999999</v>
      </c>
      <c r="L25" s="363"/>
      <c r="M25" s="364">
        <f>M16+M23</f>
        <v>664926.40999999992</v>
      </c>
      <c r="N25" s="69"/>
      <c r="O25" s="364">
        <f>O16+O23</f>
        <v>618531.31000000006</v>
      </c>
      <c r="P25" s="69"/>
      <c r="Q25" s="364">
        <f>Q16+Q23</f>
        <v>509725.57999999996</v>
      </c>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row>
    <row r="26" spans="1:66" s="75" customFormat="1" ht="21" thickTop="1" x14ac:dyDescent="0.2">
      <c r="A26" s="74"/>
      <c r="B26" s="74"/>
      <c r="C26" s="74"/>
      <c r="D26" s="74"/>
      <c r="E26" s="74"/>
      <c r="F26" s="74"/>
      <c r="G26" s="362"/>
      <c r="H26" s="363"/>
      <c r="I26" s="362"/>
      <c r="J26" s="363"/>
      <c r="K26" s="362"/>
      <c r="L26" s="363"/>
      <c r="M26" s="362"/>
      <c r="N26" s="69"/>
      <c r="O26" s="362"/>
      <c r="P26" s="69"/>
      <c r="Q26" s="362"/>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row>
    <row r="27" spans="1:66" s="73" customFormat="1" ht="20.25" x14ac:dyDescent="0.3">
      <c r="A27" s="70"/>
      <c r="B27" s="71" t="s">
        <v>79</v>
      </c>
      <c r="C27" s="71"/>
      <c r="D27" s="71"/>
      <c r="E27" s="71"/>
      <c r="F27" s="71"/>
      <c r="G27" s="365"/>
      <c r="H27" s="409"/>
      <c r="I27" s="365"/>
      <c r="J27" s="409"/>
      <c r="K27" s="365"/>
      <c r="L27" s="409"/>
      <c r="M27" s="365"/>
      <c r="N27" s="72"/>
      <c r="O27" s="365"/>
      <c r="P27" s="72"/>
      <c r="Q27" s="365"/>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78" customFormat="1" ht="20.25" x14ac:dyDescent="0.2">
      <c r="A28" s="76"/>
      <c r="B28" s="641"/>
      <c r="C28" s="76"/>
      <c r="D28" s="76" t="s">
        <v>133</v>
      </c>
      <c r="E28" s="76"/>
      <c r="F28" s="76"/>
      <c r="G28" s="360">
        <f>121189.1</f>
        <v>121189.1</v>
      </c>
      <c r="H28" s="358"/>
      <c r="I28" s="360">
        <v>127946.4</v>
      </c>
      <c r="J28" s="358"/>
      <c r="K28" s="360">
        <v>142887.91999999998</v>
      </c>
      <c r="L28" s="358"/>
      <c r="M28" s="360">
        <v>183923.03</v>
      </c>
      <c r="N28" s="374"/>
      <c r="O28" s="360">
        <v>172943.79</v>
      </c>
      <c r="P28" s="77"/>
      <c r="Q28" s="360">
        <v>160050.92000000001</v>
      </c>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row>
    <row r="29" spans="1:66" s="78" customFormat="1" ht="20.25" x14ac:dyDescent="0.2">
      <c r="A29" s="76"/>
      <c r="B29" s="641"/>
      <c r="C29" s="76"/>
      <c r="D29" s="76" t="s">
        <v>134</v>
      </c>
      <c r="E29" s="76"/>
      <c r="F29" s="76"/>
      <c r="G29" s="360">
        <v>33330</v>
      </c>
      <c r="H29" s="358"/>
      <c r="I29" s="360">
        <v>33330</v>
      </c>
      <c r="J29" s="358"/>
      <c r="K29" s="360">
        <v>33330</v>
      </c>
      <c r="L29" s="358"/>
      <c r="M29" s="360">
        <v>82892</v>
      </c>
      <c r="N29" s="374"/>
      <c r="O29" s="360">
        <v>33330</v>
      </c>
      <c r="P29" s="77"/>
      <c r="Q29" s="360">
        <v>33330</v>
      </c>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row>
    <row r="30" spans="1:66" s="78" customFormat="1" ht="20.25" x14ac:dyDescent="0.2">
      <c r="A30" s="76"/>
      <c r="B30" s="641"/>
      <c r="C30" s="76"/>
      <c r="D30" s="76" t="s">
        <v>135</v>
      </c>
      <c r="E30" s="76"/>
      <c r="F30" s="76"/>
      <c r="G30" s="360">
        <v>106341.41</v>
      </c>
      <c r="H30" s="358"/>
      <c r="I30" s="360">
        <v>127821.26</v>
      </c>
      <c r="J30" s="358"/>
      <c r="K30" s="360">
        <v>127821.26</v>
      </c>
      <c r="L30" s="358"/>
      <c r="M30" s="360">
        <v>142411.66</v>
      </c>
      <c r="N30" s="374"/>
      <c r="O30" s="360">
        <f>170125.66-27714</f>
        <v>142411.66</v>
      </c>
      <c r="P30" s="77"/>
      <c r="Q30" s="360">
        <v>142411.66</v>
      </c>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row>
    <row r="31" spans="1:66" s="78" customFormat="1" ht="20.25" x14ac:dyDescent="0.2">
      <c r="A31" s="76"/>
      <c r="B31" s="80"/>
      <c r="C31" s="80"/>
      <c r="D31" s="80" t="s">
        <v>136</v>
      </c>
      <c r="E31" s="80"/>
      <c r="F31" s="80"/>
      <c r="G31" s="358">
        <f>-174909-1</f>
        <v>-174910</v>
      </c>
      <c r="H31" s="358"/>
      <c r="I31" s="358">
        <v>-199818</v>
      </c>
      <c r="J31" s="358"/>
      <c r="K31" s="358">
        <f>-215091</f>
        <v>-215091</v>
      </c>
      <c r="L31" s="358"/>
      <c r="M31" s="358">
        <f>-250103</f>
        <v>-250103</v>
      </c>
      <c r="N31" s="374"/>
      <c r="O31" s="358">
        <f>-227537</f>
        <v>-227537</v>
      </c>
      <c r="P31" s="77"/>
      <c r="Q31" s="358">
        <f>-205506</f>
        <v>-205506</v>
      </c>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row>
    <row r="32" spans="1:66" s="75" customFormat="1" ht="20.25" x14ac:dyDescent="0.2">
      <c r="A32" s="74"/>
      <c r="B32" s="81" t="s">
        <v>80</v>
      </c>
      <c r="C32" s="81"/>
      <c r="D32" s="81"/>
      <c r="E32" s="81"/>
      <c r="F32" s="81"/>
      <c r="G32" s="366">
        <f>SUM(G28:G31)</f>
        <v>85950.510000000009</v>
      </c>
      <c r="H32" s="363"/>
      <c r="I32" s="366">
        <f>SUM(I28:I31)</f>
        <v>89279.659999999974</v>
      </c>
      <c r="J32" s="363"/>
      <c r="K32" s="366">
        <f>SUM(K28:K31)</f>
        <v>88948.18</v>
      </c>
      <c r="L32" s="363"/>
      <c r="M32" s="366">
        <f>SUM(M28:M31)</f>
        <v>159123.69000000006</v>
      </c>
      <c r="N32" s="69"/>
      <c r="O32" s="366">
        <f>SUM(O28:O31)</f>
        <v>121148.45000000001</v>
      </c>
      <c r="P32" s="69"/>
      <c r="Q32" s="366">
        <f>SUM(Q28:Q31)</f>
        <v>130286.58000000002</v>
      </c>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row>
    <row r="33" spans="1:66" s="75" customFormat="1" ht="7.5" customHeight="1" x14ac:dyDescent="0.2">
      <c r="A33" s="74"/>
      <c r="B33" s="74"/>
      <c r="C33" s="74"/>
      <c r="D33" s="74"/>
      <c r="E33" s="74"/>
      <c r="F33" s="74"/>
      <c r="G33" s="362"/>
      <c r="H33" s="363"/>
      <c r="I33" s="362"/>
      <c r="J33" s="363"/>
      <c r="K33" s="362"/>
      <c r="L33" s="363"/>
      <c r="M33" s="362"/>
      <c r="N33" s="69"/>
      <c r="O33" s="362"/>
      <c r="P33" s="69"/>
      <c r="Q33" s="362"/>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row>
    <row r="34" spans="1:66" s="75" customFormat="1" ht="12.75" customHeight="1" thickBot="1" x14ac:dyDescent="0.25">
      <c r="A34" s="74"/>
      <c r="B34" s="74"/>
      <c r="C34" s="74"/>
      <c r="D34" s="74"/>
      <c r="E34" s="74"/>
      <c r="F34" s="74"/>
      <c r="G34" s="358"/>
      <c r="H34" s="358"/>
      <c r="I34" s="358"/>
      <c r="J34" s="358"/>
      <c r="K34" s="358"/>
      <c r="L34" s="358"/>
      <c r="M34" s="358"/>
      <c r="N34" s="69"/>
      <c r="O34" s="358"/>
      <c r="P34" s="69"/>
      <c r="Q34" s="358"/>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row>
    <row r="35" spans="1:66" s="84" customFormat="1" ht="27.75" thickTop="1" thickBot="1" x14ac:dyDescent="0.25">
      <c r="A35" s="82" t="s">
        <v>81</v>
      </c>
      <c r="B35" s="82"/>
      <c r="C35" s="82"/>
      <c r="D35" s="82"/>
      <c r="E35" s="82"/>
      <c r="F35" s="82"/>
      <c r="G35" s="372">
        <f>G25+G32+1</f>
        <v>623376.47</v>
      </c>
      <c r="H35" s="411"/>
      <c r="I35" s="372">
        <f>I25+I32</f>
        <v>611117.63</v>
      </c>
      <c r="J35" s="411"/>
      <c r="K35" s="372">
        <f>K25+K32</f>
        <v>651526.06999999983</v>
      </c>
      <c r="L35" s="411"/>
      <c r="M35" s="372">
        <f>M25+M32</f>
        <v>824050.1</v>
      </c>
      <c r="N35" s="83"/>
      <c r="O35" s="372">
        <f>O25+O32</f>
        <v>739679.76</v>
      </c>
      <c r="P35" s="83"/>
      <c r="Q35" s="372">
        <f>Q25+Q32</f>
        <v>640012.15999999992</v>
      </c>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row>
    <row r="36" spans="1:66" s="86" customFormat="1" ht="33" customHeight="1" thickTop="1" thickBot="1" x14ac:dyDescent="0.25">
      <c r="A36" s="74"/>
      <c r="B36" s="74"/>
      <c r="C36" s="74"/>
      <c r="D36" s="74"/>
      <c r="E36" s="74"/>
      <c r="F36" s="74"/>
      <c r="G36" s="484"/>
      <c r="H36" s="484"/>
      <c r="I36" s="484"/>
      <c r="J36" s="484"/>
      <c r="K36" s="363"/>
      <c r="L36" s="363"/>
      <c r="M36" s="363"/>
      <c r="N36" s="85"/>
      <c r="O36" s="363"/>
      <c r="P36" s="85"/>
      <c r="Q36" s="484"/>
      <c r="R36" s="85"/>
      <c r="S36" s="85"/>
      <c r="T36" s="85"/>
      <c r="U36" s="658"/>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row>
    <row r="37" spans="1:66" s="67" customFormat="1" ht="27.75" thickTop="1" thickBot="1" x14ac:dyDescent="0.25">
      <c r="A37" s="65" t="s">
        <v>82</v>
      </c>
      <c r="B37" s="65"/>
      <c r="C37" s="65"/>
      <c r="D37" s="65"/>
      <c r="E37" s="65"/>
      <c r="F37" s="65"/>
      <c r="G37" s="367"/>
      <c r="H37" s="367"/>
      <c r="I37" s="367"/>
      <c r="J37" s="483"/>
      <c r="K37" s="367"/>
      <c r="L37" s="367"/>
      <c r="M37" s="367"/>
      <c r="N37" s="66"/>
      <c r="O37" s="367"/>
      <c r="P37" s="66"/>
      <c r="Q37" s="367"/>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row>
    <row r="38" spans="1:66" s="75" customFormat="1" ht="12.75" customHeight="1" thickTop="1" x14ac:dyDescent="0.2">
      <c r="A38" s="74"/>
      <c r="B38" s="74"/>
      <c r="C38" s="74"/>
      <c r="D38" s="74"/>
      <c r="E38" s="74"/>
      <c r="F38" s="74"/>
      <c r="G38" s="360"/>
      <c r="H38" s="358"/>
      <c r="I38" s="360"/>
      <c r="J38" s="360"/>
      <c r="K38" s="360"/>
      <c r="L38" s="358"/>
      <c r="M38" s="360"/>
      <c r="N38" s="69"/>
      <c r="O38" s="360"/>
      <c r="P38" s="69"/>
      <c r="Q38" s="360"/>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row>
    <row r="39" spans="1:66" s="75" customFormat="1" ht="24" thickBot="1" x14ac:dyDescent="0.25">
      <c r="A39" s="74"/>
      <c r="B39" s="87" t="s">
        <v>83</v>
      </c>
      <c r="C39" s="88"/>
      <c r="D39" s="88"/>
      <c r="E39" s="88"/>
      <c r="F39" s="88"/>
      <c r="G39" s="368"/>
      <c r="H39" s="358"/>
      <c r="I39" s="368"/>
      <c r="J39" s="368"/>
      <c r="K39" s="368"/>
      <c r="L39" s="368"/>
      <c r="M39" s="368"/>
      <c r="N39" s="69"/>
      <c r="O39" s="368"/>
      <c r="P39" s="69"/>
      <c r="Q39" s="368"/>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row>
    <row r="40" spans="1:66" s="75" customFormat="1" ht="9" customHeight="1" x14ac:dyDescent="0.2">
      <c r="A40" s="74"/>
      <c r="B40" s="74"/>
      <c r="C40" s="74"/>
      <c r="D40" s="74"/>
      <c r="E40" s="74"/>
      <c r="F40" s="74"/>
      <c r="G40" s="360"/>
      <c r="H40" s="358"/>
      <c r="I40" s="360"/>
      <c r="J40" s="358"/>
      <c r="K40" s="360"/>
      <c r="L40" s="358"/>
      <c r="M40" s="360"/>
      <c r="N40" s="69"/>
      <c r="O40" s="360"/>
      <c r="P40" s="69"/>
      <c r="Q40" s="360"/>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row>
    <row r="41" spans="1:66" s="73" customFormat="1" ht="21" thickBot="1" x14ac:dyDescent="0.35">
      <c r="A41" s="70"/>
      <c r="B41" s="155" t="s">
        <v>84</v>
      </c>
      <c r="C41" s="156"/>
      <c r="D41" s="155"/>
      <c r="E41" s="155"/>
      <c r="F41" s="155"/>
      <c r="G41" s="359"/>
      <c r="H41" s="409"/>
      <c r="I41" s="359"/>
      <c r="J41" s="409"/>
      <c r="K41" s="359"/>
      <c r="L41" s="409"/>
      <c r="M41" s="359"/>
      <c r="N41" s="72"/>
      <c r="O41" s="359"/>
      <c r="P41" s="72"/>
      <c r="Q41" s="359"/>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78" customFormat="1" ht="20.25" x14ac:dyDescent="0.2">
      <c r="A42" s="76"/>
      <c r="B42" s="76"/>
      <c r="C42" s="76"/>
      <c r="D42" s="76" t="s">
        <v>223</v>
      </c>
      <c r="F42" s="76"/>
      <c r="G42" s="373">
        <f>69820-97</f>
        <v>69723</v>
      </c>
      <c r="H42" s="373"/>
      <c r="I42" s="373">
        <f>28372.96+7920.21+107.28+634.51</f>
        <v>37034.959999999999</v>
      </c>
      <c r="J42" s="373"/>
      <c r="K42" s="373">
        <f>22719.28+6420.21+11878.57+10402.49</f>
        <v>51420.549999999996</v>
      </c>
      <c r="L42" s="373"/>
      <c r="M42" s="373">
        <f>21986.93+4920.21+3185.45+3344.3</f>
        <v>33436.89</v>
      </c>
      <c r="N42" s="576"/>
      <c r="O42" s="373">
        <f>7327.1+4920.21+8054.51+10337.71+1</f>
        <v>30640.53</v>
      </c>
      <c r="P42" s="77"/>
      <c r="Q42" s="373">
        <f>12991.32+6420.21+6485.39+13943.84</f>
        <v>39840.759999999995</v>
      </c>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row>
    <row r="43" spans="1:66" s="78" customFormat="1" ht="20.25" x14ac:dyDescent="0.2">
      <c r="A43" s="76"/>
      <c r="B43" s="76"/>
      <c r="C43" s="76"/>
      <c r="D43" s="76" t="s">
        <v>151</v>
      </c>
      <c r="F43" s="76"/>
      <c r="G43" s="358">
        <v>96.97</v>
      </c>
      <c r="H43" s="358"/>
      <c r="I43" s="358">
        <v>1455.99</v>
      </c>
      <c r="J43" s="358"/>
      <c r="K43" s="358">
        <v>292.60000000000002</v>
      </c>
      <c r="L43" s="358"/>
      <c r="M43" s="358">
        <v>289.92</v>
      </c>
      <c r="N43" s="77"/>
      <c r="O43" s="358">
        <v>638.9</v>
      </c>
      <c r="P43" s="77"/>
      <c r="Q43" s="358">
        <v>0</v>
      </c>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row>
    <row r="44" spans="1:66" s="78" customFormat="1" ht="20.25" x14ac:dyDescent="0.2">
      <c r="A44" s="76"/>
      <c r="B44" s="76"/>
      <c r="C44" s="76"/>
      <c r="D44" s="80" t="s">
        <v>137</v>
      </c>
      <c r="F44" s="76"/>
      <c r="G44" s="360">
        <f>21801.7-8500</f>
        <v>13301.7</v>
      </c>
      <c r="H44" s="358"/>
      <c r="I44" s="360">
        <f>56994.65-I45</f>
        <v>167.52999999999884</v>
      </c>
      <c r="J44" s="358"/>
      <c r="K44" s="360">
        <v>462.51</v>
      </c>
      <c r="L44" s="360"/>
      <c r="M44" s="360">
        <v>0</v>
      </c>
      <c r="N44" s="77"/>
      <c r="O44" s="360">
        <v>0</v>
      </c>
      <c r="P44" s="77"/>
      <c r="Q44" s="360">
        <v>2.99</v>
      </c>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row>
    <row r="45" spans="1:66" s="78" customFormat="1" ht="20.25" hidden="1" x14ac:dyDescent="0.2">
      <c r="A45" s="76"/>
      <c r="B45" s="76"/>
      <c r="C45" s="76"/>
      <c r="D45" s="80" t="s">
        <v>235</v>
      </c>
      <c r="F45" s="76"/>
      <c r="G45" s="360"/>
      <c r="H45" s="358"/>
      <c r="I45" s="360">
        <v>56827.12</v>
      </c>
      <c r="J45" s="358"/>
      <c r="K45" s="360">
        <v>0</v>
      </c>
      <c r="L45" s="360"/>
      <c r="M45" s="360">
        <v>0</v>
      </c>
      <c r="N45" s="77"/>
      <c r="O45" s="360">
        <v>0</v>
      </c>
      <c r="P45" s="77"/>
      <c r="Q45" s="360">
        <v>0</v>
      </c>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row>
    <row r="46" spans="1:66" s="78" customFormat="1" ht="20.25" x14ac:dyDescent="0.2">
      <c r="A46" s="76"/>
      <c r="B46" s="76"/>
      <c r="C46" s="76"/>
      <c r="D46" s="79" t="s">
        <v>150</v>
      </c>
      <c r="E46" s="154"/>
      <c r="F46" s="79"/>
      <c r="G46" s="360">
        <v>21927</v>
      </c>
      <c r="H46" s="358"/>
      <c r="I46" s="360">
        <v>35416.79</v>
      </c>
      <c r="J46" s="358"/>
      <c r="K46" s="360">
        <v>101836.85</v>
      </c>
      <c r="L46" s="481"/>
      <c r="M46" s="360">
        <f>'June 15 Revenues &amp; Expenses'!L50</f>
        <v>107495.20999999999</v>
      </c>
      <c r="N46" s="374"/>
      <c r="O46" s="360">
        <v>136592.41</v>
      </c>
      <c r="P46" s="77"/>
      <c r="Q46" s="360">
        <v>42652.12</v>
      </c>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row>
    <row r="47" spans="1:66" s="78" customFormat="1" ht="20.25" x14ac:dyDescent="0.2">
      <c r="A47" s="76"/>
      <c r="B47" s="76"/>
      <c r="C47" s="81" t="s">
        <v>96</v>
      </c>
      <c r="D47" s="76"/>
      <c r="F47" s="76"/>
      <c r="G47" s="369">
        <f>SUM(G42:G46)</f>
        <v>105048.67</v>
      </c>
      <c r="H47" s="358"/>
      <c r="I47" s="369">
        <f>SUM(I42:I46)</f>
        <v>130902.39000000001</v>
      </c>
      <c r="J47" s="358"/>
      <c r="K47" s="369">
        <f>SUM(K42:K46)</f>
        <v>154012.51</v>
      </c>
      <c r="L47" s="481"/>
      <c r="M47" s="369">
        <f>SUM(M42:M46)</f>
        <v>141222.01999999999</v>
      </c>
      <c r="N47" s="77"/>
      <c r="O47" s="369">
        <f>SUM(O42:O46)</f>
        <v>167871.84</v>
      </c>
      <c r="P47" s="77"/>
      <c r="Q47" s="369">
        <f>SUM(Q42:Q46)</f>
        <v>82495.87</v>
      </c>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row>
    <row r="48" spans="1:66" s="78" customFormat="1" ht="9.75" customHeight="1" x14ac:dyDescent="0.2">
      <c r="A48" s="76"/>
      <c r="B48" s="76"/>
      <c r="C48" s="76"/>
      <c r="D48" s="76"/>
      <c r="E48" s="76"/>
      <c r="F48" s="76"/>
      <c r="G48" s="360"/>
      <c r="H48" s="358"/>
      <c r="I48" s="360"/>
      <c r="J48" s="358"/>
      <c r="K48" s="360"/>
      <c r="L48" s="481"/>
      <c r="M48" s="360"/>
      <c r="N48" s="77"/>
      <c r="O48" s="360"/>
      <c r="P48" s="77"/>
      <c r="Q48" s="360"/>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row>
    <row r="49" spans="1:66" s="78" customFormat="1" ht="20.25" x14ac:dyDescent="0.2">
      <c r="A49" s="76"/>
      <c r="B49" s="76"/>
      <c r="C49" s="89" t="s">
        <v>98</v>
      </c>
      <c r="D49" s="89"/>
      <c r="E49" s="154"/>
      <c r="F49" s="154"/>
      <c r="G49" s="361"/>
      <c r="H49" s="358"/>
      <c r="I49" s="361"/>
      <c r="J49" s="358"/>
      <c r="K49" s="361"/>
      <c r="L49" s="481"/>
      <c r="M49" s="361"/>
      <c r="N49" s="77"/>
      <c r="O49" s="361"/>
      <c r="P49" s="77"/>
      <c r="Q49" s="361"/>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row>
    <row r="50" spans="1:66" s="78" customFormat="1" ht="20.25" x14ac:dyDescent="0.2">
      <c r="A50" s="76"/>
      <c r="B50" s="76"/>
      <c r="C50" s="76"/>
      <c r="D50" s="76" t="s">
        <v>140</v>
      </c>
      <c r="E50" s="76"/>
      <c r="F50" s="76"/>
      <c r="G50" s="358">
        <f>1715.84+401.3+1316.76+28782.64+303.94</f>
        <v>32520.48</v>
      </c>
      <c r="H50" s="358"/>
      <c r="I50" s="358">
        <f>27523.73+2139.48-16.18</f>
        <v>29647.03</v>
      </c>
      <c r="J50" s="358"/>
      <c r="K50" s="358">
        <f>40113.7+2042.28-244.92-49.87-18080.71</f>
        <v>23780.479999999996</v>
      </c>
      <c r="L50" s="481"/>
      <c r="M50" s="358">
        <f>43361.71+3354.23+337.05</f>
        <v>47052.990000000005</v>
      </c>
      <c r="N50" s="77"/>
      <c r="O50" s="358">
        <f>11289.09+4730.79-O52-O53</f>
        <v>13921.240000000002</v>
      </c>
      <c r="P50" s="77"/>
      <c r="Q50" s="358">
        <f>33868.16+3122.99+326.92</f>
        <v>37318.07</v>
      </c>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row>
    <row r="51" spans="1:66" s="78" customFormat="1" ht="20.25" x14ac:dyDescent="0.2">
      <c r="A51" s="76"/>
      <c r="B51" s="76"/>
      <c r="C51" s="76"/>
      <c r="D51" s="76" t="s">
        <v>141</v>
      </c>
      <c r="E51" s="76"/>
      <c r="F51" s="76"/>
      <c r="G51" s="358">
        <f>24766.94-3</f>
        <v>24763.94</v>
      </c>
      <c r="H51" s="358"/>
      <c r="I51" s="358">
        <f>10565.84+12679.94</f>
        <v>23245.78</v>
      </c>
      <c r="J51" s="358"/>
      <c r="K51" s="358">
        <f>9261.54+12728.46</f>
        <v>21990</v>
      </c>
      <c r="L51" s="481"/>
      <c r="M51" s="358">
        <f>15564.15+14865.85</f>
        <v>30430</v>
      </c>
      <c r="N51" s="77"/>
      <c r="O51" s="358">
        <f>15564.15+3529.85</f>
        <v>19094</v>
      </c>
      <c r="P51" s="77"/>
      <c r="Q51" s="358">
        <f>15903.19+7125.46</f>
        <v>23028.65</v>
      </c>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row>
    <row r="52" spans="1:66" s="78" customFormat="1" ht="20.25" x14ac:dyDescent="0.2">
      <c r="A52" s="76"/>
      <c r="B52" s="76"/>
      <c r="C52" s="76"/>
      <c r="D52" s="76" t="s">
        <v>142</v>
      </c>
      <c r="E52" s="76"/>
      <c r="F52" s="76"/>
      <c r="G52" s="360">
        <v>2831.74</v>
      </c>
      <c r="H52" s="358"/>
      <c r="I52" s="360">
        <v>1679.74</v>
      </c>
      <c r="J52" s="358"/>
      <c r="K52" s="360">
        <v>2333.42</v>
      </c>
      <c r="L52" s="481"/>
      <c r="M52" s="360">
        <v>2100.81</v>
      </c>
      <c r="N52" s="77"/>
      <c r="O52" s="360">
        <v>1850.82</v>
      </c>
      <c r="P52" s="77"/>
      <c r="Q52" s="360">
        <v>2238.7399999999998</v>
      </c>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66" s="78" customFormat="1" ht="20.25" x14ac:dyDescent="0.2">
      <c r="A53" s="76"/>
      <c r="B53" s="76"/>
      <c r="C53" s="76"/>
      <c r="D53" s="76" t="s">
        <v>143</v>
      </c>
      <c r="E53" s="76"/>
      <c r="F53" s="76"/>
      <c r="G53" s="361">
        <v>243.82</v>
      </c>
      <c r="H53" s="358"/>
      <c r="I53" s="361">
        <v>197.3</v>
      </c>
      <c r="J53" s="358"/>
      <c r="K53" s="361">
        <v>352.78</v>
      </c>
      <c r="L53" s="481"/>
      <c r="M53" s="361">
        <v>267.60000000000002</v>
      </c>
      <c r="N53" s="77"/>
      <c r="O53" s="361">
        <v>247.82</v>
      </c>
      <c r="P53" s="77"/>
      <c r="Q53" s="361">
        <v>366.16</v>
      </c>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66" s="78" customFormat="1" ht="20.25" x14ac:dyDescent="0.2">
      <c r="A54" s="76"/>
      <c r="B54" s="76"/>
      <c r="C54" s="68" t="s">
        <v>97</v>
      </c>
      <c r="D54" s="76"/>
      <c r="F54" s="80"/>
      <c r="G54" s="358">
        <f>ROUND(SUM(G49:G53),5)</f>
        <v>60359.98</v>
      </c>
      <c r="H54" s="358"/>
      <c r="I54" s="358">
        <f>ROUND(SUM(I49:I53),5)</f>
        <v>54769.85</v>
      </c>
      <c r="J54" s="358"/>
      <c r="K54" s="358">
        <f>ROUND(SUM(K49:K53),5)</f>
        <v>48456.68</v>
      </c>
      <c r="L54" s="481"/>
      <c r="M54" s="358">
        <f>ROUND(SUM(M49:M53),5)</f>
        <v>79851.399999999994</v>
      </c>
      <c r="N54" s="77"/>
      <c r="O54" s="358">
        <f>ROUND(SUM(O49:O53),5)</f>
        <v>35113.879999999997</v>
      </c>
      <c r="P54" s="77"/>
      <c r="Q54" s="358">
        <f>ROUND(SUM(Q49:Q53),5)</f>
        <v>62951.62</v>
      </c>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66" s="78" customFormat="1" ht="7.5" customHeight="1" x14ac:dyDescent="0.2">
      <c r="A55" s="76"/>
      <c r="B55" s="76"/>
      <c r="C55" s="79"/>
      <c r="D55" s="79"/>
      <c r="E55" s="79"/>
      <c r="F55" s="79"/>
      <c r="G55" s="361"/>
      <c r="H55" s="358"/>
      <c r="I55" s="361"/>
      <c r="J55" s="358"/>
      <c r="K55" s="361"/>
      <c r="L55" s="481"/>
      <c r="M55" s="361"/>
      <c r="N55" s="77"/>
      <c r="O55" s="361"/>
      <c r="P55" s="77"/>
      <c r="Q55" s="361"/>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66" s="75" customFormat="1" ht="20.25" x14ac:dyDescent="0.2">
      <c r="A56" s="74"/>
      <c r="B56" s="74"/>
      <c r="C56" s="74" t="s">
        <v>99</v>
      </c>
      <c r="D56" s="74"/>
      <c r="E56" s="74"/>
      <c r="F56" s="74"/>
      <c r="G56" s="362">
        <f>G47+G54</f>
        <v>165408.65</v>
      </c>
      <c r="H56" s="363"/>
      <c r="I56" s="362">
        <f>I47+I54</f>
        <v>185672.24000000002</v>
      </c>
      <c r="J56" s="363"/>
      <c r="K56" s="362">
        <f>K47+K54</f>
        <v>202469.19</v>
      </c>
      <c r="L56" s="631"/>
      <c r="M56" s="362">
        <f>M47+M54</f>
        <v>221073.41999999998</v>
      </c>
      <c r="N56" s="404"/>
      <c r="O56" s="362">
        <f>O47+O54</f>
        <v>202985.72</v>
      </c>
      <c r="P56" s="69"/>
      <c r="Q56" s="362">
        <f>Q47+Q54</f>
        <v>145447.49</v>
      </c>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row>
    <row r="57" spans="1:66" s="75" customFormat="1" ht="18.75" customHeight="1" x14ac:dyDescent="0.2">
      <c r="A57" s="74"/>
      <c r="B57" s="74"/>
      <c r="C57" s="74"/>
      <c r="D57" s="74"/>
      <c r="E57" s="74"/>
      <c r="F57" s="74"/>
      <c r="G57" s="362"/>
      <c r="H57" s="363"/>
      <c r="I57" s="362"/>
      <c r="J57" s="363"/>
      <c r="K57" s="362"/>
      <c r="L57" s="631"/>
      <c r="M57" s="362"/>
      <c r="N57" s="404"/>
      <c r="O57" s="362"/>
      <c r="P57" s="69"/>
      <c r="Q57" s="362"/>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row>
    <row r="58" spans="1:66" s="75" customFormat="1" ht="24" thickBot="1" x14ac:dyDescent="0.25">
      <c r="A58" s="74"/>
      <c r="B58" s="87" t="s">
        <v>85</v>
      </c>
      <c r="C58" s="88"/>
      <c r="D58" s="88"/>
      <c r="E58" s="88"/>
      <c r="F58" s="88"/>
      <c r="G58" s="368"/>
      <c r="H58" s="358"/>
      <c r="I58" s="368"/>
      <c r="J58" s="358"/>
      <c r="K58" s="368"/>
      <c r="L58" s="481"/>
      <c r="M58" s="368"/>
      <c r="N58" s="69"/>
      <c r="O58" s="368"/>
      <c r="P58" s="69"/>
      <c r="Q58" s="368"/>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row>
    <row r="59" spans="1:66" s="78" customFormat="1" ht="20.25" x14ac:dyDescent="0.2">
      <c r="A59" s="76"/>
      <c r="B59" s="76"/>
      <c r="D59" s="76" t="s">
        <v>138</v>
      </c>
      <c r="E59" s="76"/>
      <c r="F59" s="76"/>
      <c r="G59" s="360">
        <f>383624-G61</f>
        <v>342317</v>
      </c>
      <c r="H59" s="358"/>
      <c r="I59" s="360">
        <f>319119.59+35972.48+12500</f>
        <v>367592.07</v>
      </c>
      <c r="J59" s="358"/>
      <c r="K59" s="360">
        <f>319119.59+35972.48+12500</f>
        <v>367592.07</v>
      </c>
      <c r="L59" s="481"/>
      <c r="M59" s="360">
        <f>O59+O61</f>
        <v>481326.83000000037</v>
      </c>
      <c r="N59" s="374"/>
      <c r="O59" s="360">
        <f>348005.68+35972.48+12500</f>
        <v>396478.16</v>
      </c>
      <c r="P59" s="77"/>
      <c r="Q59" s="360">
        <f>O59</f>
        <v>396478.16</v>
      </c>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row>
    <row r="60" spans="1:66" s="78" customFormat="1" ht="20.25" x14ac:dyDescent="0.2">
      <c r="A60" s="76"/>
      <c r="B60" s="76"/>
      <c r="D60" s="76" t="s">
        <v>144</v>
      </c>
      <c r="E60" s="76"/>
      <c r="F60" s="76"/>
      <c r="G60" s="360">
        <v>74343</v>
      </c>
      <c r="H60" s="358"/>
      <c r="I60" s="360">
        <v>77939.64</v>
      </c>
      <c r="J60" s="358"/>
      <c r="K60" s="360">
        <v>52578.720000000001</v>
      </c>
      <c r="L60" s="481"/>
      <c r="M60" s="360">
        <f>'June 15 Revenues &amp; Expenses'!L67</f>
        <v>56263.820000000007</v>
      </c>
      <c r="N60" s="374"/>
      <c r="O60" s="360">
        <v>55367.21</v>
      </c>
      <c r="P60" s="77"/>
      <c r="Q60" s="360">
        <v>56201.279999999999</v>
      </c>
      <c r="R60" s="77"/>
      <c r="S60" s="77"/>
      <c r="T60" s="77"/>
      <c r="U60" s="374"/>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row>
    <row r="61" spans="1:66" s="75" customFormat="1" ht="21" thickBot="1" x14ac:dyDescent="0.25">
      <c r="A61" s="74"/>
      <c r="B61" s="74"/>
      <c r="D61" s="76" t="s">
        <v>188</v>
      </c>
      <c r="E61" s="74"/>
      <c r="F61" s="88"/>
      <c r="G61" s="368">
        <v>41307</v>
      </c>
      <c r="H61" s="358"/>
      <c r="I61" s="368">
        <f>-20086.32</f>
        <v>-20086.32</v>
      </c>
      <c r="J61" s="481"/>
      <c r="K61" s="368">
        <v>28886.09</v>
      </c>
      <c r="L61" s="481"/>
      <c r="M61" s="368">
        <f>'June 15 State of Activities'!G58</f>
        <v>65386.050000000047</v>
      </c>
      <c r="N61" s="69"/>
      <c r="O61" s="368">
        <f>'June 15 State of Activities'!H58</f>
        <v>84848.670000000391</v>
      </c>
      <c r="P61" s="69"/>
      <c r="Q61" s="368">
        <f>'June 15 State of Activities'!J58</f>
        <v>41885.229999999749</v>
      </c>
      <c r="R61" s="69"/>
      <c r="S61" s="69"/>
      <c r="T61" s="69"/>
      <c r="U61" s="637"/>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row>
    <row r="62" spans="1:66" s="75" customFormat="1" ht="23.25" x14ac:dyDescent="0.2">
      <c r="A62" s="74"/>
      <c r="B62" s="90" t="s">
        <v>86</v>
      </c>
      <c r="C62" s="91"/>
      <c r="D62" s="91"/>
      <c r="E62" s="91"/>
      <c r="F62" s="68"/>
      <c r="G62" s="363">
        <f>ROUND(SUM(G58:G61),5)</f>
        <v>457967</v>
      </c>
      <c r="H62" s="363"/>
      <c r="I62" s="363">
        <f>ROUND(SUM(I58:I61),5)</f>
        <v>425445.39</v>
      </c>
      <c r="J62" s="631"/>
      <c r="K62" s="363">
        <f>ROUND(SUM(K58:K61),5)</f>
        <v>449056.88</v>
      </c>
      <c r="L62" s="631"/>
      <c r="M62" s="363">
        <f>ROUND(SUM(M58:M61),5)</f>
        <v>602976.69999999995</v>
      </c>
      <c r="N62" s="69"/>
      <c r="O62" s="363">
        <f>ROUND(SUM(O58:O61),5)</f>
        <v>536694.04</v>
      </c>
      <c r="P62" s="69"/>
      <c r="Q62" s="363">
        <f>ROUND(SUM(Q58:Q61),5)</f>
        <v>494564.67</v>
      </c>
      <c r="R62" s="69"/>
      <c r="S62" s="69"/>
      <c r="T62" s="69"/>
      <c r="U62" s="637"/>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row>
    <row r="63" spans="1:66" s="75" customFormat="1" ht="12.75" customHeight="1" x14ac:dyDescent="0.2">
      <c r="A63" s="74"/>
      <c r="B63" s="74"/>
      <c r="C63" s="74"/>
      <c r="D63" s="74"/>
      <c r="E63" s="74"/>
      <c r="F63" s="74"/>
      <c r="G63" s="361"/>
      <c r="H63" s="361"/>
      <c r="I63" s="361"/>
      <c r="J63" s="481"/>
      <c r="K63" s="361"/>
      <c r="L63" s="481"/>
      <c r="M63" s="361"/>
      <c r="N63" s="69"/>
      <c r="O63" s="361"/>
      <c r="P63" s="69"/>
      <c r="Q63" s="361"/>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row>
    <row r="64" spans="1:66" s="92" customFormat="1" ht="27" thickBot="1" x14ac:dyDescent="0.25">
      <c r="A64" s="82" t="s">
        <v>87</v>
      </c>
      <c r="B64" s="82"/>
      <c r="C64" s="82"/>
      <c r="D64" s="82"/>
      <c r="E64" s="82"/>
      <c r="F64" s="82"/>
      <c r="G64" s="523">
        <f>SUM(G56+G62)</f>
        <v>623375.65</v>
      </c>
      <c r="H64" s="523"/>
      <c r="I64" s="523">
        <f>SUM(I56+I62)</f>
        <v>611117.63</v>
      </c>
      <c r="J64" s="632"/>
      <c r="K64" s="523">
        <f>SUM(K56+K62)</f>
        <v>651526.07000000007</v>
      </c>
      <c r="L64" s="632"/>
      <c r="M64" s="523">
        <f>SUM(M56+M62)</f>
        <v>824050.11999999988</v>
      </c>
      <c r="N64" s="83"/>
      <c r="O64" s="523">
        <f>SUM(O56+O62)</f>
        <v>739679.76</v>
      </c>
      <c r="P64" s="83"/>
      <c r="Q64" s="523">
        <f>SUM(Q56+Q62)</f>
        <v>640012.15999999992</v>
      </c>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row>
    <row r="65" spans="4:17" ht="15" thickTop="1" x14ac:dyDescent="0.2">
      <c r="D65" s="505"/>
      <c r="J65" s="1"/>
      <c r="L65" s="1"/>
    </row>
    <row r="66" spans="4:17" x14ac:dyDescent="0.2">
      <c r="I66" s="389"/>
      <c r="J66" s="633"/>
      <c r="K66" s="389"/>
      <c r="L66" s="389"/>
      <c r="M66" s="389"/>
      <c r="O66" s="389"/>
      <c r="Q66" s="389"/>
    </row>
    <row r="67" spans="4:17" x14ac:dyDescent="0.2">
      <c r="J67" s="1"/>
      <c r="M67" s="414"/>
      <c r="O67" s="414"/>
      <c r="Q67" s="414"/>
    </row>
    <row r="70" spans="4:17" x14ac:dyDescent="0.2">
      <c r="I70" s="414"/>
      <c r="J70" s="414"/>
      <c r="K70" s="414"/>
      <c r="L70" s="414"/>
    </row>
    <row r="98" spans="9:9" x14ac:dyDescent="0.2">
      <c r="I98" s="1"/>
    </row>
  </sheetData>
  <mergeCells count="1">
    <mergeCell ref="L6:P6"/>
  </mergeCells>
  <pageMargins left="0.7" right="0.45" top="0.5" bottom="0" header="0.3" footer="0"/>
  <pageSetup scale="6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103"/>
  <sheetViews>
    <sheetView zoomScale="75" zoomScaleNormal="75" workbookViewId="0">
      <selection activeCell="G22" sqref="G22"/>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370" customWidth="1"/>
    <col min="8" max="8" width="23.125" style="18" customWidth="1"/>
    <col min="9" max="9" width="1.625" style="18" customWidth="1"/>
    <col min="10" max="10" width="23.125" style="18" customWidth="1"/>
    <col min="11" max="11" width="2" style="18" hidden="1" customWidth="1"/>
    <col min="12" max="12" width="23.5" style="18" hidden="1" customWidth="1"/>
    <col min="13" max="13" width="2.125" style="546" customWidth="1"/>
    <col min="14" max="14" width="14.5" style="18" customWidth="1"/>
    <col min="15" max="15" width="10" style="18" customWidth="1"/>
    <col min="16" max="16" width="18.125" style="18" customWidth="1"/>
    <col min="17" max="48" width="9" style="18"/>
    <col min="242" max="242" width="2.875" customWidth="1"/>
    <col min="243" max="243" width="8.125" customWidth="1"/>
    <col min="244" max="244" width="8.75" customWidth="1"/>
    <col min="245" max="245" width="11" customWidth="1"/>
    <col min="246" max="246" width="2.875" customWidth="1"/>
    <col min="247" max="247" width="77.625" customWidth="1"/>
    <col min="248" max="248" width="20.875" customWidth="1"/>
    <col min="498" max="498" width="2.875" customWidth="1"/>
    <col min="499" max="499" width="8.125" customWidth="1"/>
    <col min="500" max="500" width="8.75" customWidth="1"/>
    <col min="501" max="501" width="11" customWidth="1"/>
    <col min="502" max="502" width="2.875" customWidth="1"/>
    <col min="503" max="503" width="77.625" customWidth="1"/>
    <col min="504" max="504" width="20.875" customWidth="1"/>
    <col min="754" max="754" width="2.875" customWidth="1"/>
    <col min="755" max="755" width="8.125" customWidth="1"/>
    <col min="756" max="756" width="8.75" customWidth="1"/>
    <col min="757" max="757" width="11" customWidth="1"/>
    <col min="758" max="758" width="2.875" customWidth="1"/>
    <col min="759" max="759" width="77.625" customWidth="1"/>
    <col min="760" max="760" width="20.875" customWidth="1"/>
    <col min="1010" max="1010" width="2.875" customWidth="1"/>
    <col min="1011" max="1011" width="8.125" customWidth="1"/>
    <col min="1012" max="1012" width="8.75" customWidth="1"/>
    <col min="1013" max="1013" width="11" customWidth="1"/>
    <col min="1014" max="1014" width="2.875" customWidth="1"/>
    <col min="1015" max="1015" width="77.625" customWidth="1"/>
    <col min="1016" max="1016" width="20.875" customWidth="1"/>
    <col min="1266" max="1266" width="2.875" customWidth="1"/>
    <col min="1267" max="1267" width="8.125" customWidth="1"/>
    <col min="1268" max="1268" width="8.75" customWidth="1"/>
    <col min="1269" max="1269" width="11" customWidth="1"/>
    <col min="1270" max="1270" width="2.875" customWidth="1"/>
    <col min="1271" max="1271" width="77.625" customWidth="1"/>
    <col min="1272" max="1272" width="20.875" customWidth="1"/>
    <col min="1522" max="1522" width="2.875" customWidth="1"/>
    <col min="1523" max="1523" width="8.125" customWidth="1"/>
    <col min="1524" max="1524" width="8.75" customWidth="1"/>
    <col min="1525" max="1525" width="11" customWidth="1"/>
    <col min="1526" max="1526" width="2.875" customWidth="1"/>
    <col min="1527" max="1527" width="77.625" customWidth="1"/>
    <col min="1528" max="1528" width="20.875" customWidth="1"/>
    <col min="1778" max="1778" width="2.875" customWidth="1"/>
    <col min="1779" max="1779" width="8.125" customWidth="1"/>
    <col min="1780" max="1780" width="8.75" customWidth="1"/>
    <col min="1781" max="1781" width="11" customWidth="1"/>
    <col min="1782" max="1782" width="2.875" customWidth="1"/>
    <col min="1783" max="1783" width="77.625" customWidth="1"/>
    <col min="1784" max="1784" width="20.875" customWidth="1"/>
    <col min="2034" max="2034" width="2.875" customWidth="1"/>
    <col min="2035" max="2035" width="8.125" customWidth="1"/>
    <col min="2036" max="2036" width="8.75" customWidth="1"/>
    <col min="2037" max="2037" width="11" customWidth="1"/>
    <col min="2038" max="2038" width="2.875" customWidth="1"/>
    <col min="2039" max="2039" width="77.625" customWidth="1"/>
    <col min="2040" max="2040" width="20.875" customWidth="1"/>
    <col min="2290" max="2290" width="2.875" customWidth="1"/>
    <col min="2291" max="2291" width="8.125" customWidth="1"/>
    <col min="2292" max="2292" width="8.75" customWidth="1"/>
    <col min="2293" max="2293" width="11" customWidth="1"/>
    <col min="2294" max="2294" width="2.875" customWidth="1"/>
    <col min="2295" max="2295" width="77.625" customWidth="1"/>
    <col min="2296" max="2296" width="20.875" customWidth="1"/>
    <col min="2546" max="2546" width="2.875" customWidth="1"/>
    <col min="2547" max="2547" width="8.125" customWidth="1"/>
    <col min="2548" max="2548" width="8.75" customWidth="1"/>
    <col min="2549" max="2549" width="11" customWidth="1"/>
    <col min="2550" max="2550" width="2.875" customWidth="1"/>
    <col min="2551" max="2551" width="77.625" customWidth="1"/>
    <col min="2552" max="2552" width="20.875" customWidth="1"/>
    <col min="2802" max="2802" width="2.875" customWidth="1"/>
    <col min="2803" max="2803" width="8.125" customWidth="1"/>
    <col min="2804" max="2804" width="8.75" customWidth="1"/>
    <col min="2805" max="2805" width="11" customWidth="1"/>
    <col min="2806" max="2806" width="2.875" customWidth="1"/>
    <col min="2807" max="2807" width="77.625" customWidth="1"/>
    <col min="2808" max="2808" width="20.875" customWidth="1"/>
    <col min="3058" max="3058" width="2.875" customWidth="1"/>
    <col min="3059" max="3059" width="8.125" customWidth="1"/>
    <col min="3060" max="3060" width="8.75" customWidth="1"/>
    <col min="3061" max="3061" width="11" customWidth="1"/>
    <col min="3062" max="3062" width="2.875" customWidth="1"/>
    <col min="3063" max="3063" width="77.625" customWidth="1"/>
    <col min="3064" max="3064" width="20.875" customWidth="1"/>
    <col min="3314" max="3314" width="2.875" customWidth="1"/>
    <col min="3315" max="3315" width="8.125" customWidth="1"/>
    <col min="3316" max="3316" width="8.75" customWidth="1"/>
    <col min="3317" max="3317" width="11" customWidth="1"/>
    <col min="3318" max="3318" width="2.875" customWidth="1"/>
    <col min="3319" max="3319" width="77.625" customWidth="1"/>
    <col min="3320" max="3320" width="20.875" customWidth="1"/>
    <col min="3570" max="3570" width="2.875" customWidth="1"/>
    <col min="3571" max="3571" width="8.125" customWidth="1"/>
    <col min="3572" max="3572" width="8.75" customWidth="1"/>
    <col min="3573" max="3573" width="11" customWidth="1"/>
    <col min="3574" max="3574" width="2.875" customWidth="1"/>
    <col min="3575" max="3575" width="77.625" customWidth="1"/>
    <col min="3576" max="3576" width="20.875" customWidth="1"/>
    <col min="3826" max="3826" width="2.875" customWidth="1"/>
    <col min="3827" max="3827" width="8.125" customWidth="1"/>
    <col min="3828" max="3828" width="8.75" customWidth="1"/>
    <col min="3829" max="3829" width="11" customWidth="1"/>
    <col min="3830" max="3830" width="2.875" customWidth="1"/>
    <col min="3831" max="3831" width="77.625" customWidth="1"/>
    <col min="3832" max="3832" width="20.875" customWidth="1"/>
    <col min="4082" max="4082" width="2.875" customWidth="1"/>
    <col min="4083" max="4083" width="8.125" customWidth="1"/>
    <col min="4084" max="4084" width="8.75" customWidth="1"/>
    <col min="4085" max="4085" width="11" customWidth="1"/>
    <col min="4086" max="4086" width="2.875" customWidth="1"/>
    <col min="4087" max="4087" width="77.625" customWidth="1"/>
    <col min="4088" max="4088" width="20.875" customWidth="1"/>
    <col min="4338" max="4338" width="2.875" customWidth="1"/>
    <col min="4339" max="4339" width="8.125" customWidth="1"/>
    <col min="4340" max="4340" width="8.75" customWidth="1"/>
    <col min="4341" max="4341" width="11" customWidth="1"/>
    <col min="4342" max="4342" width="2.875" customWidth="1"/>
    <col min="4343" max="4343" width="77.625" customWidth="1"/>
    <col min="4344" max="4344" width="20.875" customWidth="1"/>
    <col min="4594" max="4594" width="2.875" customWidth="1"/>
    <col min="4595" max="4595" width="8.125" customWidth="1"/>
    <col min="4596" max="4596" width="8.75" customWidth="1"/>
    <col min="4597" max="4597" width="11" customWidth="1"/>
    <col min="4598" max="4598" width="2.875" customWidth="1"/>
    <col min="4599" max="4599" width="77.625" customWidth="1"/>
    <col min="4600" max="4600" width="20.875" customWidth="1"/>
    <col min="4850" max="4850" width="2.875" customWidth="1"/>
    <col min="4851" max="4851" width="8.125" customWidth="1"/>
    <col min="4852" max="4852" width="8.75" customWidth="1"/>
    <col min="4853" max="4853" width="11" customWidth="1"/>
    <col min="4854" max="4854" width="2.875" customWidth="1"/>
    <col min="4855" max="4855" width="77.625" customWidth="1"/>
    <col min="4856" max="4856" width="20.875" customWidth="1"/>
    <col min="5106" max="5106" width="2.875" customWidth="1"/>
    <col min="5107" max="5107" width="8.125" customWidth="1"/>
    <col min="5108" max="5108" width="8.75" customWidth="1"/>
    <col min="5109" max="5109" width="11" customWidth="1"/>
    <col min="5110" max="5110" width="2.875" customWidth="1"/>
    <col min="5111" max="5111" width="77.625" customWidth="1"/>
    <col min="5112" max="5112" width="20.875" customWidth="1"/>
    <col min="5362" max="5362" width="2.875" customWidth="1"/>
    <col min="5363" max="5363" width="8.125" customWidth="1"/>
    <col min="5364" max="5364" width="8.75" customWidth="1"/>
    <col min="5365" max="5365" width="11" customWidth="1"/>
    <col min="5366" max="5366" width="2.875" customWidth="1"/>
    <col min="5367" max="5367" width="77.625" customWidth="1"/>
    <col min="5368" max="5368" width="20.875" customWidth="1"/>
    <col min="5618" max="5618" width="2.875" customWidth="1"/>
    <col min="5619" max="5619" width="8.125" customWidth="1"/>
    <col min="5620" max="5620" width="8.75" customWidth="1"/>
    <col min="5621" max="5621" width="11" customWidth="1"/>
    <col min="5622" max="5622" width="2.875" customWidth="1"/>
    <col min="5623" max="5623" width="77.625" customWidth="1"/>
    <col min="5624" max="5624" width="20.875" customWidth="1"/>
    <col min="5874" max="5874" width="2.875" customWidth="1"/>
    <col min="5875" max="5875" width="8.125" customWidth="1"/>
    <col min="5876" max="5876" width="8.75" customWidth="1"/>
    <col min="5877" max="5877" width="11" customWidth="1"/>
    <col min="5878" max="5878" width="2.875" customWidth="1"/>
    <col min="5879" max="5879" width="77.625" customWidth="1"/>
    <col min="5880" max="5880" width="20.875" customWidth="1"/>
    <col min="6130" max="6130" width="2.875" customWidth="1"/>
    <col min="6131" max="6131" width="8.125" customWidth="1"/>
    <col min="6132" max="6132" width="8.75" customWidth="1"/>
    <col min="6133" max="6133" width="11" customWidth="1"/>
    <col min="6134" max="6134" width="2.875" customWidth="1"/>
    <col min="6135" max="6135" width="77.625" customWidth="1"/>
    <col min="6136" max="6136" width="20.875" customWidth="1"/>
    <col min="6386" max="6386" width="2.875" customWidth="1"/>
    <col min="6387" max="6387" width="8.125" customWidth="1"/>
    <col min="6388" max="6388" width="8.75" customWidth="1"/>
    <col min="6389" max="6389" width="11" customWidth="1"/>
    <col min="6390" max="6390" width="2.875" customWidth="1"/>
    <col min="6391" max="6391" width="77.625" customWidth="1"/>
    <col min="6392" max="6392" width="20.875" customWidth="1"/>
    <col min="6642" max="6642" width="2.875" customWidth="1"/>
    <col min="6643" max="6643" width="8.125" customWidth="1"/>
    <col min="6644" max="6644" width="8.75" customWidth="1"/>
    <col min="6645" max="6645" width="11" customWidth="1"/>
    <col min="6646" max="6646" width="2.875" customWidth="1"/>
    <col min="6647" max="6647" width="77.625" customWidth="1"/>
    <col min="6648" max="6648" width="20.875" customWidth="1"/>
    <col min="6898" max="6898" width="2.875" customWidth="1"/>
    <col min="6899" max="6899" width="8.125" customWidth="1"/>
    <col min="6900" max="6900" width="8.75" customWidth="1"/>
    <col min="6901" max="6901" width="11" customWidth="1"/>
    <col min="6902" max="6902" width="2.875" customWidth="1"/>
    <col min="6903" max="6903" width="77.625" customWidth="1"/>
    <col min="6904" max="6904" width="20.875" customWidth="1"/>
    <col min="7154" max="7154" width="2.875" customWidth="1"/>
    <col min="7155" max="7155" width="8.125" customWidth="1"/>
    <col min="7156" max="7156" width="8.75" customWidth="1"/>
    <col min="7157" max="7157" width="11" customWidth="1"/>
    <col min="7158" max="7158" width="2.875" customWidth="1"/>
    <col min="7159" max="7159" width="77.625" customWidth="1"/>
    <col min="7160" max="7160" width="20.875" customWidth="1"/>
    <col min="7410" max="7410" width="2.875" customWidth="1"/>
    <col min="7411" max="7411" width="8.125" customWidth="1"/>
    <col min="7412" max="7412" width="8.75" customWidth="1"/>
    <col min="7413" max="7413" width="11" customWidth="1"/>
    <col min="7414" max="7414" width="2.875" customWidth="1"/>
    <col min="7415" max="7415" width="77.625" customWidth="1"/>
    <col min="7416" max="7416" width="20.875" customWidth="1"/>
    <col min="7666" max="7666" width="2.875" customWidth="1"/>
    <col min="7667" max="7667" width="8.125" customWidth="1"/>
    <col min="7668" max="7668" width="8.75" customWidth="1"/>
    <col min="7669" max="7669" width="11" customWidth="1"/>
    <col min="7670" max="7670" width="2.875" customWidth="1"/>
    <col min="7671" max="7671" width="77.625" customWidth="1"/>
    <col min="7672" max="7672" width="20.875" customWidth="1"/>
    <col min="7922" max="7922" width="2.875" customWidth="1"/>
    <col min="7923" max="7923" width="8.125" customWidth="1"/>
    <col min="7924" max="7924" width="8.75" customWidth="1"/>
    <col min="7925" max="7925" width="11" customWidth="1"/>
    <col min="7926" max="7926" width="2.875" customWidth="1"/>
    <col min="7927" max="7927" width="77.625" customWidth="1"/>
    <col min="7928" max="7928" width="20.875" customWidth="1"/>
    <col min="8178" max="8178" width="2.875" customWidth="1"/>
    <col min="8179" max="8179" width="8.125" customWidth="1"/>
    <col min="8180" max="8180" width="8.75" customWidth="1"/>
    <col min="8181" max="8181" width="11" customWidth="1"/>
    <col min="8182" max="8182" width="2.875" customWidth="1"/>
    <col min="8183" max="8183" width="77.625" customWidth="1"/>
    <col min="8184" max="8184" width="20.875" customWidth="1"/>
    <col min="8434" max="8434" width="2.875" customWidth="1"/>
    <col min="8435" max="8435" width="8.125" customWidth="1"/>
    <col min="8436" max="8436" width="8.75" customWidth="1"/>
    <col min="8437" max="8437" width="11" customWidth="1"/>
    <col min="8438" max="8438" width="2.875" customWidth="1"/>
    <col min="8439" max="8439" width="77.625" customWidth="1"/>
    <col min="8440" max="8440" width="20.875" customWidth="1"/>
    <col min="8690" max="8690" width="2.875" customWidth="1"/>
    <col min="8691" max="8691" width="8.125" customWidth="1"/>
    <col min="8692" max="8692" width="8.75" customWidth="1"/>
    <col min="8693" max="8693" width="11" customWidth="1"/>
    <col min="8694" max="8694" width="2.875" customWidth="1"/>
    <col min="8695" max="8695" width="77.625" customWidth="1"/>
    <col min="8696" max="8696" width="20.875" customWidth="1"/>
    <col min="8946" max="8946" width="2.875" customWidth="1"/>
    <col min="8947" max="8947" width="8.125" customWidth="1"/>
    <col min="8948" max="8948" width="8.75" customWidth="1"/>
    <col min="8949" max="8949" width="11" customWidth="1"/>
    <col min="8950" max="8950" width="2.875" customWidth="1"/>
    <col min="8951" max="8951" width="77.625" customWidth="1"/>
    <col min="8952" max="8952" width="20.875" customWidth="1"/>
    <col min="9202" max="9202" width="2.875" customWidth="1"/>
    <col min="9203" max="9203" width="8.125" customWidth="1"/>
    <col min="9204" max="9204" width="8.75" customWidth="1"/>
    <col min="9205" max="9205" width="11" customWidth="1"/>
    <col min="9206" max="9206" width="2.875" customWidth="1"/>
    <col min="9207" max="9207" width="77.625" customWidth="1"/>
    <col min="9208" max="9208" width="20.875" customWidth="1"/>
    <col min="9458" max="9458" width="2.875" customWidth="1"/>
    <col min="9459" max="9459" width="8.125" customWidth="1"/>
    <col min="9460" max="9460" width="8.75" customWidth="1"/>
    <col min="9461" max="9461" width="11" customWidth="1"/>
    <col min="9462" max="9462" width="2.875" customWidth="1"/>
    <col min="9463" max="9463" width="77.625" customWidth="1"/>
    <col min="9464" max="9464" width="20.875" customWidth="1"/>
    <col min="9714" max="9714" width="2.875" customWidth="1"/>
    <col min="9715" max="9715" width="8.125" customWidth="1"/>
    <col min="9716" max="9716" width="8.75" customWidth="1"/>
    <col min="9717" max="9717" width="11" customWidth="1"/>
    <col min="9718" max="9718" width="2.875" customWidth="1"/>
    <col min="9719" max="9719" width="77.625" customWidth="1"/>
    <col min="9720" max="9720" width="20.875" customWidth="1"/>
    <col min="9970" max="9970" width="2.875" customWidth="1"/>
    <col min="9971" max="9971" width="8.125" customWidth="1"/>
    <col min="9972" max="9972" width="8.75" customWidth="1"/>
    <col min="9973" max="9973" width="11" customWidth="1"/>
    <col min="9974" max="9974" width="2.875" customWidth="1"/>
    <col min="9975" max="9975" width="77.625" customWidth="1"/>
    <col min="9976" max="9976" width="20.875" customWidth="1"/>
    <col min="10226" max="10226" width="2.875" customWidth="1"/>
    <col min="10227" max="10227" width="8.125" customWidth="1"/>
    <col min="10228" max="10228" width="8.75" customWidth="1"/>
    <col min="10229" max="10229" width="11" customWidth="1"/>
    <col min="10230" max="10230" width="2.875" customWidth="1"/>
    <col min="10231" max="10231" width="77.625" customWidth="1"/>
    <col min="10232" max="10232" width="20.875" customWidth="1"/>
    <col min="10482" max="10482" width="2.875" customWidth="1"/>
    <col min="10483" max="10483" width="8.125" customWidth="1"/>
    <col min="10484" max="10484" width="8.75" customWidth="1"/>
    <col min="10485" max="10485" width="11" customWidth="1"/>
    <col min="10486" max="10486" width="2.875" customWidth="1"/>
    <col min="10487" max="10487" width="77.625" customWidth="1"/>
    <col min="10488" max="10488" width="20.875" customWidth="1"/>
    <col min="10738" max="10738" width="2.875" customWidth="1"/>
    <col min="10739" max="10739" width="8.125" customWidth="1"/>
    <col min="10740" max="10740" width="8.75" customWidth="1"/>
    <col min="10741" max="10741" width="11" customWidth="1"/>
    <col min="10742" max="10742" width="2.875" customWidth="1"/>
    <col min="10743" max="10743" width="77.625" customWidth="1"/>
    <col min="10744" max="10744" width="20.875" customWidth="1"/>
    <col min="10994" max="10994" width="2.875" customWidth="1"/>
    <col min="10995" max="10995" width="8.125" customWidth="1"/>
    <col min="10996" max="10996" width="8.75" customWidth="1"/>
    <col min="10997" max="10997" width="11" customWidth="1"/>
    <col min="10998" max="10998" width="2.875" customWidth="1"/>
    <col min="10999" max="10999" width="77.625" customWidth="1"/>
    <col min="11000" max="11000" width="20.875" customWidth="1"/>
    <col min="11250" max="11250" width="2.875" customWidth="1"/>
    <col min="11251" max="11251" width="8.125" customWidth="1"/>
    <col min="11252" max="11252" width="8.75" customWidth="1"/>
    <col min="11253" max="11253" width="11" customWidth="1"/>
    <col min="11254" max="11254" width="2.875" customWidth="1"/>
    <col min="11255" max="11255" width="77.625" customWidth="1"/>
    <col min="11256" max="11256" width="20.875" customWidth="1"/>
    <col min="11506" max="11506" width="2.875" customWidth="1"/>
    <col min="11507" max="11507" width="8.125" customWidth="1"/>
    <col min="11508" max="11508" width="8.75" customWidth="1"/>
    <col min="11509" max="11509" width="11" customWidth="1"/>
    <col min="11510" max="11510" width="2.875" customWidth="1"/>
    <col min="11511" max="11511" width="77.625" customWidth="1"/>
    <col min="11512" max="11512" width="20.875" customWidth="1"/>
    <col min="11762" max="11762" width="2.875" customWidth="1"/>
    <col min="11763" max="11763" width="8.125" customWidth="1"/>
    <col min="11764" max="11764" width="8.75" customWidth="1"/>
    <col min="11765" max="11765" width="11" customWidth="1"/>
    <col min="11766" max="11766" width="2.875" customWidth="1"/>
    <col min="11767" max="11767" width="77.625" customWidth="1"/>
    <col min="11768" max="11768" width="20.875" customWidth="1"/>
    <col min="12018" max="12018" width="2.875" customWidth="1"/>
    <col min="12019" max="12019" width="8.125" customWidth="1"/>
    <col min="12020" max="12020" width="8.75" customWidth="1"/>
    <col min="12021" max="12021" width="11" customWidth="1"/>
    <col min="12022" max="12022" width="2.875" customWidth="1"/>
    <col min="12023" max="12023" width="77.625" customWidth="1"/>
    <col min="12024" max="12024" width="20.875" customWidth="1"/>
    <col min="12274" max="12274" width="2.875" customWidth="1"/>
    <col min="12275" max="12275" width="8.125" customWidth="1"/>
    <col min="12276" max="12276" width="8.75" customWidth="1"/>
    <col min="12277" max="12277" width="11" customWidth="1"/>
    <col min="12278" max="12278" width="2.875" customWidth="1"/>
    <col min="12279" max="12279" width="77.625" customWidth="1"/>
    <col min="12280" max="12280" width="20.875" customWidth="1"/>
    <col min="12530" max="12530" width="2.875" customWidth="1"/>
    <col min="12531" max="12531" width="8.125" customWidth="1"/>
    <col min="12532" max="12532" width="8.75" customWidth="1"/>
    <col min="12533" max="12533" width="11" customWidth="1"/>
    <col min="12534" max="12534" width="2.875" customWidth="1"/>
    <col min="12535" max="12535" width="77.625" customWidth="1"/>
    <col min="12536" max="12536" width="20.875" customWidth="1"/>
    <col min="12786" max="12786" width="2.875" customWidth="1"/>
    <col min="12787" max="12787" width="8.125" customWidth="1"/>
    <col min="12788" max="12788" width="8.75" customWidth="1"/>
    <col min="12789" max="12789" width="11" customWidth="1"/>
    <col min="12790" max="12790" width="2.875" customWidth="1"/>
    <col min="12791" max="12791" width="77.625" customWidth="1"/>
    <col min="12792" max="12792" width="20.875" customWidth="1"/>
    <col min="13042" max="13042" width="2.875" customWidth="1"/>
    <col min="13043" max="13043" width="8.125" customWidth="1"/>
    <col min="13044" max="13044" width="8.75" customWidth="1"/>
    <col min="13045" max="13045" width="11" customWidth="1"/>
    <col min="13046" max="13046" width="2.875" customWidth="1"/>
    <col min="13047" max="13047" width="77.625" customWidth="1"/>
    <col min="13048" max="13048" width="20.875" customWidth="1"/>
    <col min="13298" max="13298" width="2.875" customWidth="1"/>
    <col min="13299" max="13299" width="8.125" customWidth="1"/>
    <col min="13300" max="13300" width="8.75" customWidth="1"/>
    <col min="13301" max="13301" width="11" customWidth="1"/>
    <col min="13302" max="13302" width="2.875" customWidth="1"/>
    <col min="13303" max="13303" width="77.625" customWidth="1"/>
    <col min="13304" max="13304" width="20.875" customWidth="1"/>
    <col min="13554" max="13554" width="2.875" customWidth="1"/>
    <col min="13555" max="13555" width="8.125" customWidth="1"/>
    <col min="13556" max="13556" width="8.75" customWidth="1"/>
    <col min="13557" max="13557" width="11" customWidth="1"/>
    <col min="13558" max="13558" width="2.875" customWidth="1"/>
    <col min="13559" max="13559" width="77.625" customWidth="1"/>
    <col min="13560" max="13560" width="20.875" customWidth="1"/>
    <col min="13810" max="13810" width="2.875" customWidth="1"/>
    <col min="13811" max="13811" width="8.125" customWidth="1"/>
    <col min="13812" max="13812" width="8.75" customWidth="1"/>
    <col min="13813" max="13813" width="11" customWidth="1"/>
    <col min="13814" max="13814" width="2.875" customWidth="1"/>
    <col min="13815" max="13815" width="77.625" customWidth="1"/>
    <col min="13816" max="13816" width="20.875" customWidth="1"/>
    <col min="14066" max="14066" width="2.875" customWidth="1"/>
    <col min="14067" max="14067" width="8.125" customWidth="1"/>
    <col min="14068" max="14068" width="8.75" customWidth="1"/>
    <col min="14069" max="14069" width="11" customWidth="1"/>
    <col min="14070" max="14070" width="2.875" customWidth="1"/>
    <col min="14071" max="14071" width="77.625" customWidth="1"/>
    <col min="14072" max="14072" width="20.875" customWidth="1"/>
    <col min="14322" max="14322" width="2.875" customWidth="1"/>
    <col min="14323" max="14323" width="8.125" customWidth="1"/>
    <col min="14324" max="14324" width="8.75" customWidth="1"/>
    <col min="14325" max="14325" width="11" customWidth="1"/>
    <col min="14326" max="14326" width="2.875" customWidth="1"/>
    <col min="14327" max="14327" width="77.625" customWidth="1"/>
    <col min="14328" max="14328" width="20.875" customWidth="1"/>
    <col min="14578" max="14578" width="2.875" customWidth="1"/>
    <col min="14579" max="14579" width="8.125" customWidth="1"/>
    <col min="14580" max="14580" width="8.75" customWidth="1"/>
    <col min="14581" max="14581" width="11" customWidth="1"/>
    <col min="14582" max="14582" width="2.875" customWidth="1"/>
    <col min="14583" max="14583" width="77.625" customWidth="1"/>
    <col min="14584" max="14584" width="20.875" customWidth="1"/>
    <col min="14834" max="14834" width="2.875" customWidth="1"/>
    <col min="14835" max="14835" width="8.125" customWidth="1"/>
    <col min="14836" max="14836" width="8.75" customWidth="1"/>
    <col min="14837" max="14837" width="11" customWidth="1"/>
    <col min="14838" max="14838" width="2.875" customWidth="1"/>
    <col min="14839" max="14839" width="77.625" customWidth="1"/>
    <col min="14840" max="14840" width="20.875" customWidth="1"/>
    <col min="15090" max="15090" width="2.875" customWidth="1"/>
    <col min="15091" max="15091" width="8.125" customWidth="1"/>
    <col min="15092" max="15092" width="8.75" customWidth="1"/>
    <col min="15093" max="15093" width="11" customWidth="1"/>
    <col min="15094" max="15094" width="2.875" customWidth="1"/>
    <col min="15095" max="15095" width="77.625" customWidth="1"/>
    <col min="15096" max="15096" width="20.875" customWidth="1"/>
    <col min="15346" max="15346" width="2.875" customWidth="1"/>
    <col min="15347" max="15347" width="8.125" customWidth="1"/>
    <col min="15348" max="15348" width="8.75" customWidth="1"/>
    <col min="15349" max="15349" width="11" customWidth="1"/>
    <col min="15350" max="15350" width="2.875" customWidth="1"/>
    <col min="15351" max="15351" width="77.625" customWidth="1"/>
    <col min="15352" max="15352" width="20.875" customWidth="1"/>
    <col min="15602" max="15602" width="2.875" customWidth="1"/>
    <col min="15603" max="15603" width="8.125" customWidth="1"/>
    <col min="15604" max="15604" width="8.75" customWidth="1"/>
    <col min="15605" max="15605" width="11" customWidth="1"/>
    <col min="15606" max="15606" width="2.875" customWidth="1"/>
    <col min="15607" max="15607" width="77.625" customWidth="1"/>
    <col min="15608" max="15608" width="20.875" customWidth="1"/>
    <col min="15858" max="15858" width="2.875" customWidth="1"/>
    <col min="15859" max="15859" width="8.125" customWidth="1"/>
    <col min="15860" max="15860" width="8.75" customWidth="1"/>
    <col min="15861" max="15861" width="11" customWidth="1"/>
    <col min="15862" max="15862" width="2.875" customWidth="1"/>
    <col min="15863" max="15863" width="77.625" customWidth="1"/>
    <col min="15864" max="15864" width="20.875" customWidth="1"/>
    <col min="16114" max="16114" width="2.875" customWidth="1"/>
    <col min="16115" max="16115" width="8.125" customWidth="1"/>
    <col min="16116" max="16116" width="8.75" customWidth="1"/>
    <col min="16117" max="16117" width="11" customWidth="1"/>
    <col min="16118" max="16118" width="2.875" customWidth="1"/>
    <col min="16119" max="16119" width="77.625" customWidth="1"/>
    <col min="16120" max="16120" width="20.875" customWidth="1"/>
  </cols>
  <sheetData>
    <row r="1" spans="1:115" ht="22.5" customHeight="1" x14ac:dyDescent="0.4">
      <c r="A1" s="59" t="s">
        <v>149</v>
      </c>
      <c r="B1" s="60"/>
      <c r="C1" s="61"/>
      <c r="D1" s="61"/>
      <c r="E1" s="61"/>
      <c r="F1" s="60"/>
      <c r="G1" s="356"/>
      <c r="H1" s="60"/>
      <c r="I1" s="60"/>
      <c r="J1" s="60"/>
      <c r="K1" s="60"/>
      <c r="L1" s="60"/>
      <c r="M1" s="538"/>
      <c r="N1" s="60"/>
      <c r="O1" s="60"/>
      <c r="P1" s="60"/>
      <c r="Q1" s="60"/>
      <c r="R1" s="60"/>
      <c r="S1" s="60"/>
      <c r="T1" s="60"/>
      <c r="U1" s="60"/>
      <c r="V1" s="60"/>
      <c r="W1" s="60"/>
      <c r="X1" s="60"/>
      <c r="Y1" s="60"/>
      <c r="Z1" s="60"/>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row>
    <row r="2" spans="1:115" ht="22.5" customHeight="1" x14ac:dyDescent="0.4">
      <c r="A2" s="59" t="s">
        <v>302</v>
      </c>
      <c r="B2" s="60"/>
      <c r="C2" s="61"/>
      <c r="D2" s="61"/>
      <c r="E2" s="61"/>
      <c r="F2" s="60"/>
      <c r="G2" s="356"/>
      <c r="H2" s="60"/>
      <c r="I2" s="60"/>
      <c r="J2" s="60"/>
      <c r="K2" s="60"/>
      <c r="L2" s="60"/>
      <c r="M2" s="538"/>
      <c r="N2" s="60"/>
      <c r="O2" s="60"/>
      <c r="P2" s="60"/>
      <c r="Q2" s="60"/>
      <c r="R2" s="60"/>
      <c r="S2" s="60"/>
      <c r="T2" s="60"/>
      <c r="U2" s="60"/>
      <c r="V2" s="60"/>
      <c r="W2" s="60"/>
      <c r="X2" s="60"/>
      <c r="Y2" s="60"/>
      <c r="Z2" s="60"/>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22.5" customHeight="1" x14ac:dyDescent="0.4">
      <c r="A3" s="59" t="s">
        <v>452</v>
      </c>
      <c r="B3" s="60"/>
      <c r="C3" s="61"/>
      <c r="D3" s="61"/>
      <c r="E3" s="61"/>
      <c r="F3" s="60"/>
      <c r="G3" s="356"/>
      <c r="H3" s="60"/>
      <c r="I3" s="60"/>
      <c r="J3" s="60"/>
      <c r="K3" s="60"/>
      <c r="L3" s="60"/>
      <c r="M3" s="538"/>
      <c r="N3" s="60"/>
      <c r="O3" s="60"/>
      <c r="P3" s="60"/>
      <c r="Q3" s="60"/>
      <c r="R3" s="60"/>
      <c r="S3" s="60"/>
      <c r="T3" s="60"/>
      <c r="U3" s="60"/>
      <c r="V3" s="60"/>
      <c r="W3" s="60"/>
      <c r="X3" s="60"/>
      <c r="Y3" s="60"/>
      <c r="Z3" s="60"/>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ht="22.5" customHeight="1" x14ac:dyDescent="0.4">
      <c r="A4" s="59" t="s">
        <v>347</v>
      </c>
      <c r="B4" s="60"/>
      <c r="C4" s="61"/>
      <c r="D4" s="61"/>
      <c r="E4" s="61"/>
      <c r="F4" s="60"/>
      <c r="G4" s="356"/>
      <c r="H4" s="60"/>
      <c r="I4" s="60"/>
      <c r="J4" s="60"/>
      <c r="K4" s="60"/>
      <c r="L4" s="60"/>
      <c r="M4" s="538"/>
      <c r="N4" s="60"/>
      <c r="O4" s="60"/>
      <c r="P4" s="60"/>
      <c r="Q4" s="60"/>
      <c r="R4" s="60"/>
      <c r="S4" s="60"/>
      <c r="T4" s="60"/>
      <c r="U4" s="60"/>
      <c r="V4" s="60"/>
      <c r="W4" s="60"/>
      <c r="X4" s="60"/>
      <c r="Y4" s="60"/>
      <c r="Z4" s="60"/>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row>
    <row r="5" spans="1:115" s="64" customFormat="1" ht="5.25" customHeight="1" thickBot="1" x14ac:dyDescent="0.25">
      <c r="A5" s="62"/>
      <c r="B5" s="62"/>
      <c r="C5" s="62"/>
      <c r="D5" s="62"/>
      <c r="E5" s="62"/>
      <c r="F5" s="62"/>
      <c r="G5" s="357"/>
      <c r="H5" s="63"/>
      <c r="I5" s="63"/>
      <c r="J5" s="63"/>
      <c r="K5" s="63"/>
      <c r="L5" s="63"/>
      <c r="M5" s="539"/>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row>
    <row r="6" spans="1:115" s="67" customFormat="1" ht="24.75" customHeight="1" thickTop="1" thickBot="1" x14ac:dyDescent="0.25">
      <c r="A6" s="65" t="s">
        <v>165</v>
      </c>
      <c r="B6" s="65"/>
      <c r="C6" s="65"/>
      <c r="D6" s="65"/>
      <c r="E6" s="65"/>
      <c r="F6" s="65"/>
      <c r="G6" s="477"/>
      <c r="H6" s="856" t="s">
        <v>71</v>
      </c>
      <c r="I6" s="856"/>
      <c r="J6" s="856"/>
      <c r="K6" s="367"/>
      <c r="L6" s="367"/>
      <c r="M6" s="540"/>
      <c r="N6" s="743" t="s">
        <v>368</v>
      </c>
      <c r="O6" s="738" t="s">
        <v>466</v>
      </c>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row>
    <row r="7" spans="1:115" s="69" customFormat="1" ht="8.25" customHeight="1" thickTop="1" x14ac:dyDescent="0.2">
      <c r="A7" s="68"/>
      <c r="B7" s="68"/>
      <c r="C7" s="68"/>
      <c r="D7" s="68"/>
      <c r="E7" s="68"/>
      <c r="F7" s="68"/>
      <c r="G7" s="358"/>
      <c r="M7" s="541"/>
    </row>
    <row r="8" spans="1:115" s="73" customFormat="1" ht="21" thickBot="1" x14ac:dyDescent="0.35">
      <c r="A8" s="70"/>
      <c r="B8" s="155" t="s">
        <v>157</v>
      </c>
      <c r="C8" s="155"/>
      <c r="D8" s="155"/>
      <c r="E8" s="155"/>
      <c r="F8" s="155"/>
      <c r="G8" s="424">
        <v>42185</v>
      </c>
      <c r="H8" s="424">
        <v>42004</v>
      </c>
      <c r="I8" s="482"/>
      <c r="J8" s="424">
        <v>41820</v>
      </c>
      <c r="K8" s="72"/>
      <c r="L8" s="424">
        <v>41578</v>
      </c>
      <c r="M8" s="542"/>
      <c r="N8" s="858" t="s">
        <v>453</v>
      </c>
      <c r="O8" s="858"/>
      <c r="P8" s="72" t="s">
        <v>366</v>
      </c>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row>
    <row r="9" spans="1:115" s="75" customFormat="1" ht="20.25" x14ac:dyDescent="0.2">
      <c r="A9" s="74"/>
      <c r="B9" s="74"/>
      <c r="C9" s="76" t="s">
        <v>158</v>
      </c>
      <c r="D9" s="76"/>
      <c r="E9" s="76"/>
      <c r="F9" s="74"/>
      <c r="G9" s="405">
        <v>525467.12</v>
      </c>
      <c r="H9" s="405">
        <v>823333.41</v>
      </c>
      <c r="I9" s="485"/>
      <c r="J9" s="405">
        <v>417174.38</v>
      </c>
      <c r="K9" s="69"/>
      <c r="L9" s="405">
        <v>583589.03</v>
      </c>
      <c r="M9" s="541"/>
      <c r="N9" s="575">
        <f>G9-J9</f>
        <v>108292.73999999999</v>
      </c>
      <c r="O9" s="739">
        <f>N9/J9</f>
        <v>0.2595862670186026</v>
      </c>
      <c r="P9" s="69" t="s">
        <v>373</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row>
    <row r="10" spans="1:115" s="75" customFormat="1" ht="20.25" x14ac:dyDescent="0.2">
      <c r="A10" s="74"/>
      <c r="B10" s="74"/>
      <c r="C10" s="76" t="s">
        <v>323</v>
      </c>
      <c r="D10" s="76"/>
      <c r="E10" s="76"/>
      <c r="F10" s="74"/>
      <c r="G10" s="406">
        <v>11236.28</v>
      </c>
      <c r="H10" s="406">
        <v>37597.440000000002</v>
      </c>
      <c r="I10" s="481"/>
      <c r="J10" s="406">
        <v>20412.150000000001</v>
      </c>
      <c r="K10" s="69"/>
      <c r="L10" s="406">
        <v>27482.12</v>
      </c>
      <c r="M10" s="541"/>
      <c r="N10" s="417">
        <f>G10-J10</f>
        <v>-9175.8700000000008</v>
      </c>
      <c r="O10" s="739">
        <f t="shared" ref="O10:O28" si="0">N10/J10</f>
        <v>-0.44952981435076661</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row>
    <row r="11" spans="1:115" s="75" customFormat="1" ht="20.25" x14ac:dyDescent="0.2">
      <c r="A11" s="74"/>
      <c r="B11" s="642"/>
      <c r="C11" s="76" t="s">
        <v>227</v>
      </c>
      <c r="D11" s="76"/>
      <c r="E11" s="76"/>
      <c r="F11" s="74"/>
      <c r="G11" s="406">
        <v>94479.08</v>
      </c>
      <c r="H11" s="406">
        <v>184616.56</v>
      </c>
      <c r="I11" s="481"/>
      <c r="J11" s="406">
        <v>90236.43</v>
      </c>
      <c r="K11" s="69"/>
      <c r="L11" s="406">
        <v>169440.94</v>
      </c>
      <c r="M11" s="541"/>
      <c r="N11" s="417">
        <f t="shared" ref="N11:N25" si="1">G11-J11</f>
        <v>4242.6500000000087</v>
      </c>
      <c r="O11" s="739">
        <f t="shared" si="0"/>
        <v>4.7017041786781781E-2</v>
      </c>
      <c r="P11" s="69" t="s">
        <v>455</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row>
    <row r="12" spans="1:115" s="75" customFormat="1" ht="20.25" x14ac:dyDescent="0.2">
      <c r="A12" s="74"/>
      <c r="B12" s="642"/>
      <c r="C12" s="76"/>
      <c r="D12" s="857" t="s">
        <v>277</v>
      </c>
      <c r="E12" s="857"/>
      <c r="F12" s="857"/>
      <c r="G12" s="406">
        <f>-991.97</f>
        <v>-991.97</v>
      </c>
      <c r="H12" s="406">
        <v>-3188.57</v>
      </c>
      <c r="I12" s="481"/>
      <c r="J12" s="406">
        <f>-1301.04</f>
        <v>-1301.04</v>
      </c>
      <c r="K12" s="69"/>
      <c r="L12" s="406">
        <f>-4203.53</f>
        <v>-4203.53</v>
      </c>
      <c r="M12" s="541"/>
      <c r="N12" s="417">
        <f t="shared" si="1"/>
        <v>309.06999999999994</v>
      </c>
      <c r="O12" s="739">
        <f t="shared" si="0"/>
        <v>-0.23755610895898663</v>
      </c>
      <c r="P12" s="69" t="s">
        <v>454</v>
      </c>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row>
    <row r="13" spans="1:115" s="75" customFormat="1" ht="20.25" x14ac:dyDescent="0.2">
      <c r="A13" s="74"/>
      <c r="B13" s="642"/>
      <c r="C13" s="76" t="s">
        <v>364</v>
      </c>
      <c r="D13" s="76"/>
      <c r="E13" s="76"/>
      <c r="F13" s="74"/>
      <c r="G13" s="406">
        <v>19855.36</v>
      </c>
      <c r="H13" s="406">
        <v>27815.86</v>
      </c>
      <c r="I13" s="481"/>
      <c r="J13" s="406">
        <v>13874.94</v>
      </c>
      <c r="K13" s="504"/>
      <c r="L13" s="406">
        <v>15523.58</v>
      </c>
      <c r="M13" s="541"/>
      <c r="N13" s="417">
        <f t="shared" si="1"/>
        <v>5980.42</v>
      </c>
      <c r="O13" s="739">
        <f t="shared" si="0"/>
        <v>0.43102312514504565</v>
      </c>
      <c r="P13" s="69" t="s">
        <v>365</v>
      </c>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row>
    <row r="14" spans="1:115" s="75" customFormat="1" ht="20.25" x14ac:dyDescent="0.2">
      <c r="A14" s="74"/>
      <c r="B14" s="642"/>
      <c r="C14" s="76" t="s">
        <v>159</v>
      </c>
      <c r="D14" s="76"/>
      <c r="E14" s="76"/>
      <c r="F14" s="74"/>
      <c r="G14" s="406"/>
      <c r="H14" s="406"/>
      <c r="I14" s="481"/>
      <c r="J14" s="406"/>
      <c r="K14" s="69"/>
      <c r="L14" s="406"/>
      <c r="M14" s="541"/>
      <c r="N14" s="417">
        <f t="shared" si="1"/>
        <v>0</v>
      </c>
      <c r="O14" s="73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row>
    <row r="15" spans="1:115" s="75" customFormat="1" ht="20.25" x14ac:dyDescent="0.2">
      <c r="A15" s="74"/>
      <c r="B15" s="642"/>
      <c r="C15" s="78"/>
      <c r="D15" s="76" t="s">
        <v>211</v>
      </c>
      <c r="E15" s="76"/>
      <c r="F15" s="74"/>
      <c r="G15" s="406">
        <v>39677.040000000001</v>
      </c>
      <c r="H15" s="406">
        <v>86621.66</v>
      </c>
      <c r="I15" s="481"/>
      <c r="J15" s="406">
        <v>42129.63</v>
      </c>
      <c r="K15" s="69"/>
      <c r="L15" s="406">
        <v>58782.74</v>
      </c>
      <c r="M15" s="541"/>
      <c r="N15" s="417">
        <f t="shared" si="1"/>
        <v>-2452.5899999999965</v>
      </c>
      <c r="O15" s="739">
        <f t="shared" si="0"/>
        <v>-5.8215322565139942E-2</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row>
    <row r="16" spans="1:115" s="75" customFormat="1" ht="20.25" x14ac:dyDescent="0.2">
      <c r="A16" s="74"/>
      <c r="B16" s="642"/>
      <c r="C16" s="78"/>
      <c r="D16" s="76" t="s">
        <v>284</v>
      </c>
      <c r="E16" s="76"/>
      <c r="F16" s="74"/>
      <c r="G16" s="406">
        <v>3552.5</v>
      </c>
      <c r="H16" s="406">
        <v>11215</v>
      </c>
      <c r="I16" s="481"/>
      <c r="J16" s="406">
        <v>6130</v>
      </c>
      <c r="K16" s="504"/>
      <c r="L16" s="406">
        <v>7410</v>
      </c>
      <c r="M16" s="541"/>
      <c r="N16" s="417">
        <f t="shared" si="1"/>
        <v>-2577.5</v>
      </c>
      <c r="O16" s="739">
        <f t="shared" si="0"/>
        <v>-0.42047308319738991</v>
      </c>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row>
    <row r="17" spans="1:48" s="75" customFormat="1" ht="20.25" x14ac:dyDescent="0.2">
      <c r="A17" s="74"/>
      <c r="B17" s="642"/>
      <c r="C17" s="76" t="s">
        <v>160</v>
      </c>
      <c r="D17" s="76"/>
      <c r="E17" s="76"/>
      <c r="F17" s="74"/>
      <c r="G17" s="406">
        <f>'June 15 Revenues &amp; Expenses'!J58</f>
        <v>4429.43</v>
      </c>
      <c r="H17" s="406">
        <v>8638.41</v>
      </c>
      <c r="I17" s="481"/>
      <c r="J17" s="406">
        <v>4001.81</v>
      </c>
      <c r="K17" s="69"/>
      <c r="L17" s="406">
        <v>5202</v>
      </c>
      <c r="M17" s="541"/>
      <c r="N17" s="417">
        <f t="shared" si="1"/>
        <v>427.62000000000035</v>
      </c>
      <c r="O17" s="739">
        <f t="shared" si="0"/>
        <v>0.10685664736706649</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1:48" s="75" customFormat="1" ht="20.25" x14ac:dyDescent="0.2">
      <c r="A18" s="74"/>
      <c r="B18" s="642"/>
      <c r="C18" s="638" t="s">
        <v>291</v>
      </c>
      <c r="D18" s="638"/>
      <c r="E18" s="638"/>
      <c r="F18" s="74"/>
      <c r="G18" s="406">
        <v>20</v>
      </c>
      <c r="H18" s="406">
        <f>1722.23-918.9</f>
        <v>803.33</v>
      </c>
      <c r="I18" s="481"/>
      <c r="J18" s="406">
        <v>864.83</v>
      </c>
      <c r="K18" s="69"/>
      <c r="L18" s="406">
        <f>944+97.5</f>
        <v>1041.5</v>
      </c>
      <c r="M18" s="541"/>
      <c r="N18" s="417">
        <f t="shared" si="1"/>
        <v>-844.83</v>
      </c>
      <c r="O18" s="739">
        <f t="shared" si="0"/>
        <v>-0.97687406773585561</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row>
    <row r="19" spans="1:48" s="75" customFormat="1" ht="20.25" x14ac:dyDescent="0.2">
      <c r="A19" s="74"/>
      <c r="B19" s="642"/>
      <c r="C19" s="76" t="s">
        <v>167</v>
      </c>
      <c r="D19" s="76"/>
      <c r="E19" s="76"/>
      <c r="F19" s="74"/>
      <c r="G19" s="406">
        <f>899.48-G20</f>
        <v>742.2</v>
      </c>
      <c r="H19" s="406">
        <f>1651.66-H20</f>
        <v>1067.96</v>
      </c>
      <c r="I19" s="481"/>
      <c r="J19" s="406">
        <f>822.87-J20</f>
        <v>521.1</v>
      </c>
      <c r="K19" s="69"/>
      <c r="L19" s="406">
        <f>1381.25-L20</f>
        <v>1103.27</v>
      </c>
      <c r="M19" s="541"/>
      <c r="N19" s="417">
        <f t="shared" si="1"/>
        <v>221.10000000000002</v>
      </c>
      <c r="O19" s="739">
        <f t="shared" si="0"/>
        <v>0.42429476108232589</v>
      </c>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row>
    <row r="20" spans="1:48" s="75" customFormat="1" ht="20.25" x14ac:dyDescent="0.2">
      <c r="A20" s="74"/>
      <c r="B20" s="642"/>
      <c r="C20" s="638" t="s">
        <v>292</v>
      </c>
      <c r="D20" s="638"/>
      <c r="E20" s="638"/>
      <c r="F20" s="74"/>
      <c r="G20" s="406">
        <f>70.25+87.03</f>
        <v>157.28</v>
      </c>
      <c r="H20" s="406">
        <f>151.11+150.66+80.55+201.38</f>
        <v>583.70000000000005</v>
      </c>
      <c r="I20" s="481"/>
      <c r="J20" s="406">
        <f>151.11+150.66</f>
        <v>301.77</v>
      </c>
      <c r="K20" s="69"/>
      <c r="L20" s="406">
        <f>71.64+107.94+98.4</f>
        <v>277.98</v>
      </c>
      <c r="M20" s="541"/>
      <c r="N20" s="417">
        <f t="shared" si="1"/>
        <v>-144.48999999999998</v>
      </c>
      <c r="O20" s="739">
        <f t="shared" si="0"/>
        <v>-0.478808363985817</v>
      </c>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row>
    <row r="21" spans="1:48" s="75" customFormat="1" ht="20.25" x14ac:dyDescent="0.2">
      <c r="A21" s="74"/>
      <c r="B21" s="642"/>
      <c r="C21" s="76" t="s">
        <v>309</v>
      </c>
      <c r="D21" s="76"/>
      <c r="E21" s="76"/>
      <c r="F21" s="74"/>
      <c r="G21" s="406">
        <f>-340.03</f>
        <v>-340.03</v>
      </c>
      <c r="H21" s="406">
        <v>533.86</v>
      </c>
      <c r="I21" s="481"/>
      <c r="J21" s="406">
        <v>615.87</v>
      </c>
      <c r="K21" s="69"/>
      <c r="L21" s="406">
        <f>-1131.23</f>
        <v>-1131.23</v>
      </c>
      <c r="M21" s="541"/>
      <c r="N21" s="417">
        <f t="shared" si="1"/>
        <v>-955.9</v>
      </c>
      <c r="O21" s="739">
        <f t="shared" si="0"/>
        <v>-1.5521132706577687</v>
      </c>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row>
    <row r="22" spans="1:48" s="75" customFormat="1" ht="20.25" x14ac:dyDescent="0.2">
      <c r="A22" s="74"/>
      <c r="B22" s="642"/>
      <c r="C22" s="76" t="s">
        <v>290</v>
      </c>
      <c r="D22" s="76"/>
      <c r="E22" s="76"/>
      <c r="F22" s="74"/>
      <c r="G22" s="406">
        <v>86011.59</v>
      </c>
      <c r="H22" s="406">
        <v>62676.33</v>
      </c>
      <c r="I22" s="481"/>
      <c r="J22" s="406">
        <v>36125.99</v>
      </c>
      <c r="K22" s="69"/>
      <c r="L22" s="406">
        <v>47738.59</v>
      </c>
      <c r="M22" s="541"/>
      <c r="N22" s="417">
        <f t="shared" si="1"/>
        <v>49885.599999999999</v>
      </c>
      <c r="O22" s="739">
        <f t="shared" si="0"/>
        <v>1.3808784202176883</v>
      </c>
      <c r="P22" s="69" t="s">
        <v>456</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row>
    <row r="23" spans="1:48" s="75" customFormat="1" ht="20.25" x14ac:dyDescent="0.2">
      <c r="A23" s="74"/>
      <c r="B23" s="642"/>
      <c r="C23" s="76" t="s">
        <v>218</v>
      </c>
      <c r="D23" s="76"/>
      <c r="E23" s="76"/>
      <c r="F23" s="74"/>
      <c r="G23" s="406">
        <f>495.75+0</f>
        <v>495.75</v>
      </c>
      <c r="H23" s="406">
        <f>58.55+15.95+16.48+1500</f>
        <v>1590.98</v>
      </c>
      <c r="I23" s="481"/>
      <c r="J23" s="406">
        <v>74.5</v>
      </c>
      <c r="K23" s="69"/>
      <c r="L23" s="406">
        <f>345.75+222.16</f>
        <v>567.91</v>
      </c>
      <c r="M23" s="541"/>
      <c r="N23" s="417">
        <f t="shared" si="1"/>
        <v>421.25</v>
      </c>
      <c r="O23" s="739">
        <f t="shared" si="0"/>
        <v>5.6543624161073822</v>
      </c>
      <c r="P23" s="404" t="s">
        <v>367</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row>
    <row r="24" spans="1:48" s="75" customFormat="1" ht="20.25" x14ac:dyDescent="0.2">
      <c r="A24" s="74"/>
      <c r="B24" s="642"/>
      <c r="C24" s="76" t="s">
        <v>297</v>
      </c>
      <c r="D24" s="76"/>
      <c r="E24" s="76"/>
      <c r="F24" s="74"/>
      <c r="G24" s="406">
        <v>0</v>
      </c>
      <c r="H24" s="406">
        <v>6050</v>
      </c>
      <c r="I24" s="481"/>
      <c r="J24" s="406">
        <v>0</v>
      </c>
      <c r="K24" s="69"/>
      <c r="L24" s="406"/>
      <c r="M24" s="541"/>
      <c r="N24" s="417">
        <f t="shared" si="1"/>
        <v>0</v>
      </c>
      <c r="O24" s="73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row>
    <row r="25" spans="1:48" s="75" customFormat="1" ht="21" thickBot="1" x14ac:dyDescent="0.25">
      <c r="A25" s="74"/>
      <c r="B25" s="642"/>
      <c r="C25" s="76" t="s">
        <v>166</v>
      </c>
      <c r="D25" s="76"/>
      <c r="E25" s="76"/>
      <c r="F25" s="74"/>
      <c r="G25" s="407">
        <v>23287.5</v>
      </c>
      <c r="H25" s="407">
        <v>46575</v>
      </c>
      <c r="I25" s="481"/>
      <c r="J25" s="407">
        <v>23287.5</v>
      </c>
      <c r="K25" s="69"/>
      <c r="L25" s="407">
        <v>26041.7</v>
      </c>
      <c r="M25" s="541"/>
      <c r="N25" s="572">
        <f t="shared" si="1"/>
        <v>0</v>
      </c>
      <c r="O25" s="740">
        <f t="shared" si="0"/>
        <v>0</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row>
    <row r="26" spans="1:48" s="75" customFormat="1" ht="20.25" x14ac:dyDescent="0.2">
      <c r="A26" s="74"/>
      <c r="B26" s="642"/>
      <c r="C26" s="76"/>
      <c r="D26" s="74" t="s">
        <v>162</v>
      </c>
      <c r="E26" s="76"/>
      <c r="F26" s="74"/>
      <c r="G26" s="360">
        <f>SUM(G9:G25)</f>
        <v>808079.13</v>
      </c>
      <c r="H26" s="360">
        <f>SUM(H9:H25)</f>
        <v>1296530.9300000002</v>
      </c>
      <c r="I26" s="358"/>
      <c r="J26" s="360">
        <f>SUM(J9:J25)</f>
        <v>654449.85999999987</v>
      </c>
      <c r="K26" s="69"/>
      <c r="L26" s="360">
        <f>SUM(L9:L25)</f>
        <v>938866.6</v>
      </c>
      <c r="M26" s="541"/>
      <c r="N26" s="360">
        <f>SUM(N9:N25)</f>
        <v>153629.27000000002</v>
      </c>
      <c r="O26" s="739">
        <f t="shared" si="0"/>
        <v>0.234745668675061</v>
      </c>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row>
    <row r="27" spans="1:48" s="75" customFormat="1" ht="21" thickBot="1" x14ac:dyDescent="0.25">
      <c r="A27" s="74"/>
      <c r="B27" s="642"/>
      <c r="C27" s="74" t="s">
        <v>163</v>
      </c>
      <c r="D27" s="76"/>
      <c r="E27" s="76"/>
      <c r="F27" s="74"/>
      <c r="G27" s="368">
        <v>46164.63</v>
      </c>
      <c r="H27" s="368">
        <v>81184.11</v>
      </c>
      <c r="I27" s="358"/>
      <c r="J27" s="368">
        <v>43465.84</v>
      </c>
      <c r="K27" s="69"/>
      <c r="L27" s="368">
        <v>57014.19</v>
      </c>
      <c r="M27" s="541"/>
      <c r="N27" s="368">
        <f>G27-J27</f>
        <v>2698.7900000000009</v>
      </c>
      <c r="O27" s="740">
        <f t="shared" si="0"/>
        <v>6.208990784487315E-2</v>
      </c>
      <c r="P27" s="404"/>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row>
    <row r="28" spans="1:48" s="75" customFormat="1" ht="20.25" x14ac:dyDescent="0.2">
      <c r="A28" s="74"/>
      <c r="B28" s="642"/>
      <c r="C28" s="76"/>
      <c r="D28" s="74" t="s">
        <v>164</v>
      </c>
      <c r="E28" s="76"/>
      <c r="F28" s="74"/>
      <c r="G28" s="360">
        <f>SUM(G26:G27)</f>
        <v>854243.76</v>
      </c>
      <c r="H28" s="360">
        <f>SUM(H26:H27)</f>
        <v>1377715.0400000003</v>
      </c>
      <c r="I28" s="358"/>
      <c r="J28" s="360">
        <f>SUM(J26:J27)</f>
        <v>697915.69999999984</v>
      </c>
      <c r="K28" s="69"/>
      <c r="L28" s="360">
        <f>SUM(L26:L27)</f>
        <v>995880.79</v>
      </c>
      <c r="M28" s="404"/>
      <c r="N28" s="360">
        <f>SUM(N26:N27)</f>
        <v>156328.06000000003</v>
      </c>
      <c r="O28" s="739">
        <f t="shared" si="0"/>
        <v>0.22399275442578531</v>
      </c>
      <c r="P28" s="404"/>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row>
    <row r="29" spans="1:48" s="75" customFormat="1" ht="6" customHeight="1" x14ac:dyDescent="0.2">
      <c r="A29" s="74"/>
      <c r="B29" s="642"/>
      <c r="C29" s="76"/>
      <c r="D29" s="74"/>
      <c r="E29" s="76"/>
      <c r="F29" s="74"/>
      <c r="G29" s="360"/>
      <c r="H29" s="360"/>
      <c r="I29" s="358"/>
      <c r="J29" s="360"/>
      <c r="K29" s="69"/>
      <c r="L29" s="360"/>
      <c r="M29" s="541"/>
      <c r="N29" s="665"/>
      <c r="O29" s="665"/>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row>
    <row r="30" spans="1:48" s="75" customFormat="1" ht="21" thickBot="1" x14ac:dyDescent="0.25">
      <c r="A30" s="74"/>
      <c r="B30" s="643" t="s">
        <v>168</v>
      </c>
      <c r="C30" s="88"/>
      <c r="D30" s="88"/>
      <c r="E30" s="88"/>
      <c r="F30" s="88"/>
      <c r="G30" s="368"/>
      <c r="H30" s="69"/>
      <c r="I30" s="69"/>
      <c r="J30" s="69"/>
      <c r="K30" s="404"/>
      <c r="L30" s="69"/>
      <c r="M30" s="541"/>
      <c r="N30" s="665"/>
      <c r="O30" s="665"/>
      <c r="P30" s="404"/>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row>
    <row r="31" spans="1:48" s="69" customFormat="1" ht="20.25" x14ac:dyDescent="0.2">
      <c r="A31" s="68"/>
      <c r="B31" s="644"/>
      <c r="C31" s="80" t="s">
        <v>169</v>
      </c>
      <c r="D31" s="80"/>
      <c r="E31" s="80"/>
      <c r="F31" s="80"/>
      <c r="G31" s="358">
        <v>434855.84</v>
      </c>
      <c r="H31" s="417">
        <f>766935.37</f>
        <v>766935.37</v>
      </c>
      <c r="I31" s="417"/>
      <c r="J31" s="650">
        <v>369073.71</v>
      </c>
      <c r="L31" s="417">
        <f>557190.06+4121.98</f>
        <v>561312.04</v>
      </c>
      <c r="M31" s="541"/>
      <c r="N31" s="417">
        <f t="shared" ref="N31:N54" si="2">G31-J31</f>
        <v>65782.13</v>
      </c>
      <c r="O31" s="739">
        <f t="shared" ref="O31:O58" si="3">N31/J31</f>
        <v>0.17823575133541752</v>
      </c>
      <c r="P31" s="404" t="s">
        <v>372</v>
      </c>
    </row>
    <row r="32" spans="1:48" s="69" customFormat="1" ht="20.25" x14ac:dyDescent="0.2">
      <c r="A32" s="68"/>
      <c r="B32" s="644"/>
      <c r="C32" s="80" t="s">
        <v>170</v>
      </c>
      <c r="D32" s="80"/>
      <c r="E32" s="80"/>
      <c r="F32" s="80"/>
      <c r="G32" s="358">
        <v>97968.09</v>
      </c>
      <c r="H32" s="417">
        <f>153155.24+(590.92)+(232.31-179.9)</f>
        <v>153798.57</v>
      </c>
      <c r="I32" s="417"/>
      <c r="J32" s="650">
        <f>79656.8+823.23-179.9</f>
        <v>80300.13</v>
      </c>
      <c r="L32" s="417">
        <f>115001.59+1133.14+76.26</f>
        <v>116210.98999999999</v>
      </c>
      <c r="M32" s="541"/>
      <c r="N32" s="417">
        <f t="shared" si="2"/>
        <v>17667.959999999992</v>
      </c>
      <c r="O32" s="739">
        <f t="shared" si="3"/>
        <v>0.2200240522649215</v>
      </c>
      <c r="P32" s="69" t="s">
        <v>457</v>
      </c>
    </row>
    <row r="33" spans="1:16" s="69" customFormat="1" ht="20.25" x14ac:dyDescent="0.2">
      <c r="A33" s="68"/>
      <c r="B33" s="644"/>
      <c r="C33" s="80" t="s">
        <v>171</v>
      </c>
      <c r="D33" s="80"/>
      <c r="E33" s="80"/>
      <c r="F33" s="80"/>
      <c r="G33" s="358">
        <f>24187.5-G25</f>
        <v>900</v>
      </c>
      <c r="H33" s="417">
        <f>48864.87-H34</f>
        <v>2289.8700000000026</v>
      </c>
      <c r="I33" s="417"/>
      <c r="J33" s="417">
        <f>24187.5-J34</f>
        <v>900</v>
      </c>
      <c r="L33" s="417">
        <f>26641.7-L34</f>
        <v>600</v>
      </c>
      <c r="M33" s="541"/>
      <c r="N33" s="417">
        <f t="shared" si="2"/>
        <v>0</v>
      </c>
      <c r="O33" s="739">
        <f t="shared" si="3"/>
        <v>0</v>
      </c>
    </row>
    <row r="34" spans="1:16" s="69" customFormat="1" ht="20.25" x14ac:dyDescent="0.2">
      <c r="A34" s="68"/>
      <c r="B34" s="644"/>
      <c r="C34" s="80" t="s">
        <v>161</v>
      </c>
      <c r="D34" s="80"/>
      <c r="E34" s="80"/>
      <c r="F34" s="80"/>
      <c r="G34" s="358">
        <f>G25</f>
        <v>23287.5</v>
      </c>
      <c r="H34" s="417">
        <f>H25</f>
        <v>46575</v>
      </c>
      <c r="I34" s="417"/>
      <c r="J34" s="417">
        <f>J25</f>
        <v>23287.5</v>
      </c>
      <c r="L34" s="417">
        <f>L25</f>
        <v>26041.7</v>
      </c>
      <c r="M34" s="541"/>
      <c r="N34" s="417">
        <f t="shared" si="2"/>
        <v>0</v>
      </c>
      <c r="O34" s="739">
        <f t="shared" si="3"/>
        <v>0</v>
      </c>
    </row>
    <row r="35" spans="1:16" s="69" customFormat="1" ht="20.25" x14ac:dyDescent="0.2">
      <c r="A35" s="68"/>
      <c r="B35" s="644"/>
      <c r="C35" s="80" t="s">
        <v>172</v>
      </c>
      <c r="D35" s="80"/>
      <c r="E35" s="80"/>
      <c r="F35" s="80"/>
      <c r="G35" s="358">
        <v>8515.58</v>
      </c>
      <c r="H35" s="417">
        <f>15910.51</f>
        <v>15910.51</v>
      </c>
      <c r="I35" s="417"/>
      <c r="J35" s="417">
        <v>7715.47</v>
      </c>
      <c r="L35" s="417">
        <v>9512.8799999999992</v>
      </c>
      <c r="M35" s="541"/>
      <c r="N35" s="417">
        <f t="shared" si="2"/>
        <v>800.10999999999967</v>
      </c>
      <c r="O35" s="739">
        <f t="shared" si="3"/>
        <v>0.10370204277898815</v>
      </c>
      <c r="P35" s="69" t="s">
        <v>458</v>
      </c>
    </row>
    <row r="36" spans="1:16" s="69" customFormat="1" ht="20.25" x14ac:dyDescent="0.2">
      <c r="A36" s="68"/>
      <c r="B36" s="644"/>
      <c r="C36" s="80" t="s">
        <v>173</v>
      </c>
      <c r="D36" s="80"/>
      <c r="E36" s="80"/>
      <c r="F36" s="80"/>
      <c r="G36" s="358">
        <v>1426.05</v>
      </c>
      <c r="H36" s="417">
        <v>3020.8</v>
      </c>
      <c r="I36" s="417"/>
      <c r="J36" s="417">
        <v>1577.5</v>
      </c>
      <c r="L36" s="417">
        <v>4097.3500000000004</v>
      </c>
      <c r="M36" s="541"/>
      <c r="N36" s="417">
        <f t="shared" si="2"/>
        <v>-151.45000000000005</v>
      </c>
      <c r="O36" s="739">
        <f t="shared" si="3"/>
        <v>-9.6006339144215566E-2</v>
      </c>
    </row>
    <row r="37" spans="1:16" s="69" customFormat="1" ht="20.25" x14ac:dyDescent="0.2">
      <c r="A37" s="68"/>
      <c r="B37" s="644"/>
      <c r="C37" s="80" t="s">
        <v>174</v>
      </c>
      <c r="D37" s="80"/>
      <c r="E37" s="80"/>
      <c r="F37" s="80"/>
      <c r="G37" s="358">
        <v>4233.99</v>
      </c>
      <c r="H37" s="417">
        <v>8157.2</v>
      </c>
      <c r="I37" s="417"/>
      <c r="J37" s="417">
        <f>4221.25+179.9</f>
        <v>4401.1499999999996</v>
      </c>
      <c r="L37" s="417">
        <v>7238.76</v>
      </c>
      <c r="M37" s="541"/>
      <c r="N37" s="417">
        <f t="shared" si="2"/>
        <v>-167.15999999999985</v>
      </c>
      <c r="O37" s="739">
        <f t="shared" si="3"/>
        <v>-3.7980982243277298E-2</v>
      </c>
    </row>
    <row r="38" spans="1:16" s="69" customFormat="1" ht="20.25" x14ac:dyDescent="0.2">
      <c r="A38" s="68"/>
      <c r="B38" s="644"/>
      <c r="C38" s="80" t="s">
        <v>175</v>
      </c>
      <c r="D38" s="80"/>
      <c r="E38" s="80"/>
      <c r="F38" s="80"/>
      <c r="G38" s="358">
        <v>9271.27</v>
      </c>
      <c r="H38" s="417">
        <v>6514.08</v>
      </c>
      <c r="I38" s="417"/>
      <c r="J38" s="417">
        <v>4683.9799999999996</v>
      </c>
      <c r="L38" s="417">
        <v>7607.31</v>
      </c>
      <c r="M38" s="541"/>
      <c r="N38" s="417">
        <f t="shared" si="2"/>
        <v>4587.2900000000009</v>
      </c>
      <c r="O38" s="739">
        <f t="shared" si="3"/>
        <v>0.97935729870750965</v>
      </c>
      <c r="P38" s="69" t="s">
        <v>459</v>
      </c>
    </row>
    <row r="39" spans="1:16" s="69" customFormat="1" ht="20.25" x14ac:dyDescent="0.2">
      <c r="A39" s="68"/>
      <c r="B39" s="644"/>
      <c r="C39" s="80" t="s">
        <v>176</v>
      </c>
      <c r="D39" s="80"/>
      <c r="E39" s="80"/>
      <c r="F39" s="80"/>
      <c r="G39" s="358">
        <f>19640.5+8701.1</f>
        <v>28341.599999999999</v>
      </c>
      <c r="H39" s="417">
        <f>33960.09+10595.73</f>
        <v>44555.819999999992</v>
      </c>
      <c r="I39" s="417"/>
      <c r="J39" s="417">
        <f>20589+7746.97</f>
        <v>28335.97</v>
      </c>
      <c r="L39" s="417">
        <f>24578.87+8061.5</f>
        <v>32640.37</v>
      </c>
      <c r="M39" s="541"/>
      <c r="N39" s="417">
        <f t="shared" si="2"/>
        <v>5.6299999999973807</v>
      </c>
      <c r="O39" s="739">
        <f t="shared" si="3"/>
        <v>1.9868739273783042E-4</v>
      </c>
    </row>
    <row r="40" spans="1:16" s="69" customFormat="1" ht="20.25" x14ac:dyDescent="0.2">
      <c r="A40" s="68"/>
      <c r="B40" s="644"/>
      <c r="C40" s="80" t="s">
        <v>177</v>
      </c>
      <c r="D40" s="80"/>
      <c r="E40" s="80"/>
      <c r="F40" s="80"/>
      <c r="G40" s="358">
        <v>3210.13</v>
      </c>
      <c r="H40" s="417">
        <v>4195.95</v>
      </c>
      <c r="I40" s="417"/>
      <c r="J40" s="417">
        <v>2442.5700000000002</v>
      </c>
      <c r="L40" s="417">
        <v>3710.37</v>
      </c>
      <c r="M40" s="541"/>
      <c r="N40" s="417">
        <f t="shared" si="2"/>
        <v>767.56</v>
      </c>
      <c r="O40" s="739">
        <f t="shared" si="3"/>
        <v>0.31424278526306304</v>
      </c>
      <c r="P40" s="69" t="s">
        <v>460</v>
      </c>
    </row>
    <row r="41" spans="1:16" s="69" customFormat="1" ht="20.25" x14ac:dyDescent="0.2">
      <c r="A41" s="68"/>
      <c r="B41" s="644"/>
      <c r="C41" s="80" t="s">
        <v>178</v>
      </c>
      <c r="D41" s="80"/>
      <c r="E41" s="80"/>
      <c r="F41" s="80"/>
      <c r="G41" s="358">
        <v>917.5</v>
      </c>
      <c r="H41" s="417">
        <f>1784.5</f>
        <v>1784.5</v>
      </c>
      <c r="I41" s="417"/>
      <c r="J41" s="417">
        <v>889.5</v>
      </c>
      <c r="L41" s="417">
        <f>1049.5+75</f>
        <v>1124.5</v>
      </c>
      <c r="M41" s="541"/>
      <c r="N41" s="417">
        <f t="shared" si="2"/>
        <v>28</v>
      </c>
      <c r="O41" s="739">
        <f t="shared" si="3"/>
        <v>3.1478358628442948E-2</v>
      </c>
    </row>
    <row r="42" spans="1:16" s="69" customFormat="1" ht="20.25" x14ac:dyDescent="0.2">
      <c r="A42" s="68"/>
      <c r="B42" s="644"/>
      <c r="C42" s="80" t="s">
        <v>299</v>
      </c>
      <c r="D42" s="80"/>
      <c r="E42" s="80"/>
      <c r="F42" s="80"/>
      <c r="G42" s="358">
        <v>9169.3700000000008</v>
      </c>
      <c r="H42" s="417">
        <v>9052.09</v>
      </c>
      <c r="I42" s="417"/>
      <c r="J42" s="417">
        <v>9052.09</v>
      </c>
      <c r="K42" s="548"/>
      <c r="L42" s="417">
        <v>8818.0400000000009</v>
      </c>
      <c r="M42" s="541"/>
      <c r="N42" s="417">
        <f t="shared" si="2"/>
        <v>117.28000000000065</v>
      </c>
      <c r="O42" s="739">
        <f t="shared" si="3"/>
        <v>1.2956123944857005E-2</v>
      </c>
      <c r="P42" s="69" t="s">
        <v>461</v>
      </c>
    </row>
    <row r="43" spans="1:16" s="69" customFormat="1" ht="20.25" x14ac:dyDescent="0.2">
      <c r="A43" s="68"/>
      <c r="B43" s="644"/>
      <c r="C43" s="80" t="s">
        <v>348</v>
      </c>
      <c r="D43" s="80"/>
      <c r="E43" s="80"/>
      <c r="F43" s="80"/>
      <c r="G43" s="358">
        <v>0</v>
      </c>
      <c r="H43" s="417">
        <v>3972</v>
      </c>
      <c r="I43" s="417"/>
      <c r="J43" s="417">
        <v>0</v>
      </c>
      <c r="K43" s="548"/>
      <c r="L43" s="417">
        <v>450</v>
      </c>
      <c r="M43" s="541"/>
      <c r="N43" s="417">
        <f t="shared" si="2"/>
        <v>0</v>
      </c>
      <c r="O43" s="739"/>
    </row>
    <row r="44" spans="1:16" s="77" customFormat="1" ht="20.25" x14ac:dyDescent="0.2">
      <c r="A44" s="80"/>
      <c r="B44" s="640"/>
      <c r="C44" s="80" t="s">
        <v>179</v>
      </c>
      <c r="D44" s="80"/>
      <c r="E44" s="80"/>
      <c r="F44" s="80"/>
      <c r="G44" s="358">
        <v>7912.12</v>
      </c>
      <c r="H44" s="418">
        <f>8360.3+179.9</f>
        <v>8540.1999999999989</v>
      </c>
      <c r="I44" s="418"/>
      <c r="J44" s="418">
        <v>5450.9</v>
      </c>
      <c r="K44" s="547"/>
      <c r="L44" s="418">
        <f>6235.9+517.47</f>
        <v>6753.37</v>
      </c>
      <c r="M44" s="543"/>
      <c r="N44" s="417">
        <f t="shared" si="2"/>
        <v>2461.2200000000003</v>
      </c>
      <c r="O44" s="739">
        <f t="shared" si="3"/>
        <v>0.4515254361665047</v>
      </c>
      <c r="P44" s="77" t="s">
        <v>369</v>
      </c>
    </row>
    <row r="45" spans="1:16" s="77" customFormat="1" ht="20.25" x14ac:dyDescent="0.2">
      <c r="A45" s="80"/>
      <c r="B45" s="640"/>
      <c r="C45" s="80" t="s">
        <v>180</v>
      </c>
      <c r="D45" s="80"/>
      <c r="E45" s="80"/>
      <c r="F45" s="80"/>
      <c r="G45" s="358">
        <v>5976.08</v>
      </c>
      <c r="H45" s="358">
        <v>11383.5</v>
      </c>
      <c r="I45" s="358"/>
      <c r="J45" s="481">
        <f>7587.53-1500</f>
        <v>6087.53</v>
      </c>
      <c r="K45" s="547"/>
      <c r="L45" s="358">
        <f>8631.03+1180</f>
        <v>9811.0300000000007</v>
      </c>
      <c r="M45" s="543"/>
      <c r="N45" s="417">
        <f t="shared" si="2"/>
        <v>-111.44999999999982</v>
      </c>
      <c r="O45" s="739">
        <f t="shared" si="3"/>
        <v>-1.8307917989726509E-2</v>
      </c>
    </row>
    <row r="46" spans="1:16" s="77" customFormat="1" ht="20.25" x14ac:dyDescent="0.2">
      <c r="A46" s="80"/>
      <c r="B46" s="640"/>
      <c r="C46" s="80" t="s">
        <v>191</v>
      </c>
      <c r="D46" s="80"/>
      <c r="E46" s="80"/>
      <c r="F46" s="80"/>
      <c r="G46" s="358">
        <f>438+214</f>
        <v>652</v>
      </c>
      <c r="H46" s="481">
        <f>1075.49+119.61-500-235.57+1198+15.9+1</f>
        <v>1674.43</v>
      </c>
      <c r="I46" s="358"/>
      <c r="J46" s="358">
        <f>119.61+1075.49</f>
        <v>1195.0999999999999</v>
      </c>
      <c r="K46" s="547"/>
      <c r="L46" s="358">
        <f>239+137.85</f>
        <v>376.85</v>
      </c>
      <c r="M46" s="543"/>
      <c r="N46" s="417">
        <f t="shared" si="2"/>
        <v>-543.09999999999991</v>
      </c>
      <c r="O46" s="739">
        <f t="shared" si="3"/>
        <v>-0.45443895908292187</v>
      </c>
      <c r="P46" s="481"/>
    </row>
    <row r="47" spans="1:16" s="77" customFormat="1" ht="20.25" x14ac:dyDescent="0.2">
      <c r="A47" s="80"/>
      <c r="B47" s="640"/>
      <c r="C47" s="80" t="s">
        <v>181</v>
      </c>
      <c r="D47" s="80"/>
      <c r="E47" s="80"/>
      <c r="F47" s="80"/>
      <c r="G47" s="481">
        <f>2859+8226.99</f>
        <v>11085.99</v>
      </c>
      <c r="H47" s="358">
        <f>1940.28+839+500+235.57</f>
        <v>3514.85</v>
      </c>
      <c r="I47" s="358"/>
      <c r="J47" s="358">
        <f>1940.28+439</f>
        <v>2379.2799999999997</v>
      </c>
      <c r="K47" s="547"/>
      <c r="L47" s="358">
        <f>2570+420</f>
        <v>2990</v>
      </c>
      <c r="M47" s="543"/>
      <c r="N47" s="417">
        <f t="shared" si="2"/>
        <v>8706.7099999999991</v>
      </c>
      <c r="O47" s="739">
        <f t="shared" si="3"/>
        <v>3.6593885545206954</v>
      </c>
      <c r="P47" s="77" t="s">
        <v>462</v>
      </c>
    </row>
    <row r="48" spans="1:16" s="69" customFormat="1" ht="20.25" x14ac:dyDescent="0.2">
      <c r="A48" s="68"/>
      <c r="B48" s="644"/>
      <c r="C48" s="80" t="s">
        <v>182</v>
      </c>
      <c r="D48" s="80"/>
      <c r="E48" s="80"/>
      <c r="F48" s="80"/>
      <c r="G48" s="358">
        <v>7386.22</v>
      </c>
      <c r="H48" s="358">
        <v>12107.5</v>
      </c>
      <c r="I48" s="358"/>
      <c r="J48" s="358">
        <v>6157.21</v>
      </c>
      <c r="K48" s="548"/>
      <c r="L48" s="358">
        <f>7053.04+750</f>
        <v>7803.04</v>
      </c>
      <c r="M48" s="541"/>
      <c r="N48" s="417">
        <f t="shared" si="2"/>
        <v>1229.0100000000002</v>
      </c>
      <c r="O48" s="739">
        <f t="shared" si="3"/>
        <v>0.19960501590817922</v>
      </c>
      <c r="P48" s="69" t="s">
        <v>463</v>
      </c>
    </row>
    <row r="49" spans="1:16" s="69" customFormat="1" ht="20.25" hidden="1" x14ac:dyDescent="0.2">
      <c r="A49" s="68"/>
      <c r="B49" s="644"/>
      <c r="C49" s="80"/>
      <c r="D49" s="80"/>
      <c r="E49" s="80"/>
      <c r="F49" s="80"/>
      <c r="G49" s="358"/>
      <c r="H49" s="358"/>
      <c r="I49" s="358"/>
      <c r="J49" s="358"/>
      <c r="K49" s="548"/>
      <c r="L49" s="358"/>
      <c r="M49" s="541"/>
      <c r="N49" s="417">
        <f t="shared" si="2"/>
        <v>0</v>
      </c>
      <c r="O49" s="739" t="e">
        <f t="shared" si="3"/>
        <v>#DIV/0!</v>
      </c>
    </row>
    <row r="50" spans="1:16" s="77" customFormat="1" ht="20.25" x14ac:dyDescent="0.2">
      <c r="A50" s="80"/>
      <c r="B50" s="640"/>
      <c r="C50" s="80" t="s">
        <v>183</v>
      </c>
      <c r="D50" s="80"/>
      <c r="E50" s="80"/>
      <c r="F50" s="80"/>
      <c r="G50" s="481">
        <v>22566</v>
      </c>
      <c r="H50" s="358">
        <v>40160</v>
      </c>
      <c r="I50" s="358"/>
      <c r="J50" s="358">
        <v>18129</v>
      </c>
      <c r="K50" s="547"/>
      <c r="L50" s="358">
        <v>23359</v>
      </c>
      <c r="M50" s="543"/>
      <c r="N50" s="417">
        <f t="shared" si="2"/>
        <v>4437</v>
      </c>
      <c r="O50" s="739">
        <f t="shared" si="3"/>
        <v>0.24474598709250373</v>
      </c>
      <c r="P50" s="77" t="s">
        <v>371</v>
      </c>
    </row>
    <row r="51" spans="1:16" s="77" customFormat="1" ht="20.25" x14ac:dyDescent="0.2">
      <c r="A51" s="80"/>
      <c r="B51" s="640"/>
      <c r="C51" s="80" t="s">
        <v>184</v>
      </c>
      <c r="D51" s="80"/>
      <c r="E51" s="80"/>
      <c r="F51" s="80"/>
      <c r="G51" s="358">
        <f>20757.51+925.02</f>
        <v>21682.53</v>
      </c>
      <c r="H51" s="358">
        <f>96+7958.87+1850.04</f>
        <v>9904.91</v>
      </c>
      <c r="I51" s="358"/>
      <c r="J51" s="358">
        <f>96+4186.9+925.02</f>
        <v>5207.92</v>
      </c>
      <c r="K51" s="547"/>
      <c r="L51" s="358">
        <f>1140.5+14937.96+2887.53</f>
        <v>18965.989999999998</v>
      </c>
      <c r="M51" s="543"/>
      <c r="N51" s="417">
        <f t="shared" si="2"/>
        <v>16474.61</v>
      </c>
      <c r="O51" s="739">
        <f t="shared" si="3"/>
        <v>3.1633761655324966</v>
      </c>
      <c r="P51" s="77" t="s">
        <v>370</v>
      </c>
    </row>
    <row r="52" spans="1:16" s="77" customFormat="1" ht="20.25" x14ac:dyDescent="0.2">
      <c r="A52" s="80"/>
      <c r="B52" s="640"/>
      <c r="C52" s="80" t="s">
        <v>300</v>
      </c>
      <c r="D52" s="80"/>
      <c r="E52" s="80"/>
      <c r="F52" s="80"/>
      <c r="G52" s="358">
        <v>17030.47</v>
      </c>
      <c r="H52" s="358">
        <v>59325.64</v>
      </c>
      <c r="I52" s="358"/>
      <c r="J52" s="358">
        <v>30907.73</v>
      </c>
      <c r="K52" s="547"/>
      <c r="L52" s="358">
        <v>65260.59</v>
      </c>
      <c r="M52" s="543"/>
      <c r="N52" s="417">
        <f t="shared" si="2"/>
        <v>-13877.259999999998</v>
      </c>
      <c r="O52" s="739">
        <f t="shared" si="3"/>
        <v>-0.44898994523376512</v>
      </c>
    </row>
    <row r="53" spans="1:16" s="77" customFormat="1" ht="20.25" x14ac:dyDescent="0.2">
      <c r="A53" s="80"/>
      <c r="B53" s="640"/>
      <c r="C53" s="80" t="s">
        <v>298</v>
      </c>
      <c r="D53" s="80"/>
      <c r="E53" s="80"/>
      <c r="F53" s="80"/>
      <c r="G53" s="358">
        <v>22705.66</v>
      </c>
      <c r="H53" s="358">
        <v>56282.080000000002</v>
      </c>
      <c r="I53" s="358"/>
      <c r="J53" s="358">
        <v>28125.23</v>
      </c>
      <c r="K53" s="547"/>
      <c r="L53" s="358">
        <v>49467.93</v>
      </c>
      <c r="M53" s="543"/>
      <c r="N53" s="417">
        <f t="shared" si="2"/>
        <v>-5419.57</v>
      </c>
      <c r="O53" s="739">
        <f t="shared" si="3"/>
        <v>-0.19269424641149602</v>
      </c>
      <c r="P53" s="77" t="s">
        <v>464</v>
      </c>
    </row>
    <row r="54" spans="1:16" s="77" customFormat="1" ht="20.25" x14ac:dyDescent="0.2">
      <c r="A54" s="80"/>
      <c r="B54" s="640"/>
      <c r="C54" s="80" t="s">
        <v>185</v>
      </c>
      <c r="D54" s="80"/>
      <c r="E54" s="80"/>
      <c r="F54" s="80"/>
      <c r="G54" s="361">
        <f>49763.72</f>
        <v>49763.72</v>
      </c>
      <c r="H54" s="361">
        <f>22003+1208.5</f>
        <v>23211.5</v>
      </c>
      <c r="I54" s="358"/>
      <c r="J54" s="361">
        <f>19643+88</f>
        <v>19731</v>
      </c>
      <c r="K54" s="547"/>
      <c r="L54" s="361">
        <f>496.5+37808.56+86</f>
        <v>38391.06</v>
      </c>
      <c r="M54" s="543"/>
      <c r="N54" s="667">
        <f t="shared" si="2"/>
        <v>30032.720000000001</v>
      </c>
      <c r="O54" s="742">
        <f t="shared" si="3"/>
        <v>1.5221083574071259</v>
      </c>
      <c r="P54" s="77" t="s">
        <v>465</v>
      </c>
    </row>
    <row r="55" spans="1:16" s="69" customFormat="1" ht="21" hidden="1" thickBot="1" x14ac:dyDescent="0.25">
      <c r="A55" s="68"/>
      <c r="B55" s="644"/>
      <c r="C55" s="80" t="s">
        <v>186</v>
      </c>
      <c r="D55" s="80"/>
      <c r="E55" s="80"/>
      <c r="F55" s="80"/>
      <c r="G55" s="358"/>
      <c r="H55" s="368"/>
      <c r="I55" s="358"/>
      <c r="J55" s="368"/>
      <c r="K55" s="548"/>
      <c r="L55" s="368"/>
      <c r="M55" s="541"/>
      <c r="N55" s="665"/>
      <c r="O55" s="739" t="e">
        <f t="shared" si="3"/>
        <v>#DIV/0!</v>
      </c>
    </row>
    <row r="56" spans="1:16" s="69" customFormat="1" ht="20.25" x14ac:dyDescent="0.2">
      <c r="A56" s="68"/>
      <c r="B56" s="644"/>
      <c r="C56" s="68"/>
      <c r="D56" s="74" t="s">
        <v>187</v>
      </c>
      <c r="E56" s="68"/>
      <c r="F56" s="68"/>
      <c r="G56" s="363">
        <f>SUM(G31:G55)</f>
        <v>788857.71</v>
      </c>
      <c r="H56" s="363">
        <f>SUM(H31:H55)</f>
        <v>1292866.3699999999</v>
      </c>
      <c r="I56" s="358"/>
      <c r="J56" s="363">
        <f>SUM(J31:J55)</f>
        <v>656030.47000000009</v>
      </c>
      <c r="L56" s="363">
        <f>SUM(L31:L55)</f>
        <v>1002543.1700000002</v>
      </c>
      <c r="M56" s="541"/>
      <c r="N56" s="360">
        <f>SUM(N31:N55)</f>
        <v>132827.24000000002</v>
      </c>
      <c r="O56" s="739">
        <f t="shared" si="3"/>
        <v>0.20247114436620603</v>
      </c>
    </row>
    <row r="57" spans="1:16" s="69" customFormat="1" ht="10.5" customHeight="1" thickBot="1" x14ac:dyDescent="0.25">
      <c r="A57" s="68"/>
      <c r="B57" s="644"/>
      <c r="C57" s="68"/>
      <c r="D57" s="74"/>
      <c r="E57" s="68"/>
      <c r="F57" s="68"/>
      <c r="G57" s="368"/>
      <c r="H57" s="368"/>
      <c r="I57" s="358"/>
      <c r="J57" s="368"/>
      <c r="L57" s="368"/>
      <c r="M57" s="541"/>
      <c r="N57" s="668"/>
      <c r="O57" s="668"/>
    </row>
    <row r="58" spans="1:16" s="69" customFormat="1" ht="21" thickBot="1" x14ac:dyDescent="0.25">
      <c r="A58" s="68"/>
      <c r="B58" s="644"/>
      <c r="C58" s="68"/>
      <c r="D58" s="68" t="s">
        <v>188</v>
      </c>
      <c r="E58" s="68"/>
      <c r="F58" s="68"/>
      <c r="G58" s="368">
        <f>G28-G56</f>
        <v>65386.050000000047</v>
      </c>
      <c r="H58" s="368">
        <f>H28-H56</f>
        <v>84848.670000000391</v>
      </c>
      <c r="I58" s="358"/>
      <c r="J58" s="368">
        <f>J28-J56</f>
        <v>41885.229999999749</v>
      </c>
      <c r="K58" s="504"/>
      <c r="L58" s="368">
        <f>L28-L56</f>
        <v>-6662.3800000001211</v>
      </c>
      <c r="M58" s="541"/>
      <c r="N58" s="368">
        <f>N28-N56</f>
        <v>23500.820000000007</v>
      </c>
      <c r="O58" s="741">
        <f t="shared" si="3"/>
        <v>0.56107654177857325</v>
      </c>
      <c r="P58" s="504"/>
    </row>
    <row r="59" spans="1:16" s="69" customFormat="1" ht="11.25" customHeight="1" x14ac:dyDescent="0.2">
      <c r="A59" s="68"/>
      <c r="B59" s="644"/>
      <c r="C59" s="68"/>
      <c r="D59" s="68"/>
      <c r="E59" s="68"/>
      <c r="F59" s="68"/>
      <c r="G59" s="358"/>
      <c r="H59" s="358"/>
      <c r="I59" s="358"/>
      <c r="J59" s="358"/>
      <c r="L59" s="358"/>
      <c r="M59" s="541"/>
      <c r="N59" s="665"/>
      <c r="O59" s="665"/>
    </row>
    <row r="60" spans="1:16" s="77" customFormat="1" ht="21" thickBot="1" x14ac:dyDescent="0.25">
      <c r="A60" s="80"/>
      <c r="B60" s="643" t="s">
        <v>189</v>
      </c>
      <c r="C60" s="88"/>
      <c r="D60" s="88"/>
      <c r="E60" s="88"/>
      <c r="F60" s="88"/>
      <c r="G60" s="661"/>
      <c r="H60" s="358"/>
      <c r="I60" s="358"/>
      <c r="J60" s="358"/>
      <c r="L60" s="358"/>
      <c r="M60" s="543"/>
      <c r="N60" s="665"/>
      <c r="O60" s="665"/>
    </row>
    <row r="61" spans="1:16" s="77" customFormat="1" ht="20.25" x14ac:dyDescent="0.2">
      <c r="A61" s="80"/>
      <c r="B61" s="644"/>
      <c r="C61" s="68"/>
      <c r="D61" s="68" t="s">
        <v>213</v>
      </c>
      <c r="E61" s="68"/>
      <c r="F61" s="68"/>
      <c r="G61" s="358"/>
      <c r="H61" s="358"/>
      <c r="I61" s="358"/>
      <c r="J61" s="358"/>
      <c r="L61" s="358"/>
      <c r="M61" s="543"/>
      <c r="N61" s="665"/>
      <c r="O61" s="665"/>
    </row>
    <row r="62" spans="1:16" s="77" customFormat="1" ht="20.25" x14ac:dyDescent="0.2">
      <c r="A62" s="80"/>
      <c r="B62" s="644"/>
      <c r="C62" s="68"/>
      <c r="D62" s="68"/>
      <c r="E62" s="80" t="s">
        <v>214</v>
      </c>
      <c r="F62" s="68"/>
      <c r="G62" s="358">
        <f>'June 15 Revenues &amp; Expenses'!H56</f>
        <v>24500</v>
      </c>
      <c r="H62" s="358">
        <f>23750*2</f>
        <v>47500</v>
      </c>
      <c r="I62" s="358"/>
      <c r="J62" s="358">
        <v>23750</v>
      </c>
      <c r="L62" s="358">
        <f>'June 15 Revenues &amp; Expenses'!H56</f>
        <v>24500</v>
      </c>
      <c r="M62" s="543"/>
      <c r="N62" s="417">
        <f t="shared" ref="N62:N65" si="4">G62-J62</f>
        <v>750</v>
      </c>
      <c r="O62" s="739">
        <f t="shared" ref="O62:O66" si="5">N62/J62</f>
        <v>3.1578947368421054E-2</v>
      </c>
    </row>
    <row r="63" spans="1:16" s="77" customFormat="1" ht="20.25" x14ac:dyDescent="0.2">
      <c r="A63" s="80"/>
      <c r="B63" s="644"/>
      <c r="C63" s="68"/>
      <c r="D63" s="68"/>
      <c r="E63" s="80" t="s">
        <v>303</v>
      </c>
      <c r="F63" s="68"/>
      <c r="G63" s="358">
        <f>'June 15 Revenues &amp; Expenses'!H57</f>
        <v>19000</v>
      </c>
      <c r="H63" s="358">
        <v>19000</v>
      </c>
      <c r="I63" s="358"/>
      <c r="J63" s="358">
        <v>19000</v>
      </c>
      <c r="L63" s="358">
        <f>'June 15 Revenues &amp; Expenses'!H57</f>
        <v>19000</v>
      </c>
      <c r="M63" s="543"/>
      <c r="N63" s="417">
        <f t="shared" si="4"/>
        <v>0</v>
      </c>
      <c r="O63" s="739">
        <f t="shared" si="5"/>
        <v>0</v>
      </c>
    </row>
    <row r="64" spans="1:16" s="77" customFormat="1" ht="20.25" x14ac:dyDescent="0.2">
      <c r="A64" s="80"/>
      <c r="B64" s="644"/>
      <c r="C64" s="68"/>
      <c r="D64" s="68"/>
      <c r="E64" s="80" t="s">
        <v>212</v>
      </c>
      <c r="F64" s="68"/>
      <c r="G64" s="358">
        <f>'June 15 Revenues &amp; Expenses'!H60+'June 15 Revenues &amp; Expenses'!H61+'June 15 Revenues &amp; Expenses'!H59-918.9</f>
        <v>3561.1</v>
      </c>
      <c r="H64" s="358">
        <v>17473</v>
      </c>
      <c r="I64" s="358"/>
      <c r="J64" s="358">
        <f>1937+580+1000+821</f>
        <v>4338</v>
      </c>
      <c r="L64" s="358">
        <f>-410368+425445+414.7+4584.5</f>
        <v>20076.2</v>
      </c>
      <c r="M64" s="543"/>
      <c r="N64" s="417">
        <f t="shared" si="4"/>
        <v>-776.90000000000009</v>
      </c>
      <c r="O64" s="739">
        <f t="shared" si="5"/>
        <v>-0.17909174734900879</v>
      </c>
    </row>
    <row r="65" spans="1:15" s="77" customFormat="1" ht="21" thickBot="1" x14ac:dyDescent="0.25">
      <c r="A65" s="80"/>
      <c r="B65" s="644"/>
      <c r="C65" s="68"/>
      <c r="D65" s="68" t="s">
        <v>163</v>
      </c>
      <c r="E65" s="68"/>
      <c r="F65" s="68"/>
      <c r="G65" s="368">
        <f>-G27</f>
        <v>-46164.63</v>
      </c>
      <c r="H65" s="368">
        <f>-H27</f>
        <v>-81184.11</v>
      </c>
      <c r="I65" s="358"/>
      <c r="J65" s="368">
        <f>-J27</f>
        <v>-43465.84</v>
      </c>
      <c r="L65" s="368">
        <f>-L27</f>
        <v>-57014.19</v>
      </c>
      <c r="M65" s="543"/>
      <c r="N65" s="572">
        <f t="shared" si="4"/>
        <v>-2698.7900000000009</v>
      </c>
      <c r="O65" s="740">
        <f t="shared" si="5"/>
        <v>6.208990784487315E-2</v>
      </c>
    </row>
    <row r="66" spans="1:15" s="77" customFormat="1" ht="21" thickBot="1" x14ac:dyDescent="0.25">
      <c r="A66" s="80"/>
      <c r="B66" s="644"/>
      <c r="C66" s="68"/>
      <c r="D66" s="68"/>
      <c r="E66" s="68" t="s">
        <v>190</v>
      </c>
      <c r="F66" s="68"/>
      <c r="G66" s="368">
        <f>SUM(G61:G65)</f>
        <v>896.47000000000116</v>
      </c>
      <c r="H66" s="368">
        <f>SUM(H61:H65)</f>
        <v>2788.8899999999994</v>
      </c>
      <c r="I66" s="358"/>
      <c r="J66" s="368">
        <f>SUM(J61:J65)</f>
        <v>3622.1600000000035</v>
      </c>
      <c r="L66" s="368">
        <f>SUM(L61:L65)</f>
        <v>6562.0099999999948</v>
      </c>
      <c r="M66" s="543"/>
      <c r="N66" s="368">
        <f>SUM(N62:N65)</f>
        <v>-2725.690000000001</v>
      </c>
      <c r="O66" s="741">
        <f t="shared" si="5"/>
        <v>-0.75250403074408589</v>
      </c>
    </row>
    <row r="67" spans="1:15" s="69" customFormat="1" ht="7.5" customHeight="1" x14ac:dyDescent="0.2">
      <c r="A67" s="68"/>
      <c r="B67" s="644"/>
      <c r="C67" s="68"/>
      <c r="D67" s="68"/>
      <c r="E67" s="68"/>
      <c r="F67" s="68"/>
      <c r="G67" s="415"/>
      <c r="H67" s="415"/>
      <c r="I67" s="415"/>
      <c r="J67" s="415"/>
      <c r="L67" s="415"/>
      <c r="M67" s="541"/>
      <c r="N67" s="665"/>
      <c r="O67" s="665"/>
    </row>
    <row r="68" spans="1:15" s="69" customFormat="1" ht="20.25" x14ac:dyDescent="0.2">
      <c r="A68" s="68"/>
      <c r="B68" s="644"/>
      <c r="C68" s="68"/>
      <c r="D68" s="68"/>
      <c r="E68" s="68" t="s">
        <v>139</v>
      </c>
      <c r="F68" s="68"/>
      <c r="G68" s="363">
        <f>G58+G66</f>
        <v>66282.520000000048</v>
      </c>
      <c r="H68" s="363">
        <f>H58+H66</f>
        <v>87637.560000000391</v>
      </c>
      <c r="I68" s="363"/>
      <c r="J68" s="363">
        <f>J58+J66</f>
        <v>45507.389999999752</v>
      </c>
      <c r="L68" s="363">
        <f>L58+L66</f>
        <v>-100.37000000012631</v>
      </c>
      <c r="M68" s="541"/>
      <c r="N68" s="363">
        <f>N58+N66</f>
        <v>20775.130000000005</v>
      </c>
      <c r="O68" s="363"/>
    </row>
    <row r="69" spans="1:15" s="69" customFormat="1" ht="8.25" customHeight="1" x14ac:dyDescent="0.2">
      <c r="A69" s="68"/>
      <c r="B69" s="644"/>
      <c r="C69" s="68"/>
      <c r="D69" s="68"/>
      <c r="E69" s="68"/>
      <c r="F69" s="68"/>
      <c r="G69" s="358"/>
      <c r="H69" s="358"/>
      <c r="I69" s="358"/>
      <c r="J69" s="358"/>
      <c r="L69" s="358"/>
      <c r="M69" s="541"/>
      <c r="N69" s="665"/>
      <c r="O69" s="665"/>
    </row>
    <row r="70" spans="1:15" s="83" customFormat="1" ht="26.25" x14ac:dyDescent="0.2">
      <c r="A70" s="410"/>
      <c r="B70" s="645"/>
      <c r="C70" s="68"/>
      <c r="D70" s="68" t="s">
        <v>216</v>
      </c>
      <c r="E70" s="68"/>
      <c r="F70" s="68"/>
      <c r="G70" s="363">
        <f>'June 15 Financial Position'!O62</f>
        <v>536694.04</v>
      </c>
      <c r="H70" s="363">
        <f>'June 15 Financial Position'!K62</f>
        <v>449056.88</v>
      </c>
      <c r="I70" s="363"/>
      <c r="J70" s="363">
        <f>H70</f>
        <v>449056.88</v>
      </c>
      <c r="L70" s="363">
        <f>J70</f>
        <v>449056.88</v>
      </c>
      <c r="M70" s="544"/>
      <c r="N70" s="666"/>
      <c r="O70" s="666"/>
    </row>
    <row r="71" spans="1:15" s="85" customFormat="1" ht="21" thickBot="1" x14ac:dyDescent="0.25">
      <c r="A71" s="68"/>
      <c r="B71" s="644"/>
      <c r="C71" s="68"/>
      <c r="E71" s="68" t="s">
        <v>215</v>
      </c>
      <c r="F71" s="68"/>
      <c r="G71" s="480">
        <f>G68+G70</f>
        <v>602976.56000000006</v>
      </c>
      <c r="H71" s="480">
        <f t="shared" ref="H71:J71" si="6">H68+H70</f>
        <v>536694.44000000041</v>
      </c>
      <c r="I71" s="415"/>
      <c r="J71" s="480">
        <f t="shared" si="6"/>
        <v>494564.26999999979</v>
      </c>
      <c r="L71" s="480">
        <f t="shared" ref="L71" si="7">L68+L70</f>
        <v>448956.50999999989</v>
      </c>
      <c r="M71" s="545"/>
      <c r="N71" s="666"/>
      <c r="O71" s="666"/>
    </row>
    <row r="72" spans="1:15" s="66" customFormat="1" ht="6.75" customHeight="1" thickTop="1" x14ac:dyDescent="0.2">
      <c r="A72" s="410"/>
      <c r="B72" s="645"/>
      <c r="C72" s="68"/>
      <c r="D72" s="410"/>
      <c r="E72" s="410"/>
      <c r="F72" s="410"/>
      <c r="G72" s="412"/>
      <c r="H72" s="358"/>
      <c r="I72" s="358"/>
      <c r="J72" s="358"/>
      <c r="L72" s="358"/>
      <c r="M72" s="540"/>
      <c r="N72" s="665"/>
      <c r="O72" s="665"/>
    </row>
    <row r="73" spans="1:15" s="69" customFormat="1" ht="16.5" customHeight="1" x14ac:dyDescent="0.2">
      <c r="A73" s="68"/>
      <c r="B73" s="644"/>
      <c r="D73" s="505"/>
      <c r="E73" s="68"/>
      <c r="G73" s="358"/>
      <c r="H73" s="358"/>
      <c r="I73" s="358"/>
      <c r="J73" s="358"/>
      <c r="M73" s="541"/>
      <c r="N73" s="665"/>
      <c r="O73" s="665"/>
    </row>
    <row r="74" spans="1:15" s="69" customFormat="1" ht="23.25" x14ac:dyDescent="0.2">
      <c r="A74" s="68"/>
      <c r="B74" s="646"/>
      <c r="C74" s="68"/>
      <c r="D74" s="68"/>
      <c r="E74" s="68"/>
      <c r="F74" s="68"/>
      <c r="G74" s="358"/>
      <c r="H74" s="358"/>
      <c r="I74" s="358"/>
      <c r="J74" s="358"/>
      <c r="L74" s="636"/>
      <c r="M74" s="541"/>
      <c r="N74" s="665"/>
      <c r="O74" s="665"/>
    </row>
    <row r="75" spans="1:15" s="69" customFormat="1" ht="20.25" x14ac:dyDescent="0.2">
      <c r="A75" s="68"/>
      <c r="B75" s="644"/>
      <c r="C75" s="68"/>
      <c r="D75" s="68"/>
      <c r="E75" s="68"/>
      <c r="F75" s="68"/>
      <c r="G75" s="358"/>
      <c r="H75" s="358"/>
      <c r="I75" s="358"/>
      <c r="J75" s="358"/>
      <c r="M75" s="541"/>
      <c r="N75" s="665"/>
      <c r="O75" s="665"/>
    </row>
    <row r="76" spans="1:15" s="77" customFormat="1" ht="20.25" x14ac:dyDescent="0.2">
      <c r="A76" s="80"/>
      <c r="B76" s="640"/>
      <c r="C76" s="80"/>
      <c r="D76" s="80"/>
      <c r="F76" s="80"/>
      <c r="G76" s="373"/>
      <c r="H76" s="358"/>
      <c r="I76" s="358"/>
      <c r="J76" s="358"/>
      <c r="M76" s="543"/>
      <c r="N76" s="665"/>
      <c r="O76" s="665"/>
    </row>
    <row r="77" spans="1:15" s="77" customFormat="1" ht="20.25" x14ac:dyDescent="0.2">
      <c r="A77" s="80"/>
      <c r="B77" s="640"/>
      <c r="C77" s="80"/>
      <c r="D77" s="80"/>
      <c r="F77" s="80"/>
      <c r="G77" s="358"/>
      <c r="H77" s="358"/>
      <c r="I77" s="358"/>
      <c r="J77" s="358"/>
      <c r="M77" s="543"/>
      <c r="N77" s="665"/>
      <c r="O77" s="665"/>
    </row>
    <row r="78" spans="1:15" s="77" customFormat="1" ht="20.25" x14ac:dyDescent="0.2">
      <c r="A78" s="80"/>
      <c r="B78" s="640"/>
      <c r="C78" s="80"/>
      <c r="D78" s="80"/>
      <c r="F78" s="80"/>
      <c r="G78" s="358"/>
      <c r="H78" s="358"/>
      <c r="I78" s="358"/>
      <c r="J78" s="358"/>
      <c r="M78" s="543"/>
      <c r="N78" s="665"/>
      <c r="O78" s="665"/>
    </row>
    <row r="79" spans="1:15" s="77" customFormat="1" ht="20.25" x14ac:dyDescent="0.2">
      <c r="A79" s="80"/>
      <c r="B79" s="80"/>
      <c r="C79" s="80"/>
      <c r="D79" s="80"/>
      <c r="F79" s="80"/>
      <c r="G79" s="358"/>
      <c r="H79" s="358"/>
      <c r="I79" s="358"/>
      <c r="J79" s="358"/>
      <c r="M79" s="543"/>
      <c r="N79" s="665"/>
      <c r="O79" s="665"/>
    </row>
    <row r="80" spans="1:15" s="77" customFormat="1" ht="20.25" x14ac:dyDescent="0.2">
      <c r="A80" s="80"/>
      <c r="B80" s="80"/>
      <c r="C80" s="80"/>
      <c r="D80" s="80"/>
      <c r="F80" s="80"/>
      <c r="G80" s="358"/>
      <c r="H80" s="358"/>
      <c r="I80" s="358"/>
      <c r="J80" s="358"/>
      <c r="M80" s="543"/>
      <c r="N80" s="665"/>
      <c r="O80" s="665"/>
    </row>
    <row r="81" spans="1:15" s="77" customFormat="1" ht="20.25" x14ac:dyDescent="0.2">
      <c r="A81" s="80"/>
      <c r="B81" s="80"/>
      <c r="C81" s="80"/>
      <c r="D81" s="80"/>
      <c r="F81" s="80"/>
      <c r="G81" s="358"/>
      <c r="H81" s="358"/>
      <c r="I81" s="358"/>
      <c r="J81" s="358"/>
      <c r="M81" s="543"/>
      <c r="N81" s="665"/>
      <c r="O81" s="665"/>
    </row>
    <row r="82" spans="1:15" s="77" customFormat="1" ht="20.25" x14ac:dyDescent="0.2">
      <c r="A82" s="80"/>
      <c r="B82" s="80"/>
      <c r="C82" s="68"/>
      <c r="D82" s="80"/>
      <c r="F82" s="80"/>
      <c r="G82" s="358"/>
      <c r="H82" s="358"/>
      <c r="I82" s="358"/>
      <c r="J82" s="358"/>
      <c r="M82" s="543"/>
      <c r="N82" s="665"/>
      <c r="O82" s="665"/>
    </row>
    <row r="83" spans="1:15" s="77" customFormat="1" ht="20.25" x14ac:dyDescent="0.2">
      <c r="A83" s="80"/>
      <c r="B83" s="80"/>
      <c r="C83" s="80"/>
      <c r="D83" s="80"/>
      <c r="E83" s="80"/>
      <c r="F83" s="80"/>
      <c r="G83" s="358"/>
      <c r="H83" s="358"/>
      <c r="I83" s="358"/>
      <c r="J83" s="358"/>
      <c r="M83" s="543"/>
      <c r="N83" s="665"/>
      <c r="O83" s="665"/>
    </row>
    <row r="84" spans="1:15" s="77" customFormat="1" ht="20.25" x14ac:dyDescent="0.2">
      <c r="A84" s="80"/>
      <c r="B84" s="80"/>
      <c r="C84" s="68"/>
      <c r="D84" s="68"/>
      <c r="G84" s="358"/>
      <c r="H84" s="358"/>
      <c r="I84" s="358"/>
      <c r="J84" s="358"/>
      <c r="M84" s="543"/>
      <c r="N84" s="665"/>
      <c r="O84" s="665"/>
    </row>
    <row r="85" spans="1:15" s="77" customFormat="1" ht="20.25" x14ac:dyDescent="0.2">
      <c r="A85" s="80"/>
      <c r="B85" s="80"/>
      <c r="C85" s="80"/>
      <c r="D85" s="80"/>
      <c r="E85" s="80"/>
      <c r="F85" s="80"/>
      <c r="G85" s="358"/>
      <c r="H85" s="358"/>
      <c r="I85" s="358"/>
      <c r="J85" s="358"/>
      <c r="M85" s="543"/>
      <c r="N85" s="665"/>
      <c r="O85" s="665"/>
    </row>
    <row r="86" spans="1:15" s="77" customFormat="1" ht="20.25" x14ac:dyDescent="0.2">
      <c r="A86" s="80"/>
      <c r="B86" s="80"/>
      <c r="C86" s="80"/>
      <c r="D86" s="80"/>
      <c r="E86" s="80"/>
      <c r="F86" s="80"/>
      <c r="G86" s="358"/>
      <c r="H86" s="358"/>
      <c r="I86" s="358"/>
      <c r="J86" s="358"/>
      <c r="M86" s="543"/>
      <c r="N86" s="665"/>
      <c r="O86" s="665"/>
    </row>
    <row r="87" spans="1:15" s="77" customFormat="1" ht="20.25" x14ac:dyDescent="0.2">
      <c r="A87" s="80"/>
      <c r="B87" s="80"/>
      <c r="C87" s="80"/>
      <c r="D87" s="80"/>
      <c r="E87" s="80"/>
      <c r="F87" s="80"/>
      <c r="G87" s="358"/>
      <c r="H87" s="358"/>
      <c r="I87" s="358"/>
      <c r="J87" s="358"/>
      <c r="M87" s="543"/>
      <c r="N87" s="665"/>
      <c r="O87" s="665"/>
    </row>
    <row r="88" spans="1:15" s="77" customFormat="1" ht="20.25" x14ac:dyDescent="0.2">
      <c r="A88" s="80"/>
      <c r="B88" s="80"/>
      <c r="C88" s="80"/>
      <c r="D88" s="80"/>
      <c r="E88" s="80"/>
      <c r="F88" s="80"/>
      <c r="G88" s="358"/>
      <c r="H88" s="358"/>
      <c r="I88" s="358"/>
      <c r="J88" s="358"/>
      <c r="M88" s="543"/>
      <c r="N88" s="665"/>
      <c r="O88" s="665"/>
    </row>
    <row r="89" spans="1:15" s="77" customFormat="1" ht="20.25" x14ac:dyDescent="0.2">
      <c r="A89" s="80"/>
      <c r="B89" s="80"/>
      <c r="C89" s="68"/>
      <c r="D89" s="80"/>
      <c r="F89" s="80"/>
      <c r="G89" s="358"/>
      <c r="H89" s="358"/>
      <c r="I89" s="358"/>
      <c r="J89" s="358"/>
      <c r="M89" s="543"/>
      <c r="N89" s="665"/>
      <c r="O89" s="665"/>
    </row>
    <row r="90" spans="1:15" s="77" customFormat="1" ht="20.25" x14ac:dyDescent="0.2">
      <c r="A90" s="80"/>
      <c r="B90" s="80"/>
      <c r="C90" s="80"/>
      <c r="D90" s="80"/>
      <c r="E90" s="80"/>
      <c r="F90" s="80"/>
      <c r="G90" s="358"/>
      <c r="H90" s="358"/>
      <c r="I90" s="358"/>
      <c r="J90" s="358"/>
      <c r="M90" s="543"/>
      <c r="N90" s="665"/>
      <c r="O90" s="665"/>
    </row>
    <row r="91" spans="1:15" s="69" customFormat="1" ht="20.25" x14ac:dyDescent="0.2">
      <c r="A91" s="68"/>
      <c r="B91" s="68"/>
      <c r="C91" s="68"/>
      <c r="D91" s="68"/>
      <c r="E91" s="68"/>
      <c r="F91" s="68"/>
      <c r="G91" s="363"/>
      <c r="H91" s="363"/>
      <c r="I91" s="363"/>
      <c r="J91" s="363"/>
      <c r="M91" s="541"/>
    </row>
    <row r="92" spans="1:15" s="69" customFormat="1" ht="20.25" x14ac:dyDescent="0.2">
      <c r="A92" s="68"/>
      <c r="B92" s="68"/>
      <c r="C92" s="68"/>
      <c r="D92" s="68"/>
      <c r="E92" s="68"/>
      <c r="F92" s="68"/>
      <c r="G92" s="363"/>
      <c r="H92" s="363"/>
      <c r="I92" s="363"/>
      <c r="J92" s="363"/>
      <c r="M92" s="541"/>
    </row>
    <row r="93" spans="1:15" s="69" customFormat="1" ht="23.25" x14ac:dyDescent="0.2">
      <c r="A93" s="68"/>
      <c r="B93" s="413"/>
      <c r="C93" s="68"/>
      <c r="D93" s="68"/>
      <c r="E93" s="68"/>
      <c r="F93" s="68"/>
      <c r="G93" s="358"/>
      <c r="H93" s="358"/>
      <c r="I93" s="358"/>
      <c r="J93" s="358"/>
      <c r="M93" s="541"/>
    </row>
    <row r="94" spans="1:15" s="77" customFormat="1" ht="20.25" x14ac:dyDescent="0.2">
      <c r="A94" s="80"/>
      <c r="B94" s="80"/>
      <c r="D94" s="80"/>
      <c r="E94" s="80"/>
      <c r="F94" s="80"/>
      <c r="G94" s="358"/>
      <c r="H94" s="358"/>
      <c r="I94" s="358"/>
      <c r="J94" s="358"/>
      <c r="M94" s="543"/>
    </row>
    <row r="95" spans="1:15" s="77" customFormat="1" ht="20.25" x14ac:dyDescent="0.2">
      <c r="A95" s="80"/>
      <c r="B95" s="80"/>
      <c r="D95" s="80"/>
      <c r="E95" s="80"/>
      <c r="F95" s="80"/>
      <c r="G95" s="358"/>
      <c r="H95" s="358"/>
      <c r="I95" s="358"/>
      <c r="J95" s="358"/>
      <c r="M95" s="543"/>
    </row>
    <row r="96" spans="1:15" s="69" customFormat="1" ht="20.25" x14ac:dyDescent="0.2">
      <c r="A96" s="68"/>
      <c r="B96" s="68"/>
      <c r="D96" s="80"/>
      <c r="E96" s="68"/>
      <c r="F96" s="68"/>
      <c r="G96" s="358"/>
      <c r="H96" s="358"/>
      <c r="I96" s="358"/>
      <c r="J96" s="358"/>
      <c r="M96" s="541"/>
    </row>
    <row r="97" spans="1:13" s="69" customFormat="1" ht="23.25" x14ac:dyDescent="0.2">
      <c r="A97" s="68"/>
      <c r="B97" s="413"/>
      <c r="C97" s="68"/>
      <c r="D97" s="68"/>
      <c r="E97" s="68"/>
      <c r="F97" s="68"/>
      <c r="G97" s="363"/>
      <c r="H97" s="363"/>
      <c r="I97" s="363"/>
      <c r="J97" s="363"/>
      <c r="M97" s="541"/>
    </row>
    <row r="98" spans="1:13" s="69" customFormat="1" ht="20.25" x14ac:dyDescent="0.2">
      <c r="A98" s="68"/>
      <c r="B98" s="68"/>
      <c r="C98" s="68"/>
      <c r="D98" s="68"/>
      <c r="E98" s="68"/>
      <c r="F98" s="68"/>
      <c r="G98" s="358"/>
      <c r="H98" s="358"/>
      <c r="I98" s="358"/>
      <c r="J98" s="358"/>
      <c r="M98" s="541"/>
    </row>
    <row r="99" spans="1:13" s="83" customFormat="1" ht="26.25" x14ac:dyDescent="0.2">
      <c r="A99" s="410"/>
      <c r="B99" s="410"/>
      <c r="C99" s="410"/>
      <c r="D99" s="410"/>
      <c r="E99" s="410"/>
      <c r="F99" s="410"/>
      <c r="G99" s="411"/>
      <c r="H99" s="363"/>
      <c r="I99" s="363"/>
      <c r="J99" s="363"/>
      <c r="M99" s="544"/>
    </row>
    <row r="100" spans="1:13" s="18" customFormat="1" ht="20.25" x14ac:dyDescent="0.3">
      <c r="A100" s="123"/>
      <c r="B100" s="123"/>
      <c r="C100" s="123"/>
      <c r="D100" s="123"/>
      <c r="E100" s="123"/>
      <c r="F100" s="123"/>
      <c r="G100" s="414"/>
      <c r="H100" s="419"/>
      <c r="I100" s="419"/>
      <c r="J100" s="419"/>
      <c r="M100" s="546"/>
    </row>
    <row r="101" spans="1:13" ht="20.25" x14ac:dyDescent="0.3">
      <c r="H101" s="419"/>
      <c r="I101" s="419"/>
      <c r="J101" s="419"/>
    </row>
    <row r="102" spans="1:13" ht="20.25" x14ac:dyDescent="0.3">
      <c r="H102" s="419"/>
      <c r="I102" s="419"/>
      <c r="J102" s="419"/>
    </row>
    <row r="103" spans="1:13" ht="20.25" x14ac:dyDescent="0.3">
      <c r="H103" s="416"/>
      <c r="I103" s="416"/>
      <c r="J103" s="416"/>
    </row>
  </sheetData>
  <mergeCells count="3">
    <mergeCell ref="D12:F12"/>
    <mergeCell ref="H6:J6"/>
    <mergeCell ref="N8:O8"/>
  </mergeCells>
  <pageMargins left="0.2" right="0.2" top="0.5" bottom="0.25" header="0.3" footer="0.3"/>
  <pageSetup scale="4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76"/>
  <sheetViews>
    <sheetView zoomScale="75" zoomScaleNormal="75" workbookViewId="0">
      <selection sqref="A1:N47"/>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370" hidden="1" customWidth="1"/>
    <col min="8" max="8" width="23.125" style="18" hidden="1" customWidth="1"/>
    <col min="9" max="9" width="1.625" style="18" hidden="1" customWidth="1"/>
    <col min="10" max="10" width="23.125" style="18" customWidth="1"/>
    <col min="11" max="11" width="1.625" style="18" customWidth="1"/>
    <col min="12" max="12" width="23.125" style="18" customWidth="1"/>
    <col min="13" max="13" width="2.125" style="18" customWidth="1"/>
    <col min="14" max="14" width="21.625" style="18" customWidth="1"/>
    <col min="15" max="62" width="9" style="18"/>
    <col min="256" max="256" width="2.875" customWidth="1"/>
    <col min="257" max="257" width="8.125" customWidth="1"/>
    <col min="258" max="258" width="8.75" customWidth="1"/>
    <col min="259" max="259" width="11" customWidth="1"/>
    <col min="260" max="260" width="2.875" customWidth="1"/>
    <col min="261" max="261" width="77.625" customWidth="1"/>
    <col min="262" max="262" width="20.875" customWidth="1"/>
    <col min="512" max="512" width="2.875" customWidth="1"/>
    <col min="513" max="513" width="8.125" customWidth="1"/>
    <col min="514" max="514" width="8.75" customWidth="1"/>
    <col min="515" max="515" width="11" customWidth="1"/>
    <col min="516" max="516" width="2.875" customWidth="1"/>
    <col min="517" max="517" width="77.625" customWidth="1"/>
    <col min="518" max="518" width="20.875" customWidth="1"/>
    <col min="768" max="768" width="2.875" customWidth="1"/>
    <col min="769" max="769" width="8.125" customWidth="1"/>
    <col min="770" max="770" width="8.75" customWidth="1"/>
    <col min="771" max="771" width="11" customWidth="1"/>
    <col min="772" max="772" width="2.875" customWidth="1"/>
    <col min="773" max="773" width="77.625" customWidth="1"/>
    <col min="774" max="774" width="20.875" customWidth="1"/>
    <col min="1024" max="1024" width="2.875" customWidth="1"/>
    <col min="1025" max="1025" width="8.125" customWidth="1"/>
    <col min="1026" max="1026" width="8.75" customWidth="1"/>
    <col min="1027" max="1027" width="11" customWidth="1"/>
    <col min="1028" max="1028" width="2.875" customWidth="1"/>
    <col min="1029" max="1029" width="77.625" customWidth="1"/>
    <col min="1030" max="1030" width="20.875" customWidth="1"/>
    <col min="1280" max="1280" width="2.875" customWidth="1"/>
    <col min="1281" max="1281" width="8.125" customWidth="1"/>
    <col min="1282" max="1282" width="8.75" customWidth="1"/>
    <col min="1283" max="1283" width="11" customWidth="1"/>
    <col min="1284" max="1284" width="2.875" customWidth="1"/>
    <col min="1285" max="1285" width="77.625" customWidth="1"/>
    <col min="1286" max="1286" width="20.875" customWidth="1"/>
    <col min="1536" max="1536" width="2.875" customWidth="1"/>
    <col min="1537" max="1537" width="8.125" customWidth="1"/>
    <col min="1538" max="1538" width="8.75" customWidth="1"/>
    <col min="1539" max="1539" width="11" customWidth="1"/>
    <col min="1540" max="1540" width="2.875" customWidth="1"/>
    <col min="1541" max="1541" width="77.625" customWidth="1"/>
    <col min="1542" max="1542" width="20.875" customWidth="1"/>
    <col min="1792" max="1792" width="2.875" customWidth="1"/>
    <col min="1793" max="1793" width="8.125" customWidth="1"/>
    <col min="1794" max="1794" width="8.75" customWidth="1"/>
    <col min="1795" max="1795" width="11" customWidth="1"/>
    <col min="1796" max="1796" width="2.875" customWidth="1"/>
    <col min="1797" max="1797" width="77.625" customWidth="1"/>
    <col min="1798" max="1798" width="20.875" customWidth="1"/>
    <col min="2048" max="2048" width="2.875" customWidth="1"/>
    <col min="2049" max="2049" width="8.125" customWidth="1"/>
    <col min="2050" max="2050" width="8.75" customWidth="1"/>
    <col min="2051" max="2051" width="11" customWidth="1"/>
    <col min="2052" max="2052" width="2.875" customWidth="1"/>
    <col min="2053" max="2053" width="77.625" customWidth="1"/>
    <col min="2054" max="2054" width="20.875" customWidth="1"/>
    <col min="2304" max="2304" width="2.875" customWidth="1"/>
    <col min="2305" max="2305" width="8.125" customWidth="1"/>
    <col min="2306" max="2306" width="8.75" customWidth="1"/>
    <col min="2307" max="2307" width="11" customWidth="1"/>
    <col min="2308" max="2308" width="2.875" customWidth="1"/>
    <col min="2309" max="2309" width="77.625" customWidth="1"/>
    <col min="2310" max="2310" width="20.875" customWidth="1"/>
    <col min="2560" max="2560" width="2.875" customWidth="1"/>
    <col min="2561" max="2561" width="8.125" customWidth="1"/>
    <col min="2562" max="2562" width="8.75" customWidth="1"/>
    <col min="2563" max="2563" width="11" customWidth="1"/>
    <col min="2564" max="2564" width="2.875" customWidth="1"/>
    <col min="2565" max="2565" width="77.625" customWidth="1"/>
    <col min="2566" max="2566" width="20.875" customWidth="1"/>
    <col min="2816" max="2816" width="2.875" customWidth="1"/>
    <col min="2817" max="2817" width="8.125" customWidth="1"/>
    <col min="2818" max="2818" width="8.75" customWidth="1"/>
    <col min="2819" max="2819" width="11" customWidth="1"/>
    <col min="2820" max="2820" width="2.875" customWidth="1"/>
    <col min="2821" max="2821" width="77.625" customWidth="1"/>
    <col min="2822" max="2822" width="20.875" customWidth="1"/>
    <col min="3072" max="3072" width="2.875" customWidth="1"/>
    <col min="3073" max="3073" width="8.125" customWidth="1"/>
    <col min="3074" max="3074" width="8.75" customWidth="1"/>
    <col min="3075" max="3075" width="11" customWidth="1"/>
    <col min="3076" max="3076" width="2.875" customWidth="1"/>
    <col min="3077" max="3077" width="77.625" customWidth="1"/>
    <col min="3078" max="3078" width="20.875" customWidth="1"/>
    <col min="3328" max="3328" width="2.875" customWidth="1"/>
    <col min="3329" max="3329" width="8.125" customWidth="1"/>
    <col min="3330" max="3330" width="8.75" customWidth="1"/>
    <col min="3331" max="3331" width="11" customWidth="1"/>
    <col min="3332" max="3332" width="2.875" customWidth="1"/>
    <col min="3333" max="3333" width="77.625" customWidth="1"/>
    <col min="3334" max="3334" width="20.875" customWidth="1"/>
    <col min="3584" max="3584" width="2.875" customWidth="1"/>
    <col min="3585" max="3585" width="8.125" customWidth="1"/>
    <col min="3586" max="3586" width="8.75" customWidth="1"/>
    <col min="3587" max="3587" width="11" customWidth="1"/>
    <col min="3588" max="3588" width="2.875" customWidth="1"/>
    <col min="3589" max="3589" width="77.625" customWidth="1"/>
    <col min="3590" max="3590" width="20.875" customWidth="1"/>
    <col min="3840" max="3840" width="2.875" customWidth="1"/>
    <col min="3841" max="3841" width="8.125" customWidth="1"/>
    <col min="3842" max="3842" width="8.75" customWidth="1"/>
    <col min="3843" max="3843" width="11" customWidth="1"/>
    <col min="3844" max="3844" width="2.875" customWidth="1"/>
    <col min="3845" max="3845" width="77.625" customWidth="1"/>
    <col min="3846" max="3846" width="20.875" customWidth="1"/>
    <col min="4096" max="4096" width="2.875" customWidth="1"/>
    <col min="4097" max="4097" width="8.125" customWidth="1"/>
    <col min="4098" max="4098" width="8.75" customWidth="1"/>
    <col min="4099" max="4099" width="11" customWidth="1"/>
    <col min="4100" max="4100" width="2.875" customWidth="1"/>
    <col min="4101" max="4101" width="77.625" customWidth="1"/>
    <col min="4102" max="4102" width="20.875" customWidth="1"/>
    <col min="4352" max="4352" width="2.875" customWidth="1"/>
    <col min="4353" max="4353" width="8.125" customWidth="1"/>
    <col min="4354" max="4354" width="8.75" customWidth="1"/>
    <col min="4355" max="4355" width="11" customWidth="1"/>
    <col min="4356" max="4356" width="2.875" customWidth="1"/>
    <col min="4357" max="4357" width="77.625" customWidth="1"/>
    <col min="4358" max="4358" width="20.875" customWidth="1"/>
    <col min="4608" max="4608" width="2.875" customWidth="1"/>
    <col min="4609" max="4609" width="8.125" customWidth="1"/>
    <col min="4610" max="4610" width="8.75" customWidth="1"/>
    <col min="4611" max="4611" width="11" customWidth="1"/>
    <col min="4612" max="4612" width="2.875" customWidth="1"/>
    <col min="4613" max="4613" width="77.625" customWidth="1"/>
    <col min="4614" max="4614" width="20.875" customWidth="1"/>
    <col min="4864" max="4864" width="2.875" customWidth="1"/>
    <col min="4865" max="4865" width="8.125" customWidth="1"/>
    <col min="4866" max="4866" width="8.75" customWidth="1"/>
    <col min="4867" max="4867" width="11" customWidth="1"/>
    <col min="4868" max="4868" width="2.875" customWidth="1"/>
    <col min="4869" max="4869" width="77.625" customWidth="1"/>
    <col min="4870" max="4870" width="20.875" customWidth="1"/>
    <col min="5120" max="5120" width="2.875" customWidth="1"/>
    <col min="5121" max="5121" width="8.125" customWidth="1"/>
    <col min="5122" max="5122" width="8.75" customWidth="1"/>
    <col min="5123" max="5123" width="11" customWidth="1"/>
    <col min="5124" max="5124" width="2.875" customWidth="1"/>
    <col min="5125" max="5125" width="77.625" customWidth="1"/>
    <col min="5126" max="5126" width="20.875" customWidth="1"/>
    <col min="5376" max="5376" width="2.875" customWidth="1"/>
    <col min="5377" max="5377" width="8.125" customWidth="1"/>
    <col min="5378" max="5378" width="8.75" customWidth="1"/>
    <col min="5379" max="5379" width="11" customWidth="1"/>
    <col min="5380" max="5380" width="2.875" customWidth="1"/>
    <col min="5381" max="5381" width="77.625" customWidth="1"/>
    <col min="5382" max="5382" width="20.875" customWidth="1"/>
    <col min="5632" max="5632" width="2.875" customWidth="1"/>
    <col min="5633" max="5633" width="8.125" customWidth="1"/>
    <col min="5634" max="5634" width="8.75" customWidth="1"/>
    <col min="5635" max="5635" width="11" customWidth="1"/>
    <col min="5636" max="5636" width="2.875" customWidth="1"/>
    <col min="5637" max="5637" width="77.625" customWidth="1"/>
    <col min="5638" max="5638" width="20.875" customWidth="1"/>
    <col min="5888" max="5888" width="2.875" customWidth="1"/>
    <col min="5889" max="5889" width="8.125" customWidth="1"/>
    <col min="5890" max="5890" width="8.75" customWidth="1"/>
    <col min="5891" max="5891" width="11" customWidth="1"/>
    <col min="5892" max="5892" width="2.875" customWidth="1"/>
    <col min="5893" max="5893" width="77.625" customWidth="1"/>
    <col min="5894" max="5894" width="20.875" customWidth="1"/>
    <col min="6144" max="6144" width="2.875" customWidth="1"/>
    <col min="6145" max="6145" width="8.125" customWidth="1"/>
    <col min="6146" max="6146" width="8.75" customWidth="1"/>
    <col min="6147" max="6147" width="11" customWidth="1"/>
    <col min="6148" max="6148" width="2.875" customWidth="1"/>
    <col min="6149" max="6149" width="77.625" customWidth="1"/>
    <col min="6150" max="6150" width="20.875" customWidth="1"/>
    <col min="6400" max="6400" width="2.875" customWidth="1"/>
    <col min="6401" max="6401" width="8.125" customWidth="1"/>
    <col min="6402" max="6402" width="8.75" customWidth="1"/>
    <col min="6403" max="6403" width="11" customWidth="1"/>
    <col min="6404" max="6404" width="2.875" customWidth="1"/>
    <col min="6405" max="6405" width="77.625" customWidth="1"/>
    <col min="6406" max="6406" width="20.875" customWidth="1"/>
    <col min="6656" max="6656" width="2.875" customWidth="1"/>
    <col min="6657" max="6657" width="8.125" customWidth="1"/>
    <col min="6658" max="6658" width="8.75" customWidth="1"/>
    <col min="6659" max="6659" width="11" customWidth="1"/>
    <col min="6660" max="6660" width="2.875" customWidth="1"/>
    <col min="6661" max="6661" width="77.625" customWidth="1"/>
    <col min="6662" max="6662" width="20.875" customWidth="1"/>
    <col min="6912" max="6912" width="2.875" customWidth="1"/>
    <col min="6913" max="6913" width="8.125" customWidth="1"/>
    <col min="6914" max="6914" width="8.75" customWidth="1"/>
    <col min="6915" max="6915" width="11" customWidth="1"/>
    <col min="6916" max="6916" width="2.875" customWidth="1"/>
    <col min="6917" max="6917" width="77.625" customWidth="1"/>
    <col min="6918" max="6918" width="20.875" customWidth="1"/>
    <col min="7168" max="7168" width="2.875" customWidth="1"/>
    <col min="7169" max="7169" width="8.125" customWidth="1"/>
    <col min="7170" max="7170" width="8.75" customWidth="1"/>
    <col min="7171" max="7171" width="11" customWidth="1"/>
    <col min="7172" max="7172" width="2.875" customWidth="1"/>
    <col min="7173" max="7173" width="77.625" customWidth="1"/>
    <col min="7174" max="7174" width="20.875" customWidth="1"/>
    <col min="7424" max="7424" width="2.875" customWidth="1"/>
    <col min="7425" max="7425" width="8.125" customWidth="1"/>
    <col min="7426" max="7426" width="8.75" customWidth="1"/>
    <col min="7427" max="7427" width="11" customWidth="1"/>
    <col min="7428" max="7428" width="2.875" customWidth="1"/>
    <col min="7429" max="7429" width="77.625" customWidth="1"/>
    <col min="7430" max="7430" width="20.875" customWidth="1"/>
    <col min="7680" max="7680" width="2.875" customWidth="1"/>
    <col min="7681" max="7681" width="8.125" customWidth="1"/>
    <col min="7682" max="7682" width="8.75" customWidth="1"/>
    <col min="7683" max="7683" width="11" customWidth="1"/>
    <col min="7684" max="7684" width="2.875" customWidth="1"/>
    <col min="7685" max="7685" width="77.625" customWidth="1"/>
    <col min="7686" max="7686" width="20.875" customWidth="1"/>
    <col min="7936" max="7936" width="2.875" customWidth="1"/>
    <col min="7937" max="7937" width="8.125" customWidth="1"/>
    <col min="7938" max="7938" width="8.75" customWidth="1"/>
    <col min="7939" max="7939" width="11" customWidth="1"/>
    <col min="7940" max="7940" width="2.875" customWidth="1"/>
    <col min="7941" max="7941" width="77.625" customWidth="1"/>
    <col min="7942" max="7942" width="20.875" customWidth="1"/>
    <col min="8192" max="8192" width="2.875" customWidth="1"/>
    <col min="8193" max="8193" width="8.125" customWidth="1"/>
    <col min="8194" max="8194" width="8.75" customWidth="1"/>
    <col min="8195" max="8195" width="11" customWidth="1"/>
    <col min="8196" max="8196" width="2.875" customWidth="1"/>
    <col min="8197" max="8197" width="77.625" customWidth="1"/>
    <col min="8198" max="8198" width="20.875" customWidth="1"/>
    <col min="8448" max="8448" width="2.875" customWidth="1"/>
    <col min="8449" max="8449" width="8.125" customWidth="1"/>
    <col min="8450" max="8450" width="8.75" customWidth="1"/>
    <col min="8451" max="8451" width="11" customWidth="1"/>
    <col min="8452" max="8452" width="2.875" customWidth="1"/>
    <col min="8453" max="8453" width="77.625" customWidth="1"/>
    <col min="8454" max="8454" width="20.875" customWidth="1"/>
    <col min="8704" max="8704" width="2.875" customWidth="1"/>
    <col min="8705" max="8705" width="8.125" customWidth="1"/>
    <col min="8706" max="8706" width="8.75" customWidth="1"/>
    <col min="8707" max="8707" width="11" customWidth="1"/>
    <col min="8708" max="8708" width="2.875" customWidth="1"/>
    <col min="8709" max="8709" width="77.625" customWidth="1"/>
    <col min="8710" max="8710" width="20.875" customWidth="1"/>
    <col min="8960" max="8960" width="2.875" customWidth="1"/>
    <col min="8961" max="8961" width="8.125" customWidth="1"/>
    <col min="8962" max="8962" width="8.75" customWidth="1"/>
    <col min="8963" max="8963" width="11" customWidth="1"/>
    <col min="8964" max="8964" width="2.875" customWidth="1"/>
    <col min="8965" max="8965" width="77.625" customWidth="1"/>
    <col min="8966" max="8966" width="20.875" customWidth="1"/>
    <col min="9216" max="9216" width="2.875" customWidth="1"/>
    <col min="9217" max="9217" width="8.125" customWidth="1"/>
    <col min="9218" max="9218" width="8.75" customWidth="1"/>
    <col min="9219" max="9219" width="11" customWidth="1"/>
    <col min="9220" max="9220" width="2.875" customWidth="1"/>
    <col min="9221" max="9221" width="77.625" customWidth="1"/>
    <col min="9222" max="9222" width="20.875" customWidth="1"/>
    <col min="9472" max="9472" width="2.875" customWidth="1"/>
    <col min="9473" max="9473" width="8.125" customWidth="1"/>
    <col min="9474" max="9474" width="8.75" customWidth="1"/>
    <col min="9475" max="9475" width="11" customWidth="1"/>
    <col min="9476" max="9476" width="2.875" customWidth="1"/>
    <col min="9477" max="9477" width="77.625" customWidth="1"/>
    <col min="9478" max="9478" width="20.875" customWidth="1"/>
    <col min="9728" max="9728" width="2.875" customWidth="1"/>
    <col min="9729" max="9729" width="8.125" customWidth="1"/>
    <col min="9730" max="9730" width="8.75" customWidth="1"/>
    <col min="9731" max="9731" width="11" customWidth="1"/>
    <col min="9732" max="9732" width="2.875" customWidth="1"/>
    <col min="9733" max="9733" width="77.625" customWidth="1"/>
    <col min="9734" max="9734" width="20.875" customWidth="1"/>
    <col min="9984" max="9984" width="2.875" customWidth="1"/>
    <col min="9985" max="9985" width="8.125" customWidth="1"/>
    <col min="9986" max="9986" width="8.75" customWidth="1"/>
    <col min="9987" max="9987" width="11" customWidth="1"/>
    <col min="9988" max="9988" width="2.875" customWidth="1"/>
    <col min="9989" max="9989" width="77.625" customWidth="1"/>
    <col min="9990" max="9990" width="20.875" customWidth="1"/>
    <col min="10240" max="10240" width="2.875" customWidth="1"/>
    <col min="10241" max="10241" width="8.125" customWidth="1"/>
    <col min="10242" max="10242" width="8.75" customWidth="1"/>
    <col min="10243" max="10243" width="11" customWidth="1"/>
    <col min="10244" max="10244" width="2.875" customWidth="1"/>
    <col min="10245" max="10245" width="77.625" customWidth="1"/>
    <col min="10246" max="10246" width="20.875" customWidth="1"/>
    <col min="10496" max="10496" width="2.875" customWidth="1"/>
    <col min="10497" max="10497" width="8.125" customWidth="1"/>
    <col min="10498" max="10498" width="8.75" customWidth="1"/>
    <col min="10499" max="10499" width="11" customWidth="1"/>
    <col min="10500" max="10500" width="2.875" customWidth="1"/>
    <col min="10501" max="10501" width="77.625" customWidth="1"/>
    <col min="10502" max="10502" width="20.875" customWidth="1"/>
    <col min="10752" max="10752" width="2.875" customWidth="1"/>
    <col min="10753" max="10753" width="8.125" customWidth="1"/>
    <col min="10754" max="10754" width="8.75" customWidth="1"/>
    <col min="10755" max="10755" width="11" customWidth="1"/>
    <col min="10756" max="10756" width="2.875" customWidth="1"/>
    <col min="10757" max="10757" width="77.625" customWidth="1"/>
    <col min="10758" max="10758" width="20.875" customWidth="1"/>
    <col min="11008" max="11008" width="2.875" customWidth="1"/>
    <col min="11009" max="11009" width="8.125" customWidth="1"/>
    <col min="11010" max="11010" width="8.75" customWidth="1"/>
    <col min="11011" max="11011" width="11" customWidth="1"/>
    <col min="11012" max="11012" width="2.875" customWidth="1"/>
    <col min="11013" max="11013" width="77.625" customWidth="1"/>
    <col min="11014" max="11014" width="20.875" customWidth="1"/>
    <col min="11264" max="11264" width="2.875" customWidth="1"/>
    <col min="11265" max="11265" width="8.125" customWidth="1"/>
    <col min="11266" max="11266" width="8.75" customWidth="1"/>
    <col min="11267" max="11267" width="11" customWidth="1"/>
    <col min="11268" max="11268" width="2.875" customWidth="1"/>
    <col min="11269" max="11269" width="77.625" customWidth="1"/>
    <col min="11270" max="11270" width="20.875" customWidth="1"/>
    <col min="11520" max="11520" width="2.875" customWidth="1"/>
    <col min="11521" max="11521" width="8.125" customWidth="1"/>
    <col min="11522" max="11522" width="8.75" customWidth="1"/>
    <col min="11523" max="11523" width="11" customWidth="1"/>
    <col min="11524" max="11524" width="2.875" customWidth="1"/>
    <col min="11525" max="11525" width="77.625" customWidth="1"/>
    <col min="11526" max="11526" width="20.875" customWidth="1"/>
    <col min="11776" max="11776" width="2.875" customWidth="1"/>
    <col min="11777" max="11777" width="8.125" customWidth="1"/>
    <col min="11778" max="11778" width="8.75" customWidth="1"/>
    <col min="11779" max="11779" width="11" customWidth="1"/>
    <col min="11780" max="11780" width="2.875" customWidth="1"/>
    <col min="11781" max="11781" width="77.625" customWidth="1"/>
    <col min="11782" max="11782" width="20.875" customWidth="1"/>
    <col min="12032" max="12032" width="2.875" customWidth="1"/>
    <col min="12033" max="12033" width="8.125" customWidth="1"/>
    <col min="12034" max="12034" width="8.75" customWidth="1"/>
    <col min="12035" max="12035" width="11" customWidth="1"/>
    <col min="12036" max="12036" width="2.875" customWidth="1"/>
    <col min="12037" max="12037" width="77.625" customWidth="1"/>
    <col min="12038" max="12038" width="20.875" customWidth="1"/>
    <col min="12288" max="12288" width="2.875" customWidth="1"/>
    <col min="12289" max="12289" width="8.125" customWidth="1"/>
    <col min="12290" max="12290" width="8.75" customWidth="1"/>
    <col min="12291" max="12291" width="11" customWidth="1"/>
    <col min="12292" max="12292" width="2.875" customWidth="1"/>
    <col min="12293" max="12293" width="77.625" customWidth="1"/>
    <col min="12294" max="12294" width="20.875" customWidth="1"/>
    <col min="12544" max="12544" width="2.875" customWidth="1"/>
    <col min="12545" max="12545" width="8.125" customWidth="1"/>
    <col min="12546" max="12546" width="8.75" customWidth="1"/>
    <col min="12547" max="12547" width="11" customWidth="1"/>
    <col min="12548" max="12548" width="2.875" customWidth="1"/>
    <col min="12549" max="12549" width="77.625" customWidth="1"/>
    <col min="12550" max="12550" width="20.875" customWidth="1"/>
    <col min="12800" max="12800" width="2.875" customWidth="1"/>
    <col min="12801" max="12801" width="8.125" customWidth="1"/>
    <col min="12802" max="12802" width="8.75" customWidth="1"/>
    <col min="12803" max="12803" width="11" customWidth="1"/>
    <col min="12804" max="12804" width="2.875" customWidth="1"/>
    <col min="12805" max="12805" width="77.625" customWidth="1"/>
    <col min="12806" max="12806" width="20.875" customWidth="1"/>
    <col min="13056" max="13056" width="2.875" customWidth="1"/>
    <col min="13057" max="13057" width="8.125" customWidth="1"/>
    <col min="13058" max="13058" width="8.75" customWidth="1"/>
    <col min="13059" max="13059" width="11" customWidth="1"/>
    <col min="13060" max="13060" width="2.875" customWidth="1"/>
    <col min="13061" max="13061" width="77.625" customWidth="1"/>
    <col min="13062" max="13062" width="20.875" customWidth="1"/>
    <col min="13312" max="13312" width="2.875" customWidth="1"/>
    <col min="13313" max="13313" width="8.125" customWidth="1"/>
    <col min="13314" max="13314" width="8.75" customWidth="1"/>
    <col min="13315" max="13315" width="11" customWidth="1"/>
    <col min="13316" max="13316" width="2.875" customWidth="1"/>
    <col min="13317" max="13317" width="77.625" customWidth="1"/>
    <col min="13318" max="13318" width="20.875" customWidth="1"/>
    <col min="13568" max="13568" width="2.875" customWidth="1"/>
    <col min="13569" max="13569" width="8.125" customWidth="1"/>
    <col min="13570" max="13570" width="8.75" customWidth="1"/>
    <col min="13571" max="13571" width="11" customWidth="1"/>
    <col min="13572" max="13572" width="2.875" customWidth="1"/>
    <col min="13573" max="13573" width="77.625" customWidth="1"/>
    <col min="13574" max="13574" width="20.875" customWidth="1"/>
    <col min="13824" max="13824" width="2.875" customWidth="1"/>
    <col min="13825" max="13825" width="8.125" customWidth="1"/>
    <col min="13826" max="13826" width="8.75" customWidth="1"/>
    <col min="13827" max="13827" width="11" customWidth="1"/>
    <col min="13828" max="13828" width="2.875" customWidth="1"/>
    <col min="13829" max="13829" width="77.625" customWidth="1"/>
    <col min="13830" max="13830" width="20.875" customWidth="1"/>
    <col min="14080" max="14080" width="2.875" customWidth="1"/>
    <col min="14081" max="14081" width="8.125" customWidth="1"/>
    <col min="14082" max="14082" width="8.75" customWidth="1"/>
    <col min="14083" max="14083" width="11" customWidth="1"/>
    <col min="14084" max="14084" width="2.875" customWidth="1"/>
    <col min="14085" max="14085" width="77.625" customWidth="1"/>
    <col min="14086" max="14086" width="20.875" customWidth="1"/>
    <col min="14336" max="14336" width="2.875" customWidth="1"/>
    <col min="14337" max="14337" width="8.125" customWidth="1"/>
    <col min="14338" max="14338" width="8.75" customWidth="1"/>
    <col min="14339" max="14339" width="11" customWidth="1"/>
    <col min="14340" max="14340" width="2.875" customWidth="1"/>
    <col min="14341" max="14341" width="77.625" customWidth="1"/>
    <col min="14342" max="14342" width="20.875" customWidth="1"/>
    <col min="14592" max="14592" width="2.875" customWidth="1"/>
    <col min="14593" max="14593" width="8.125" customWidth="1"/>
    <col min="14594" max="14594" width="8.75" customWidth="1"/>
    <col min="14595" max="14595" width="11" customWidth="1"/>
    <col min="14596" max="14596" width="2.875" customWidth="1"/>
    <col min="14597" max="14597" width="77.625" customWidth="1"/>
    <col min="14598" max="14598" width="20.875" customWidth="1"/>
    <col min="14848" max="14848" width="2.875" customWidth="1"/>
    <col min="14849" max="14849" width="8.125" customWidth="1"/>
    <col min="14850" max="14850" width="8.75" customWidth="1"/>
    <col min="14851" max="14851" width="11" customWidth="1"/>
    <col min="14852" max="14852" width="2.875" customWidth="1"/>
    <col min="14853" max="14853" width="77.625" customWidth="1"/>
    <col min="14854" max="14854" width="20.875" customWidth="1"/>
    <col min="15104" max="15104" width="2.875" customWidth="1"/>
    <col min="15105" max="15105" width="8.125" customWidth="1"/>
    <col min="15106" max="15106" width="8.75" customWidth="1"/>
    <col min="15107" max="15107" width="11" customWidth="1"/>
    <col min="15108" max="15108" width="2.875" customWidth="1"/>
    <col min="15109" max="15109" width="77.625" customWidth="1"/>
    <col min="15110" max="15110" width="20.875" customWidth="1"/>
    <col min="15360" max="15360" width="2.875" customWidth="1"/>
    <col min="15361" max="15361" width="8.125" customWidth="1"/>
    <col min="15362" max="15362" width="8.75" customWidth="1"/>
    <col min="15363" max="15363" width="11" customWidth="1"/>
    <col min="15364" max="15364" width="2.875" customWidth="1"/>
    <col min="15365" max="15365" width="77.625" customWidth="1"/>
    <col min="15366" max="15366" width="20.875" customWidth="1"/>
    <col min="15616" max="15616" width="2.875" customWidth="1"/>
    <col min="15617" max="15617" width="8.125" customWidth="1"/>
    <col min="15618" max="15618" width="8.75" customWidth="1"/>
    <col min="15619" max="15619" width="11" customWidth="1"/>
    <col min="15620" max="15620" width="2.875" customWidth="1"/>
    <col min="15621" max="15621" width="77.625" customWidth="1"/>
    <col min="15622" max="15622" width="20.875" customWidth="1"/>
    <col min="15872" max="15872" width="2.875" customWidth="1"/>
    <col min="15873" max="15873" width="8.125" customWidth="1"/>
    <col min="15874" max="15874" width="8.75" customWidth="1"/>
    <col min="15875" max="15875" width="11" customWidth="1"/>
    <col min="15876" max="15876" width="2.875" customWidth="1"/>
    <col min="15877" max="15877" width="77.625" customWidth="1"/>
    <col min="15878" max="15878" width="20.875" customWidth="1"/>
    <col min="16128" max="16128" width="2.875" customWidth="1"/>
    <col min="16129" max="16129" width="8.125" customWidth="1"/>
    <col min="16130" max="16130" width="8.75" customWidth="1"/>
    <col min="16131" max="16131" width="11" customWidth="1"/>
    <col min="16132" max="16132" width="2.875" customWidth="1"/>
    <col min="16133" max="16133" width="77.625" customWidth="1"/>
    <col min="16134" max="16134" width="20.875" customWidth="1"/>
  </cols>
  <sheetData>
    <row r="1" spans="1:129" ht="22.5" customHeight="1" x14ac:dyDescent="0.4">
      <c r="A1" s="59" t="s">
        <v>149</v>
      </c>
      <c r="B1" s="60"/>
      <c r="C1" s="61"/>
      <c r="D1" s="61"/>
      <c r="E1" s="61"/>
      <c r="F1" s="60"/>
      <c r="G1" s="356"/>
      <c r="H1" s="60"/>
      <c r="I1" s="60"/>
      <c r="J1" s="60"/>
      <c r="K1" s="684"/>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row>
    <row r="2" spans="1:129" ht="22.5" customHeight="1" x14ac:dyDescent="0.4">
      <c r="A2" s="59" t="s">
        <v>241</v>
      </c>
      <c r="B2" s="60"/>
      <c r="C2" s="61"/>
      <c r="D2" s="61"/>
      <c r="E2" s="61"/>
      <c r="F2" s="60"/>
      <c r="G2" s="356"/>
      <c r="H2" s="60"/>
      <c r="I2" s="60"/>
      <c r="J2" s="60"/>
      <c r="K2" s="684"/>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row>
    <row r="3" spans="1:129" ht="21.75" customHeight="1" x14ac:dyDescent="0.4">
      <c r="A3" s="59" t="s">
        <v>470</v>
      </c>
      <c r="B3" s="60"/>
      <c r="C3" s="61"/>
      <c r="D3" s="61"/>
      <c r="E3" s="61"/>
      <c r="F3" s="60"/>
      <c r="G3" s="356"/>
      <c r="H3" s="60"/>
      <c r="I3" s="60"/>
      <c r="J3" s="60"/>
      <c r="K3" s="684"/>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row>
    <row r="4" spans="1:129" ht="22.5" customHeight="1" x14ac:dyDescent="0.4">
      <c r="A4" s="59" t="s">
        <v>347</v>
      </c>
      <c r="B4" s="60"/>
      <c r="C4" s="61"/>
      <c r="D4" s="61"/>
      <c r="E4" s="61"/>
      <c r="F4" s="60"/>
      <c r="G4" s="356"/>
      <c r="H4" s="60"/>
      <c r="I4" s="60"/>
      <c r="J4" s="60"/>
      <c r="K4" s="684"/>
      <c r="L4" s="60"/>
      <c r="M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s="64" customFormat="1" ht="8.25" customHeight="1" thickBot="1" x14ac:dyDescent="0.25">
      <c r="A5" s="62"/>
      <c r="B5" s="62"/>
      <c r="C5" s="62"/>
      <c r="D5" s="62"/>
      <c r="E5" s="62"/>
      <c r="F5" s="62"/>
      <c r="G5" s="357"/>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row>
    <row r="6" spans="1:129" s="67" customFormat="1" ht="24.75" customHeight="1" thickTop="1" thickBot="1" x14ac:dyDescent="0.25">
      <c r="A6" s="65" t="s">
        <v>165</v>
      </c>
      <c r="B6" s="65"/>
      <c r="C6" s="65"/>
      <c r="D6" s="65"/>
      <c r="E6" s="65"/>
      <c r="F6" s="65"/>
      <c r="G6" s="527"/>
      <c r="H6" s="367" t="s">
        <v>71</v>
      </c>
      <c r="I6" s="367"/>
      <c r="J6" s="367"/>
      <c r="K6" s="412"/>
      <c r="L6" s="736" t="s">
        <v>71</v>
      </c>
      <c r="M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row>
    <row r="7" spans="1:129" s="69" customFormat="1" ht="8.25" customHeight="1" thickTop="1" x14ac:dyDescent="0.2">
      <c r="A7" s="68"/>
      <c r="B7" s="68"/>
      <c r="C7" s="68"/>
      <c r="D7" s="68"/>
      <c r="E7" s="68"/>
      <c r="F7" s="68"/>
      <c r="G7" s="358"/>
    </row>
    <row r="8" spans="1:129" s="73" customFormat="1" ht="21" thickBot="1" x14ac:dyDescent="0.35">
      <c r="A8" s="70"/>
      <c r="B8" s="155" t="s">
        <v>157</v>
      </c>
      <c r="C8" s="155"/>
      <c r="D8" s="155"/>
      <c r="E8" s="155"/>
      <c r="F8" s="155"/>
      <c r="G8" s="424">
        <v>41090</v>
      </c>
      <c r="H8" s="424">
        <v>41274</v>
      </c>
      <c r="I8" s="482"/>
      <c r="J8" s="424">
        <v>42185</v>
      </c>
      <c r="K8" s="482"/>
      <c r="L8" s="424">
        <v>42004</v>
      </c>
      <c r="M8" s="72"/>
      <c r="N8" s="424">
        <v>41820</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row>
    <row r="9" spans="1:129" s="75" customFormat="1" ht="20.25" x14ac:dyDescent="0.2">
      <c r="A9" s="74"/>
      <c r="B9" s="74"/>
      <c r="C9" s="76" t="s">
        <v>227</v>
      </c>
      <c r="D9" s="76"/>
      <c r="E9" s="76"/>
      <c r="F9" s="74"/>
      <c r="G9" s="406">
        <v>127719</v>
      </c>
      <c r="H9" s="406">
        <f>83966.5-16400</f>
        <v>67566.5</v>
      </c>
      <c r="I9" s="481"/>
      <c r="J9" s="481">
        <f>'June 15 State of Activities'!G11</f>
        <v>94479.08</v>
      </c>
      <c r="K9" s="481"/>
      <c r="L9" s="481">
        <f>'June 15 State of Activities'!H11</f>
        <v>184616.56</v>
      </c>
      <c r="M9" s="69"/>
      <c r="N9" s="481">
        <v>90450.47</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row>
    <row r="10" spans="1:129" s="75" customFormat="1" ht="20.25" x14ac:dyDescent="0.2">
      <c r="A10" s="74"/>
      <c r="B10" s="74"/>
      <c r="C10" s="76"/>
      <c r="D10" s="857" t="s">
        <v>277</v>
      </c>
      <c r="E10" s="857"/>
      <c r="F10" s="857"/>
      <c r="G10" s="406"/>
      <c r="H10" s="406"/>
      <c r="I10" s="481"/>
      <c r="J10" s="481">
        <f>'June 15 State of Activities'!G12</f>
        <v>-991.97</v>
      </c>
      <c r="K10" s="481"/>
      <c r="L10" s="481">
        <f>'June 15 State of Activities'!H12</f>
        <v>-3188.57</v>
      </c>
      <c r="M10" s="69"/>
      <c r="N10" s="481">
        <v>-1304.2</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row>
    <row r="11" spans="1:129" s="75" customFormat="1" ht="20.25" x14ac:dyDescent="0.2">
      <c r="A11" s="74"/>
      <c r="B11" s="74"/>
      <c r="C11" s="76" t="s">
        <v>237</v>
      </c>
      <c r="D11" s="76"/>
      <c r="E11" s="76"/>
      <c r="F11" s="74"/>
      <c r="G11" s="405">
        <v>875436</v>
      </c>
      <c r="H11" s="405">
        <f>372424.1</f>
        <v>372424.1</v>
      </c>
      <c r="I11" s="485"/>
      <c r="J11" s="481">
        <f>5776+(3134.44+1989.85)*1.12</f>
        <v>11515.2048</v>
      </c>
      <c r="K11" s="485"/>
      <c r="L11" s="481">
        <f>13937+(5736.25+1615+2873.63)*1.1</f>
        <v>25184.368000000002</v>
      </c>
      <c r="M11" s="69"/>
      <c r="N11" s="481">
        <v>12782.79</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row>
    <row r="12" spans="1:129" s="75" customFormat="1" ht="20.25" x14ac:dyDescent="0.2">
      <c r="A12" s="74"/>
      <c r="B12" s="74"/>
      <c r="C12" s="76" t="s">
        <v>159</v>
      </c>
      <c r="D12" s="76"/>
      <c r="E12" s="76"/>
      <c r="F12" s="74"/>
      <c r="G12" s="406"/>
      <c r="H12" s="406"/>
      <c r="I12" s="481"/>
      <c r="J12" s="481"/>
      <c r="K12" s="481"/>
      <c r="L12" s="481"/>
      <c r="M12" s="69"/>
      <c r="N12" s="481"/>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row>
    <row r="13" spans="1:129" s="75" customFormat="1" ht="20.25" x14ac:dyDescent="0.2">
      <c r="A13" s="74"/>
      <c r="B13" s="74"/>
      <c r="C13" s="78"/>
      <c r="D13" s="76" t="s">
        <v>238</v>
      </c>
      <c r="E13" s="76"/>
      <c r="F13" s="74"/>
      <c r="G13" s="406">
        <f>135235.25-41000</f>
        <v>94235.25</v>
      </c>
      <c r="H13" s="406">
        <v>37190.379999999997</v>
      </c>
      <c r="I13" s="481"/>
      <c r="J13" s="481">
        <f>3000*6</f>
        <v>18000</v>
      </c>
      <c r="K13" s="481"/>
      <c r="L13" s="481">
        <f>2916.66*12</f>
        <v>34999.919999999998</v>
      </c>
      <c r="M13" s="69"/>
      <c r="N13" s="481">
        <v>17499.96</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row>
    <row r="14" spans="1:129" s="75" customFormat="1" ht="20.25" x14ac:dyDescent="0.2">
      <c r="A14" s="74"/>
      <c r="B14" s="74"/>
      <c r="C14" s="78"/>
      <c r="D14" s="76" t="s">
        <v>284</v>
      </c>
      <c r="E14" s="76"/>
      <c r="F14" s="74"/>
      <c r="G14" s="406"/>
      <c r="H14" s="406"/>
      <c r="I14" s="481"/>
      <c r="J14" s="481">
        <f>1625+540+540+545</f>
        <v>3250</v>
      </c>
      <c r="K14" s="481"/>
      <c r="L14" s="481">
        <f>1250*4</f>
        <v>5000</v>
      </c>
      <c r="M14" s="69"/>
      <c r="N14" s="481">
        <v>2500</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row>
    <row r="15" spans="1:129" s="75" customFormat="1" ht="20.25" x14ac:dyDescent="0.2">
      <c r="A15" s="74"/>
      <c r="B15" s="74"/>
      <c r="C15" s="76" t="s">
        <v>160</v>
      </c>
      <c r="D15" s="76"/>
      <c r="E15" s="76"/>
      <c r="F15" s="74"/>
      <c r="G15" s="406">
        <v>0</v>
      </c>
      <c r="H15" s="406">
        <f>3667-150</f>
        <v>3517</v>
      </c>
      <c r="I15" s="481"/>
      <c r="J15" s="481">
        <f>'June 15 State of Activities'!G17</f>
        <v>4429.43</v>
      </c>
      <c r="K15" s="481"/>
      <c r="L15" s="481">
        <f>'June 15 State of Activities'!H17</f>
        <v>8638.41</v>
      </c>
      <c r="M15" s="69"/>
      <c r="N15" s="481">
        <v>4001.81</v>
      </c>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row>
    <row r="16" spans="1:129" s="75" customFormat="1" ht="20.25" x14ac:dyDescent="0.2">
      <c r="A16" s="74"/>
      <c r="B16" s="74"/>
      <c r="C16" s="76" t="s">
        <v>239</v>
      </c>
      <c r="D16" s="76"/>
      <c r="E16" s="76"/>
      <c r="F16" s="74"/>
      <c r="G16" s="406">
        <v>31459</v>
      </c>
      <c r="H16" s="406">
        <v>13920.35</v>
      </c>
      <c r="I16" s="481"/>
      <c r="J16" s="481">
        <f>'June 15 Revenues &amp; Expenses'!H40</f>
        <v>11649.95</v>
      </c>
      <c r="K16" s="481"/>
      <c r="L16" s="481">
        <v>25000</v>
      </c>
      <c r="M16" s="69"/>
      <c r="N16" s="481">
        <v>12660.49</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row>
    <row r="17" spans="1:62" s="75" customFormat="1" ht="20.25" x14ac:dyDescent="0.2">
      <c r="A17" s="74"/>
      <c r="B17" s="74"/>
      <c r="C17" s="737" t="s">
        <v>467</v>
      </c>
      <c r="D17" s="737"/>
      <c r="E17" s="737"/>
      <c r="F17" s="74"/>
      <c r="G17" s="406"/>
      <c r="H17" s="406"/>
      <c r="I17" s="481"/>
      <c r="J17" s="481">
        <v>50000</v>
      </c>
      <c r="K17" s="481"/>
      <c r="L17" s="481"/>
      <c r="M17" s="69"/>
      <c r="N17" s="481">
        <v>0</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1:62" s="75" customFormat="1" ht="20.25" x14ac:dyDescent="0.2">
      <c r="A18" s="74"/>
      <c r="B18" s="74"/>
      <c r="C18" s="76" t="s">
        <v>240</v>
      </c>
      <c r="D18" s="76"/>
      <c r="E18" s="76"/>
      <c r="F18" s="74"/>
      <c r="G18" s="406">
        <v>678</v>
      </c>
      <c r="H18" s="406">
        <f>150+150+341.92+4993.63</f>
        <v>5635.55</v>
      </c>
      <c r="I18" s="481"/>
      <c r="J18" s="481">
        <v>0</v>
      </c>
      <c r="K18" s="481"/>
      <c r="L18" s="481">
        <v>0</v>
      </c>
      <c r="M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row>
    <row r="19" spans="1:62" s="75" customFormat="1" ht="20.25" x14ac:dyDescent="0.2">
      <c r="A19" s="74"/>
      <c r="B19" s="74"/>
      <c r="C19" s="638" t="s">
        <v>297</v>
      </c>
      <c r="D19" s="638"/>
      <c r="E19" s="638"/>
      <c r="F19" s="74"/>
      <c r="G19" s="406">
        <v>1125</v>
      </c>
      <c r="H19" s="406">
        <v>6050</v>
      </c>
      <c r="I19" s="481"/>
      <c r="J19" s="481"/>
      <c r="K19" s="481"/>
      <c r="L19" s="481">
        <v>6050</v>
      </c>
      <c r="M19" s="69"/>
      <c r="N19" s="481">
        <v>6050</v>
      </c>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row>
    <row r="20" spans="1:62" s="75" customFormat="1" ht="21" thickBot="1" x14ac:dyDescent="0.25">
      <c r="A20" s="74"/>
      <c r="B20" s="74"/>
      <c r="C20" s="76" t="s">
        <v>166</v>
      </c>
      <c r="D20" s="76"/>
      <c r="E20" s="76"/>
      <c r="F20" s="74"/>
      <c r="G20" s="407">
        <v>31250</v>
      </c>
      <c r="H20" s="407">
        <v>15624.98</v>
      </c>
      <c r="I20" s="481"/>
      <c r="J20" s="407">
        <f>'June 15 State of Activities'!G25*0.2</f>
        <v>4657.5</v>
      </c>
      <c r="K20" s="481"/>
      <c r="L20" s="407">
        <f>'June 15 State of Activities'!H25*0.2</f>
        <v>9315</v>
      </c>
      <c r="M20" s="69"/>
      <c r="N20" s="407">
        <f>J20</f>
        <v>4657.5</v>
      </c>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row>
    <row r="21" spans="1:62" s="75" customFormat="1" ht="20.25" x14ac:dyDescent="0.2">
      <c r="A21" s="74"/>
      <c r="B21" s="74"/>
      <c r="C21" s="76"/>
      <c r="D21" s="74" t="s">
        <v>162</v>
      </c>
      <c r="E21" s="76"/>
      <c r="F21" s="74"/>
      <c r="G21" s="360">
        <f>SUM(G9:G20)</f>
        <v>1161902.25</v>
      </c>
      <c r="H21" s="360">
        <f>SUM(H9:H20)</f>
        <v>521928.85999999993</v>
      </c>
      <c r="I21" s="358"/>
      <c r="J21" s="406">
        <f>SUM(J9:J20)</f>
        <v>196989.1948</v>
      </c>
      <c r="K21" s="358"/>
      <c r="L21" s="406">
        <f>SUM(L9:L20)</f>
        <v>295615.68799999997</v>
      </c>
      <c r="M21" s="69"/>
      <c r="N21" s="406">
        <f>SUM(N9:N20)</f>
        <v>149298.81999999998</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row>
    <row r="22" spans="1:62" s="75" customFormat="1" ht="21" thickBot="1" x14ac:dyDescent="0.25">
      <c r="A22" s="74"/>
      <c r="B22" s="74"/>
      <c r="C22" s="74" t="s">
        <v>295</v>
      </c>
      <c r="D22" s="76"/>
      <c r="E22" s="76"/>
      <c r="F22" s="74"/>
      <c r="G22" s="368">
        <f>166077-15901</f>
        <v>150176</v>
      </c>
      <c r="H22" s="368">
        <v>47700.27</v>
      </c>
      <c r="I22" s="358"/>
      <c r="J22" s="481">
        <f>1583.33*6</f>
        <v>9499.98</v>
      </c>
      <c r="K22" s="358"/>
      <c r="L22" s="481">
        <f>1583.33*12</f>
        <v>18999.96</v>
      </c>
      <c r="M22" s="69"/>
      <c r="N22" s="358">
        <v>9499.98</v>
      </c>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row>
    <row r="23" spans="1:62" s="75" customFormat="1" ht="21" thickBot="1" x14ac:dyDescent="0.25">
      <c r="A23" s="74"/>
      <c r="B23" s="74"/>
      <c r="C23" s="74" t="s">
        <v>278</v>
      </c>
      <c r="D23" s="76"/>
      <c r="E23" s="76"/>
      <c r="F23" s="74"/>
      <c r="G23" s="358"/>
      <c r="H23" s="358"/>
      <c r="I23" s="358"/>
      <c r="J23" s="407">
        <v>18445.669999999998</v>
      </c>
      <c r="K23" s="358"/>
      <c r="L23" s="407">
        <v>41306.17</v>
      </c>
      <c r="M23" s="69"/>
      <c r="N23" s="368">
        <v>17849.71</v>
      </c>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row>
    <row r="24" spans="1:62" s="75" customFormat="1" ht="20.25" x14ac:dyDescent="0.2">
      <c r="A24" s="74"/>
      <c r="B24" s="74"/>
      <c r="C24" s="76"/>
      <c r="D24" s="74" t="s">
        <v>164</v>
      </c>
      <c r="E24" s="76"/>
      <c r="F24" s="74"/>
      <c r="G24" s="360">
        <f>SUM(G21:G22)</f>
        <v>1312078.25</v>
      </c>
      <c r="H24" s="360">
        <f>SUM(H21:H22)</f>
        <v>569629.12999999989</v>
      </c>
      <c r="I24" s="358"/>
      <c r="J24" s="406">
        <f>SUM(J21:J22)+J23</f>
        <v>224934.84480000002</v>
      </c>
      <c r="K24" s="358"/>
      <c r="L24" s="406">
        <f>SUM(L21:L22)+L23</f>
        <v>355921.81799999997</v>
      </c>
      <c r="M24" s="69"/>
      <c r="N24" s="406">
        <f>SUM(N21:N22)+N23</f>
        <v>176648.50999999998</v>
      </c>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row>
    <row r="25" spans="1:62" s="75" customFormat="1" ht="20.25" x14ac:dyDescent="0.2">
      <c r="A25" s="74"/>
      <c r="B25" s="74"/>
      <c r="C25" s="76"/>
      <c r="D25" s="74"/>
      <c r="E25" s="76"/>
      <c r="F25" s="74"/>
      <c r="G25" s="360"/>
      <c r="H25" s="360"/>
      <c r="I25" s="358"/>
      <c r="J25" s="481"/>
      <c r="K25" s="358"/>
      <c r="L25" s="481"/>
      <c r="M25" s="69"/>
      <c r="N25" s="35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row>
    <row r="26" spans="1:62" s="75" customFormat="1" ht="21" thickBot="1" x14ac:dyDescent="0.25">
      <c r="A26" s="74"/>
      <c r="B26" s="88" t="s">
        <v>168</v>
      </c>
      <c r="C26" s="88"/>
      <c r="D26" s="88"/>
      <c r="E26" s="88"/>
      <c r="F26" s="88"/>
      <c r="G26" s="368"/>
      <c r="H26" s="69"/>
      <c r="I26" s="69"/>
      <c r="J26" s="548"/>
      <c r="K26" s="69"/>
      <c r="L26" s="54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row>
    <row r="27" spans="1:62" s="69" customFormat="1" ht="20.25" x14ac:dyDescent="0.2">
      <c r="A27" s="68"/>
      <c r="B27" s="68"/>
      <c r="C27" s="80" t="s">
        <v>169</v>
      </c>
      <c r="D27" s="80"/>
      <c r="E27" s="80"/>
      <c r="F27" s="80"/>
      <c r="G27" s="358">
        <f>726534.33+7213.47</f>
        <v>733747.79999999993</v>
      </c>
      <c r="H27" s="417">
        <v>361976</v>
      </c>
      <c r="I27" s="417"/>
      <c r="J27" s="650">
        <f>Q36</f>
        <v>89217.38</v>
      </c>
      <c r="K27" s="417"/>
      <c r="L27" s="650">
        <v>175469.5</v>
      </c>
      <c r="N27" s="417">
        <v>85501.790000000008</v>
      </c>
      <c r="P27" s="69" t="s">
        <v>319</v>
      </c>
    </row>
    <row r="28" spans="1:62" s="69" customFormat="1" ht="20.25" x14ac:dyDescent="0.2">
      <c r="A28" s="68"/>
      <c r="B28" s="68"/>
      <c r="C28" s="80" t="s">
        <v>317</v>
      </c>
      <c r="D28" s="80"/>
      <c r="E28" s="80"/>
      <c r="F28" s="80"/>
      <c r="G28" s="358">
        <v>44745.18</v>
      </c>
      <c r="H28" s="358">
        <f>15980.58+4993.63</f>
        <v>20974.21</v>
      </c>
      <c r="I28" s="358"/>
      <c r="J28" s="481">
        <f>'June 15 State of Activities'!G53</f>
        <v>22705.66</v>
      </c>
      <c r="K28" s="358"/>
      <c r="L28" s="481">
        <v>56276.08</v>
      </c>
      <c r="N28" s="358">
        <v>28027.73</v>
      </c>
      <c r="P28" s="69" t="s">
        <v>320</v>
      </c>
      <c r="Q28" s="69">
        <v>127.65</v>
      </c>
    </row>
    <row r="29" spans="1:62" s="69" customFormat="1" ht="20.25" x14ac:dyDescent="0.2">
      <c r="A29" s="68"/>
      <c r="B29" s="68"/>
      <c r="C29" s="80" t="s">
        <v>170</v>
      </c>
      <c r="D29" s="80"/>
      <c r="E29" s="80"/>
      <c r="F29" s="80"/>
      <c r="G29" s="358">
        <f>151206.27-599.4+114.08</f>
        <v>150720.94999999998</v>
      </c>
      <c r="H29" s="417">
        <v>59822</v>
      </c>
      <c r="I29" s="417"/>
      <c r="J29" s="650">
        <f>J27*0.21</f>
        <v>18735.649799999999</v>
      </c>
      <c r="K29" s="417"/>
      <c r="L29" s="650">
        <v>36848.595000000001</v>
      </c>
      <c r="N29" s="417">
        <v>17421.746025726032</v>
      </c>
      <c r="P29" s="69" t="s">
        <v>321</v>
      </c>
      <c r="Q29" s="69">
        <v>175.19</v>
      </c>
    </row>
    <row r="30" spans="1:62" s="69" customFormat="1" ht="20.25" x14ac:dyDescent="0.2">
      <c r="A30" s="68"/>
      <c r="B30" s="68"/>
      <c r="C30" s="80" t="s">
        <v>269</v>
      </c>
      <c r="D30" s="80"/>
      <c r="E30" s="80"/>
      <c r="F30" s="80"/>
      <c r="G30" s="358">
        <v>27200</v>
      </c>
      <c r="H30" s="358">
        <v>11327</v>
      </c>
      <c r="I30" s="358"/>
      <c r="J30" s="481">
        <v>13350</v>
      </c>
      <c r="K30" s="358"/>
      <c r="L30" s="481">
        <v>26003</v>
      </c>
      <c r="N30" s="358">
        <f>11202+756</f>
        <v>11958</v>
      </c>
      <c r="P30" s="69" t="s">
        <v>322</v>
      </c>
      <c r="Q30" s="69">
        <v>164.97</v>
      </c>
    </row>
    <row r="31" spans="1:62" s="69" customFormat="1" ht="20.25" x14ac:dyDescent="0.2">
      <c r="A31" s="68"/>
      <c r="B31" s="68"/>
      <c r="C31" s="80" t="s">
        <v>161</v>
      </c>
      <c r="D31" s="80"/>
      <c r="E31" s="80"/>
      <c r="F31" s="80"/>
      <c r="G31" s="358">
        <f>G22</f>
        <v>150176</v>
      </c>
      <c r="H31" s="417">
        <f>H22</f>
        <v>47700.27</v>
      </c>
      <c r="I31" s="417"/>
      <c r="J31" s="650">
        <f>J20</f>
        <v>4657.5</v>
      </c>
      <c r="K31" s="417"/>
      <c r="L31" s="650">
        <v>6250</v>
      </c>
      <c r="N31" s="417">
        <v>3125.0040000000004</v>
      </c>
      <c r="Q31" s="69">
        <v>15787.42</v>
      </c>
      <c r="S31" s="69">
        <v>10558.62</v>
      </c>
    </row>
    <row r="32" spans="1:62" s="69" customFormat="1" ht="20.25" x14ac:dyDescent="0.2">
      <c r="A32" s="68"/>
      <c r="B32" s="68"/>
      <c r="C32" s="80" t="s">
        <v>374</v>
      </c>
      <c r="D32" s="80"/>
      <c r="E32" s="80"/>
      <c r="F32" s="80"/>
      <c r="G32" s="358"/>
      <c r="H32" s="417"/>
      <c r="I32" s="417"/>
      <c r="J32" s="650">
        <v>1454.17</v>
      </c>
      <c r="K32" s="417"/>
      <c r="L32" s="650"/>
      <c r="N32" s="417">
        <v>1266.99</v>
      </c>
    </row>
    <row r="33" spans="1:17" s="69" customFormat="1" ht="20.25" x14ac:dyDescent="0.2">
      <c r="A33" s="68"/>
      <c r="B33" s="68"/>
      <c r="C33" s="80" t="s">
        <v>172</v>
      </c>
      <c r="D33" s="80"/>
      <c r="E33" s="80"/>
      <c r="F33" s="80"/>
      <c r="G33" s="358">
        <v>10993.12</v>
      </c>
      <c r="H33" s="417">
        <v>4904.57</v>
      </c>
      <c r="I33" s="417"/>
      <c r="J33" s="650">
        <v>1249.42</v>
      </c>
      <c r="K33" s="417"/>
      <c r="L33" s="650">
        <v>2728.14</v>
      </c>
      <c r="N33" s="417">
        <v>484.71</v>
      </c>
      <c r="Q33" s="69">
        <v>10338.89</v>
      </c>
    </row>
    <row r="34" spans="1:17" s="69" customFormat="1" ht="20.25" x14ac:dyDescent="0.2">
      <c r="A34" s="68"/>
      <c r="B34" s="68"/>
      <c r="C34" s="80" t="s">
        <v>468</v>
      </c>
      <c r="D34" s="80"/>
      <c r="E34" s="80"/>
      <c r="F34" s="80"/>
      <c r="G34" s="358">
        <f>8746.05+1504.9</f>
        <v>10250.949999999999</v>
      </c>
      <c r="H34" s="417">
        <f>3937.89+45.1</f>
        <v>3982.99</v>
      </c>
      <c r="I34" s="417"/>
      <c r="J34" s="650">
        <f>67.8+526.94</f>
        <v>594.74</v>
      </c>
      <c r="K34" s="417"/>
      <c r="L34" s="650">
        <v>880.3</v>
      </c>
      <c r="N34" s="417">
        <v>96</v>
      </c>
      <c r="Q34" s="69">
        <v>62623.26</v>
      </c>
    </row>
    <row r="35" spans="1:17" s="69" customFormat="1" ht="20.25" x14ac:dyDescent="0.2">
      <c r="A35" s="68"/>
      <c r="B35" s="68"/>
      <c r="C35" s="80" t="s">
        <v>270</v>
      </c>
      <c r="D35" s="80"/>
      <c r="E35" s="80"/>
      <c r="F35" s="80"/>
      <c r="G35" s="358"/>
      <c r="H35" s="417"/>
      <c r="I35" s="417"/>
      <c r="J35" s="650">
        <v>0</v>
      </c>
      <c r="K35" s="417"/>
      <c r="L35" s="650">
        <v>96</v>
      </c>
      <c r="N35" s="418">
        <v>334.65</v>
      </c>
    </row>
    <row r="36" spans="1:17" s="69" customFormat="1" ht="20.25" x14ac:dyDescent="0.2">
      <c r="A36" s="68"/>
      <c r="B36" s="68"/>
      <c r="C36" s="80" t="s">
        <v>179</v>
      </c>
      <c r="D36" s="80"/>
      <c r="E36" s="80"/>
      <c r="F36" s="80"/>
      <c r="G36" s="358">
        <v>4412.53</v>
      </c>
      <c r="H36" s="418">
        <v>5667</v>
      </c>
      <c r="I36" s="418"/>
      <c r="J36" s="651">
        <v>301.42</v>
      </c>
      <c r="K36" s="418"/>
      <c r="L36" s="651">
        <v>505.71</v>
      </c>
      <c r="N36" s="358"/>
      <c r="Q36" s="69">
        <f>SUM(Q27:Q35)</f>
        <v>89217.38</v>
      </c>
    </row>
    <row r="37" spans="1:17" s="69" customFormat="1" ht="20.25" x14ac:dyDescent="0.2">
      <c r="A37" s="68"/>
      <c r="B37" s="68"/>
      <c r="C37" s="80" t="s">
        <v>177</v>
      </c>
      <c r="D37" s="80"/>
      <c r="E37" s="80"/>
      <c r="F37" s="80"/>
      <c r="G37" s="358">
        <v>7901</v>
      </c>
      <c r="H37" s="417">
        <v>4149.6000000000004</v>
      </c>
      <c r="I37" s="417"/>
      <c r="J37" s="650">
        <v>512.01</v>
      </c>
      <c r="K37" s="417"/>
      <c r="L37" s="650">
        <v>1235.83</v>
      </c>
      <c r="N37" s="417">
        <v>620.20000000000005</v>
      </c>
      <c r="Q37" s="69">
        <f>Q36*0.21</f>
        <v>18735.649799999999</v>
      </c>
    </row>
    <row r="38" spans="1:17" s="77" customFormat="1" ht="20.25" x14ac:dyDescent="0.2">
      <c r="A38" s="80"/>
      <c r="B38" s="80"/>
      <c r="C38" s="80" t="s">
        <v>173</v>
      </c>
      <c r="D38" s="80"/>
      <c r="E38" s="80"/>
      <c r="F38" s="80"/>
      <c r="G38" s="358">
        <v>5428.37</v>
      </c>
      <c r="H38" s="417">
        <v>2024.52</v>
      </c>
      <c r="I38" s="417"/>
      <c r="J38" s="650">
        <v>85.25</v>
      </c>
      <c r="K38" s="417"/>
      <c r="L38" s="650">
        <v>64.06</v>
      </c>
      <c r="N38" s="417">
        <v>0</v>
      </c>
    </row>
    <row r="39" spans="1:17" s="77" customFormat="1" ht="20.25" x14ac:dyDescent="0.2">
      <c r="A39" s="80"/>
      <c r="B39" s="80"/>
      <c r="C39" s="80" t="s">
        <v>318</v>
      </c>
      <c r="D39" s="80"/>
      <c r="E39" s="80"/>
      <c r="F39" s="80"/>
      <c r="G39" s="358"/>
      <c r="H39" s="417"/>
      <c r="I39" s="417"/>
      <c r="J39" s="650">
        <v>0</v>
      </c>
      <c r="K39" s="417"/>
      <c r="L39" s="650">
        <v>78</v>
      </c>
      <c r="N39" s="417">
        <v>36.159999999999997</v>
      </c>
    </row>
    <row r="40" spans="1:17" s="77" customFormat="1" ht="20.25" x14ac:dyDescent="0.2">
      <c r="A40" s="80"/>
      <c r="B40" s="80"/>
      <c r="C40" s="80" t="s">
        <v>242</v>
      </c>
      <c r="D40" s="80"/>
      <c r="E40" s="80"/>
      <c r="F40" s="80"/>
      <c r="G40" s="358">
        <f>33666.97+30645.72+15650.22+3500</f>
        <v>83462.91</v>
      </c>
      <c r="H40" s="358">
        <f>516.17+11490.52+6989.02</f>
        <v>18995.71</v>
      </c>
      <c r="I40" s="358"/>
      <c r="J40" s="481">
        <f>18</f>
        <v>18</v>
      </c>
      <c r="K40" s="358"/>
      <c r="L40" s="481">
        <v>83.65</v>
      </c>
      <c r="N40" s="358">
        <v>65.010000000000005</v>
      </c>
    </row>
    <row r="41" spans="1:17" s="69" customFormat="1" ht="21" thickBot="1" x14ac:dyDescent="0.25">
      <c r="A41" s="68"/>
      <c r="B41" s="68"/>
      <c r="C41" s="68"/>
      <c r="D41" s="74" t="s">
        <v>187</v>
      </c>
      <c r="E41" s="68"/>
      <c r="F41" s="68"/>
      <c r="G41" s="368">
        <f>SUM(G27:G40)</f>
        <v>1229038.81</v>
      </c>
      <c r="H41" s="368">
        <f>SUM(H27:H40)</f>
        <v>541523.87</v>
      </c>
      <c r="I41" s="358"/>
      <c r="J41" s="549">
        <f>SUM(J27:J40)</f>
        <v>152881.19980000003</v>
      </c>
      <c r="K41" s="358"/>
      <c r="L41" s="549">
        <f>SUM(L27:L40)</f>
        <v>306518.86500000011</v>
      </c>
      <c r="N41" s="549">
        <f>SUM(N27:N40)</f>
        <v>148937.99002572603</v>
      </c>
    </row>
    <row r="42" spans="1:17" s="69" customFormat="1" ht="21" thickBot="1" x14ac:dyDescent="0.25">
      <c r="A42" s="68"/>
      <c r="B42" s="68"/>
      <c r="C42" s="68"/>
      <c r="D42" s="68" t="s">
        <v>188</v>
      </c>
      <c r="E42" s="68"/>
      <c r="F42" s="68"/>
      <c r="G42" s="368">
        <f>G24-G41</f>
        <v>83039.439999999944</v>
      </c>
      <c r="H42" s="368">
        <f>H24-H41</f>
        <v>28105.259999999893</v>
      </c>
      <c r="I42" s="358"/>
      <c r="J42" s="635">
        <f>J24-J41</f>
        <v>72053.64499999999</v>
      </c>
      <c r="K42" s="358"/>
      <c r="L42" s="635">
        <f>L24-L41</f>
        <v>49402.952999999863</v>
      </c>
      <c r="N42" s="635">
        <f>N24-N41</f>
        <v>27710.51997427395</v>
      </c>
    </row>
    <row r="43" spans="1:17" s="69" customFormat="1" ht="20.25" x14ac:dyDescent="0.2">
      <c r="A43" s="68"/>
      <c r="B43" s="68"/>
      <c r="C43" s="68"/>
      <c r="D43" s="68"/>
      <c r="E43" s="68"/>
      <c r="F43" s="68"/>
      <c r="G43" s="358"/>
      <c r="H43" s="358"/>
      <c r="I43" s="358"/>
      <c r="J43" s="358"/>
      <c r="K43" s="358"/>
      <c r="L43" s="358"/>
      <c r="N43" s="358"/>
    </row>
    <row r="44" spans="1:17" s="66" customFormat="1" ht="26.25" x14ac:dyDescent="0.2">
      <c r="A44" s="410"/>
      <c r="B44" s="410"/>
      <c r="C44" s="80" t="s">
        <v>469</v>
      </c>
      <c r="E44" s="80"/>
      <c r="F44" s="80"/>
      <c r="G44" s="412"/>
      <c r="H44" s="358"/>
      <c r="I44" s="358"/>
      <c r="J44" s="358">
        <v>-50000</v>
      </c>
      <c r="K44" s="358"/>
      <c r="L44" s="358">
        <f>-42304.4</f>
        <v>-42304.4</v>
      </c>
      <c r="N44" s="358">
        <v>-42304.4</v>
      </c>
    </row>
    <row r="45" spans="1:17" s="69" customFormat="1" ht="20.25" x14ac:dyDescent="0.2">
      <c r="A45" s="68"/>
      <c r="B45" s="68"/>
      <c r="C45" s="80" t="s">
        <v>283</v>
      </c>
      <c r="E45" s="68"/>
      <c r="G45" s="358"/>
      <c r="H45" s="358"/>
      <c r="I45" s="358"/>
      <c r="J45" s="358">
        <f>J30</f>
        <v>13350</v>
      </c>
      <c r="K45" s="358"/>
      <c r="L45" s="358">
        <f>L30</f>
        <v>26003</v>
      </c>
      <c r="N45" s="358">
        <v>11704</v>
      </c>
    </row>
    <row r="46" spans="1:17" s="69" customFormat="1" ht="24" thickBot="1" x14ac:dyDescent="0.25">
      <c r="A46" s="68"/>
      <c r="B46" s="646"/>
      <c r="C46" s="68"/>
      <c r="D46" s="859" t="s">
        <v>285</v>
      </c>
      <c r="E46" s="859"/>
      <c r="F46" s="859"/>
      <c r="G46" s="358"/>
      <c r="H46" s="358"/>
      <c r="I46" s="358"/>
      <c r="J46" s="634">
        <f>SUM(J42:J45)</f>
        <v>35403.64499999999</v>
      </c>
      <c r="K46" s="358"/>
      <c r="L46" s="634">
        <f>SUM(L42:L45)</f>
        <v>33101.552999999862</v>
      </c>
      <c r="N46" s="634">
        <f>SUM(N42:N45)</f>
        <v>-2889.8800257260518</v>
      </c>
    </row>
    <row r="47" spans="1:17" s="69" customFormat="1" ht="21" thickTop="1" x14ac:dyDescent="0.2">
      <c r="A47" s="68"/>
      <c r="B47" s="68"/>
      <c r="C47" s="68"/>
      <c r="D47" s="68"/>
      <c r="E47" s="68"/>
      <c r="F47" s="68"/>
      <c r="G47" s="358"/>
      <c r="H47" s="358"/>
      <c r="I47" s="358"/>
      <c r="J47" s="358"/>
      <c r="K47" s="358"/>
      <c r="L47" s="358"/>
      <c r="N47" s="358"/>
    </row>
    <row r="48" spans="1:17" s="72" customFormat="1" ht="20.25" x14ac:dyDescent="0.3">
      <c r="A48" s="408"/>
      <c r="B48" s="408"/>
      <c r="D48" s="408"/>
      <c r="E48" s="408"/>
      <c r="F48" s="408"/>
      <c r="G48" s="409"/>
      <c r="H48" s="409"/>
      <c r="I48" s="409"/>
      <c r="J48" s="409"/>
      <c r="K48" s="409"/>
      <c r="L48" s="409"/>
      <c r="N48" s="358"/>
    </row>
    <row r="49" spans="1:12" s="77" customFormat="1" ht="20.25" x14ac:dyDescent="0.2">
      <c r="A49" s="80"/>
      <c r="B49" s="80"/>
      <c r="C49" s="80"/>
      <c r="D49" s="80"/>
      <c r="F49" s="80"/>
      <c r="G49" s="373"/>
      <c r="H49" s="358"/>
      <c r="I49" s="358"/>
      <c r="J49" s="358"/>
      <c r="K49" s="358"/>
      <c r="L49" s="358"/>
    </row>
    <row r="50" spans="1:12" s="77" customFormat="1" ht="20.25" x14ac:dyDescent="0.2">
      <c r="A50" s="80"/>
      <c r="B50" s="80"/>
      <c r="C50" s="80"/>
      <c r="D50" s="80"/>
      <c r="F50" s="80"/>
      <c r="G50" s="358"/>
      <c r="H50" s="358"/>
      <c r="I50" s="358"/>
      <c r="J50" s="358"/>
      <c r="K50" s="358"/>
      <c r="L50" s="358"/>
    </row>
    <row r="51" spans="1:12" s="77" customFormat="1" ht="20.25" x14ac:dyDescent="0.2">
      <c r="A51" s="80"/>
      <c r="B51" s="80"/>
      <c r="C51" s="80"/>
      <c r="D51" s="80"/>
      <c r="F51" s="80"/>
      <c r="G51" s="358"/>
      <c r="H51" s="358"/>
      <c r="I51" s="358"/>
      <c r="J51" s="358"/>
      <c r="K51" s="358"/>
      <c r="L51" s="358"/>
    </row>
    <row r="52" spans="1:12" s="77" customFormat="1" ht="20.25" x14ac:dyDescent="0.2">
      <c r="A52" s="80"/>
      <c r="B52" s="80"/>
      <c r="C52" s="80"/>
      <c r="D52" s="80"/>
      <c r="F52" s="80"/>
      <c r="G52" s="358"/>
      <c r="H52" s="358"/>
      <c r="I52" s="358"/>
      <c r="J52" s="358"/>
      <c r="K52" s="358"/>
      <c r="L52" s="358"/>
    </row>
    <row r="53" spans="1:12" s="77" customFormat="1" ht="20.25" x14ac:dyDescent="0.2">
      <c r="A53" s="80"/>
      <c r="B53" s="80"/>
      <c r="C53" s="80"/>
      <c r="D53" s="80"/>
      <c r="F53" s="80"/>
      <c r="G53" s="358"/>
      <c r="H53" s="358"/>
      <c r="I53" s="358"/>
      <c r="J53" s="358"/>
      <c r="K53" s="358"/>
      <c r="L53" s="358"/>
    </row>
    <row r="54" spans="1:12" s="77" customFormat="1" ht="20.25" x14ac:dyDescent="0.2">
      <c r="A54" s="80"/>
      <c r="B54" s="80"/>
      <c r="C54" s="80"/>
      <c r="D54" s="80"/>
      <c r="F54" s="80"/>
      <c r="G54" s="358"/>
      <c r="H54" s="358"/>
      <c r="I54" s="358"/>
      <c r="J54" s="358"/>
      <c r="K54" s="358"/>
      <c r="L54" s="358"/>
    </row>
    <row r="55" spans="1:12" s="77" customFormat="1" ht="20.25" x14ac:dyDescent="0.2">
      <c r="A55" s="80"/>
      <c r="B55" s="80"/>
      <c r="C55" s="68"/>
      <c r="D55" s="80"/>
      <c r="F55" s="80"/>
      <c r="G55" s="358"/>
      <c r="H55" s="358"/>
      <c r="I55" s="358"/>
      <c r="J55" s="358"/>
      <c r="K55" s="358"/>
      <c r="L55" s="358"/>
    </row>
    <row r="56" spans="1:12" s="77" customFormat="1" ht="20.25" x14ac:dyDescent="0.2">
      <c r="A56" s="80"/>
      <c r="B56" s="80"/>
      <c r="C56" s="80"/>
      <c r="D56" s="80"/>
      <c r="E56" s="80"/>
      <c r="F56" s="80"/>
      <c r="G56" s="358"/>
      <c r="H56" s="358"/>
      <c r="I56" s="358"/>
      <c r="J56" s="358"/>
      <c r="K56" s="358"/>
      <c r="L56" s="358"/>
    </row>
    <row r="57" spans="1:12" s="77" customFormat="1" ht="20.25" x14ac:dyDescent="0.2">
      <c r="A57" s="80"/>
      <c r="B57" s="80"/>
      <c r="C57" s="68"/>
      <c r="D57" s="68"/>
      <c r="G57" s="358"/>
      <c r="H57" s="358"/>
      <c r="I57" s="358"/>
      <c r="J57" s="358"/>
      <c r="K57" s="358"/>
      <c r="L57" s="358"/>
    </row>
    <row r="58" spans="1:12" s="77" customFormat="1" ht="20.25" x14ac:dyDescent="0.2">
      <c r="A58" s="80"/>
      <c r="B58" s="80"/>
      <c r="C58" s="80"/>
      <c r="D58" s="80"/>
      <c r="E58" s="80"/>
      <c r="F58" s="80"/>
      <c r="G58" s="358"/>
      <c r="H58" s="358"/>
      <c r="I58" s="358"/>
      <c r="J58" s="358"/>
      <c r="K58" s="358"/>
      <c r="L58" s="358"/>
    </row>
    <row r="59" spans="1:12" s="77" customFormat="1" ht="20.25" x14ac:dyDescent="0.2">
      <c r="A59" s="80"/>
      <c r="B59" s="80"/>
      <c r="C59" s="80"/>
      <c r="D59" s="80"/>
      <c r="E59" s="80"/>
      <c r="F59" s="80"/>
      <c r="G59" s="358"/>
      <c r="H59" s="358"/>
      <c r="I59" s="358"/>
      <c r="J59" s="358"/>
      <c r="K59" s="358"/>
      <c r="L59" s="358"/>
    </row>
    <row r="60" spans="1:12" s="77" customFormat="1" ht="20.25" x14ac:dyDescent="0.2">
      <c r="A60" s="80"/>
      <c r="B60" s="80"/>
      <c r="C60" s="80"/>
      <c r="D60" s="80"/>
      <c r="E60" s="80"/>
      <c r="F60" s="80"/>
      <c r="G60" s="358"/>
      <c r="H60" s="358"/>
      <c r="I60" s="358"/>
      <c r="J60" s="358"/>
      <c r="K60" s="358"/>
      <c r="L60" s="358"/>
    </row>
    <row r="61" spans="1:12" s="77" customFormat="1" ht="20.25" x14ac:dyDescent="0.2">
      <c r="A61" s="80"/>
      <c r="B61" s="80"/>
      <c r="C61" s="80"/>
      <c r="D61" s="80"/>
      <c r="E61" s="80"/>
      <c r="F61" s="80"/>
      <c r="G61" s="358"/>
      <c r="H61" s="358"/>
      <c r="I61" s="358"/>
      <c r="J61" s="358"/>
      <c r="K61" s="358"/>
      <c r="L61" s="358"/>
    </row>
    <row r="62" spans="1:12" s="77" customFormat="1" ht="20.25" x14ac:dyDescent="0.2">
      <c r="A62" s="80"/>
      <c r="B62" s="80"/>
      <c r="C62" s="68"/>
      <c r="D62" s="80"/>
      <c r="F62" s="80"/>
      <c r="G62" s="358"/>
      <c r="H62" s="358"/>
      <c r="I62" s="358"/>
      <c r="J62" s="358"/>
      <c r="K62" s="358"/>
      <c r="L62" s="358"/>
    </row>
    <row r="63" spans="1:12" s="77" customFormat="1" ht="20.25" x14ac:dyDescent="0.2">
      <c r="A63" s="80"/>
      <c r="B63" s="80"/>
      <c r="C63" s="80"/>
      <c r="D63" s="80"/>
      <c r="E63" s="80"/>
      <c r="F63" s="80"/>
      <c r="G63" s="358"/>
      <c r="H63" s="358"/>
      <c r="I63" s="358"/>
      <c r="J63" s="358"/>
      <c r="K63" s="358"/>
      <c r="L63" s="358"/>
    </row>
    <row r="64" spans="1:12" s="69" customFormat="1" ht="20.25" x14ac:dyDescent="0.2">
      <c r="A64" s="68"/>
      <c r="B64" s="68"/>
      <c r="C64" s="68"/>
      <c r="D64" s="68"/>
      <c r="E64" s="68"/>
      <c r="F64" s="68"/>
      <c r="G64" s="363"/>
      <c r="H64" s="363"/>
      <c r="I64" s="363"/>
      <c r="J64" s="363"/>
      <c r="K64" s="363"/>
      <c r="L64" s="363"/>
    </row>
    <row r="65" spans="1:12" s="69" customFormat="1" ht="20.25" x14ac:dyDescent="0.2">
      <c r="A65" s="68"/>
      <c r="B65" s="68"/>
      <c r="C65" s="68"/>
      <c r="D65" s="68"/>
      <c r="E65" s="68"/>
      <c r="F65" s="68"/>
      <c r="G65" s="363"/>
      <c r="H65" s="363"/>
      <c r="I65" s="363"/>
      <c r="J65" s="363"/>
      <c r="K65" s="363"/>
      <c r="L65" s="363"/>
    </row>
    <row r="66" spans="1:12" s="69" customFormat="1" ht="23.25" x14ac:dyDescent="0.2">
      <c r="A66" s="68"/>
      <c r="B66" s="413"/>
      <c r="C66" s="68"/>
      <c r="D66" s="68"/>
      <c r="E66" s="68"/>
      <c r="F66" s="68"/>
      <c r="G66" s="358"/>
      <c r="H66" s="358"/>
      <c r="I66" s="358"/>
      <c r="J66" s="358"/>
      <c r="K66" s="358"/>
      <c r="L66" s="358"/>
    </row>
    <row r="67" spans="1:12" s="77" customFormat="1" ht="20.25" x14ac:dyDescent="0.2">
      <c r="A67" s="80"/>
      <c r="B67" s="80"/>
      <c r="D67" s="80"/>
      <c r="E67" s="80"/>
      <c r="F67" s="80"/>
      <c r="G67" s="358"/>
      <c r="H67" s="358"/>
      <c r="I67" s="358"/>
      <c r="J67" s="358"/>
      <c r="K67" s="358"/>
      <c r="L67" s="358"/>
    </row>
    <row r="68" spans="1:12" s="77" customFormat="1" ht="20.25" x14ac:dyDescent="0.2">
      <c r="A68" s="80"/>
      <c r="B68" s="80"/>
      <c r="D68" s="80"/>
      <c r="E68" s="80"/>
      <c r="F68" s="80"/>
      <c r="G68" s="358"/>
      <c r="H68" s="358"/>
      <c r="I68" s="358"/>
      <c r="J68" s="358"/>
      <c r="K68" s="358"/>
      <c r="L68" s="358"/>
    </row>
    <row r="69" spans="1:12" s="69" customFormat="1" ht="20.25" x14ac:dyDescent="0.2">
      <c r="A69" s="68"/>
      <c r="B69" s="68"/>
      <c r="D69" s="80"/>
      <c r="E69" s="68"/>
      <c r="F69" s="68"/>
      <c r="G69" s="358"/>
      <c r="H69" s="358"/>
      <c r="I69" s="358"/>
      <c r="J69" s="358"/>
      <c r="K69" s="358"/>
      <c r="L69" s="358"/>
    </row>
    <row r="70" spans="1:12" s="69" customFormat="1" ht="23.25" x14ac:dyDescent="0.2">
      <c r="A70" s="68"/>
      <c r="B70" s="413"/>
      <c r="C70" s="68"/>
      <c r="D70" s="68"/>
      <c r="E70" s="68"/>
      <c r="F70" s="68"/>
      <c r="G70" s="363"/>
      <c r="H70" s="363"/>
      <c r="I70" s="363"/>
      <c r="J70" s="363"/>
      <c r="K70" s="363"/>
      <c r="L70" s="363"/>
    </row>
    <row r="71" spans="1:12" s="69" customFormat="1" ht="20.25" x14ac:dyDescent="0.2">
      <c r="A71" s="68"/>
      <c r="B71" s="68"/>
      <c r="C71" s="68"/>
      <c r="D71" s="68"/>
      <c r="E71" s="68"/>
      <c r="F71" s="68"/>
      <c r="G71" s="358"/>
      <c r="H71" s="358"/>
      <c r="I71" s="358"/>
      <c r="J71" s="358"/>
      <c r="K71" s="358"/>
      <c r="L71" s="358"/>
    </row>
    <row r="72" spans="1:12" s="83" customFormat="1" ht="26.25" x14ac:dyDescent="0.2">
      <c r="A72" s="410"/>
      <c r="B72" s="410"/>
      <c r="C72" s="410"/>
      <c r="D72" s="410"/>
      <c r="E72" s="410"/>
      <c r="F72" s="410"/>
      <c r="G72" s="411"/>
      <c r="H72" s="363"/>
      <c r="I72" s="363"/>
      <c r="J72" s="363"/>
      <c r="K72" s="363"/>
      <c r="L72" s="363"/>
    </row>
    <row r="73" spans="1:12" s="18" customFormat="1" ht="20.25" x14ac:dyDescent="0.3">
      <c r="A73" s="123"/>
      <c r="B73" s="123"/>
      <c r="C73" s="123"/>
      <c r="D73" s="123"/>
      <c r="E73" s="123"/>
      <c r="F73" s="123"/>
      <c r="G73" s="414"/>
      <c r="H73" s="419"/>
      <c r="I73" s="419"/>
      <c r="J73" s="419"/>
      <c r="K73" s="419"/>
      <c r="L73" s="419"/>
    </row>
    <row r="74" spans="1:12" ht="20.25" x14ac:dyDescent="0.3">
      <c r="H74" s="419"/>
      <c r="I74" s="419"/>
      <c r="J74" s="419"/>
      <c r="K74" s="419"/>
      <c r="L74" s="419"/>
    </row>
    <row r="75" spans="1:12" ht="20.25" x14ac:dyDescent="0.3">
      <c r="H75" s="419"/>
      <c r="I75" s="419"/>
      <c r="J75" s="419"/>
      <c r="K75" s="419"/>
      <c r="L75" s="419"/>
    </row>
    <row r="76" spans="1:12" ht="20.25" x14ac:dyDescent="0.3">
      <c r="H76" s="416"/>
      <c r="I76" s="416"/>
      <c r="J76" s="416"/>
      <c r="K76" s="416"/>
      <c r="L76" s="416"/>
    </row>
  </sheetData>
  <sortState ref="C24:L42">
    <sortCondition descending="1" ref="L24:L42"/>
  </sortState>
  <mergeCells count="2">
    <mergeCell ref="D10:F10"/>
    <mergeCell ref="D46:F46"/>
  </mergeCells>
  <pageMargins left="0.45" right="0.45" top="0.5" bottom="0.5" header="0.3" footer="0.3"/>
  <pageSetup scale="61" orientation="portrait" r:id="rId1"/>
  <headerFooter>
    <oddFooter xml:space="preserve">&amp;LTransportation - Statement of Activities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5"/>
  <sheetViews>
    <sheetView topLeftCell="A4" workbookViewId="0">
      <selection activeCell="E5" sqref="E5"/>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4" style="18" customWidth="1"/>
    <col min="8" max="8" width="1.5" style="18" customWidth="1"/>
    <col min="9" max="9" width="23.875" style="18" customWidth="1"/>
    <col min="10" max="10" width="1.5" style="18" customWidth="1"/>
    <col min="11" max="11" width="27.125" style="18" customWidth="1"/>
    <col min="12" max="12" width="1.5" style="18" customWidth="1"/>
    <col min="13" max="13" width="27.125" style="18" customWidth="1"/>
    <col min="14" max="14" width="1.5" style="18" customWidth="1"/>
    <col min="15" max="15" width="27.125" style="18" customWidth="1"/>
    <col min="16" max="16" width="24.25" style="18" customWidth="1"/>
    <col min="17"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376</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35.1" hidden="1" customHeight="1" x14ac:dyDescent="0.4">
      <c r="A3" s="59" t="s">
        <v>69</v>
      </c>
      <c r="B3" s="60"/>
      <c r="C3" s="61"/>
      <c r="D3" s="61"/>
      <c r="E3" s="61"/>
      <c r="F3" s="60"/>
      <c r="G3" s="60"/>
      <c r="H3" s="684"/>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s="64" customFormat="1" ht="8.25" customHeight="1" thickBot="1" x14ac:dyDescent="0.25">
      <c r="A4" s="62"/>
      <c r="B4" s="62"/>
      <c r="C4" s="62"/>
      <c r="D4" s="62"/>
      <c r="E4" s="62"/>
      <c r="F4" s="62"/>
      <c r="G4" s="479"/>
      <c r="H4" s="63"/>
      <c r="I4" s="479"/>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row>
    <row r="5" spans="1:130" s="67" customFormat="1" ht="27.75" thickTop="1" thickBot="1" x14ac:dyDescent="0.25">
      <c r="A5" s="65" t="s">
        <v>70</v>
      </c>
      <c r="B5" s="65"/>
      <c r="C5" s="65"/>
      <c r="D5" s="65"/>
      <c r="E5" s="65"/>
      <c r="F5" s="65"/>
      <c r="G5" s="672" t="s">
        <v>71</v>
      </c>
      <c r="H5" s="412"/>
      <c r="I5" s="672" t="s">
        <v>390</v>
      </c>
      <c r="J5" s="66"/>
      <c r="K5" s="672" t="s">
        <v>392</v>
      </c>
      <c r="L5" s="66"/>
      <c r="M5" s="672" t="s">
        <v>393</v>
      </c>
      <c r="N5" s="66"/>
      <c r="O5" s="672" t="s">
        <v>394</v>
      </c>
      <c r="P5" s="672" t="s">
        <v>395</v>
      </c>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row>
    <row r="6" spans="1:130" s="69" customFormat="1" ht="8.25" customHeight="1" thickTop="1" x14ac:dyDescent="0.2">
      <c r="A6" s="68"/>
      <c r="B6" s="68"/>
      <c r="C6" s="68"/>
      <c r="D6" s="68"/>
      <c r="E6" s="68"/>
      <c r="F6" s="68"/>
    </row>
    <row r="7" spans="1:130" s="680" customFormat="1" ht="57" thickBot="1" x14ac:dyDescent="0.35">
      <c r="A7" s="678"/>
      <c r="B7" s="861" t="s">
        <v>377</v>
      </c>
      <c r="C7" s="861"/>
      <c r="D7" s="861"/>
      <c r="E7" s="861"/>
      <c r="F7" s="861"/>
      <c r="G7" s="688">
        <v>42004</v>
      </c>
      <c r="H7" s="689"/>
      <c r="I7" s="688" t="s">
        <v>387</v>
      </c>
      <c r="J7" s="690"/>
      <c r="K7" s="688" t="s">
        <v>396</v>
      </c>
      <c r="L7" s="690"/>
      <c r="M7" s="688" t="s">
        <v>391</v>
      </c>
      <c r="N7" s="690"/>
      <c r="O7" s="688" t="s">
        <v>388</v>
      </c>
      <c r="P7" s="688" t="s">
        <v>389</v>
      </c>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9"/>
    </row>
    <row r="8" spans="1:130" s="75" customFormat="1" ht="6.75" customHeight="1" x14ac:dyDescent="0.2">
      <c r="A8" s="74"/>
      <c r="B8" s="74"/>
      <c r="C8" s="74"/>
      <c r="D8" s="74"/>
      <c r="E8" s="74"/>
      <c r="F8" s="74"/>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row>
    <row r="9" spans="1:130" s="75" customFormat="1" ht="20.25" x14ac:dyDescent="0.2">
      <c r="A9" s="74"/>
      <c r="B9" s="74"/>
      <c r="C9" s="74" t="s">
        <v>378</v>
      </c>
      <c r="D9" s="74"/>
      <c r="E9" s="74"/>
      <c r="F9" s="74"/>
      <c r="G9" s="360">
        <v>333525.67</v>
      </c>
      <c r="H9" s="360"/>
      <c r="I9" s="360">
        <f>333525.67-31278.43-16019.88-19094</f>
        <v>267133.36</v>
      </c>
      <c r="J9" s="69"/>
      <c r="K9" s="360">
        <f>333525.67-31278.43-16019.88-19094-136592.41</f>
        <v>130540.94999999998</v>
      </c>
      <c r="L9" s="69"/>
      <c r="M9" s="360">
        <f>333525.67-31278.43-16019.88-19094-136592.41-55367.21</f>
        <v>75173.739999999991</v>
      </c>
      <c r="N9" s="69"/>
      <c r="O9" s="360">
        <f>333525.67-31278.43-16019.88-19094-136592.41-55367.21+247907.12</f>
        <v>323080.86</v>
      </c>
      <c r="P9" s="360">
        <f>333525.67-31278.43-16019.88-19094-136592.41-55367.21+247907.12</f>
        <v>323080.86</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8" customFormat="1" ht="20.25" x14ac:dyDescent="0.2">
      <c r="A10" s="673"/>
      <c r="B10" s="673"/>
      <c r="C10" s="74" t="s">
        <v>379</v>
      </c>
      <c r="D10" s="80"/>
      <c r="E10" s="80"/>
      <c r="F10" s="80"/>
      <c r="G10" s="423">
        <v>247907.12</v>
      </c>
      <c r="H10" s="423"/>
      <c r="I10" s="423">
        <v>247907.12</v>
      </c>
      <c r="J10" s="77"/>
      <c r="K10" s="423">
        <v>247907.12</v>
      </c>
      <c r="L10" s="77"/>
      <c r="M10" s="423">
        <v>247907.12</v>
      </c>
      <c r="N10" s="77"/>
      <c r="O10" s="685">
        <f>247907.12-247907.12</f>
        <v>0</v>
      </c>
      <c r="P10" s="423">
        <f>247907.12-247907.12</f>
        <v>0</v>
      </c>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row>
    <row r="11" spans="1:130" s="78" customFormat="1" ht="20.25" x14ac:dyDescent="0.2">
      <c r="A11" s="673"/>
      <c r="B11" s="673"/>
      <c r="C11" s="860" t="s">
        <v>289</v>
      </c>
      <c r="D11" s="860"/>
      <c r="E11" s="860"/>
      <c r="F11" s="860"/>
      <c r="G11" s="423">
        <v>0</v>
      </c>
      <c r="H11" s="423"/>
      <c r="I11" s="423">
        <v>0</v>
      </c>
      <c r="J11" s="77"/>
      <c r="K11" s="423">
        <v>0</v>
      </c>
      <c r="L11" s="77"/>
      <c r="M11" s="423">
        <v>0</v>
      </c>
      <c r="N11" s="77"/>
      <c r="O11" s="423">
        <v>0</v>
      </c>
      <c r="P11" s="423">
        <v>0</v>
      </c>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1:130" s="78" customFormat="1" ht="20.25" x14ac:dyDescent="0.2">
      <c r="A12" s="673"/>
      <c r="B12" s="673"/>
      <c r="C12" s="74" t="s">
        <v>380</v>
      </c>
      <c r="D12" s="673"/>
      <c r="E12" s="673"/>
      <c r="F12" s="673"/>
      <c r="G12" s="360">
        <v>31129.64</v>
      </c>
      <c r="H12" s="360"/>
      <c r="I12" s="360">
        <v>31129.64</v>
      </c>
      <c r="J12" s="77"/>
      <c r="K12" s="360">
        <v>31129.64</v>
      </c>
      <c r="L12" s="374"/>
      <c r="M12" s="360">
        <v>31129.64</v>
      </c>
      <c r="N12" s="77"/>
      <c r="O12" s="360">
        <v>31129.64</v>
      </c>
      <c r="P12" s="360">
        <v>31129.64</v>
      </c>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row>
    <row r="13" spans="1:130" s="78" customFormat="1" ht="20.25" x14ac:dyDescent="0.2">
      <c r="A13" s="673"/>
      <c r="B13" s="673"/>
      <c r="C13" s="74" t="s">
        <v>251</v>
      </c>
      <c r="D13" s="79"/>
      <c r="E13" s="79"/>
      <c r="F13" s="79"/>
      <c r="G13" s="361">
        <v>5968.8799999999992</v>
      </c>
      <c r="H13" s="358"/>
      <c r="I13" s="361">
        <v>5968.8799999999992</v>
      </c>
      <c r="J13" s="77"/>
      <c r="K13" s="361">
        <v>5968.8799999999992</v>
      </c>
      <c r="L13" s="77"/>
      <c r="M13" s="361">
        <v>5968.8799999999992</v>
      </c>
      <c r="N13" s="77"/>
      <c r="O13" s="361">
        <v>5968.8799999999992</v>
      </c>
      <c r="P13" s="686">
        <f>5968.88-5968.88</f>
        <v>0</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130" s="75" customFormat="1" ht="20.25" x14ac:dyDescent="0.2">
      <c r="A14" s="74"/>
      <c r="B14" s="68"/>
      <c r="C14" s="68" t="s">
        <v>78</v>
      </c>
      <c r="D14" s="68"/>
      <c r="E14" s="68"/>
      <c r="F14" s="68"/>
      <c r="G14" s="363">
        <f>SUM(G9:G13)</f>
        <v>618531.31000000006</v>
      </c>
      <c r="H14" s="363"/>
      <c r="I14" s="363">
        <f>SUM(I9:I13)</f>
        <v>552139</v>
      </c>
      <c r="J14" s="69"/>
      <c r="K14" s="363">
        <f>SUM(K9:K13)</f>
        <v>415546.58999999997</v>
      </c>
      <c r="L14" s="69"/>
      <c r="M14" s="363">
        <f>SUM(M9:M13)</f>
        <v>360179.38</v>
      </c>
      <c r="N14" s="69"/>
      <c r="O14" s="363">
        <f>SUM(O9:O13)</f>
        <v>360179.38</v>
      </c>
      <c r="P14" s="363">
        <f>SUM(P9:P13)</f>
        <v>354210.5</v>
      </c>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74"/>
      <c r="D15" s="74"/>
      <c r="E15" s="74"/>
      <c r="F15" s="74"/>
      <c r="G15" s="362"/>
      <c r="H15" s="363"/>
      <c r="I15" s="362"/>
      <c r="J15" s="69"/>
      <c r="K15" s="362"/>
      <c r="L15" s="69"/>
      <c r="M15" s="362"/>
      <c r="N15" s="69"/>
      <c r="O15" s="362"/>
      <c r="P15" s="362"/>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3" customFormat="1" ht="20.25" x14ac:dyDescent="0.3">
      <c r="A16" s="70"/>
      <c r="B16" s="408" t="s">
        <v>381</v>
      </c>
      <c r="C16" s="408"/>
      <c r="D16" s="408"/>
      <c r="E16" s="408"/>
      <c r="F16" s="408"/>
      <c r="G16" s="409"/>
      <c r="H16" s="409"/>
      <c r="I16" s="409"/>
      <c r="J16" s="72"/>
      <c r="K16" s="409"/>
      <c r="L16" s="72"/>
      <c r="M16" s="409"/>
      <c r="N16" s="72"/>
      <c r="O16" s="409"/>
      <c r="P16" s="409"/>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row>
    <row r="17" spans="1:63" s="73" customFormat="1" ht="20.25" x14ac:dyDescent="0.3">
      <c r="A17" s="70"/>
      <c r="B17" s="408"/>
      <c r="C17" s="408"/>
      <c r="D17" s="408"/>
      <c r="E17" s="408"/>
      <c r="F17" s="408"/>
      <c r="G17" s="409">
        <v>121148.45000000001</v>
      </c>
      <c r="H17" s="409"/>
      <c r="I17" s="409">
        <v>121148.45000000001</v>
      </c>
      <c r="J17" s="72"/>
      <c r="K17" s="409">
        <v>121148.45000000001</v>
      </c>
      <c r="L17" s="72"/>
      <c r="M17" s="409">
        <v>121148.45000000001</v>
      </c>
      <c r="N17" s="72"/>
      <c r="O17" s="409">
        <v>121148.45000000001</v>
      </c>
      <c r="P17" s="687">
        <f>121148.45-121148.45</f>
        <v>0</v>
      </c>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row>
    <row r="18" spans="1:63" s="75" customFormat="1" ht="20.25" x14ac:dyDescent="0.2">
      <c r="A18" s="74"/>
      <c r="B18" s="74"/>
      <c r="C18" s="74"/>
      <c r="D18" s="74"/>
      <c r="E18" s="74"/>
      <c r="F18" s="74"/>
      <c r="G18" s="362"/>
      <c r="H18" s="363"/>
      <c r="I18" s="362"/>
      <c r="J18" s="69"/>
      <c r="K18" s="362"/>
      <c r="L18" s="69"/>
      <c r="M18" s="362"/>
      <c r="N18" s="69"/>
      <c r="O18" s="362"/>
      <c r="P18" s="362"/>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c r="D19" s="74"/>
      <c r="E19" s="74"/>
      <c r="F19" s="74"/>
      <c r="G19" s="358"/>
      <c r="H19" s="358"/>
      <c r="I19" s="358"/>
      <c r="J19" s="69"/>
      <c r="K19" s="358"/>
      <c r="L19" s="69"/>
      <c r="M19" s="358"/>
      <c r="N19" s="69"/>
      <c r="O19" s="358"/>
      <c r="P19" s="358"/>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84" customFormat="1" ht="27.75" thickTop="1" thickBot="1" x14ac:dyDescent="0.25">
      <c r="A20" s="82" t="s">
        <v>81</v>
      </c>
      <c r="B20" s="82"/>
      <c r="C20" s="82"/>
      <c r="D20" s="82"/>
      <c r="E20" s="82"/>
      <c r="F20" s="82"/>
      <c r="G20" s="372">
        <f>G14+G17</f>
        <v>739679.76</v>
      </c>
      <c r="H20" s="411"/>
      <c r="I20" s="372">
        <f>I14+I17</f>
        <v>673287.45</v>
      </c>
      <c r="J20" s="83"/>
      <c r="K20" s="372">
        <f>K14+K17</f>
        <v>536695.04000000004</v>
      </c>
      <c r="L20" s="83"/>
      <c r="M20" s="372">
        <f>M14+M17</f>
        <v>481327.83</v>
      </c>
      <c r="N20" s="83"/>
      <c r="O20" s="372">
        <f>O14+O17</f>
        <v>481327.83</v>
      </c>
      <c r="P20" s="372">
        <f>P14+P17</f>
        <v>354210.5</v>
      </c>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row>
    <row r="21" spans="1:63" s="86" customFormat="1" ht="21.75" thickTop="1" thickBot="1" x14ac:dyDescent="0.25">
      <c r="A21" s="74"/>
      <c r="B21" s="74"/>
      <c r="C21" s="74"/>
      <c r="D21" s="74"/>
      <c r="E21" s="74"/>
      <c r="F21" s="74"/>
      <c r="G21" s="484"/>
      <c r="H21" s="484"/>
      <c r="I21" s="363"/>
      <c r="J21" s="85"/>
      <c r="K21" s="363"/>
      <c r="L21" s="85"/>
      <c r="M21" s="363"/>
      <c r="N21" s="85"/>
      <c r="O21" s="363"/>
      <c r="P21" s="363"/>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row>
    <row r="22" spans="1:63" s="67" customFormat="1" ht="27.75" thickTop="1" thickBot="1" x14ac:dyDescent="0.25">
      <c r="A22" s="65" t="s">
        <v>82</v>
      </c>
      <c r="B22" s="65"/>
      <c r="C22" s="65"/>
      <c r="D22" s="65"/>
      <c r="E22" s="65"/>
      <c r="F22" s="65"/>
      <c r="G22" s="367"/>
      <c r="H22" s="483"/>
      <c r="I22" s="367"/>
      <c r="J22" s="66"/>
      <c r="K22" s="367"/>
      <c r="L22" s="66"/>
      <c r="M22" s="367"/>
      <c r="N22" s="66"/>
      <c r="O22" s="367"/>
      <c r="P22" s="367"/>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row>
    <row r="23" spans="1:63" s="75" customFormat="1" ht="21" thickTop="1" x14ac:dyDescent="0.2">
      <c r="A23" s="74"/>
      <c r="B23" s="74"/>
      <c r="C23" s="74"/>
      <c r="D23" s="74"/>
      <c r="E23" s="74"/>
      <c r="F23" s="74"/>
      <c r="G23" s="360"/>
      <c r="H23" s="360"/>
      <c r="I23" s="360"/>
      <c r="J23" s="69"/>
      <c r="K23" s="360"/>
      <c r="L23" s="69"/>
      <c r="M23" s="360"/>
      <c r="N23" s="69"/>
      <c r="O23" s="360"/>
      <c r="P23" s="360"/>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4" thickBot="1" x14ac:dyDescent="0.25">
      <c r="A24" s="74"/>
      <c r="B24" s="87" t="s">
        <v>83</v>
      </c>
      <c r="C24" s="88"/>
      <c r="D24" s="88"/>
      <c r="E24" s="88"/>
      <c r="F24" s="88"/>
      <c r="G24" s="368"/>
      <c r="H24" s="358"/>
      <c r="I24" s="368"/>
      <c r="J24" s="69"/>
      <c r="K24" s="368"/>
      <c r="L24" s="69"/>
      <c r="M24" s="368"/>
      <c r="N24" s="69"/>
      <c r="O24" s="368"/>
      <c r="P24" s="368"/>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75" customFormat="1" ht="20.25" x14ac:dyDescent="0.2">
      <c r="A25" s="74"/>
      <c r="B25" s="74"/>
      <c r="C25" s="74"/>
      <c r="D25" s="74"/>
      <c r="E25" s="74"/>
      <c r="F25" s="74"/>
      <c r="G25" s="360"/>
      <c r="H25" s="358"/>
      <c r="I25" s="360"/>
      <c r="J25" s="69"/>
      <c r="K25" s="360"/>
      <c r="L25" s="69"/>
      <c r="M25" s="360"/>
      <c r="N25" s="69"/>
      <c r="O25" s="360"/>
      <c r="P25" s="360"/>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s="73" customFormat="1" ht="21" thickBot="1" x14ac:dyDescent="0.35">
      <c r="A26" s="70"/>
      <c r="B26" s="155" t="s">
        <v>382</v>
      </c>
      <c r="C26" s="156"/>
      <c r="D26" s="155"/>
      <c r="E26" s="155"/>
      <c r="F26" s="155"/>
      <c r="G26" s="359"/>
      <c r="H26" s="409"/>
      <c r="I26" s="359"/>
      <c r="J26" s="72"/>
      <c r="K26" s="359"/>
      <c r="L26" s="72"/>
      <c r="M26" s="359"/>
      <c r="N26" s="72"/>
      <c r="O26" s="359"/>
      <c r="P26" s="359"/>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row>
    <row r="27" spans="1:63" s="78" customFormat="1" ht="20.25" x14ac:dyDescent="0.2">
      <c r="A27" s="673"/>
      <c r="B27" s="673"/>
      <c r="C27" s="673"/>
      <c r="D27" s="673" t="s">
        <v>223</v>
      </c>
      <c r="F27" s="673"/>
      <c r="G27" s="373">
        <v>31278.429999999997</v>
      </c>
      <c r="H27" s="373"/>
      <c r="I27" s="681">
        <f>31278.43-31278.43</f>
        <v>0</v>
      </c>
      <c r="J27" s="77"/>
      <c r="K27" s="373">
        <f>31278.43-31278.43</f>
        <v>0</v>
      </c>
      <c r="L27" s="77"/>
      <c r="M27" s="373">
        <f>31278.43-31278.43</f>
        <v>0</v>
      </c>
      <c r="N27" s="77"/>
      <c r="O27" s="373">
        <f>31278.43-31278.43</f>
        <v>0</v>
      </c>
      <c r="P27" s="373">
        <f>31278.43-31278.43</f>
        <v>0</v>
      </c>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row>
    <row r="28" spans="1:63" s="78" customFormat="1" ht="20.25" x14ac:dyDescent="0.2">
      <c r="A28" s="673"/>
      <c r="B28" s="673"/>
      <c r="C28" s="673"/>
      <c r="D28" s="673" t="s">
        <v>383</v>
      </c>
      <c r="F28" s="673"/>
      <c r="G28" s="358">
        <v>16019.88</v>
      </c>
      <c r="H28" s="358"/>
      <c r="I28" s="682">
        <f>16019.88-16019.88</f>
        <v>0</v>
      </c>
      <c r="J28" s="77"/>
      <c r="K28" s="358">
        <f>16019.88-16019.88</f>
        <v>0</v>
      </c>
      <c r="L28" s="77"/>
      <c r="M28" s="358">
        <f>16019.88-16019.88</f>
        <v>0</v>
      </c>
      <c r="N28" s="77"/>
      <c r="O28" s="358">
        <f>16019.88-16019.88</f>
        <v>0</v>
      </c>
      <c r="P28" s="358">
        <f>16019.88-16019.88</f>
        <v>0</v>
      </c>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3" s="78" customFormat="1" ht="20.25" x14ac:dyDescent="0.2">
      <c r="A29" s="673"/>
      <c r="B29" s="673"/>
      <c r="C29" s="673"/>
      <c r="D29" s="673" t="s">
        <v>141</v>
      </c>
      <c r="F29" s="673"/>
      <c r="G29" s="360">
        <v>19094</v>
      </c>
      <c r="H29" s="358"/>
      <c r="I29" s="683">
        <f>19094-19094</f>
        <v>0</v>
      </c>
      <c r="J29" s="77"/>
      <c r="K29" s="360">
        <f>19094-19094</f>
        <v>0</v>
      </c>
      <c r="L29" s="77"/>
      <c r="M29" s="360">
        <f>19094-19094</f>
        <v>0</v>
      </c>
      <c r="N29" s="77"/>
      <c r="O29" s="360">
        <f>19094-19094</f>
        <v>0</v>
      </c>
      <c r="P29" s="360">
        <f>19094-19094</f>
        <v>0</v>
      </c>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row>
    <row r="30" spans="1:63" s="78" customFormat="1" ht="20.25" x14ac:dyDescent="0.2">
      <c r="A30" s="673"/>
      <c r="B30" s="673"/>
      <c r="C30" s="673"/>
      <c r="D30" s="673" t="s">
        <v>384</v>
      </c>
      <c r="F30" s="673"/>
      <c r="G30" s="360"/>
      <c r="H30" s="358"/>
      <c r="I30" s="360"/>
      <c r="J30" s="77"/>
      <c r="K30" s="360"/>
      <c r="L30" s="77"/>
      <c r="M30" s="360"/>
      <c r="N30" s="77"/>
      <c r="O30" s="360"/>
      <c r="P30" s="360"/>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row>
    <row r="31" spans="1:63" s="78" customFormat="1" ht="20.25" x14ac:dyDescent="0.2">
      <c r="A31" s="673"/>
      <c r="B31" s="673"/>
      <c r="C31" s="673"/>
      <c r="D31" s="80" t="s">
        <v>150</v>
      </c>
      <c r="F31" s="673"/>
      <c r="G31" s="360">
        <v>136592.41</v>
      </c>
      <c r="H31" s="358"/>
      <c r="I31" s="360">
        <v>136592.41</v>
      </c>
      <c r="J31" s="77"/>
      <c r="K31" s="683">
        <f>136592.41-136592.41</f>
        <v>0</v>
      </c>
      <c r="L31" s="77"/>
      <c r="M31" s="360">
        <f>136592.41-136592.41</f>
        <v>0</v>
      </c>
      <c r="N31" s="77"/>
      <c r="O31" s="360">
        <f>136592.41-136592.41</f>
        <v>0</v>
      </c>
      <c r="P31" s="360">
        <f>136592.41-136592.41</f>
        <v>0</v>
      </c>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row>
    <row r="32" spans="1:63" s="78" customFormat="1" ht="20.25" hidden="1" x14ac:dyDescent="0.2">
      <c r="A32" s="673"/>
      <c r="B32" s="673"/>
      <c r="C32" s="673"/>
      <c r="D32" s="79" t="s">
        <v>385</v>
      </c>
      <c r="E32" s="154"/>
      <c r="F32" s="79"/>
      <c r="G32" s="360"/>
      <c r="H32" s="358"/>
      <c r="I32" s="360"/>
      <c r="J32" s="77"/>
      <c r="K32" s="360"/>
      <c r="L32" s="77"/>
      <c r="M32" s="360"/>
      <c r="N32" s="77"/>
      <c r="O32" s="360"/>
      <c r="P32" s="360"/>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row>
    <row r="33" spans="1:63" s="78" customFormat="1" ht="20.25" x14ac:dyDescent="0.2">
      <c r="A33" s="673"/>
      <c r="B33" s="673"/>
      <c r="C33" s="81" t="s">
        <v>96</v>
      </c>
      <c r="D33" s="673"/>
      <c r="F33" s="673"/>
      <c r="G33" s="369">
        <f>SUM(G27:G32)</f>
        <v>202984.72</v>
      </c>
      <c r="H33" s="358"/>
      <c r="I33" s="369">
        <f>SUM(I27:I32)</f>
        <v>136592.41</v>
      </c>
      <c r="J33" s="77"/>
      <c r="K33" s="369">
        <f>SUM(K27:K32)</f>
        <v>0</v>
      </c>
      <c r="L33" s="77"/>
      <c r="M33" s="369">
        <f>SUM(M27:M32)</f>
        <v>0</v>
      </c>
      <c r="N33" s="77"/>
      <c r="O33" s="369">
        <f>SUM(O27:O32)</f>
        <v>0</v>
      </c>
      <c r="P33" s="369">
        <f>SUM(P27:P32)</f>
        <v>0</v>
      </c>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row>
    <row r="34" spans="1:63" s="78" customFormat="1" ht="20.25" x14ac:dyDescent="0.2">
      <c r="A34" s="673"/>
      <c r="B34" s="673"/>
      <c r="C34" s="673"/>
      <c r="D34" s="673"/>
      <c r="E34" s="673"/>
      <c r="F34" s="673"/>
      <c r="G34" s="360"/>
      <c r="H34" s="358"/>
      <c r="I34" s="360"/>
      <c r="J34" s="77"/>
      <c r="K34" s="360"/>
      <c r="L34" s="77"/>
      <c r="M34" s="360"/>
      <c r="N34" s="77"/>
      <c r="O34" s="360"/>
      <c r="P34" s="360"/>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row>
    <row r="35" spans="1:63" s="75" customFormat="1" ht="20.25" x14ac:dyDescent="0.2">
      <c r="A35" s="74"/>
      <c r="B35" s="74"/>
      <c r="C35" s="74"/>
      <c r="D35" s="74"/>
      <c r="E35" s="74"/>
      <c r="F35" s="74"/>
      <c r="G35" s="362"/>
      <c r="H35" s="363"/>
      <c r="I35" s="362"/>
      <c r="J35" s="69"/>
      <c r="K35" s="362"/>
      <c r="L35" s="69"/>
      <c r="M35" s="362"/>
      <c r="N35" s="69"/>
      <c r="O35" s="362"/>
      <c r="P35" s="362"/>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63" s="75" customFormat="1" ht="24" thickBot="1" x14ac:dyDescent="0.25">
      <c r="A36" s="74"/>
      <c r="B36" s="87" t="s">
        <v>386</v>
      </c>
      <c r="C36" s="88"/>
      <c r="D36" s="88"/>
      <c r="E36" s="88"/>
      <c r="F36" s="88"/>
      <c r="G36" s="368"/>
      <c r="H36" s="358"/>
      <c r="I36" s="368"/>
      <c r="J36" s="69"/>
      <c r="K36" s="368"/>
      <c r="L36" s="69"/>
      <c r="M36" s="368"/>
      <c r="N36" s="69"/>
      <c r="O36" s="368"/>
      <c r="P36" s="368"/>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63" s="75" customFormat="1" ht="23.25" x14ac:dyDescent="0.2">
      <c r="A37" s="74"/>
      <c r="B37" s="413"/>
      <c r="C37" s="68"/>
      <c r="D37" s="673" t="s">
        <v>144</v>
      </c>
      <c r="E37" s="68"/>
      <c r="F37" s="68"/>
      <c r="G37" s="358">
        <v>55367.21</v>
      </c>
      <c r="H37" s="358"/>
      <c r="I37" s="358">
        <v>55367.21</v>
      </c>
      <c r="J37" s="69"/>
      <c r="K37" s="358">
        <v>55367.21</v>
      </c>
      <c r="L37" s="69"/>
      <c r="M37" s="682">
        <f>-55367.21+55367.21</f>
        <v>0</v>
      </c>
      <c r="N37" s="69"/>
      <c r="O37" s="358">
        <f>-55367.21+55367.21</f>
        <v>0</v>
      </c>
      <c r="P37" s="358">
        <f>-55367.21+55367.21</f>
        <v>0</v>
      </c>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row>
    <row r="38" spans="1:63" s="78" customFormat="1" ht="21" thickBot="1" x14ac:dyDescent="0.25">
      <c r="A38" s="673"/>
      <c r="B38" s="673"/>
      <c r="D38" s="673" t="s">
        <v>138</v>
      </c>
      <c r="E38" s="677"/>
      <c r="F38" s="677"/>
      <c r="G38" s="368">
        <v>481327.83000000013</v>
      </c>
      <c r="H38" s="358"/>
      <c r="I38" s="368">
        <v>481327.83000000013</v>
      </c>
      <c r="J38" s="77"/>
      <c r="K38" s="368">
        <v>481327.83000000013</v>
      </c>
      <c r="L38" s="77"/>
      <c r="M38" s="368">
        <v>481327.83000000013</v>
      </c>
      <c r="N38" s="77"/>
      <c r="O38" s="368">
        <v>481327.83000000013</v>
      </c>
      <c r="P38" s="368">
        <f>481327.83-5968.88-121148.45</f>
        <v>354210.5</v>
      </c>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row>
    <row r="39" spans="1:63" s="75" customFormat="1" ht="23.25" x14ac:dyDescent="0.2">
      <c r="A39" s="74"/>
      <c r="B39" s="90" t="s">
        <v>86</v>
      </c>
      <c r="C39" s="91"/>
      <c r="D39" s="91"/>
      <c r="E39" s="68"/>
      <c r="F39" s="68"/>
      <c r="G39" s="363">
        <f>G37+G38</f>
        <v>536695.04000000015</v>
      </c>
      <c r="H39" s="363"/>
      <c r="I39" s="363">
        <f>I37+I38</f>
        <v>536695.04000000015</v>
      </c>
      <c r="J39" s="69"/>
      <c r="K39" s="363">
        <f>K37+K38</f>
        <v>536695.04000000015</v>
      </c>
      <c r="L39" s="69"/>
      <c r="M39" s="363">
        <f>M37+M38</f>
        <v>481327.83000000013</v>
      </c>
      <c r="N39" s="69"/>
      <c r="O39" s="363">
        <f>O37+O38</f>
        <v>481327.83000000013</v>
      </c>
      <c r="P39" s="363">
        <f>P37+P38</f>
        <v>354210.5</v>
      </c>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s="75" customFormat="1" ht="20.25" x14ac:dyDescent="0.2">
      <c r="A40" s="74"/>
      <c r="B40" s="74"/>
      <c r="C40" s="74"/>
      <c r="D40" s="74"/>
      <c r="E40" s="74"/>
      <c r="F40" s="74"/>
      <c r="G40" s="361"/>
      <c r="H40" s="361"/>
      <c r="I40" s="361"/>
      <c r="J40" s="69"/>
      <c r="K40" s="361"/>
      <c r="L40" s="69"/>
      <c r="M40" s="361"/>
      <c r="N40" s="69"/>
      <c r="O40" s="361"/>
      <c r="P40" s="361"/>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s="92" customFormat="1" ht="27" thickBot="1" x14ac:dyDescent="0.25">
      <c r="A41" s="82" t="s">
        <v>87</v>
      </c>
      <c r="B41" s="82"/>
      <c r="C41" s="82"/>
      <c r="D41" s="82"/>
      <c r="E41" s="82"/>
      <c r="F41" s="82"/>
      <c r="G41" s="523">
        <f>G33+G39</f>
        <v>739679.76000000013</v>
      </c>
      <c r="H41" s="523"/>
      <c r="I41" s="523">
        <f>I33+I39</f>
        <v>673287.45000000019</v>
      </c>
      <c r="J41" s="83"/>
      <c r="K41" s="523">
        <f>K33+K39</f>
        <v>536695.04000000015</v>
      </c>
      <c r="L41" s="83"/>
      <c r="M41" s="523">
        <f>M33+M39</f>
        <v>481327.83000000013</v>
      </c>
      <c r="N41" s="83"/>
      <c r="O41" s="523">
        <f>O33+O39</f>
        <v>481327.83000000013</v>
      </c>
      <c r="P41" s="523">
        <f>P33+P39</f>
        <v>354210.5</v>
      </c>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row>
    <row r="42" spans="1:63" ht="15" thickTop="1" x14ac:dyDescent="0.2">
      <c r="D42" s="505"/>
    </row>
    <row r="43" spans="1:63" x14ac:dyDescent="0.2">
      <c r="A43"/>
      <c r="B43"/>
      <c r="C43"/>
      <c r="D43"/>
      <c r="E43"/>
      <c r="F43"/>
      <c r="G43" s="389">
        <f>G41-G20</f>
        <v>0</v>
      </c>
      <c r="H43" s="389"/>
      <c r="I43" s="389">
        <v>-0.30000000004656613</v>
      </c>
      <c r="J43"/>
      <c r="K43" s="389">
        <v>-0.30000000004656613</v>
      </c>
      <c r="L43"/>
      <c r="M43" s="389">
        <v>-0.30000000004656613</v>
      </c>
      <c r="N43"/>
      <c r="O43" s="389">
        <v>-0.30000000004656613</v>
      </c>
      <c r="P43" s="389">
        <v>-0.30000000004656613</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7" spans="1:63" x14ac:dyDescent="0.2">
      <c r="A47"/>
      <c r="B47"/>
      <c r="C47"/>
      <c r="D47"/>
      <c r="E47"/>
      <c r="F47"/>
      <c r="G47" s="414"/>
      <c r="H47" s="414"/>
      <c r="I47" s="414"/>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row>
    <row r="75" spans="1:63" x14ac:dyDescent="0.2">
      <c r="A75"/>
      <c r="B75"/>
      <c r="C75"/>
      <c r="D75"/>
      <c r="E75"/>
      <c r="F75"/>
      <c r="G75" s="1"/>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sheetData>
  <mergeCells count="2">
    <mergeCell ref="C11:F11"/>
    <mergeCell ref="B7:F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AA21" sqref="AA21"/>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149</v>
      </c>
      <c r="B1" s="60"/>
      <c r="C1" s="61"/>
      <c r="D1" s="61"/>
      <c r="E1" s="61"/>
      <c r="F1" s="60"/>
      <c r="G1" s="60"/>
    </row>
    <row r="2" spans="1:23" ht="26.25" x14ac:dyDescent="0.4">
      <c r="A2" s="59" t="s">
        <v>376</v>
      </c>
      <c r="B2" s="60"/>
      <c r="C2" s="61"/>
      <c r="D2" s="61"/>
      <c r="E2" s="61"/>
      <c r="F2" s="60"/>
      <c r="G2" s="60"/>
    </row>
    <row r="3" spans="1:23" ht="11.25" customHeight="1" thickBot="1" x14ac:dyDescent="0.25">
      <c r="A3" s="62"/>
      <c r="B3" s="62"/>
      <c r="C3" s="62"/>
      <c r="D3" s="62"/>
      <c r="E3" s="62"/>
      <c r="F3" s="62"/>
      <c r="G3" s="479"/>
    </row>
    <row r="4" spans="1:23" ht="27.75" thickTop="1" thickBot="1" x14ac:dyDescent="0.25">
      <c r="A4" s="65"/>
      <c r="B4" s="65"/>
      <c r="C4" s="65"/>
      <c r="D4" s="65" t="s">
        <v>70</v>
      </c>
      <c r="E4" s="65"/>
      <c r="F4" s="65"/>
      <c r="G4" s="672" t="s">
        <v>71</v>
      </c>
      <c r="H4" s="672"/>
      <c r="I4" s="672"/>
      <c r="J4" s="672"/>
      <c r="K4" s="672"/>
      <c r="L4" s="672"/>
      <c r="M4" s="672"/>
      <c r="N4" s="672"/>
      <c r="O4" s="672"/>
      <c r="P4" s="672"/>
      <c r="Q4" s="672"/>
      <c r="R4" s="672"/>
      <c r="S4" s="672"/>
      <c r="T4" s="672"/>
      <c r="U4" s="672"/>
      <c r="V4" s="672"/>
      <c r="W4" s="672"/>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678"/>
      <c r="B6" s="861" t="s">
        <v>377</v>
      </c>
      <c r="C6" s="861"/>
      <c r="D6" s="861"/>
      <c r="E6" s="861"/>
      <c r="F6" s="861"/>
      <c r="G6" s="688">
        <v>42004</v>
      </c>
      <c r="H6" s="688">
        <v>41639</v>
      </c>
      <c r="I6" s="688">
        <v>41274</v>
      </c>
      <c r="J6" s="688">
        <v>41090</v>
      </c>
      <c r="K6" s="688">
        <v>40724</v>
      </c>
      <c r="L6" s="688">
        <v>40359</v>
      </c>
      <c r="M6" s="688">
        <v>39994</v>
      </c>
      <c r="N6" s="688">
        <v>39629</v>
      </c>
      <c r="O6" s="688">
        <v>39263</v>
      </c>
      <c r="P6" s="688">
        <v>38898</v>
      </c>
      <c r="Q6" s="688">
        <v>38533</v>
      </c>
      <c r="R6" s="688">
        <v>38168</v>
      </c>
      <c r="S6" s="688">
        <v>37802</v>
      </c>
      <c r="T6" s="688">
        <v>37437</v>
      </c>
      <c r="U6" s="688">
        <v>37072</v>
      </c>
      <c r="V6" s="688">
        <v>36707</v>
      </c>
      <c r="W6" s="688">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378</v>
      </c>
      <c r="D8" s="74"/>
      <c r="E8" s="74"/>
      <c r="F8" s="74"/>
      <c r="G8" s="371">
        <v>333525.67</v>
      </c>
      <c r="H8" s="371">
        <v>210919</v>
      </c>
      <c r="I8" s="371">
        <v>214148</v>
      </c>
      <c r="J8" s="371">
        <v>156809</v>
      </c>
      <c r="K8" s="371">
        <v>240314</v>
      </c>
      <c r="L8" s="371">
        <v>142815</v>
      </c>
      <c r="M8" s="371">
        <v>82502</v>
      </c>
      <c r="N8" s="371">
        <v>45758</v>
      </c>
      <c r="O8" s="371">
        <v>105458</v>
      </c>
      <c r="P8" s="371">
        <v>29475</v>
      </c>
      <c r="Q8" s="371">
        <v>22537</v>
      </c>
      <c r="R8" s="371">
        <v>42935</v>
      </c>
      <c r="S8" s="371">
        <v>144393</v>
      </c>
      <c r="T8" s="371">
        <v>42414</v>
      </c>
      <c r="U8" s="371">
        <f>69880+9123</f>
        <v>79003</v>
      </c>
      <c r="V8" s="371">
        <v>92767</v>
      </c>
      <c r="W8" s="371">
        <v>13150</v>
      </c>
    </row>
    <row r="9" spans="1:23" ht="20.25" x14ac:dyDescent="0.2">
      <c r="A9" s="673"/>
      <c r="B9" s="673"/>
      <c r="C9" s="74" t="s">
        <v>379</v>
      </c>
      <c r="D9" s="80"/>
      <c r="E9" s="80"/>
      <c r="F9" s="80"/>
      <c r="G9" s="423">
        <v>247907.12</v>
      </c>
      <c r="H9" s="423">
        <v>311775</v>
      </c>
      <c r="I9" s="423">
        <v>243797</v>
      </c>
      <c r="J9" s="423">
        <v>347870</v>
      </c>
      <c r="K9" s="423">
        <v>298266</v>
      </c>
      <c r="L9" s="423">
        <v>296605</v>
      </c>
      <c r="M9" s="423">
        <v>349918</v>
      </c>
      <c r="N9" s="423">
        <v>366842</v>
      </c>
      <c r="O9" s="423">
        <v>209667</v>
      </c>
      <c r="P9" s="423">
        <v>234735</v>
      </c>
      <c r="Q9" s="423">
        <v>254712</v>
      </c>
      <c r="R9" s="423">
        <v>250225</v>
      </c>
      <c r="S9" s="423">
        <v>85795</v>
      </c>
      <c r="T9" s="423">
        <v>185461</v>
      </c>
      <c r="U9" s="423">
        <v>99322</v>
      </c>
      <c r="V9" s="423">
        <v>80619</v>
      </c>
      <c r="W9" s="423">
        <v>49127</v>
      </c>
    </row>
    <row r="10" spans="1:23" ht="20.25" x14ac:dyDescent="0.2">
      <c r="A10" s="673"/>
      <c r="B10" s="673"/>
      <c r="C10" s="860" t="s">
        <v>289</v>
      </c>
      <c r="D10" s="860"/>
      <c r="E10" s="860"/>
      <c r="F10" s="860"/>
      <c r="G10" s="423">
        <v>0</v>
      </c>
      <c r="H10" s="423">
        <v>5142</v>
      </c>
      <c r="I10" s="423"/>
      <c r="J10" s="423"/>
      <c r="K10" s="423"/>
      <c r="L10" s="423"/>
      <c r="M10" s="423"/>
      <c r="N10" s="423"/>
      <c r="O10" s="423"/>
      <c r="P10" s="423"/>
      <c r="Q10" s="423"/>
      <c r="R10" s="423">
        <v>23</v>
      </c>
      <c r="S10" s="423">
        <v>4823</v>
      </c>
      <c r="T10" s="423">
        <v>6130</v>
      </c>
      <c r="U10" s="423">
        <v>19833</v>
      </c>
      <c r="V10" s="423"/>
      <c r="W10" s="423"/>
    </row>
    <row r="11" spans="1:23" ht="20.25" x14ac:dyDescent="0.2">
      <c r="A11" s="673"/>
      <c r="B11" s="673"/>
      <c r="C11" s="74" t="s">
        <v>380</v>
      </c>
      <c r="D11" s="673"/>
      <c r="E11" s="673"/>
      <c r="F11" s="673"/>
      <c r="G11" s="360">
        <v>31129.64</v>
      </c>
      <c r="H11" s="360">
        <v>30012</v>
      </c>
      <c r="I11" s="360">
        <v>30964</v>
      </c>
      <c r="J11" s="360">
        <v>30506</v>
      </c>
      <c r="K11" s="360">
        <v>28900</v>
      </c>
      <c r="L11" s="360">
        <v>28036</v>
      </c>
      <c r="M11" s="360"/>
      <c r="N11" s="360"/>
      <c r="O11" s="360"/>
      <c r="P11" s="360"/>
      <c r="Q11" s="360"/>
      <c r="R11" s="360"/>
      <c r="S11" s="360"/>
      <c r="T11" s="360"/>
      <c r="U11" s="360"/>
      <c r="V11" s="360"/>
      <c r="W11" s="360"/>
    </row>
    <row r="12" spans="1:23" ht="20.25" x14ac:dyDescent="0.2">
      <c r="A12" s="673"/>
      <c r="B12" s="673"/>
      <c r="C12" s="74" t="s">
        <v>251</v>
      </c>
      <c r="D12" s="79"/>
      <c r="E12" s="79"/>
      <c r="F12" s="79"/>
      <c r="G12" s="361">
        <v>5968.8799999999992</v>
      </c>
      <c r="H12" s="361">
        <v>4730</v>
      </c>
      <c r="I12" s="361">
        <v>3598</v>
      </c>
      <c r="J12" s="361">
        <f>1663+577</f>
        <v>2240</v>
      </c>
      <c r="K12" s="361">
        <f>5202</f>
        <v>5202</v>
      </c>
      <c r="L12" s="361">
        <v>1840</v>
      </c>
      <c r="M12" s="361">
        <v>1427</v>
      </c>
      <c r="N12" s="361">
        <v>360</v>
      </c>
      <c r="O12" s="361">
        <v>312</v>
      </c>
      <c r="P12" s="361"/>
      <c r="Q12" s="361">
        <v>5593</v>
      </c>
      <c r="R12" s="361">
        <v>3952</v>
      </c>
      <c r="S12" s="361">
        <v>13154</v>
      </c>
      <c r="T12" s="361">
        <v>2441</v>
      </c>
      <c r="U12" s="361"/>
      <c r="V12" s="361"/>
      <c r="W12" s="361"/>
    </row>
    <row r="13" spans="1:23" ht="20.25" x14ac:dyDescent="0.2">
      <c r="A13" s="74"/>
      <c r="B13" s="68"/>
      <c r="C13" s="68" t="s">
        <v>78</v>
      </c>
      <c r="D13" s="68"/>
      <c r="E13" s="68"/>
      <c r="F13" s="68"/>
      <c r="G13" s="363">
        <f>SUM(G8:G12)</f>
        <v>618531.31000000006</v>
      </c>
      <c r="H13" s="363">
        <f>SUM(H8:H12)</f>
        <v>562578</v>
      </c>
      <c r="I13" s="363">
        <f>SUM(I8:I12)</f>
        <v>492507</v>
      </c>
      <c r="J13" s="363">
        <f>SUM(J8:J12)</f>
        <v>537425</v>
      </c>
      <c r="K13" s="363">
        <f>SUM(K8:K12)</f>
        <v>572682</v>
      </c>
      <c r="L13" s="363">
        <f t="shared" ref="L13:W13" si="0">SUM(L8:L12)</f>
        <v>469296</v>
      </c>
      <c r="M13" s="363">
        <f t="shared" si="0"/>
        <v>433847</v>
      </c>
      <c r="N13" s="363">
        <f t="shared" si="0"/>
        <v>412960</v>
      </c>
      <c r="O13" s="363">
        <f t="shared" si="0"/>
        <v>315437</v>
      </c>
      <c r="P13" s="363">
        <f t="shared" si="0"/>
        <v>264210</v>
      </c>
      <c r="Q13" s="363">
        <f t="shared" si="0"/>
        <v>282842</v>
      </c>
      <c r="R13" s="363">
        <f t="shared" si="0"/>
        <v>297135</v>
      </c>
      <c r="S13" s="363">
        <f t="shared" si="0"/>
        <v>248165</v>
      </c>
      <c r="T13" s="363">
        <f t="shared" si="0"/>
        <v>236446</v>
      </c>
      <c r="U13" s="363">
        <f t="shared" si="0"/>
        <v>198158</v>
      </c>
      <c r="V13" s="363">
        <f t="shared" si="0"/>
        <v>173386</v>
      </c>
      <c r="W13" s="363">
        <f t="shared" si="0"/>
        <v>62277</v>
      </c>
    </row>
    <row r="14" spans="1:23" ht="20.25" x14ac:dyDescent="0.2">
      <c r="A14" s="74"/>
      <c r="B14" s="74"/>
      <c r="C14" s="74"/>
      <c r="D14" s="74"/>
      <c r="E14" s="74"/>
      <c r="F14" s="74"/>
      <c r="G14" s="362"/>
      <c r="H14" s="362"/>
      <c r="I14" s="362"/>
      <c r="J14" s="362"/>
      <c r="K14" s="362"/>
      <c r="L14" s="362"/>
      <c r="M14" s="362"/>
      <c r="N14" s="362"/>
      <c r="O14" s="362"/>
      <c r="P14" s="362"/>
      <c r="Q14" s="362"/>
      <c r="R14" s="362"/>
      <c r="S14" s="362"/>
      <c r="T14" s="362"/>
      <c r="U14" s="362"/>
      <c r="V14" s="362"/>
      <c r="W14" s="362"/>
    </row>
    <row r="15" spans="1:23" ht="20.25" x14ac:dyDescent="0.3">
      <c r="A15" s="70"/>
      <c r="B15" s="408" t="s">
        <v>381</v>
      </c>
      <c r="C15" s="408"/>
      <c r="D15" s="408"/>
      <c r="E15" s="408"/>
      <c r="F15" s="408"/>
      <c r="G15" s="409"/>
      <c r="H15" s="409"/>
      <c r="I15" s="409"/>
      <c r="J15" s="409"/>
      <c r="K15" s="409"/>
      <c r="L15" s="409"/>
      <c r="M15" s="409"/>
      <c r="N15" s="409"/>
      <c r="O15" s="409"/>
      <c r="P15" s="409"/>
      <c r="Q15" s="409"/>
      <c r="R15" s="409"/>
      <c r="S15" s="409"/>
      <c r="T15" s="409"/>
      <c r="U15" s="409"/>
      <c r="V15" s="409"/>
      <c r="W15" s="409"/>
    </row>
    <row r="16" spans="1:23" ht="20.25" x14ac:dyDescent="0.3">
      <c r="A16" s="70"/>
      <c r="B16" s="408"/>
      <c r="C16" s="408"/>
      <c r="D16" s="408"/>
      <c r="E16" s="408"/>
      <c r="F16" s="408"/>
      <c r="G16" s="409">
        <v>121148.45000000001</v>
      </c>
      <c r="H16" s="409">
        <v>88948</v>
      </c>
      <c r="I16" s="409">
        <v>81381</v>
      </c>
      <c r="J16" s="409">
        <v>85951</v>
      </c>
      <c r="K16" s="409">
        <v>75213</v>
      </c>
      <c r="L16" s="409">
        <v>103757</v>
      </c>
      <c r="M16" s="409">
        <v>72661</v>
      </c>
      <c r="N16" s="409">
        <v>91918</v>
      </c>
      <c r="O16" s="409">
        <v>80411</v>
      </c>
      <c r="P16" s="409">
        <v>57354</v>
      </c>
      <c r="Q16" s="409">
        <v>59451</v>
      </c>
      <c r="R16" s="409">
        <v>70947</v>
      </c>
      <c r="S16" s="409">
        <v>80279</v>
      </c>
      <c r="T16" s="409">
        <v>84266</v>
      </c>
      <c r="U16" s="409">
        <v>45164</v>
      </c>
      <c r="V16" s="409">
        <v>15210</v>
      </c>
      <c r="W16" s="409">
        <v>15599</v>
      </c>
    </row>
    <row r="17" spans="1:23" ht="20.25" hidden="1" x14ac:dyDescent="0.2">
      <c r="A17" s="74"/>
      <c r="B17" s="74"/>
      <c r="C17" s="74"/>
      <c r="D17" s="74"/>
      <c r="E17" s="74"/>
      <c r="F17" s="74"/>
      <c r="G17" s="362"/>
      <c r="H17" s="362"/>
      <c r="I17" s="362"/>
      <c r="J17" s="362"/>
      <c r="K17" s="362"/>
      <c r="L17" s="362"/>
      <c r="M17" s="362"/>
      <c r="N17" s="362"/>
      <c r="O17" s="362"/>
      <c r="P17" s="362"/>
      <c r="Q17" s="362"/>
      <c r="R17" s="362"/>
      <c r="S17" s="362"/>
      <c r="T17" s="362"/>
      <c r="U17" s="362"/>
      <c r="V17" s="362"/>
      <c r="W17" s="362"/>
    </row>
    <row r="18" spans="1:23" ht="20.25" hidden="1" x14ac:dyDescent="0.2">
      <c r="A18" s="74"/>
      <c r="B18" s="74"/>
      <c r="C18" s="74"/>
      <c r="D18" s="74"/>
      <c r="E18" s="74"/>
      <c r="F18" s="74"/>
      <c r="G18" s="358"/>
      <c r="H18" s="358"/>
      <c r="I18" s="358"/>
      <c r="J18" s="358"/>
      <c r="K18" s="358"/>
      <c r="L18" s="358"/>
      <c r="M18" s="358"/>
      <c r="N18" s="358"/>
      <c r="O18" s="358"/>
      <c r="P18" s="358"/>
      <c r="Q18" s="358"/>
      <c r="R18" s="358"/>
      <c r="S18" s="358"/>
      <c r="T18" s="358"/>
      <c r="U18" s="358"/>
      <c r="V18" s="358"/>
      <c r="W18" s="358"/>
    </row>
    <row r="19" spans="1:23" ht="27" thickBot="1" x14ac:dyDescent="0.25">
      <c r="A19" s="82" t="s">
        <v>81</v>
      </c>
      <c r="B19" s="82"/>
      <c r="C19" s="82"/>
      <c r="D19" s="82"/>
      <c r="E19" s="82"/>
      <c r="F19" s="82"/>
      <c r="G19" s="372">
        <f>G13+G16</f>
        <v>739679.76</v>
      </c>
      <c r="H19" s="372">
        <f>H13+H16</f>
        <v>651526</v>
      </c>
      <c r="I19" s="372">
        <f>I13+I16</f>
        <v>573888</v>
      </c>
      <c r="J19" s="372">
        <f>J13+J16</f>
        <v>623376</v>
      </c>
      <c r="K19" s="372">
        <f>K13+K16</f>
        <v>647895</v>
      </c>
      <c r="L19" s="372">
        <f t="shared" ref="L19:W19" si="1">L13+L16</f>
        <v>573053</v>
      </c>
      <c r="M19" s="372">
        <f t="shared" si="1"/>
        <v>506508</v>
      </c>
      <c r="N19" s="372">
        <f t="shared" si="1"/>
        <v>504878</v>
      </c>
      <c r="O19" s="372">
        <f t="shared" si="1"/>
        <v>395848</v>
      </c>
      <c r="P19" s="372">
        <f t="shared" si="1"/>
        <v>321564</v>
      </c>
      <c r="Q19" s="372">
        <f t="shared" si="1"/>
        <v>342293</v>
      </c>
      <c r="R19" s="372">
        <f t="shared" si="1"/>
        <v>368082</v>
      </c>
      <c r="S19" s="372">
        <f t="shared" si="1"/>
        <v>328444</v>
      </c>
      <c r="T19" s="372">
        <f t="shared" si="1"/>
        <v>320712</v>
      </c>
      <c r="U19" s="372">
        <f t="shared" si="1"/>
        <v>243322</v>
      </c>
      <c r="V19" s="372">
        <f t="shared" si="1"/>
        <v>188596</v>
      </c>
      <c r="W19" s="372">
        <f t="shared" si="1"/>
        <v>77876</v>
      </c>
    </row>
    <row r="20" spans="1:23" ht="21.75" thickTop="1" thickBot="1" x14ac:dyDescent="0.25">
      <c r="A20" s="74"/>
      <c r="B20" s="74"/>
      <c r="C20" s="74"/>
      <c r="D20" s="74"/>
      <c r="E20" s="74"/>
      <c r="F20" s="74"/>
      <c r="G20" s="484"/>
      <c r="H20" s="484"/>
      <c r="I20" s="484"/>
      <c r="J20" s="484"/>
      <c r="K20" s="484"/>
      <c r="L20" s="484"/>
      <c r="M20" s="484"/>
      <c r="N20" s="484"/>
      <c r="O20" s="484"/>
      <c r="P20" s="484"/>
      <c r="Q20" s="484"/>
      <c r="R20" s="484"/>
      <c r="S20" s="484"/>
      <c r="T20" s="484"/>
      <c r="U20" s="484"/>
      <c r="V20" s="484"/>
      <c r="W20" s="484"/>
    </row>
    <row r="21" spans="1:23" ht="27.75" thickTop="1" thickBot="1" x14ac:dyDescent="0.25">
      <c r="A21" s="65"/>
      <c r="B21" s="65"/>
      <c r="C21" s="65"/>
      <c r="D21" s="65" t="s">
        <v>82</v>
      </c>
      <c r="E21" s="65"/>
      <c r="F21" s="65"/>
      <c r="G21" s="367"/>
      <c r="H21" s="367"/>
      <c r="I21" s="367"/>
      <c r="J21" s="367"/>
      <c r="K21" s="367"/>
      <c r="L21" s="367"/>
      <c r="M21" s="367"/>
      <c r="N21" s="367"/>
      <c r="O21" s="367"/>
      <c r="P21" s="367"/>
      <c r="Q21" s="367"/>
      <c r="R21" s="367"/>
      <c r="S21" s="367"/>
      <c r="T21" s="367"/>
      <c r="U21" s="367"/>
      <c r="V21" s="367"/>
      <c r="W21" s="367"/>
    </row>
    <row r="22" spans="1:23" ht="21" thickTop="1" x14ac:dyDescent="0.2">
      <c r="A22" s="74"/>
      <c r="B22" s="74"/>
      <c r="C22" s="74"/>
      <c r="D22" s="74"/>
      <c r="E22" s="74"/>
      <c r="F22" s="74"/>
      <c r="G22" s="360"/>
      <c r="H22" s="360"/>
      <c r="I22" s="360"/>
      <c r="J22" s="360"/>
      <c r="K22" s="360"/>
      <c r="L22" s="360"/>
      <c r="M22" s="360"/>
      <c r="N22" s="360"/>
      <c r="O22" s="360"/>
      <c r="P22" s="360"/>
      <c r="Q22" s="360"/>
      <c r="R22" s="360"/>
      <c r="S22" s="360"/>
      <c r="T22" s="360"/>
      <c r="U22" s="360"/>
      <c r="V22" s="360"/>
      <c r="W22" s="360"/>
    </row>
    <row r="23" spans="1:23" ht="24" hidden="1" thickBot="1" x14ac:dyDescent="0.25">
      <c r="A23" s="74"/>
      <c r="B23" s="87" t="s">
        <v>83</v>
      </c>
      <c r="C23" s="88"/>
      <c r="D23" s="88"/>
      <c r="E23" s="88"/>
      <c r="F23" s="88"/>
      <c r="G23" s="368"/>
      <c r="H23" s="368"/>
      <c r="I23" s="368"/>
      <c r="J23" s="368"/>
      <c r="K23" s="368"/>
      <c r="L23" s="368"/>
      <c r="M23" s="368"/>
      <c r="N23" s="368"/>
      <c r="O23" s="368"/>
      <c r="P23" s="368"/>
      <c r="Q23" s="368"/>
      <c r="R23" s="368"/>
      <c r="S23" s="368"/>
      <c r="T23" s="368"/>
      <c r="U23" s="368"/>
      <c r="V23" s="368"/>
      <c r="W23" s="368"/>
    </row>
    <row r="24" spans="1:23" ht="20.25" hidden="1" x14ac:dyDescent="0.2">
      <c r="A24" s="74"/>
      <c r="B24" s="74"/>
      <c r="C24" s="74"/>
      <c r="D24" s="74"/>
      <c r="E24" s="74"/>
      <c r="F24" s="74"/>
      <c r="G24" s="360"/>
      <c r="H24" s="360"/>
      <c r="I24" s="360"/>
      <c r="J24" s="360"/>
      <c r="K24" s="360"/>
      <c r="L24" s="360"/>
      <c r="M24" s="360"/>
      <c r="N24" s="360"/>
      <c r="O24" s="360"/>
      <c r="P24" s="360"/>
      <c r="Q24" s="360"/>
      <c r="R24" s="360"/>
      <c r="S24" s="360"/>
      <c r="T24" s="360"/>
      <c r="U24" s="360"/>
      <c r="V24" s="360"/>
      <c r="W24" s="360"/>
    </row>
    <row r="25" spans="1:23" ht="21" thickBot="1" x14ac:dyDescent="0.35">
      <c r="A25" s="70"/>
      <c r="B25" s="155" t="s">
        <v>382</v>
      </c>
      <c r="C25" s="156"/>
      <c r="D25" s="155"/>
      <c r="E25" s="155"/>
      <c r="F25" s="155"/>
      <c r="G25" s="359"/>
      <c r="H25" s="359"/>
      <c r="I25" s="359"/>
      <c r="J25" s="359"/>
      <c r="K25" s="359"/>
      <c r="L25" s="359"/>
      <c r="M25" s="359"/>
      <c r="N25" s="359"/>
      <c r="O25" s="359"/>
      <c r="P25" s="359"/>
      <c r="Q25" s="359"/>
      <c r="R25" s="359"/>
      <c r="S25" s="359"/>
      <c r="T25" s="359"/>
      <c r="U25" s="359"/>
      <c r="V25" s="359"/>
      <c r="W25" s="359"/>
    </row>
    <row r="26" spans="1:23" ht="20.25" x14ac:dyDescent="0.2">
      <c r="A26" s="673"/>
      <c r="B26" s="673"/>
      <c r="C26" s="673"/>
      <c r="D26" s="673" t="s">
        <v>223</v>
      </c>
      <c r="E26" s="78"/>
      <c r="F26" s="673"/>
      <c r="G26" s="373">
        <v>31278.429999999997</v>
      </c>
      <c r="H26" s="373">
        <v>51714</v>
      </c>
      <c r="I26" s="373">
        <v>52083</v>
      </c>
      <c r="J26" s="373">
        <v>69820</v>
      </c>
      <c r="K26" s="373">
        <v>81032</v>
      </c>
      <c r="L26" s="373">
        <v>64928</v>
      </c>
      <c r="M26" s="373">
        <v>89064</v>
      </c>
      <c r="N26" s="373">
        <v>102814</v>
      </c>
      <c r="O26" s="373">
        <v>27734</v>
      </c>
      <c r="P26" s="373">
        <v>33537</v>
      </c>
      <c r="Q26" s="373">
        <v>47914</v>
      </c>
      <c r="R26" s="373">
        <v>42054</v>
      </c>
      <c r="S26" s="373">
        <v>32004</v>
      </c>
      <c r="T26" s="373">
        <v>28904</v>
      </c>
      <c r="U26" s="373">
        <v>2405</v>
      </c>
      <c r="V26" s="373">
        <v>7686</v>
      </c>
      <c r="W26" s="373">
        <v>0</v>
      </c>
    </row>
    <row r="27" spans="1:23" ht="20.25" x14ac:dyDescent="0.2">
      <c r="A27" s="673"/>
      <c r="B27" s="673"/>
      <c r="C27" s="673"/>
      <c r="D27" s="673" t="s">
        <v>383</v>
      </c>
      <c r="E27" s="78"/>
      <c r="F27" s="673"/>
      <c r="G27" s="358">
        <v>16019.88</v>
      </c>
      <c r="H27" s="358">
        <v>26466</v>
      </c>
      <c r="I27" s="358">
        <v>33722</v>
      </c>
      <c r="J27" s="358">
        <v>37279</v>
      </c>
      <c r="K27" s="358">
        <v>34130</v>
      </c>
      <c r="L27" s="358">
        <v>30917</v>
      </c>
      <c r="M27" s="358">
        <v>24891</v>
      </c>
      <c r="N27" s="358">
        <v>22167</v>
      </c>
      <c r="O27" s="358">
        <v>16739</v>
      </c>
      <c r="P27" s="358">
        <v>13502</v>
      </c>
      <c r="Q27" s="358">
        <v>10581</v>
      </c>
      <c r="R27" s="358">
        <v>28556</v>
      </c>
      <c r="S27" s="358">
        <v>22953</v>
      </c>
      <c r="T27" s="358">
        <v>13246</v>
      </c>
      <c r="U27" s="358">
        <v>10214</v>
      </c>
      <c r="V27" s="358">
        <v>5966</v>
      </c>
      <c r="W27" s="358">
        <v>2341</v>
      </c>
    </row>
    <row r="28" spans="1:23" ht="20.25" x14ac:dyDescent="0.2">
      <c r="A28" s="673"/>
      <c r="B28" s="673"/>
      <c r="C28" s="673"/>
      <c r="D28" s="673" t="s">
        <v>141</v>
      </c>
      <c r="E28" s="78"/>
      <c r="F28" s="673"/>
      <c r="G28" s="360">
        <v>19094</v>
      </c>
      <c r="H28" s="360">
        <v>21990</v>
      </c>
      <c r="I28" s="360">
        <v>17053</v>
      </c>
      <c r="J28" s="360">
        <v>23081</v>
      </c>
      <c r="K28" s="360">
        <v>20125</v>
      </c>
      <c r="L28" s="360">
        <v>23900</v>
      </c>
      <c r="M28" s="360">
        <v>25993</v>
      </c>
      <c r="N28" s="360">
        <v>25084</v>
      </c>
      <c r="O28" s="360">
        <v>17164</v>
      </c>
      <c r="P28" s="360">
        <v>23194</v>
      </c>
      <c r="Q28" s="360">
        <v>17986</v>
      </c>
      <c r="R28" s="360">
        <v>19684</v>
      </c>
      <c r="S28" s="360">
        <v>15461</v>
      </c>
      <c r="T28" s="360">
        <v>11736</v>
      </c>
      <c r="U28" s="360">
        <v>6552</v>
      </c>
      <c r="V28" s="360">
        <v>4625</v>
      </c>
      <c r="W28" s="360"/>
    </row>
    <row r="29" spans="1:23" ht="20.25" x14ac:dyDescent="0.2">
      <c r="A29" s="673"/>
      <c r="B29" s="673"/>
      <c r="C29" s="673"/>
      <c r="D29" s="673" t="s">
        <v>384</v>
      </c>
      <c r="E29" s="78"/>
      <c r="F29" s="673"/>
      <c r="G29" s="360"/>
      <c r="H29" s="360">
        <v>463</v>
      </c>
      <c r="I29" s="360">
        <f>1236+16400</f>
        <v>17636</v>
      </c>
      <c r="J29" s="360">
        <v>13302</v>
      </c>
      <c r="K29" s="360">
        <v>5311</v>
      </c>
      <c r="L29" s="360">
        <v>12315</v>
      </c>
      <c r="M29" s="360"/>
      <c r="N29" s="360"/>
      <c r="O29" s="360"/>
      <c r="P29" s="360">
        <v>20000</v>
      </c>
      <c r="Q29" s="360"/>
      <c r="R29" s="360">
        <v>25000</v>
      </c>
      <c r="S29" s="360"/>
      <c r="T29" s="360"/>
      <c r="U29" s="360"/>
      <c r="V29" s="360"/>
      <c r="W29" s="360">
        <v>48000</v>
      </c>
    </row>
    <row r="30" spans="1:23" ht="20.25" x14ac:dyDescent="0.2">
      <c r="A30" s="673"/>
      <c r="B30" s="673"/>
      <c r="C30" s="673"/>
      <c r="D30" s="80" t="s">
        <v>150</v>
      </c>
      <c r="E30" s="78"/>
      <c r="F30" s="673"/>
      <c r="G30" s="360">
        <v>136592.41</v>
      </c>
      <c r="H30" s="360">
        <v>101837</v>
      </c>
      <c r="I30" s="360">
        <v>31429</v>
      </c>
      <c r="J30" s="360">
        <v>21927</v>
      </c>
      <c r="K30" s="360">
        <v>24493</v>
      </c>
      <c r="L30" s="360">
        <v>23546</v>
      </c>
      <c r="M30" s="360">
        <v>29986</v>
      </c>
      <c r="N30" s="360">
        <v>97627</v>
      </c>
      <c r="O30" s="360">
        <v>91085</v>
      </c>
      <c r="P30" s="360">
        <v>6118</v>
      </c>
      <c r="Q30" s="360">
        <v>42621</v>
      </c>
      <c r="R30" s="360"/>
      <c r="S30" s="360">
        <v>13218</v>
      </c>
      <c r="T30" s="360">
        <v>36938</v>
      </c>
      <c r="U30" s="360">
        <v>40000</v>
      </c>
      <c r="V30" s="360">
        <v>38354</v>
      </c>
      <c r="W30" s="360">
        <v>11775</v>
      </c>
    </row>
    <row r="31" spans="1:23" ht="20.25" x14ac:dyDescent="0.2">
      <c r="A31" s="673"/>
      <c r="B31" s="673"/>
      <c r="C31" s="673"/>
      <c r="D31" s="79" t="s">
        <v>385</v>
      </c>
      <c r="E31" s="154"/>
      <c r="F31" s="79"/>
      <c r="G31" s="360"/>
      <c r="H31" s="360"/>
      <c r="I31" s="360"/>
      <c r="J31" s="360"/>
      <c r="K31" s="360"/>
      <c r="L31" s="360"/>
      <c r="M31" s="360"/>
      <c r="N31" s="360"/>
      <c r="O31" s="360"/>
      <c r="P31" s="360"/>
      <c r="Q31" s="360"/>
      <c r="R31" s="360"/>
      <c r="S31" s="360"/>
      <c r="T31" s="360"/>
      <c r="U31" s="360"/>
      <c r="V31" s="360"/>
      <c r="W31" s="360"/>
    </row>
    <row r="32" spans="1:23" ht="20.25" x14ac:dyDescent="0.2">
      <c r="A32" s="673"/>
      <c r="B32" s="673"/>
      <c r="C32" s="81" t="s">
        <v>96</v>
      </c>
      <c r="D32" s="673"/>
      <c r="E32" s="78"/>
      <c r="F32" s="673"/>
      <c r="G32" s="369">
        <f>SUM(G26:G31)</f>
        <v>202984.72</v>
      </c>
      <c r="H32" s="369">
        <f>SUM(H26:H31)</f>
        <v>202470</v>
      </c>
      <c r="I32" s="369">
        <f>SUM(I26:I31)</f>
        <v>151923</v>
      </c>
      <c r="J32" s="369">
        <f>SUM(J26:J31)</f>
        <v>165409</v>
      </c>
      <c r="K32" s="369">
        <f>SUM(K26:K31)</f>
        <v>165091</v>
      </c>
      <c r="L32" s="369">
        <f t="shared" ref="L32:W32" si="2">SUM(L26:L31)</f>
        <v>155606</v>
      </c>
      <c r="M32" s="369">
        <f t="shared" si="2"/>
        <v>169934</v>
      </c>
      <c r="N32" s="369">
        <f t="shared" si="2"/>
        <v>247692</v>
      </c>
      <c r="O32" s="369">
        <f t="shared" si="2"/>
        <v>152722</v>
      </c>
      <c r="P32" s="369">
        <f t="shared" si="2"/>
        <v>96351</v>
      </c>
      <c r="Q32" s="369">
        <f t="shared" si="2"/>
        <v>119102</v>
      </c>
      <c r="R32" s="369">
        <f t="shared" si="2"/>
        <v>115294</v>
      </c>
      <c r="S32" s="369">
        <f t="shared" si="2"/>
        <v>83636</v>
      </c>
      <c r="T32" s="369">
        <f t="shared" si="2"/>
        <v>90824</v>
      </c>
      <c r="U32" s="369">
        <f t="shared" si="2"/>
        <v>59171</v>
      </c>
      <c r="V32" s="369">
        <f t="shared" si="2"/>
        <v>56631</v>
      </c>
      <c r="W32" s="369">
        <f t="shared" si="2"/>
        <v>62116</v>
      </c>
    </row>
    <row r="33" spans="1:23" ht="20.25" x14ac:dyDescent="0.2">
      <c r="A33" s="673"/>
      <c r="B33" s="673"/>
      <c r="C33" s="673"/>
      <c r="D33" s="673"/>
      <c r="E33" s="673"/>
      <c r="F33" s="673"/>
      <c r="G33" s="360"/>
      <c r="H33" s="360"/>
      <c r="I33" s="360"/>
      <c r="J33" s="360"/>
      <c r="K33" s="360"/>
      <c r="L33" s="360"/>
      <c r="M33" s="360"/>
      <c r="N33" s="360"/>
      <c r="O33" s="360"/>
      <c r="P33" s="360"/>
      <c r="Q33" s="360"/>
      <c r="R33" s="360"/>
      <c r="S33" s="360"/>
      <c r="T33" s="360"/>
      <c r="U33" s="360"/>
      <c r="V33" s="360"/>
      <c r="W33" s="360"/>
    </row>
    <row r="34" spans="1:23" ht="20.25" x14ac:dyDescent="0.2">
      <c r="A34" s="74"/>
      <c r="B34" s="74"/>
      <c r="C34" s="74"/>
      <c r="D34" s="74"/>
      <c r="E34" s="74"/>
      <c r="F34" s="74"/>
      <c r="G34" s="735"/>
      <c r="H34" s="735"/>
      <c r="I34" s="735"/>
      <c r="J34" s="735"/>
      <c r="K34" s="735"/>
      <c r="L34" s="362"/>
      <c r="M34" s="362"/>
      <c r="N34" s="362"/>
      <c r="O34" s="362"/>
      <c r="P34" s="362"/>
      <c r="Q34" s="362"/>
      <c r="R34" s="362"/>
      <c r="S34" s="362"/>
      <c r="T34" s="362"/>
      <c r="U34" s="362"/>
      <c r="V34" s="362"/>
      <c r="W34" s="362"/>
    </row>
    <row r="35" spans="1:23" ht="24" thickBot="1" x14ac:dyDescent="0.25">
      <c r="A35" s="74"/>
      <c r="B35" s="87" t="s">
        <v>386</v>
      </c>
      <c r="C35" s="88"/>
      <c r="D35" s="88"/>
      <c r="E35" s="88"/>
      <c r="F35" s="88"/>
      <c r="G35" s="368"/>
      <c r="H35" s="368"/>
      <c r="I35" s="368"/>
      <c r="J35" s="368"/>
      <c r="K35" s="368"/>
      <c r="L35" s="368"/>
      <c r="M35" s="368"/>
      <c r="N35" s="368"/>
      <c r="O35" s="368"/>
      <c r="P35" s="368"/>
      <c r="Q35" s="368"/>
      <c r="R35" s="368"/>
      <c r="S35" s="368"/>
      <c r="T35" s="368"/>
      <c r="U35" s="368"/>
      <c r="V35" s="368"/>
      <c r="W35" s="368"/>
    </row>
    <row r="36" spans="1:23" ht="23.25" x14ac:dyDescent="0.2">
      <c r="A36" s="74"/>
      <c r="B36" s="413"/>
      <c r="C36" s="68"/>
      <c r="D36" s="673" t="s">
        <v>144</v>
      </c>
      <c r="E36" s="68"/>
      <c r="F36" s="68"/>
      <c r="G36" s="358">
        <v>55367.21</v>
      </c>
      <c r="H36" s="358">
        <v>52578</v>
      </c>
      <c r="I36" s="358">
        <v>54372</v>
      </c>
      <c r="J36" s="358">
        <v>74343</v>
      </c>
      <c r="K36" s="358">
        <v>140489</v>
      </c>
      <c r="L36" s="358">
        <v>85282</v>
      </c>
      <c r="M36" s="358">
        <v>9601</v>
      </c>
      <c r="N36" s="358">
        <v>9601</v>
      </c>
      <c r="O36" s="358">
        <v>5248</v>
      </c>
      <c r="P36" s="358">
        <v>4472</v>
      </c>
      <c r="Q36" s="358">
        <v>15207</v>
      </c>
      <c r="R36" s="358"/>
      <c r="S36" s="358"/>
      <c r="T36" s="358"/>
      <c r="U36" s="358"/>
      <c r="V36" s="358"/>
      <c r="W36" s="358"/>
    </row>
    <row r="37" spans="1:23" ht="21" thickBot="1" x14ac:dyDescent="0.25">
      <c r="A37" s="673"/>
      <c r="B37" s="673"/>
      <c r="C37" s="78"/>
      <c r="D37" s="673" t="s">
        <v>138</v>
      </c>
      <c r="E37" s="677"/>
      <c r="F37" s="677"/>
      <c r="G37" s="368">
        <v>481327.83000000013</v>
      </c>
      <c r="H37" s="368">
        <v>396478</v>
      </c>
      <c r="I37" s="368">
        <v>367593</v>
      </c>
      <c r="J37" s="368">
        <v>383624</v>
      </c>
      <c r="K37" s="368">
        <v>342315</v>
      </c>
      <c r="L37" s="368">
        <v>332165</v>
      </c>
      <c r="M37" s="368">
        <v>326973</v>
      </c>
      <c r="N37" s="368">
        <v>247585</v>
      </c>
      <c r="O37" s="368">
        <v>237878</v>
      </c>
      <c r="P37" s="368">
        <v>220741</v>
      </c>
      <c r="Q37" s="368">
        <v>207984</v>
      </c>
      <c r="R37" s="368">
        <v>252788</v>
      </c>
      <c r="S37" s="368">
        <v>244808</v>
      </c>
      <c r="T37" s="368">
        <v>229888</v>
      </c>
      <c r="U37" s="368">
        <v>184151</v>
      </c>
      <c r="V37" s="368">
        <v>131965</v>
      </c>
      <c r="W37" s="368">
        <v>15760</v>
      </c>
    </row>
    <row r="38" spans="1:23" ht="23.25" x14ac:dyDescent="0.2">
      <c r="A38" s="74"/>
      <c r="B38" s="90" t="s">
        <v>86</v>
      </c>
      <c r="C38" s="91"/>
      <c r="D38" s="91"/>
      <c r="E38" s="68"/>
      <c r="F38" s="68"/>
      <c r="G38" s="363">
        <f>G36+G37</f>
        <v>536695.04000000015</v>
      </c>
      <c r="H38" s="363">
        <f>H36+H37</f>
        <v>449056</v>
      </c>
      <c r="I38" s="363">
        <f>I36+I37</f>
        <v>421965</v>
      </c>
      <c r="J38" s="363">
        <f>J36+J37</f>
        <v>457967</v>
      </c>
      <c r="K38" s="363">
        <f>K36+K37</f>
        <v>482804</v>
      </c>
      <c r="L38" s="363">
        <f t="shared" ref="L38:W38" si="3">L36+L37</f>
        <v>417447</v>
      </c>
      <c r="M38" s="363">
        <f t="shared" si="3"/>
        <v>336574</v>
      </c>
      <c r="N38" s="363">
        <f t="shared" si="3"/>
        <v>257186</v>
      </c>
      <c r="O38" s="363">
        <f t="shared" si="3"/>
        <v>243126</v>
      </c>
      <c r="P38" s="363">
        <f t="shared" si="3"/>
        <v>225213</v>
      </c>
      <c r="Q38" s="363">
        <f t="shared" si="3"/>
        <v>223191</v>
      </c>
      <c r="R38" s="363">
        <f t="shared" si="3"/>
        <v>252788</v>
      </c>
      <c r="S38" s="363">
        <f t="shared" si="3"/>
        <v>244808</v>
      </c>
      <c r="T38" s="363">
        <f t="shared" si="3"/>
        <v>229888</v>
      </c>
      <c r="U38" s="363">
        <f t="shared" si="3"/>
        <v>184151</v>
      </c>
      <c r="V38" s="363">
        <f t="shared" si="3"/>
        <v>131965</v>
      </c>
      <c r="W38" s="363">
        <f t="shared" si="3"/>
        <v>15760</v>
      </c>
    </row>
    <row r="39" spans="1:23" ht="20.25" x14ac:dyDescent="0.2">
      <c r="A39" s="74"/>
      <c r="B39" s="74"/>
      <c r="C39" s="74"/>
      <c r="D39" s="74"/>
      <c r="E39" s="74"/>
      <c r="F39" s="74"/>
      <c r="G39" s="361"/>
      <c r="H39" s="361"/>
      <c r="I39" s="361"/>
      <c r="J39" s="361"/>
      <c r="K39" s="361"/>
      <c r="L39" s="361"/>
      <c r="M39" s="361"/>
      <c r="N39" s="361"/>
      <c r="O39" s="361"/>
      <c r="P39" s="361"/>
      <c r="Q39" s="361"/>
      <c r="R39" s="361"/>
      <c r="S39" s="361"/>
      <c r="T39" s="361"/>
      <c r="U39" s="361"/>
      <c r="V39" s="361"/>
      <c r="W39" s="361"/>
    </row>
    <row r="40" spans="1:23" ht="27" thickBot="1" x14ac:dyDescent="0.25">
      <c r="A40" s="82" t="s">
        <v>87</v>
      </c>
      <c r="B40" s="82"/>
      <c r="C40" s="82"/>
      <c r="D40" s="82"/>
      <c r="E40" s="82"/>
      <c r="F40" s="82"/>
      <c r="G40" s="523">
        <f>G32+G38</f>
        <v>739679.76000000013</v>
      </c>
      <c r="H40" s="523">
        <f>H32+H38</f>
        <v>651526</v>
      </c>
      <c r="I40" s="523">
        <f>I32+I38</f>
        <v>573888</v>
      </c>
      <c r="J40" s="523">
        <f>J32+J38</f>
        <v>623376</v>
      </c>
      <c r="K40" s="523">
        <f>K32+K38</f>
        <v>647895</v>
      </c>
      <c r="L40" s="523">
        <f t="shared" ref="L40:W40" si="4">L32+L38</f>
        <v>573053</v>
      </c>
      <c r="M40" s="523">
        <f t="shared" si="4"/>
        <v>506508</v>
      </c>
      <c r="N40" s="523">
        <f t="shared" si="4"/>
        <v>504878</v>
      </c>
      <c r="O40" s="523">
        <f t="shared" si="4"/>
        <v>395848</v>
      </c>
      <c r="P40" s="523">
        <f t="shared" si="4"/>
        <v>321564</v>
      </c>
      <c r="Q40" s="523">
        <f t="shared" si="4"/>
        <v>342293</v>
      </c>
      <c r="R40" s="523">
        <f t="shared" si="4"/>
        <v>368082</v>
      </c>
      <c r="S40" s="523">
        <f t="shared" si="4"/>
        <v>328444</v>
      </c>
      <c r="T40" s="523">
        <f t="shared" si="4"/>
        <v>320712</v>
      </c>
      <c r="U40" s="523">
        <f t="shared" si="4"/>
        <v>243322</v>
      </c>
      <c r="V40" s="523">
        <f t="shared" si="4"/>
        <v>188596</v>
      </c>
      <c r="W40" s="523">
        <f t="shared" si="4"/>
        <v>77876</v>
      </c>
    </row>
    <row r="41" spans="1:23" ht="15" thickTop="1" x14ac:dyDescent="0.2">
      <c r="D41" s="505"/>
      <c r="H41" s="18"/>
      <c r="I41" s="18"/>
      <c r="J41" s="18"/>
      <c r="K41" s="18"/>
      <c r="L41" s="18"/>
      <c r="M41" s="18"/>
      <c r="N41" s="18"/>
      <c r="O41" s="18"/>
      <c r="P41" s="18"/>
      <c r="Q41" s="18"/>
      <c r="R41" s="18"/>
      <c r="S41" s="18"/>
      <c r="T41" s="18"/>
      <c r="U41" s="18"/>
      <c r="V41" s="18"/>
      <c r="W41" s="18"/>
    </row>
    <row r="42" spans="1:23" s="370" customFormat="1" x14ac:dyDescent="0.2">
      <c r="A42" s="691"/>
      <c r="B42" s="691"/>
      <c r="C42" s="691"/>
      <c r="D42" s="691"/>
      <c r="E42" s="691"/>
      <c r="F42" s="691"/>
      <c r="G42" s="414"/>
    </row>
    <row r="43" spans="1:23" s="370" customFormat="1" x14ac:dyDescent="0.2">
      <c r="A43" s="691"/>
      <c r="B43" s="691"/>
      <c r="C43" s="691"/>
      <c r="D43" s="691"/>
      <c r="E43" s="691"/>
      <c r="F43" s="691"/>
      <c r="G43" s="414"/>
    </row>
    <row r="44" spans="1:23" s="370" customFormat="1" x14ac:dyDescent="0.2">
      <c r="A44" s="691"/>
      <c r="B44" s="691"/>
      <c r="C44" s="691"/>
      <c r="D44" s="691"/>
      <c r="E44" s="691"/>
      <c r="F44" s="691"/>
      <c r="G44" s="414"/>
    </row>
    <row r="45" spans="1:23" s="370" customFormat="1" x14ac:dyDescent="0.2">
      <c r="A45" s="691"/>
      <c r="B45" s="691"/>
      <c r="C45" s="691"/>
      <c r="D45" s="691"/>
      <c r="E45" s="691"/>
      <c r="F45" s="691"/>
      <c r="G45" s="414"/>
    </row>
  </sheetData>
  <mergeCells count="2">
    <mergeCell ref="B6:F6"/>
    <mergeCell ref="C10:F10"/>
  </mergeCells>
  <pageMargins left="0.2" right="0.2" top="1.25" bottom="0.5" header="0.3" footer="0.3"/>
  <pageSetup paperSize="5" scale="3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6"/>
  <sheetViews>
    <sheetView topLeftCell="A68" workbookViewId="0">
      <selection activeCell="A78" sqref="A78"/>
    </sheetView>
  </sheetViews>
  <sheetFormatPr defaultRowHeight="14.25" x14ac:dyDescent="0.2"/>
  <cols>
    <col min="1" max="1" width="42.125" style="4" customWidth="1"/>
    <col min="2" max="2" width="26" style="4" customWidth="1"/>
    <col min="3" max="3" width="17.25" style="5" customWidth="1"/>
    <col min="4" max="4" width="13.625" style="5" customWidth="1"/>
    <col min="5" max="5" width="15.75" style="5" customWidth="1"/>
    <col min="6" max="6" width="18.125" style="28" customWidth="1"/>
    <col min="7" max="7" width="18.25" style="28" customWidth="1"/>
    <col min="8" max="8" width="18.125" style="29" hidden="1" customWidth="1"/>
    <col min="9" max="9" width="18.125" style="28" customWidth="1"/>
    <col min="10" max="10" width="17.75" style="28" hidden="1" customWidth="1"/>
    <col min="11" max="11" width="18" style="28" hidden="1" customWidth="1"/>
    <col min="12" max="13" width="20.625" style="28" hidden="1" customWidth="1"/>
    <col min="14" max="14" width="20.25" style="28" hidden="1" customWidth="1"/>
    <col min="15" max="15" width="16.25" style="29" hidden="1" customWidth="1"/>
    <col min="16" max="27" width="9" style="29"/>
    <col min="28" max="38" width="9" style="11"/>
    <col min="39" max="48" width="9" style="1"/>
  </cols>
  <sheetData>
    <row r="1" spans="1:48" s="15" customFormat="1" ht="18" hidden="1"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hidden="1" x14ac:dyDescent="0.25">
      <c r="A2" s="16" t="s">
        <v>43</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hidden="1" x14ac:dyDescent="0.25">
      <c r="A3" s="16"/>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hidden="1"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hidden="1" thickBot="1" x14ac:dyDescent="0.25">
      <c r="A5" s="395" t="s">
        <v>403</v>
      </c>
      <c r="B5" s="396"/>
      <c r="C5" s="396"/>
      <c r="D5" s="396"/>
      <c r="E5" s="396"/>
      <c r="F5" s="396"/>
      <c r="G5" s="396"/>
      <c r="H5" s="396"/>
      <c r="I5" s="396"/>
      <c r="J5" s="396"/>
      <c r="K5" s="397"/>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hidden="1" thickBot="1" x14ac:dyDescent="0.25">
      <c r="A6" s="653" t="s">
        <v>35</v>
      </c>
      <c r="B6" s="653" t="s">
        <v>21</v>
      </c>
      <c r="C6" s="653" t="s">
        <v>1</v>
      </c>
      <c r="D6" s="653" t="s">
        <v>2</v>
      </c>
      <c r="E6" s="653" t="s">
        <v>3</v>
      </c>
      <c r="F6" s="398" t="s">
        <v>16</v>
      </c>
      <c r="G6" s="398" t="s">
        <v>401</v>
      </c>
      <c r="H6" s="398" t="s">
        <v>402</v>
      </c>
      <c r="I6" s="476" t="s">
        <v>414</v>
      </c>
      <c r="J6" s="398" t="s">
        <v>31</v>
      </c>
      <c r="K6" s="398" t="s">
        <v>146</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71.25" hidden="1" x14ac:dyDescent="0.2">
      <c r="A7" s="705" t="s">
        <v>340</v>
      </c>
      <c r="B7" s="705" t="s">
        <v>23</v>
      </c>
      <c r="C7" s="705" t="s">
        <v>233</v>
      </c>
      <c r="D7" s="706">
        <v>42095</v>
      </c>
      <c r="E7" s="706">
        <v>42460</v>
      </c>
      <c r="F7" s="713">
        <v>240000</v>
      </c>
      <c r="G7" s="708" t="s">
        <v>397</v>
      </c>
      <c r="H7" s="709"/>
      <c r="I7" s="711" t="s">
        <v>422</v>
      </c>
      <c r="J7" s="712"/>
      <c r="K7" s="710"/>
      <c r="L7" s="376"/>
      <c r="M7" s="425"/>
      <c r="N7" s="29"/>
    </row>
    <row r="8" spans="1:48" hidden="1" x14ac:dyDescent="0.2">
      <c r="A8" s="435" t="s">
        <v>7</v>
      </c>
      <c r="B8" s="524" t="s">
        <v>22</v>
      </c>
      <c r="C8" s="440" t="s">
        <v>19</v>
      </c>
      <c r="D8" s="439">
        <v>41000</v>
      </c>
      <c r="E8" s="439">
        <v>41364</v>
      </c>
      <c r="F8" s="461"/>
      <c r="G8" s="443"/>
      <c r="H8" s="454"/>
      <c r="I8" s="443"/>
      <c r="J8" s="443"/>
      <c r="K8" s="443"/>
      <c r="L8" s="376"/>
      <c r="M8" s="425"/>
      <c r="N8" s="29"/>
    </row>
    <row r="9" spans="1:48" hidden="1" x14ac:dyDescent="0.2">
      <c r="A9" s="435" t="s">
        <v>7</v>
      </c>
      <c r="B9" s="524" t="s">
        <v>22</v>
      </c>
      <c r="C9" s="440" t="s">
        <v>19</v>
      </c>
      <c r="D9" s="439">
        <v>41456</v>
      </c>
      <c r="E9" s="439">
        <v>41820</v>
      </c>
      <c r="F9" s="461"/>
      <c r="G9" s="443"/>
      <c r="H9" s="454"/>
      <c r="I9" s="443"/>
      <c r="J9" s="443"/>
      <c r="K9" s="443"/>
      <c r="L9" s="376"/>
      <c r="M9" s="425"/>
      <c r="N9" s="29"/>
    </row>
    <row r="10" spans="1:48" ht="71.25" hidden="1" x14ac:dyDescent="0.2">
      <c r="A10" s="531" t="s">
        <v>339</v>
      </c>
      <c r="B10" s="525" t="s">
        <v>22</v>
      </c>
      <c r="C10" s="478" t="s">
        <v>286</v>
      </c>
      <c r="D10" s="458">
        <v>41821</v>
      </c>
      <c r="E10" s="458">
        <v>42185</v>
      </c>
      <c r="F10" s="459">
        <v>319000</v>
      </c>
      <c r="G10" s="537" t="s">
        <v>398</v>
      </c>
      <c r="H10" s="693"/>
      <c r="I10" s="711" t="s">
        <v>422</v>
      </c>
      <c r="J10" s="460"/>
      <c r="K10" s="537"/>
      <c r="L10" s="376"/>
      <c r="M10" s="425"/>
      <c r="N10" s="29"/>
    </row>
    <row r="11" spans="1:48" hidden="1" x14ac:dyDescent="0.2">
      <c r="A11" s="435" t="s">
        <v>25</v>
      </c>
      <c r="B11" s="524" t="s">
        <v>22</v>
      </c>
      <c r="C11" s="440" t="s">
        <v>6</v>
      </c>
      <c r="D11" s="439">
        <v>41000</v>
      </c>
      <c r="E11" s="439">
        <v>41364</v>
      </c>
      <c r="F11" s="461"/>
      <c r="G11" s="443"/>
      <c r="H11" s="454"/>
      <c r="I11" s="443"/>
      <c r="J11" s="443"/>
      <c r="K11" s="443"/>
      <c r="L11" s="376"/>
      <c r="M11" s="425" t="e">
        <f t="shared" ref="M11:M18" si="0">I11/F11</f>
        <v>#DIV/0!</v>
      </c>
      <c r="N11" s="29" t="e">
        <f t="shared" ref="N11:N18" si="1">M11*12</f>
        <v>#DIV/0!</v>
      </c>
    </row>
    <row r="12" spans="1:48" hidden="1" x14ac:dyDescent="0.2">
      <c r="A12" s="435" t="s">
        <v>209</v>
      </c>
      <c r="B12" s="524" t="s">
        <v>22</v>
      </c>
      <c r="C12" s="440" t="s">
        <v>6</v>
      </c>
      <c r="D12" s="439">
        <v>41365</v>
      </c>
      <c r="E12" s="439">
        <v>41455</v>
      </c>
      <c r="F12" s="461"/>
      <c r="G12" s="443"/>
      <c r="H12" s="454"/>
      <c r="I12" s="443"/>
      <c r="J12" s="443"/>
      <c r="K12" s="443"/>
      <c r="L12" s="376"/>
      <c r="M12" s="425" t="e">
        <f t="shared" si="0"/>
        <v>#DIV/0!</v>
      </c>
      <c r="N12" s="29" t="e">
        <f t="shared" si="1"/>
        <v>#DIV/0!</v>
      </c>
    </row>
    <row r="13" spans="1:48" s="4" customFormat="1" ht="71.25" hidden="1" x14ac:dyDescent="0.2">
      <c r="A13" s="435" t="s">
        <v>341</v>
      </c>
      <c r="B13" s="524" t="s">
        <v>22</v>
      </c>
      <c r="C13" s="440" t="s">
        <v>287</v>
      </c>
      <c r="D13" s="439">
        <v>42095</v>
      </c>
      <c r="E13" s="439">
        <v>42460</v>
      </c>
      <c r="F13" s="461">
        <v>140000</v>
      </c>
      <c r="G13" s="692" t="s">
        <v>399</v>
      </c>
      <c r="H13" s="698"/>
      <c r="I13" s="711" t="s">
        <v>422</v>
      </c>
      <c r="J13" s="443"/>
      <c r="K13" s="671"/>
      <c r="L13" s="376"/>
      <c r="M13" s="425"/>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hidden="1" x14ac:dyDescent="0.2">
      <c r="A14" s="435" t="s">
        <v>210</v>
      </c>
      <c r="B14" s="524" t="s">
        <v>22</v>
      </c>
      <c r="C14" s="440" t="s">
        <v>59</v>
      </c>
      <c r="D14" s="439">
        <v>41365</v>
      </c>
      <c r="E14" s="439">
        <v>41455</v>
      </c>
      <c r="F14" s="623"/>
      <c r="G14" s="443"/>
      <c r="H14" s="454"/>
      <c r="I14" s="443"/>
      <c r="J14" s="443"/>
      <c r="K14" s="443"/>
      <c r="L14" s="376"/>
      <c r="M14" s="425"/>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s="4" customFormat="1" hidden="1" x14ac:dyDescent="0.2">
      <c r="A15" s="435" t="s">
        <v>27</v>
      </c>
      <c r="B15" s="524" t="s">
        <v>236</v>
      </c>
      <c r="C15" s="440" t="s">
        <v>147</v>
      </c>
      <c r="D15" s="439">
        <v>41090</v>
      </c>
      <c r="E15" s="439">
        <v>41454</v>
      </c>
      <c r="F15" s="461"/>
      <c r="G15" s="443"/>
      <c r="H15" s="454"/>
      <c r="I15" s="443"/>
      <c r="J15" s="443"/>
      <c r="K15" s="443"/>
      <c r="L15" s="376"/>
      <c r="M15" s="425" t="e">
        <f t="shared" si="0"/>
        <v>#DIV/0!</v>
      </c>
      <c r="N15" s="29" t="e">
        <f t="shared" si="1"/>
        <v>#DIV/0!</v>
      </c>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hidden="1" x14ac:dyDescent="0.2">
      <c r="A16" s="531" t="s">
        <v>342</v>
      </c>
      <c r="B16" s="525" t="s">
        <v>22</v>
      </c>
      <c r="C16" s="478" t="s">
        <v>288</v>
      </c>
      <c r="D16" s="458">
        <v>42095</v>
      </c>
      <c r="E16" s="458">
        <v>42460</v>
      </c>
      <c r="F16" s="624">
        <v>25000</v>
      </c>
      <c r="G16" s="537" t="s">
        <v>127</v>
      </c>
      <c r="H16" s="537"/>
      <c r="I16" s="537" t="s">
        <v>118</v>
      </c>
      <c r="J16" s="460"/>
      <c r="K16" s="460"/>
      <c r="L16" s="376"/>
      <c r="M16" s="425"/>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hidden="1" x14ac:dyDescent="0.2">
      <c r="A17" s="435" t="s">
        <v>8</v>
      </c>
      <c r="B17" s="524" t="s">
        <v>22</v>
      </c>
      <c r="C17" s="440" t="s">
        <v>9</v>
      </c>
      <c r="D17" s="439">
        <v>40544</v>
      </c>
      <c r="E17" s="439">
        <v>40908</v>
      </c>
      <c r="F17" s="461"/>
      <c r="G17" s="443"/>
      <c r="H17" s="454"/>
      <c r="I17" s="443"/>
      <c r="J17" s="443"/>
      <c r="K17" s="443"/>
      <c r="L17" s="376"/>
      <c r="M17" s="425" t="e">
        <f t="shared" si="0"/>
        <v>#DIV/0!</v>
      </c>
      <c r="N17" s="29" t="e">
        <f t="shared" si="1"/>
        <v>#DIV/0!</v>
      </c>
    </row>
    <row r="18" spans="1:48" hidden="1" x14ac:dyDescent="0.2">
      <c r="A18" s="435" t="s">
        <v>67</v>
      </c>
      <c r="B18" s="524" t="s">
        <v>22</v>
      </c>
      <c r="C18" s="440" t="e">
        <f>#REF!</f>
        <v>#REF!</v>
      </c>
      <c r="D18" s="439" t="e">
        <f>#REF!</f>
        <v>#REF!</v>
      </c>
      <c r="E18" s="439">
        <v>40999</v>
      </c>
      <c r="F18" s="461"/>
      <c r="G18" s="535"/>
      <c r="H18" s="454"/>
      <c r="I18" s="443"/>
      <c r="J18" s="443"/>
      <c r="K18" s="443"/>
      <c r="L18" s="376"/>
      <c r="M18" s="425" t="e">
        <f t="shared" si="0"/>
        <v>#DIV/0!</v>
      </c>
      <c r="N18" s="29" t="e">
        <f t="shared" si="1"/>
        <v>#DIV/0!</v>
      </c>
    </row>
    <row r="19" spans="1:48" hidden="1" x14ac:dyDescent="0.2">
      <c r="A19" s="435"/>
      <c r="B19" s="532"/>
      <c r="C19" s="533"/>
      <c r="D19" s="534"/>
      <c r="E19" s="534"/>
      <c r="F19" s="625"/>
      <c r="G19" s="443"/>
      <c r="H19" s="694"/>
      <c r="I19" s="536"/>
      <c r="J19" s="536"/>
      <c r="K19" s="536"/>
      <c r="L19" s="376"/>
      <c r="M19" s="425"/>
      <c r="N19" s="29"/>
    </row>
    <row r="20" spans="1:48" hidden="1" x14ac:dyDescent="0.2">
      <c r="A20" s="435" t="s">
        <v>281</v>
      </c>
      <c r="B20" s="524" t="s">
        <v>22</v>
      </c>
      <c r="C20" s="440" t="s">
        <v>234</v>
      </c>
      <c r="D20" s="534">
        <v>41487</v>
      </c>
      <c r="E20" s="439">
        <v>41912</v>
      </c>
      <c r="F20" s="461"/>
      <c r="G20" s="443"/>
      <c r="H20" s="454"/>
      <c r="I20" s="443"/>
      <c r="J20" s="443"/>
      <c r="K20" s="454"/>
      <c r="L20" s="376"/>
      <c r="M20" s="425"/>
      <c r="N20" s="29"/>
    </row>
    <row r="21" spans="1:48" ht="71.25" hidden="1" x14ac:dyDescent="0.2">
      <c r="A21" s="531" t="s">
        <v>281</v>
      </c>
      <c r="B21" s="525" t="s">
        <v>22</v>
      </c>
      <c r="C21" s="478" t="s">
        <v>234</v>
      </c>
      <c r="D21" s="458">
        <v>41913</v>
      </c>
      <c r="E21" s="458">
        <v>42277</v>
      </c>
      <c r="F21" s="459">
        <v>315000</v>
      </c>
      <c r="G21" s="537" t="s">
        <v>400</v>
      </c>
      <c r="H21" s="693"/>
      <c r="I21" s="711" t="s">
        <v>422</v>
      </c>
      <c r="J21" s="460"/>
      <c r="K21" s="460"/>
      <c r="L21" s="376"/>
      <c r="M21" s="425"/>
      <c r="N21" s="29"/>
    </row>
    <row r="22" spans="1:48" hidden="1" x14ac:dyDescent="0.2">
      <c r="A22" s="435" t="s">
        <v>280</v>
      </c>
      <c r="B22" s="524" t="s">
        <v>28</v>
      </c>
      <c r="C22" s="440" t="s">
        <v>10</v>
      </c>
      <c r="D22" s="439">
        <v>41640</v>
      </c>
      <c r="E22" s="439">
        <v>42004</v>
      </c>
      <c r="F22" s="461"/>
      <c r="G22" s="443"/>
      <c r="H22" s="454"/>
      <c r="I22" s="443"/>
      <c r="J22" s="443"/>
      <c r="K22" s="443"/>
      <c r="L22" s="376"/>
      <c r="M22" s="425"/>
      <c r="N22" s="29"/>
    </row>
    <row r="23" spans="1:48" s="3" customFormat="1" hidden="1" x14ac:dyDescent="0.2">
      <c r="A23" s="435" t="s">
        <v>331</v>
      </c>
      <c r="B23" s="524" t="s">
        <v>28</v>
      </c>
      <c r="C23" s="440" t="s">
        <v>10</v>
      </c>
      <c r="D23" s="439">
        <v>42005</v>
      </c>
      <c r="E23" s="439">
        <v>42369</v>
      </c>
      <c r="F23" s="461">
        <v>36000</v>
      </c>
      <c r="G23" s="454" t="s">
        <v>127</v>
      </c>
      <c r="H23" s="695"/>
      <c r="I23" s="537" t="s">
        <v>118</v>
      </c>
      <c r="J23" s="443"/>
      <c r="K23" s="443"/>
      <c r="L23" s="376"/>
      <c r="M23" s="425"/>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idden="1" x14ac:dyDescent="0.2">
      <c r="A24" s="435" t="s">
        <v>362</v>
      </c>
      <c r="B24" s="524" t="s">
        <v>28</v>
      </c>
      <c r="C24" s="440" t="s">
        <v>33</v>
      </c>
      <c r="D24" s="439">
        <v>42005</v>
      </c>
      <c r="E24" s="439">
        <v>42276</v>
      </c>
      <c r="F24" s="461">
        <v>5000</v>
      </c>
      <c r="G24" s="454" t="s">
        <v>127</v>
      </c>
      <c r="H24" s="695"/>
      <c r="I24" s="537" t="s">
        <v>118</v>
      </c>
      <c r="J24" s="443"/>
      <c r="K24" s="443"/>
      <c r="L24" s="376"/>
      <c r="M24" s="425"/>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idden="1" x14ac:dyDescent="0.2">
      <c r="A25" s="531" t="s">
        <v>316</v>
      </c>
      <c r="B25" s="525" t="s">
        <v>28</v>
      </c>
      <c r="C25" s="478" t="s">
        <v>33</v>
      </c>
      <c r="D25" s="458">
        <v>41913</v>
      </c>
      <c r="E25" s="458">
        <v>42277</v>
      </c>
      <c r="F25" s="459">
        <v>43987</v>
      </c>
      <c r="G25" s="537" t="s">
        <v>127</v>
      </c>
      <c r="H25" s="696"/>
      <c r="I25" s="537" t="s">
        <v>118</v>
      </c>
      <c r="J25" s="460"/>
      <c r="K25" s="460"/>
      <c r="L25" s="376"/>
      <c r="M25" s="425"/>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idden="1" x14ac:dyDescent="0.2">
      <c r="A26" s="531" t="s">
        <v>325</v>
      </c>
      <c r="B26" s="525" t="s">
        <v>28</v>
      </c>
      <c r="C26" s="478" t="s">
        <v>33</v>
      </c>
      <c r="D26" s="458"/>
      <c r="E26" s="458"/>
      <c r="F26" s="459"/>
      <c r="G26" s="460"/>
      <c r="H26" s="696"/>
      <c r="I26" s="537" t="s">
        <v>118</v>
      </c>
      <c r="J26" s="460"/>
      <c r="K26" s="460"/>
      <c r="L26" s="376"/>
      <c r="M26" s="425"/>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idden="1" x14ac:dyDescent="0.2">
      <c r="A27" s="531" t="s">
        <v>296</v>
      </c>
      <c r="B27" s="525" t="s">
        <v>306</v>
      </c>
      <c r="C27" s="478" t="s">
        <v>33</v>
      </c>
      <c r="D27" s="629">
        <v>42005</v>
      </c>
      <c r="E27" s="458">
        <v>42369</v>
      </c>
      <c r="F27" s="459">
        <v>13000</v>
      </c>
      <c r="G27" s="537" t="s">
        <v>127</v>
      </c>
      <c r="H27" s="696"/>
      <c r="I27" s="537" t="s">
        <v>118</v>
      </c>
      <c r="J27" s="460"/>
      <c r="K27" s="460"/>
      <c r="L27" s="376"/>
      <c r="M27" s="425"/>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hidden="1" thickBot="1" x14ac:dyDescent="0.25">
      <c r="A28" s="626" t="s">
        <v>361</v>
      </c>
      <c r="B28" s="626" t="s">
        <v>205</v>
      </c>
      <c r="C28" s="441" t="s">
        <v>33</v>
      </c>
      <c r="D28" s="627">
        <v>42104</v>
      </c>
      <c r="E28" s="627">
        <v>42246</v>
      </c>
      <c r="F28" s="639">
        <v>13664.29</v>
      </c>
      <c r="G28" s="639" t="s">
        <v>127</v>
      </c>
      <c r="H28" s="697"/>
      <c r="I28" s="537" t="s">
        <v>118</v>
      </c>
      <c r="J28" s="444"/>
      <c r="K28" s="444"/>
      <c r="L28" s="376"/>
      <c r="M28" s="425"/>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17" customFormat="1" ht="16.5" hidden="1" thickBot="1" x14ac:dyDescent="0.3">
      <c r="A29" s="399" t="s">
        <v>50</v>
      </c>
      <c r="B29" s="400"/>
      <c r="C29" s="401"/>
      <c r="D29" s="402"/>
      <c r="E29" s="402"/>
      <c r="F29" s="427"/>
      <c r="G29" s="427">
        <f>60000+79750+35000+78750</f>
        <v>253500</v>
      </c>
      <c r="H29" s="427"/>
      <c r="I29" s="427">
        <f>SUM(I7:I28)-I17</f>
        <v>0</v>
      </c>
      <c r="J29" s="427">
        <f>SUM(J7:J28)-J17</f>
        <v>0</v>
      </c>
      <c r="K29" s="427">
        <f>SUM(K7:K28)-K17</f>
        <v>0</v>
      </c>
      <c r="L29" s="47"/>
      <c r="M29" s="37"/>
      <c r="N29" s="37"/>
      <c r="O29" s="37"/>
      <c r="P29" s="37"/>
      <c r="Q29" s="37"/>
      <c r="R29" s="37"/>
      <c r="S29" s="37"/>
      <c r="T29" s="37"/>
      <c r="U29" s="37"/>
      <c r="V29" s="37"/>
      <c r="W29" s="37"/>
      <c r="X29" s="37"/>
      <c r="Y29" s="37"/>
      <c r="Z29" s="37"/>
      <c r="AA29" s="37"/>
      <c r="AB29" s="38"/>
      <c r="AC29" s="38"/>
      <c r="AD29" s="38"/>
      <c r="AE29" s="38"/>
      <c r="AF29" s="38"/>
      <c r="AG29" s="38"/>
      <c r="AH29" s="38"/>
      <c r="AI29" s="38"/>
      <c r="AJ29" s="38"/>
      <c r="AK29" s="38"/>
      <c r="AL29" s="38"/>
      <c r="AM29" s="39"/>
      <c r="AN29" s="39"/>
      <c r="AO29" s="39"/>
      <c r="AP29" s="39"/>
      <c r="AQ29" s="39"/>
      <c r="AR29" s="39"/>
      <c r="AS29" s="39"/>
      <c r="AT29" s="39"/>
      <c r="AU29" s="39"/>
      <c r="AV29" s="39"/>
    </row>
    <row r="30" spans="1:48" s="18" customFormat="1" hidden="1" x14ac:dyDescent="0.2">
      <c r="A30" s="675"/>
      <c r="B30" s="675"/>
      <c r="C30" s="19"/>
      <c r="D30" s="675"/>
      <c r="E30" s="426"/>
      <c r="F30" s="29"/>
      <c r="G30" s="29"/>
      <c r="I30" s="29"/>
      <c r="J30" s="29"/>
      <c r="K30" s="29"/>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8" customFormat="1" ht="10.5" hidden="1" customHeight="1" thickBot="1" x14ac:dyDescent="0.25">
      <c r="A31" s="1"/>
      <c r="B31" s="44"/>
      <c r="C31" s="6"/>
      <c r="D31" s="6"/>
      <c r="E31" s="6"/>
      <c r="F31" s="29"/>
      <c r="G31" s="29"/>
      <c r="H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22" customFormat="1" ht="16.5" hidden="1" thickBot="1" x14ac:dyDescent="0.3">
      <c r="A32" s="448" t="s">
        <v>421</v>
      </c>
      <c r="B32" s="159"/>
      <c r="C32" s="160"/>
      <c r="D32" s="160"/>
      <c r="E32" s="160"/>
      <c r="F32" s="161"/>
      <c r="G32" s="161"/>
      <c r="H32" s="161"/>
      <c r="I32" s="161"/>
      <c r="J32" s="161"/>
      <c r="K32" s="162"/>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0" customFormat="1" ht="45.75" hidden="1" thickBot="1" x14ac:dyDescent="0.25">
      <c r="A33" s="471" t="s">
        <v>35</v>
      </c>
      <c r="B33" s="751" t="s">
        <v>21</v>
      </c>
      <c r="C33" s="752"/>
      <c r="D33" s="471" t="s">
        <v>2</v>
      </c>
      <c r="E33" s="471" t="s">
        <v>3</v>
      </c>
      <c r="F33" s="476" t="s">
        <v>36</v>
      </c>
      <c r="G33" s="476" t="s">
        <v>4</v>
      </c>
      <c r="H33" s="476" t="s">
        <v>418</v>
      </c>
      <c r="I33" s="476" t="s">
        <v>419</v>
      </c>
      <c r="J33" s="476" t="s">
        <v>15</v>
      </c>
      <c r="K33" s="476" t="s">
        <v>4</v>
      </c>
      <c r="L33" s="35"/>
      <c r="M33" s="35"/>
      <c r="N33" s="35"/>
      <c r="O33" s="35"/>
      <c r="P33" s="35"/>
      <c r="Q33" s="35"/>
      <c r="R33" s="35"/>
      <c r="S33" s="35"/>
      <c r="T33" s="35"/>
      <c r="U33" s="6"/>
      <c r="V33" s="35"/>
      <c r="W33" s="35"/>
      <c r="X33" s="35"/>
      <c r="Y33" s="35"/>
      <c r="Z33" s="35"/>
      <c r="AA33" s="35"/>
      <c r="AB33" s="36"/>
      <c r="AC33" s="36"/>
      <c r="AD33" s="36"/>
      <c r="AE33" s="36"/>
      <c r="AF33" s="36"/>
      <c r="AG33" s="36"/>
      <c r="AH33" s="36"/>
      <c r="AI33" s="36"/>
      <c r="AJ33" s="36"/>
      <c r="AK33" s="36"/>
      <c r="AL33" s="36"/>
      <c r="AM33" s="6"/>
      <c r="AN33" s="6"/>
      <c r="AO33" s="6"/>
      <c r="AP33" s="6"/>
      <c r="AQ33" s="6"/>
      <c r="AR33" s="6"/>
      <c r="AS33" s="6"/>
      <c r="AT33" s="6"/>
      <c r="AU33" s="6"/>
      <c r="AV33" s="6"/>
    </row>
    <row r="34" spans="1:48" hidden="1" x14ac:dyDescent="0.2">
      <c r="A34" s="435" t="s">
        <v>24</v>
      </c>
      <c r="B34" s="749" t="s">
        <v>18</v>
      </c>
      <c r="C34" s="750"/>
      <c r="D34" s="469">
        <v>41275</v>
      </c>
      <c r="E34" s="439">
        <v>41639</v>
      </c>
      <c r="F34" s="443"/>
      <c r="G34" s="443">
        <v>0</v>
      </c>
      <c r="H34" s="443"/>
      <c r="I34" s="443">
        <f>F34-H34</f>
        <v>0</v>
      </c>
      <c r="J34" s="443">
        <v>0</v>
      </c>
      <c r="K34" s="443">
        <f>I34</f>
        <v>0</v>
      </c>
      <c r="L34" s="29"/>
      <c r="M34" s="29"/>
      <c r="N34" s="29"/>
    </row>
    <row r="35" spans="1:48" hidden="1" x14ac:dyDescent="0.2">
      <c r="A35" s="435"/>
      <c r="B35" s="749"/>
      <c r="C35" s="750"/>
      <c r="D35" s="469"/>
      <c r="E35" s="439"/>
      <c r="F35" s="443"/>
      <c r="G35" s="443"/>
      <c r="H35" s="443"/>
      <c r="I35" s="443"/>
      <c r="J35" s="443"/>
      <c r="K35" s="577"/>
      <c r="L35" s="29"/>
      <c r="M35" s="29"/>
      <c r="N35" s="29"/>
    </row>
    <row r="36" spans="1:48" hidden="1" x14ac:dyDescent="0.2">
      <c r="A36" s="435" t="s">
        <v>327</v>
      </c>
      <c r="B36" s="749" t="s">
        <v>18</v>
      </c>
      <c r="C36" s="750"/>
      <c r="D36" s="469">
        <v>42005</v>
      </c>
      <c r="E36" s="439">
        <v>42369</v>
      </c>
      <c r="F36" s="443">
        <v>25000</v>
      </c>
      <c r="G36" s="443">
        <v>25000</v>
      </c>
      <c r="H36" s="443"/>
      <c r="I36" s="454" t="s">
        <v>417</v>
      </c>
      <c r="J36" s="443"/>
      <c r="K36" s="577" t="str">
        <f>I36</f>
        <v xml:space="preserve">No </v>
      </c>
      <c r="L36" s="29"/>
      <c r="M36" s="29"/>
      <c r="N36" s="29"/>
    </row>
    <row r="37" spans="1:48" hidden="1" x14ac:dyDescent="0.2">
      <c r="A37" s="435" t="s">
        <v>345</v>
      </c>
      <c r="B37" s="749" t="s">
        <v>18</v>
      </c>
      <c r="C37" s="750"/>
      <c r="D37" s="469"/>
      <c r="E37" s="439"/>
      <c r="F37" s="443">
        <v>14250</v>
      </c>
      <c r="G37" s="443">
        <v>14250</v>
      </c>
      <c r="H37" s="443"/>
      <c r="I37" s="454" t="s">
        <v>417</v>
      </c>
      <c r="J37" s="443">
        <v>0</v>
      </c>
      <c r="K37" s="443">
        <f>F37</f>
        <v>14250</v>
      </c>
      <c r="L37" s="29"/>
      <c r="M37" s="29"/>
      <c r="N37" s="29"/>
    </row>
    <row r="38" spans="1:48" hidden="1" x14ac:dyDescent="0.2">
      <c r="A38" s="435" t="s">
        <v>208</v>
      </c>
      <c r="B38" s="749" t="s">
        <v>18</v>
      </c>
      <c r="C38" s="750"/>
      <c r="D38" s="469">
        <v>41275</v>
      </c>
      <c r="E38" s="439">
        <v>42735</v>
      </c>
      <c r="F38" s="443">
        <f>18392.5*2</f>
        <v>36785</v>
      </c>
      <c r="G38" s="443">
        <v>36785</v>
      </c>
      <c r="H38" s="443"/>
      <c r="I38" s="454" t="s">
        <v>417</v>
      </c>
      <c r="J38" s="443">
        <v>0</v>
      </c>
      <c r="K38" s="443" t="str">
        <f>I38</f>
        <v xml:space="preserve">No </v>
      </c>
      <c r="L38" s="29"/>
      <c r="M38" s="29"/>
      <c r="N38" s="29"/>
    </row>
    <row r="39" spans="1:48" hidden="1" x14ac:dyDescent="0.2">
      <c r="A39" s="435" t="s">
        <v>346</v>
      </c>
      <c r="B39" s="749" t="s">
        <v>18</v>
      </c>
      <c r="C39" s="750"/>
      <c r="D39" s="469">
        <v>42005</v>
      </c>
      <c r="E39" s="439">
        <v>42369</v>
      </c>
      <c r="F39" s="443">
        <v>50000</v>
      </c>
      <c r="G39" s="443">
        <v>50000</v>
      </c>
      <c r="H39" s="443"/>
      <c r="I39" s="454" t="s">
        <v>417</v>
      </c>
      <c r="J39" s="443">
        <v>0</v>
      </c>
      <c r="K39" s="443" t="str">
        <f>I39</f>
        <v xml:space="preserve">No </v>
      </c>
      <c r="L39" s="29"/>
      <c r="M39" s="29"/>
      <c r="N39" s="29"/>
    </row>
    <row r="40" spans="1:48" hidden="1" x14ac:dyDescent="0.2">
      <c r="A40" s="435" t="s">
        <v>193</v>
      </c>
      <c r="B40" s="746" t="s">
        <v>192</v>
      </c>
      <c r="C40" s="748"/>
      <c r="D40" s="469">
        <v>41275</v>
      </c>
      <c r="E40" s="439" t="s">
        <v>207</v>
      </c>
      <c r="F40" s="443">
        <v>25000</v>
      </c>
      <c r="G40" s="443" t="s">
        <v>428</v>
      </c>
      <c r="H40" s="443"/>
      <c r="I40" s="454" t="s">
        <v>420</v>
      </c>
      <c r="J40" s="443"/>
      <c r="K40" s="443"/>
      <c r="L40" s="29"/>
      <c r="M40" s="29"/>
      <c r="N40" s="29"/>
    </row>
    <row r="41" spans="1:48" s="4" customFormat="1" hidden="1" x14ac:dyDescent="0.2">
      <c r="A41" s="435" t="s">
        <v>329</v>
      </c>
      <c r="B41" s="756" t="s">
        <v>29</v>
      </c>
      <c r="C41" s="757"/>
      <c r="D41" s="469"/>
      <c r="E41" s="439"/>
      <c r="F41" s="443"/>
      <c r="G41" s="443"/>
      <c r="H41" s="443"/>
      <c r="I41" s="443"/>
      <c r="J41" s="443"/>
      <c r="K41" s="443"/>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4" customFormat="1" hidden="1" x14ac:dyDescent="0.2">
      <c r="A42" s="435" t="s">
        <v>330</v>
      </c>
      <c r="B42" s="756" t="s">
        <v>29</v>
      </c>
      <c r="C42" s="757"/>
      <c r="D42" s="469">
        <v>42005</v>
      </c>
      <c r="E42" s="439">
        <v>43100</v>
      </c>
      <c r="F42" s="443">
        <v>50000</v>
      </c>
      <c r="G42" s="443">
        <v>25000</v>
      </c>
      <c r="H42" s="443"/>
      <c r="I42" s="454" t="s">
        <v>417</v>
      </c>
      <c r="J42" s="443"/>
      <c r="K42" s="443" t="str">
        <f>I42</f>
        <v xml:space="preserve">No </v>
      </c>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ht="15" hidden="1" thickBot="1" x14ac:dyDescent="0.25">
      <c r="A43" s="435" t="s">
        <v>30</v>
      </c>
      <c r="B43" s="746" t="s">
        <v>57</v>
      </c>
      <c r="C43" s="748"/>
      <c r="D43" s="469">
        <v>40226</v>
      </c>
      <c r="E43" s="440" t="s">
        <v>38</v>
      </c>
      <c r="F43" s="443">
        <f>8007.78+5000+50</f>
        <v>13057.779999999999</v>
      </c>
      <c r="G43" s="443"/>
      <c r="H43" s="443"/>
      <c r="I43" s="454" t="s">
        <v>417</v>
      </c>
      <c r="J43" s="443" t="str">
        <f>I43</f>
        <v xml:space="preserve">No </v>
      </c>
      <c r="K43" s="443">
        <v>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 customFormat="1" ht="15.75" hidden="1" thickBot="1" x14ac:dyDescent="0.3">
      <c r="A44" s="436"/>
      <c r="B44" s="754"/>
      <c r="C44" s="755"/>
      <c r="D44" s="470"/>
      <c r="E44" s="441"/>
      <c r="F44" s="444"/>
      <c r="G44" s="444"/>
      <c r="H44" s="444">
        <v>0</v>
      </c>
      <c r="I44" s="444"/>
      <c r="J44" s="444"/>
      <c r="K44" s="444">
        <v>0</v>
      </c>
      <c r="L44" s="394" t="s">
        <v>154</v>
      </c>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392" customFormat="1" ht="15.75" hidden="1" thickBot="1" x14ac:dyDescent="0.3">
      <c r="A45" s="434" t="s">
        <v>41</v>
      </c>
      <c r="B45" s="437"/>
      <c r="C45" s="437"/>
      <c r="D45" s="438"/>
      <c r="E45" s="438"/>
      <c r="F45" s="442">
        <f t="shared" ref="F45:K45" si="2">SUM(F34:F44)</f>
        <v>214092.78</v>
      </c>
      <c r="G45" s="445">
        <f t="shared" si="2"/>
        <v>151035</v>
      </c>
      <c r="H45" s="442">
        <f t="shared" si="2"/>
        <v>0</v>
      </c>
      <c r="I45" s="442">
        <f t="shared" si="2"/>
        <v>0</v>
      </c>
      <c r="J45" s="446">
        <f t="shared" si="2"/>
        <v>0</v>
      </c>
      <c r="K45" s="447">
        <f t="shared" si="2"/>
        <v>14250</v>
      </c>
      <c r="L45" s="630">
        <f>K29+K45</f>
        <v>14250</v>
      </c>
      <c r="M45" s="390">
        <f>L45-104690.48</f>
        <v>-90440.48</v>
      </c>
      <c r="N45" s="390"/>
      <c r="O45" s="390"/>
      <c r="P45" s="390"/>
      <c r="Q45" s="390"/>
      <c r="R45" s="390"/>
      <c r="S45" s="390"/>
      <c r="T45" s="390"/>
      <c r="U45" s="391"/>
      <c r="V45" s="390"/>
      <c r="W45" s="390"/>
      <c r="X45" s="390"/>
      <c r="Y45" s="390"/>
      <c r="Z45" s="390"/>
      <c r="AA45" s="390"/>
      <c r="AB45" s="390"/>
      <c r="AC45" s="390"/>
      <c r="AD45" s="390"/>
      <c r="AE45" s="390"/>
      <c r="AF45" s="390"/>
      <c r="AG45" s="390"/>
      <c r="AH45" s="390"/>
      <c r="AI45" s="390"/>
      <c r="AJ45" s="390"/>
      <c r="AK45" s="390"/>
      <c r="AL45" s="390"/>
      <c r="AM45" s="391"/>
      <c r="AN45" s="391"/>
      <c r="AO45" s="391"/>
      <c r="AP45" s="391"/>
      <c r="AQ45" s="391"/>
      <c r="AR45" s="391"/>
      <c r="AS45" s="391"/>
      <c r="AT45" s="391"/>
      <c r="AU45" s="391"/>
      <c r="AV45" s="391"/>
    </row>
    <row r="46" spans="1:48" s="18" customFormat="1" ht="15" hidden="1" thickBot="1" x14ac:dyDescent="0.25">
      <c r="B46" s="1"/>
      <c r="C46" s="6"/>
      <c r="D46" s="6"/>
      <c r="E46" s="6"/>
      <c r="F46" s="29"/>
      <c r="G46" s="29"/>
      <c r="H46" s="29"/>
      <c r="I46" s="29"/>
      <c r="J46" s="29"/>
      <c r="K46" s="29"/>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1" customFormat="1" ht="18.75" hidden="1" thickBot="1" x14ac:dyDescent="0.3">
      <c r="A47" s="448" t="s">
        <v>204</v>
      </c>
      <c r="B47" s="449"/>
      <c r="C47" s="450"/>
      <c r="D47" s="450"/>
      <c r="E47" s="450"/>
      <c r="F47" s="453"/>
      <c r="G47" s="453"/>
      <c r="H47" s="453"/>
      <c r="I47" s="453"/>
      <c r="J47" s="453"/>
      <c r="K47" s="456"/>
      <c r="L47" s="453"/>
      <c r="M47" s="457"/>
      <c r="N47" s="40"/>
      <c r="O47" s="40"/>
      <c r="P47" s="40"/>
      <c r="Q47" s="40"/>
      <c r="R47" s="40"/>
      <c r="S47" s="40"/>
      <c r="T47" s="40"/>
      <c r="U47" s="41"/>
      <c r="V47" s="40"/>
      <c r="W47" s="40"/>
      <c r="X47" s="40"/>
      <c r="Y47" s="40"/>
      <c r="Z47" s="40"/>
      <c r="AA47" s="40"/>
      <c r="AB47" s="42"/>
      <c r="AC47" s="42"/>
      <c r="AD47" s="42"/>
      <c r="AE47" s="42"/>
      <c r="AF47" s="42"/>
      <c r="AG47" s="42"/>
      <c r="AH47" s="42"/>
      <c r="AI47" s="42"/>
      <c r="AJ47" s="42"/>
      <c r="AK47" s="42"/>
      <c r="AL47" s="42"/>
      <c r="AM47" s="41"/>
      <c r="AN47" s="41"/>
      <c r="AO47" s="41"/>
      <c r="AP47" s="41"/>
      <c r="AQ47" s="41"/>
      <c r="AR47" s="41"/>
      <c r="AS47" s="41"/>
      <c r="AT47" s="41"/>
      <c r="AU47" s="41"/>
      <c r="AV47" s="41"/>
    </row>
    <row r="48" spans="1:48" s="23" customFormat="1" ht="33" hidden="1" customHeight="1" thickBot="1" x14ac:dyDescent="0.25">
      <c r="A48" s="471" t="s">
        <v>44</v>
      </c>
      <c r="B48" s="751" t="s">
        <v>37</v>
      </c>
      <c r="C48" s="753"/>
      <c r="D48" s="753"/>
      <c r="E48" s="752"/>
      <c r="F48" s="475" t="s">
        <v>53</v>
      </c>
      <c r="G48" s="398" t="s">
        <v>344</v>
      </c>
      <c r="H48" s="398" t="s">
        <v>293</v>
      </c>
      <c r="I48" s="476" t="s">
        <v>414</v>
      </c>
      <c r="J48" s="398" t="s">
        <v>58</v>
      </c>
      <c r="K48" s="398" t="s">
        <v>17</v>
      </c>
      <c r="L48" s="398" t="s">
        <v>14</v>
      </c>
      <c r="M48" s="398" t="s">
        <v>4</v>
      </c>
      <c r="N48" s="35"/>
      <c r="O48" s="35"/>
      <c r="P48" s="35"/>
      <c r="Q48" s="35"/>
      <c r="R48" s="35"/>
      <c r="S48" s="35"/>
      <c r="T48" s="35"/>
      <c r="U48" s="6"/>
      <c r="V48" s="35"/>
      <c r="W48" s="35"/>
      <c r="X48" s="35"/>
      <c r="Y48" s="35"/>
      <c r="Z48" s="35"/>
      <c r="AA48" s="35"/>
      <c r="AB48" s="36"/>
      <c r="AC48" s="36"/>
      <c r="AD48" s="36"/>
      <c r="AE48" s="36"/>
      <c r="AF48" s="36"/>
      <c r="AG48" s="36"/>
      <c r="AH48" s="36"/>
      <c r="AI48" s="36"/>
      <c r="AJ48" s="36"/>
      <c r="AK48" s="36"/>
      <c r="AL48" s="36"/>
      <c r="AM48" s="6"/>
      <c r="AN48" s="6"/>
      <c r="AO48" s="6"/>
      <c r="AP48" s="6"/>
      <c r="AQ48" s="6"/>
      <c r="AR48" s="6"/>
      <c r="AS48" s="6"/>
      <c r="AT48" s="6"/>
      <c r="AU48" s="6"/>
      <c r="AV48" s="6"/>
    </row>
    <row r="49" spans="1:48" s="18" customFormat="1" hidden="1" x14ac:dyDescent="0.2">
      <c r="A49" s="435" t="s">
        <v>45</v>
      </c>
      <c r="B49" s="746" t="s">
        <v>48</v>
      </c>
      <c r="C49" s="747"/>
      <c r="D49" s="747"/>
      <c r="E49" s="748"/>
      <c r="F49" s="443"/>
      <c r="G49" s="443"/>
      <c r="H49" s="443">
        <v>0</v>
      </c>
      <c r="I49" s="443"/>
      <c r="J49" s="443"/>
      <c r="K49" s="443"/>
      <c r="L49" s="443"/>
      <c r="M49" s="443">
        <v>0</v>
      </c>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hidden="1" x14ac:dyDescent="0.2">
      <c r="A50" s="435" t="s">
        <v>46</v>
      </c>
      <c r="B50" s="746" t="s">
        <v>49</v>
      </c>
      <c r="C50" s="747"/>
      <c r="D50" s="747"/>
      <c r="E50" s="748"/>
      <c r="F50" s="443"/>
      <c r="G50" s="443"/>
      <c r="H50" s="443"/>
      <c r="I50" s="454"/>
      <c r="J50" s="443"/>
      <c r="K50" s="443"/>
      <c r="L50" s="443"/>
      <c r="M50" s="443">
        <v>0</v>
      </c>
      <c r="N50" s="29"/>
    </row>
    <row r="51" spans="1:48" hidden="1" x14ac:dyDescent="0.2">
      <c r="A51" s="435" t="s">
        <v>334</v>
      </c>
      <c r="B51" s="746" t="s">
        <v>332</v>
      </c>
      <c r="C51" s="747"/>
      <c r="D51" s="747"/>
      <c r="E51" s="748"/>
      <c r="F51" s="443">
        <v>49000</v>
      </c>
      <c r="G51" s="443">
        <v>0</v>
      </c>
      <c r="H51" s="443">
        <f>49000/2</f>
        <v>24500</v>
      </c>
      <c r="I51" s="537" t="s">
        <v>118</v>
      </c>
      <c r="J51" s="443">
        <v>16333.32</v>
      </c>
      <c r="K51" s="443">
        <f t="shared" ref="K51:K57" si="3">+G51+H51-J51</f>
        <v>8166.68</v>
      </c>
      <c r="L51" s="443">
        <f>K51</f>
        <v>8166.68</v>
      </c>
      <c r="M51" s="443"/>
      <c r="N51" s="29"/>
    </row>
    <row r="52" spans="1:48" s="18" customFormat="1" hidden="1" x14ac:dyDescent="0.2">
      <c r="A52" s="435" t="s">
        <v>335</v>
      </c>
      <c r="B52" s="746" t="s">
        <v>333</v>
      </c>
      <c r="C52" s="747"/>
      <c r="D52" s="747"/>
      <c r="E52" s="748"/>
      <c r="F52" s="443">
        <f>6500+3500+2000+3500+3500</f>
        <v>19000</v>
      </c>
      <c r="G52" s="443">
        <v>19000</v>
      </c>
      <c r="H52" s="443">
        <v>19000</v>
      </c>
      <c r="I52" s="537" t="s">
        <v>118</v>
      </c>
      <c r="J52" s="443">
        <f>1583.33*4</f>
        <v>6333.32</v>
      </c>
      <c r="K52" s="443">
        <f t="shared" si="3"/>
        <v>31666.68</v>
      </c>
      <c r="L52" s="443">
        <f>K52</f>
        <v>31666.68</v>
      </c>
      <c r="M52" s="443"/>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hidden="1" x14ac:dyDescent="0.2">
      <c r="A53" s="435" t="s">
        <v>32</v>
      </c>
      <c r="B53" s="746" t="s">
        <v>206</v>
      </c>
      <c r="C53" s="747"/>
      <c r="D53" s="747"/>
      <c r="E53" s="748"/>
      <c r="F53" s="443"/>
      <c r="G53" s="443">
        <v>0</v>
      </c>
      <c r="H53" s="443">
        <v>2195.4299999999998</v>
      </c>
      <c r="I53" s="537" t="s">
        <v>118</v>
      </c>
      <c r="J53" s="443">
        <f>H53</f>
        <v>2195.4299999999998</v>
      </c>
      <c r="K53" s="443">
        <f t="shared" si="3"/>
        <v>0</v>
      </c>
      <c r="L53" s="443">
        <v>0</v>
      </c>
      <c r="M53" s="443">
        <v>0</v>
      </c>
      <c r="N53" s="29"/>
    </row>
    <row r="54" spans="1:48" hidden="1" x14ac:dyDescent="0.2">
      <c r="A54" s="435" t="s">
        <v>32</v>
      </c>
      <c r="B54" s="746" t="s">
        <v>11</v>
      </c>
      <c r="C54" s="747"/>
      <c r="D54" s="747"/>
      <c r="E54" s="748"/>
      <c r="F54" s="443"/>
      <c r="G54" s="443">
        <v>1319.17</v>
      </c>
      <c r="H54" s="443">
        <v>0</v>
      </c>
      <c r="I54" s="537" t="s">
        <v>118</v>
      </c>
      <c r="J54" s="443">
        <v>648</v>
      </c>
      <c r="K54" s="443">
        <f t="shared" si="3"/>
        <v>671.17000000000007</v>
      </c>
      <c r="L54" s="443">
        <f>K54</f>
        <v>671.17000000000007</v>
      </c>
      <c r="M54" s="443">
        <v>0</v>
      </c>
      <c r="N54" s="29"/>
    </row>
    <row r="55" spans="1:48" hidden="1" x14ac:dyDescent="0.2">
      <c r="A55" s="435" t="s">
        <v>32</v>
      </c>
      <c r="B55" s="746" t="s">
        <v>12</v>
      </c>
      <c r="C55" s="747"/>
      <c r="D55" s="747"/>
      <c r="E55" s="748"/>
      <c r="F55" s="443"/>
      <c r="G55" s="443">
        <v>10337.75</v>
      </c>
      <c r="H55" s="443">
        <f>32.5+50+97.5+50</f>
        <v>230</v>
      </c>
      <c r="I55" s="537" t="s">
        <v>118</v>
      </c>
      <c r="J55" s="443">
        <v>5125</v>
      </c>
      <c r="K55" s="443">
        <f>+G55+H55-J55</f>
        <v>5442.75</v>
      </c>
      <c r="L55" s="443">
        <f>K55</f>
        <v>5442.75</v>
      </c>
      <c r="M55" s="443">
        <v>0</v>
      </c>
      <c r="N55" s="29"/>
    </row>
    <row r="56" spans="1:48" hidden="1" x14ac:dyDescent="0.2">
      <c r="A56" s="435" t="s">
        <v>32</v>
      </c>
      <c r="B56" s="746" t="s">
        <v>13</v>
      </c>
      <c r="C56" s="747"/>
      <c r="D56" s="747"/>
      <c r="E56" s="748"/>
      <c r="F56" s="443"/>
      <c r="G56" s="443">
        <v>10186.61</v>
      </c>
      <c r="H56" s="443"/>
      <c r="I56" s="537" t="s">
        <v>118</v>
      </c>
      <c r="J56" s="443">
        <v>2174.4</v>
      </c>
      <c r="K56" s="443">
        <f t="shared" ref="K56" si="4">+G56+H56-J56</f>
        <v>8012.2100000000009</v>
      </c>
      <c r="L56" s="443">
        <f>K56</f>
        <v>8012.2100000000009</v>
      </c>
      <c r="M56" s="443">
        <v>0</v>
      </c>
      <c r="N56" s="29"/>
    </row>
    <row r="57" spans="1:48" s="25" customFormat="1" ht="15" hidden="1" thickBot="1" x14ac:dyDescent="0.25">
      <c r="A57" s="435" t="s">
        <v>32</v>
      </c>
      <c r="B57" s="746" t="s">
        <v>328</v>
      </c>
      <c r="C57" s="747"/>
      <c r="D57" s="747"/>
      <c r="E57" s="748"/>
      <c r="F57" s="443"/>
      <c r="G57" s="443">
        <v>918.9</v>
      </c>
      <c r="H57" s="443"/>
      <c r="I57" s="537" t="s">
        <v>118</v>
      </c>
      <c r="J57" s="443">
        <v>919</v>
      </c>
      <c r="K57" s="443">
        <f t="shared" si="3"/>
        <v>-0.10000000000002274</v>
      </c>
      <c r="L57" s="443">
        <f>K57</f>
        <v>-0.10000000000002274</v>
      </c>
      <c r="M57" s="443">
        <v>0</v>
      </c>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25" customFormat="1" ht="15" hidden="1" thickBot="1" x14ac:dyDescent="0.25">
      <c r="A58" s="435" t="s">
        <v>32</v>
      </c>
      <c r="B58" s="674" t="s">
        <v>100</v>
      </c>
      <c r="C58" s="675"/>
      <c r="D58" s="675"/>
      <c r="E58" s="676"/>
      <c r="F58" s="443"/>
      <c r="G58" s="443"/>
      <c r="H58" s="443"/>
      <c r="I58" s="443"/>
      <c r="J58" s="443"/>
      <c r="K58" s="443"/>
      <c r="L58" s="443"/>
      <c r="M58" s="443"/>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ht="15" hidden="1" customHeight="1" x14ac:dyDescent="0.2">
      <c r="A59" s="436"/>
      <c r="B59" s="746"/>
      <c r="C59" s="747"/>
      <c r="D59" s="747"/>
      <c r="E59" s="748"/>
      <c r="F59" s="444"/>
      <c r="G59" s="444">
        <v>0</v>
      </c>
      <c r="H59" s="444"/>
      <c r="I59" s="455"/>
      <c r="J59" s="444"/>
      <c r="K59" s="444"/>
      <c r="L59" s="444"/>
      <c r="M59" s="444">
        <v>0</v>
      </c>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392" customFormat="1" ht="15.75" hidden="1" thickBot="1" x14ac:dyDescent="0.3">
      <c r="A60" s="472" t="s">
        <v>51</v>
      </c>
      <c r="B60" s="473"/>
      <c r="C60" s="473"/>
      <c r="D60" s="473"/>
      <c r="E60" s="474"/>
      <c r="F60" s="564">
        <f t="shared" ref="F60:M60" si="5">SUM(F49:F59)</f>
        <v>68000</v>
      </c>
      <c r="G60" s="565">
        <f t="shared" si="5"/>
        <v>41762.43</v>
      </c>
      <c r="H60" s="565">
        <f t="shared" si="5"/>
        <v>45925.43</v>
      </c>
      <c r="I60" s="565">
        <f t="shared" si="5"/>
        <v>0</v>
      </c>
      <c r="J60" s="565">
        <f t="shared" si="5"/>
        <v>33728.47</v>
      </c>
      <c r="K60" s="566">
        <f t="shared" si="5"/>
        <v>53959.39</v>
      </c>
      <c r="L60" s="567">
        <f t="shared" si="5"/>
        <v>53959.39</v>
      </c>
      <c r="M60" s="566">
        <f t="shared" si="5"/>
        <v>0</v>
      </c>
      <c r="N60" s="390"/>
      <c r="O60" s="390"/>
      <c r="P60" s="390"/>
      <c r="Q60" s="390"/>
      <c r="R60" s="390"/>
      <c r="S60" s="390"/>
      <c r="T60" s="390"/>
      <c r="U60" s="391"/>
      <c r="V60" s="390"/>
      <c r="W60" s="390"/>
      <c r="X60" s="390"/>
      <c r="Y60" s="390"/>
      <c r="Z60" s="390"/>
      <c r="AA60" s="390"/>
      <c r="AB60" s="390"/>
      <c r="AC60" s="390"/>
      <c r="AD60" s="390"/>
      <c r="AE60" s="390"/>
      <c r="AF60" s="390"/>
      <c r="AG60" s="390"/>
      <c r="AH60" s="390"/>
      <c r="AI60" s="390"/>
      <c r="AJ60" s="390"/>
      <c r="AK60" s="390"/>
      <c r="AL60" s="390"/>
      <c r="AM60" s="391"/>
      <c r="AN60" s="391"/>
      <c r="AO60" s="391"/>
      <c r="AP60" s="391"/>
      <c r="AQ60" s="391"/>
      <c r="AR60" s="391"/>
      <c r="AS60" s="391"/>
      <c r="AT60" s="391"/>
      <c r="AU60" s="391"/>
      <c r="AV60" s="391"/>
    </row>
    <row r="61" spans="1:48" ht="15.75" hidden="1" thickBot="1" x14ac:dyDescent="0.3">
      <c r="H61" s="28"/>
      <c r="L61" s="393" t="s">
        <v>155</v>
      </c>
      <c r="N61" s="29"/>
    </row>
    <row r="62" spans="1:48" s="48" customFormat="1" ht="16.5" hidden="1" thickBot="1" x14ac:dyDescent="0.3">
      <c r="A62" s="52"/>
      <c r="B62" s="53"/>
      <c r="C62" s="53"/>
      <c r="D62" s="53"/>
      <c r="E62" s="53"/>
      <c r="F62" s="53"/>
      <c r="G62" s="53"/>
      <c r="H62" s="53"/>
      <c r="I62" s="53"/>
      <c r="J62" s="53"/>
      <c r="K62" s="53"/>
      <c r="L62" s="578">
        <f>L60+J45</f>
        <v>53959.39</v>
      </c>
      <c r="M62" s="49"/>
      <c r="N62" s="29"/>
      <c r="O62" s="29"/>
      <c r="P62" s="29"/>
      <c r="Q62" s="29"/>
      <c r="R62" s="29"/>
      <c r="S62" s="29"/>
      <c r="T62" s="29"/>
      <c r="U62" s="29"/>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51" customFormat="1" ht="31.5" hidden="1" x14ac:dyDescent="0.25">
      <c r="A63" s="54"/>
      <c r="B63" s="50"/>
      <c r="C63" s="50"/>
      <c r="D63" s="50"/>
      <c r="E63" s="50"/>
      <c r="F63" s="50"/>
      <c r="G63" s="151" t="s">
        <v>308</v>
      </c>
      <c r="H63" s="152" t="s">
        <v>293</v>
      </c>
      <c r="I63" s="152" t="s">
        <v>153</v>
      </c>
      <c r="J63" s="152" t="s">
        <v>75</v>
      </c>
      <c r="K63" s="153" t="s">
        <v>61</v>
      </c>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row>
    <row r="64" spans="1:48" s="43" customFormat="1" ht="20.25" hidden="1" customHeight="1" x14ac:dyDescent="0.2">
      <c r="A64" s="496" t="s">
        <v>95</v>
      </c>
      <c r="B64" s="760" t="s">
        <v>60</v>
      </c>
      <c r="C64" s="760"/>
      <c r="D64" s="760"/>
      <c r="E64" s="760"/>
      <c r="F64" s="497"/>
      <c r="G64" s="497">
        <f>104647.76-J52-1250-1250</f>
        <v>95814.44</v>
      </c>
      <c r="H64" s="497">
        <f>90450.47-J64-H67</f>
        <v>58290.82</v>
      </c>
      <c r="I64" s="497">
        <f>H53</f>
        <v>2195.4299999999998</v>
      </c>
      <c r="J64" s="497">
        <f>'June 15 AR Aging '!G40</f>
        <v>32159.65</v>
      </c>
      <c r="K64" s="498">
        <f>+I64+J64+H64-G64</f>
        <v>-3168.5400000000081</v>
      </c>
      <c r="L64" s="46"/>
      <c r="M64" s="46"/>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25" customFormat="1" hidden="1" x14ac:dyDescent="0.2">
      <c r="A65" s="499" t="s">
        <v>47</v>
      </c>
      <c r="B65" s="759" t="s">
        <v>42</v>
      </c>
      <c r="C65" s="759"/>
      <c r="D65" s="759"/>
      <c r="E65" s="759"/>
      <c r="F65" s="494"/>
      <c r="G65" s="494"/>
      <c r="H65" s="494">
        <v>0</v>
      </c>
      <c r="I65" s="495"/>
      <c r="J65" s="494">
        <v>0</v>
      </c>
      <c r="K65" s="500"/>
      <c r="L65" s="462"/>
      <c r="M65" s="462">
        <v>0</v>
      </c>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18" customFormat="1" hidden="1" x14ac:dyDescent="0.2">
      <c r="A66" s="499" t="s">
        <v>32</v>
      </c>
      <c r="B66" s="761" t="s">
        <v>220</v>
      </c>
      <c r="C66" s="762"/>
      <c r="D66" s="762"/>
      <c r="E66" s="763"/>
      <c r="F66" s="494"/>
      <c r="G66" s="494"/>
      <c r="H66" s="494"/>
      <c r="I66" s="495"/>
      <c r="J66" s="494"/>
      <c r="K66" s="500"/>
      <c r="L66" s="462"/>
      <c r="M66" s="462"/>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18" customFormat="1" ht="15" hidden="1" thickBot="1" x14ac:dyDescent="0.25">
      <c r="A67" s="501" t="s">
        <v>219</v>
      </c>
      <c r="B67" s="758" t="s">
        <v>60</v>
      </c>
      <c r="C67" s="758"/>
      <c r="D67" s="758"/>
      <c r="E67" s="758"/>
      <c r="F67" s="502"/>
      <c r="G67" s="502"/>
      <c r="H67" s="502">
        <v>0</v>
      </c>
      <c r="I67" s="502"/>
      <c r="J67" s="502">
        <f>'June 15 AR Aging '!G39</f>
        <v>0</v>
      </c>
      <c r="K67" s="503"/>
      <c r="L67" s="46"/>
      <c r="M67" s="46"/>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x14ac:dyDescent="0.2">
      <c r="F68" s="354"/>
      <c r="G68" s="355"/>
      <c r="H68" s="354"/>
      <c r="I68" s="354"/>
      <c r="J68" s="354"/>
      <c r="K68" s="354"/>
      <c r="N68" s="29"/>
    </row>
    <row r="69" spans="1:48" x14ac:dyDescent="0.2">
      <c r="F69" s="354"/>
      <c r="G69" s="355"/>
      <c r="H69" s="354"/>
      <c r="I69" s="354"/>
      <c r="J69" s="354"/>
      <c r="K69" s="354"/>
      <c r="N69" s="29"/>
    </row>
    <row r="70" spans="1:48" x14ac:dyDescent="0.2">
      <c r="D70" s="5" t="s">
        <v>439</v>
      </c>
      <c r="F70" s="354"/>
      <c r="G70" s="355"/>
      <c r="H70" s="354"/>
      <c r="I70" s="354"/>
      <c r="J70" s="354"/>
      <c r="K70" s="354"/>
      <c r="N70" s="29"/>
    </row>
    <row r="71" spans="1:48" x14ac:dyDescent="0.2">
      <c r="D71" s="5" t="s">
        <v>440</v>
      </c>
      <c r="F71" s="354"/>
      <c r="G71" s="355"/>
      <c r="H71" s="354"/>
      <c r="I71" s="354"/>
      <c r="J71" s="354"/>
      <c r="K71" s="354"/>
      <c r="N71" s="29"/>
    </row>
    <row r="72" spans="1:48" x14ac:dyDescent="0.2">
      <c r="F72" s="354"/>
      <c r="G72" s="355"/>
      <c r="H72" s="354"/>
      <c r="I72" s="354"/>
      <c r="J72" s="354"/>
      <c r="K72" s="354"/>
      <c r="N72" s="29"/>
    </row>
    <row r="73" spans="1:48" ht="15" thickBot="1" x14ac:dyDescent="0.25">
      <c r="F73" s="354"/>
      <c r="G73" s="355"/>
      <c r="H73" s="354"/>
      <c r="I73" s="354"/>
      <c r="J73" s="354"/>
      <c r="K73" s="354"/>
      <c r="N73" s="29"/>
    </row>
    <row r="74" spans="1:48" x14ac:dyDescent="0.2">
      <c r="B74" s="719"/>
      <c r="C74" s="722" t="s">
        <v>405</v>
      </c>
      <c r="D74" s="722" t="s">
        <v>431</v>
      </c>
      <c r="E74" s="722"/>
      <c r="F74" s="724"/>
      <c r="G74" s="355"/>
      <c r="H74" s="354"/>
      <c r="I74" s="354"/>
      <c r="J74" s="375"/>
      <c r="K74" s="354"/>
      <c r="N74" s="29"/>
    </row>
    <row r="75" spans="1:48" ht="15" customHeight="1" x14ac:dyDescent="0.2">
      <c r="B75" s="435"/>
      <c r="C75" s="440" t="s">
        <v>407</v>
      </c>
      <c r="D75" s="440" t="s">
        <v>409</v>
      </c>
      <c r="E75" s="440" t="s">
        <v>406</v>
      </c>
      <c r="F75" s="725" t="s">
        <v>412</v>
      </c>
      <c r="G75" s="355"/>
      <c r="H75" s="354"/>
      <c r="I75" s="354"/>
      <c r="J75" s="355"/>
      <c r="K75" s="354"/>
      <c r="N75" s="29"/>
    </row>
    <row r="76" spans="1:48" ht="15" customHeight="1" x14ac:dyDescent="0.2">
      <c r="B76" s="440" t="s">
        <v>404</v>
      </c>
      <c r="C76" s="723" t="s">
        <v>408</v>
      </c>
      <c r="D76" s="440" t="s">
        <v>410</v>
      </c>
      <c r="E76" s="439" t="s">
        <v>415</v>
      </c>
      <c r="F76" s="725" t="s">
        <v>432</v>
      </c>
    </row>
    <row r="77" spans="1:48" x14ac:dyDescent="0.2">
      <c r="B77" s="435"/>
      <c r="C77" s="440" t="s">
        <v>433</v>
      </c>
      <c r="D77" s="440" t="s">
        <v>411</v>
      </c>
      <c r="E77" s="440" t="s">
        <v>416</v>
      </c>
      <c r="F77" s="726" t="s">
        <v>413</v>
      </c>
    </row>
    <row r="78" spans="1:48" x14ac:dyDescent="0.2">
      <c r="B78" s="720">
        <v>41670</v>
      </c>
      <c r="C78" s="731">
        <v>280107.27</v>
      </c>
      <c r="D78" s="732">
        <f>-145804-L103-M103</f>
        <v>-70000.170000000013</v>
      </c>
      <c r="E78" s="732">
        <f>C78+D78</f>
        <v>210107.1</v>
      </c>
      <c r="F78" s="731">
        <f>E78-120000</f>
        <v>90107.1</v>
      </c>
    </row>
    <row r="79" spans="1:48" x14ac:dyDescent="0.2">
      <c r="B79" s="720">
        <v>41698</v>
      </c>
      <c r="C79" s="731">
        <v>263204.34999999998</v>
      </c>
      <c r="D79" s="732">
        <f>-124985.83-L104-M104</f>
        <v>-55583.030000000006</v>
      </c>
      <c r="E79" s="732">
        <f t="shared" ref="E79:E95" si="6">C79+D79</f>
        <v>207621.31999999998</v>
      </c>
      <c r="F79" s="731">
        <f t="shared" ref="F79:F95" si="7">E79-120000</f>
        <v>87621.319999999978</v>
      </c>
    </row>
    <row r="80" spans="1:48" x14ac:dyDescent="0.2">
      <c r="B80" s="720">
        <v>41729</v>
      </c>
      <c r="C80" s="731">
        <v>352214.35</v>
      </c>
      <c r="D80" s="732">
        <f>-102013.68-L105-M105</f>
        <v>-40370.789999999994</v>
      </c>
      <c r="E80" s="732">
        <f t="shared" si="6"/>
        <v>311843.56</v>
      </c>
      <c r="F80" s="731">
        <f t="shared" si="7"/>
        <v>191843.56</v>
      </c>
    </row>
    <row r="81" spans="1:12" x14ac:dyDescent="0.2">
      <c r="B81" s="720">
        <v>41759</v>
      </c>
      <c r="C81" s="731">
        <v>203911.38</v>
      </c>
      <c r="D81" s="732">
        <f>-82357.24-L106-M106</f>
        <v>-25578.949999999997</v>
      </c>
      <c r="E81" s="732">
        <f t="shared" si="6"/>
        <v>178332.43</v>
      </c>
      <c r="F81" s="731">
        <f t="shared" si="7"/>
        <v>58332.429999999993</v>
      </c>
    </row>
    <row r="82" spans="1:12" x14ac:dyDescent="0.2">
      <c r="B82" s="720">
        <v>41790</v>
      </c>
      <c r="C82" s="731">
        <v>268931.68</v>
      </c>
      <c r="D82" s="732">
        <f>-61792.15-L107-M107</f>
        <v>-9866.9800000000032</v>
      </c>
      <c r="E82" s="732">
        <f t="shared" si="6"/>
        <v>259064.69999999998</v>
      </c>
      <c r="F82" s="731">
        <f t="shared" si="7"/>
        <v>139064.69999999998</v>
      </c>
    </row>
    <row r="83" spans="1:12" x14ac:dyDescent="0.2">
      <c r="B83" s="720">
        <v>41820</v>
      </c>
      <c r="C83" s="731">
        <v>210713.22</v>
      </c>
      <c r="D83" s="732"/>
      <c r="E83" s="732">
        <f t="shared" si="6"/>
        <v>210713.22</v>
      </c>
      <c r="F83" s="731">
        <f t="shared" si="7"/>
        <v>90713.22</v>
      </c>
    </row>
    <row r="84" spans="1:12" x14ac:dyDescent="0.2">
      <c r="B84" s="720">
        <v>41851</v>
      </c>
      <c r="C84" s="731">
        <v>193883.41</v>
      </c>
      <c r="D84" s="732">
        <f>-84807.46-L109-M109</f>
        <v>-42036.280000000006</v>
      </c>
      <c r="E84" s="732">
        <f t="shared" si="6"/>
        <v>151847.13</v>
      </c>
      <c r="F84" s="731">
        <f t="shared" si="7"/>
        <v>31847.130000000005</v>
      </c>
    </row>
    <row r="85" spans="1:12" x14ac:dyDescent="0.2">
      <c r="A85" s="10"/>
      <c r="B85" s="720">
        <v>41882</v>
      </c>
      <c r="C85" s="731">
        <v>406211.14</v>
      </c>
      <c r="D85" s="732">
        <f>-116103.83-L110-M110</f>
        <v>-64049.060000000005</v>
      </c>
      <c r="E85" s="732">
        <f t="shared" si="6"/>
        <v>342162.08</v>
      </c>
      <c r="F85" s="731">
        <f t="shared" si="7"/>
        <v>222162.08000000002</v>
      </c>
      <c r="I85" s="29"/>
      <c r="J85" s="29"/>
      <c r="K85" s="29"/>
      <c r="L85" s="29"/>
    </row>
    <row r="86" spans="1:12" x14ac:dyDescent="0.2">
      <c r="B86" s="720">
        <v>41912</v>
      </c>
      <c r="C86" s="731">
        <v>357801.7</v>
      </c>
      <c r="D86" s="732">
        <f>-95673.57-L111-M111</f>
        <v>-50038.720000000008</v>
      </c>
      <c r="E86" s="732">
        <f t="shared" si="6"/>
        <v>307762.98</v>
      </c>
      <c r="F86" s="731">
        <f t="shared" si="7"/>
        <v>187762.97999999998</v>
      </c>
    </row>
    <row r="87" spans="1:12" x14ac:dyDescent="0.2">
      <c r="B87" s="720">
        <v>41943</v>
      </c>
      <c r="C87" s="731">
        <v>304726.21000000002</v>
      </c>
      <c r="D87" s="732">
        <f>-69581.94-L112-M112</f>
        <v>-28380.950000000004</v>
      </c>
      <c r="E87" s="732">
        <f t="shared" si="6"/>
        <v>276345.26</v>
      </c>
      <c r="F87" s="731">
        <f t="shared" si="7"/>
        <v>156345.26</v>
      </c>
    </row>
    <row r="88" spans="1:12" x14ac:dyDescent="0.2">
      <c r="B88" s="720">
        <v>41973</v>
      </c>
      <c r="C88" s="731">
        <v>367260.55</v>
      </c>
      <c r="D88" s="732">
        <f>-129450.22-L113-M113</f>
        <v>-91321.239999999991</v>
      </c>
      <c r="E88" s="732">
        <f t="shared" si="6"/>
        <v>275939.31</v>
      </c>
      <c r="F88" s="731">
        <f t="shared" si="7"/>
        <v>155939.31</v>
      </c>
    </row>
    <row r="89" spans="1:12" x14ac:dyDescent="0.2">
      <c r="B89" s="720">
        <v>42004</v>
      </c>
      <c r="C89" s="731">
        <v>332375.05</v>
      </c>
      <c r="D89" s="732">
        <f>-136592.42-L114-M114</f>
        <v>-77335.62000000001</v>
      </c>
      <c r="E89" s="732">
        <f t="shared" si="6"/>
        <v>255039.43</v>
      </c>
      <c r="F89" s="731">
        <f t="shared" si="7"/>
        <v>135039.43</v>
      </c>
    </row>
    <row r="90" spans="1:12" x14ac:dyDescent="0.2">
      <c r="B90" s="720">
        <v>42035</v>
      </c>
      <c r="C90" s="731">
        <v>380955.8</v>
      </c>
      <c r="D90" s="732">
        <f>-201428.1-L115-M115</f>
        <v>-74273.179999999993</v>
      </c>
      <c r="E90" s="732">
        <f t="shared" si="6"/>
        <v>306682.62</v>
      </c>
      <c r="F90" s="731">
        <f t="shared" si="7"/>
        <v>186682.62</v>
      </c>
    </row>
    <row r="91" spans="1:12" x14ac:dyDescent="0.2">
      <c r="B91" s="720">
        <v>42063</v>
      </c>
      <c r="C91" s="731">
        <v>452480.28</v>
      </c>
      <c r="D91" s="732">
        <f>-193811.66-L116-M116</f>
        <v>-70979.48</v>
      </c>
      <c r="E91" s="732">
        <f t="shared" si="6"/>
        <v>381500.80000000005</v>
      </c>
      <c r="F91" s="731">
        <f t="shared" si="7"/>
        <v>261500.80000000005</v>
      </c>
    </row>
    <row r="92" spans="1:12" x14ac:dyDescent="0.2">
      <c r="B92" s="720">
        <v>42094</v>
      </c>
      <c r="C92" s="731">
        <v>576087.44999999995</v>
      </c>
      <c r="D92" s="732">
        <f>-172725.47-L117-M117</f>
        <v>-41749.729999999996</v>
      </c>
      <c r="E92" s="732">
        <f t="shared" si="6"/>
        <v>534337.72</v>
      </c>
      <c r="F92" s="731">
        <f t="shared" si="7"/>
        <v>414337.72</v>
      </c>
    </row>
    <row r="93" spans="1:12" x14ac:dyDescent="0.2">
      <c r="B93" s="720">
        <v>42124</v>
      </c>
      <c r="C93" s="731">
        <v>408772.18</v>
      </c>
      <c r="D93" s="732">
        <f>-96100.98-L118-M118</f>
        <v>-22115.370000000003</v>
      </c>
      <c r="E93" s="732">
        <f t="shared" si="6"/>
        <v>386656.81</v>
      </c>
      <c r="F93" s="731">
        <f t="shared" si="7"/>
        <v>266656.81</v>
      </c>
    </row>
    <row r="94" spans="1:12" x14ac:dyDescent="0.2">
      <c r="B94" s="720">
        <v>42155</v>
      </c>
      <c r="C94" s="731">
        <v>366889.46</v>
      </c>
      <c r="D94" s="732">
        <f>-76322.81-L119-M119</f>
        <v>-7801.3099999999977</v>
      </c>
      <c r="E94" s="732">
        <f t="shared" si="6"/>
        <v>359088.15</v>
      </c>
      <c r="F94" s="731">
        <f t="shared" si="7"/>
        <v>239088.15000000002</v>
      </c>
    </row>
    <row r="95" spans="1:12" ht="15" thickBot="1" x14ac:dyDescent="0.25">
      <c r="B95" s="721">
        <v>42185</v>
      </c>
      <c r="C95" s="733">
        <v>357943.2</v>
      </c>
      <c r="D95" s="734">
        <f>-124025.05-L120-M120</f>
        <v>-58333.26</v>
      </c>
      <c r="E95" s="734">
        <f t="shared" si="6"/>
        <v>299609.94</v>
      </c>
      <c r="F95" s="733">
        <f t="shared" si="7"/>
        <v>179609.94</v>
      </c>
    </row>
    <row r="96" spans="1:12" x14ac:dyDescent="0.2">
      <c r="C96" s="700"/>
      <c r="D96" s="702"/>
      <c r="E96" s="702"/>
    </row>
    <row r="97" spans="2:31" x14ac:dyDescent="0.2">
      <c r="C97" s="700"/>
    </row>
    <row r="98" spans="2:31" x14ac:dyDescent="0.2">
      <c r="C98" s="700"/>
    </row>
    <row r="99" spans="2:31" x14ac:dyDescent="0.2">
      <c r="C99" s="700"/>
    </row>
    <row r="100" spans="2:31" hidden="1" x14ac:dyDescent="0.2">
      <c r="C100" s="5" t="s">
        <v>405</v>
      </c>
      <c r="D100" s="699" t="s">
        <v>423</v>
      </c>
      <c r="E100" s="699" t="s">
        <v>423</v>
      </c>
      <c r="F100" s="715" t="s">
        <v>425</v>
      </c>
      <c r="G100" s="715" t="s">
        <v>425</v>
      </c>
      <c r="H100" s="35" t="s">
        <v>427</v>
      </c>
      <c r="I100" s="35" t="s">
        <v>427</v>
      </c>
      <c r="J100" s="715" t="s">
        <v>426</v>
      </c>
      <c r="K100" s="715" t="s">
        <v>426</v>
      </c>
      <c r="L100" s="28" t="s">
        <v>429</v>
      </c>
      <c r="M100" s="28" t="s">
        <v>430</v>
      </c>
    </row>
    <row r="101" spans="2:31" hidden="1" x14ac:dyDescent="0.2">
      <c r="B101" s="5" t="s">
        <v>404</v>
      </c>
      <c r="C101" s="8" t="s">
        <v>407</v>
      </c>
      <c r="D101" s="699" t="s">
        <v>424</v>
      </c>
      <c r="E101" s="699" t="s">
        <v>424</v>
      </c>
      <c r="F101" s="715" t="s">
        <v>424</v>
      </c>
      <c r="G101" s="715" t="s">
        <v>424</v>
      </c>
      <c r="H101" s="35" t="s">
        <v>424</v>
      </c>
      <c r="I101" s="35" t="s">
        <v>424</v>
      </c>
      <c r="J101" s="715" t="s">
        <v>424</v>
      </c>
      <c r="K101" s="715" t="s">
        <v>424</v>
      </c>
    </row>
    <row r="102" spans="2:31" hidden="1" x14ac:dyDescent="0.2">
      <c r="C102" s="5" t="s">
        <v>408</v>
      </c>
      <c r="D102" s="699"/>
    </row>
    <row r="103" spans="2:31" hidden="1" x14ac:dyDescent="0.2">
      <c r="B103" s="703">
        <v>41670</v>
      </c>
      <c r="C103" s="700">
        <v>280107.27</v>
      </c>
      <c r="D103" s="699">
        <v>-10000</v>
      </c>
      <c r="E103" s="714">
        <v>57585.62</v>
      </c>
      <c r="F103" s="717">
        <f>-52500</f>
        <v>-52500</v>
      </c>
      <c r="G103" s="354">
        <v>80992.649999999994</v>
      </c>
      <c r="H103" s="355">
        <f>-7500.17</f>
        <v>-7500.17</v>
      </c>
      <c r="I103" s="354">
        <v>14808.94</v>
      </c>
      <c r="J103" s="354"/>
      <c r="K103" s="354">
        <v>59715.29</v>
      </c>
      <c r="L103" s="354">
        <v>-13636.34</v>
      </c>
      <c r="M103" s="354">
        <f>-62167.49</f>
        <v>-62167.49</v>
      </c>
      <c r="N103" s="354">
        <f>D103+F103+H103+J103+L103+M103</f>
        <v>-145804</v>
      </c>
      <c r="O103" s="355">
        <v>27338.62</v>
      </c>
      <c r="P103" s="355"/>
      <c r="Q103" s="355"/>
      <c r="R103" s="355"/>
      <c r="S103" s="355"/>
      <c r="T103" s="355"/>
      <c r="U103" s="355"/>
      <c r="V103" s="355"/>
      <c r="W103" s="355"/>
      <c r="X103" s="355"/>
      <c r="Y103" s="355"/>
      <c r="Z103" s="355"/>
      <c r="AA103" s="355"/>
      <c r="AB103" s="355"/>
      <c r="AC103" s="355"/>
      <c r="AD103" s="355"/>
      <c r="AE103" s="355"/>
    </row>
    <row r="104" spans="2:31" hidden="1" x14ac:dyDescent="0.2">
      <c r="B104" s="703">
        <v>41698</v>
      </c>
      <c r="C104" s="700">
        <v>263204.34999999998</v>
      </c>
      <c r="D104" s="699">
        <v>-5000</v>
      </c>
      <c r="E104" s="714">
        <v>70123.73</v>
      </c>
      <c r="F104" s="717">
        <v>-45937.5</v>
      </c>
      <c r="G104" s="354">
        <v>75367.929999999993</v>
      </c>
      <c r="H104" s="355">
        <f>-4645.53</f>
        <v>-4645.53</v>
      </c>
      <c r="I104" s="354">
        <v>14852.98</v>
      </c>
      <c r="J104" s="354"/>
      <c r="K104" s="354">
        <v>67908.259999999995</v>
      </c>
      <c r="L104" s="354">
        <f>-11493.7</f>
        <v>-11493.7</v>
      </c>
      <c r="M104" s="354">
        <f>-57909.1</f>
        <v>-57909.1</v>
      </c>
      <c r="N104" s="354">
        <f t="shared" ref="N104:N120" si="8">D104+F104+H104+J104+L104+M104</f>
        <v>-124985.82999999999</v>
      </c>
      <c r="O104" s="355">
        <v>2876.87</v>
      </c>
      <c r="P104" s="355"/>
      <c r="Q104" s="355"/>
      <c r="R104" s="355"/>
      <c r="S104" s="355"/>
      <c r="T104" s="355"/>
      <c r="U104" s="355"/>
      <c r="V104" s="355"/>
      <c r="W104" s="355"/>
      <c r="X104" s="355"/>
      <c r="Y104" s="355"/>
      <c r="Z104" s="355"/>
      <c r="AA104" s="355"/>
      <c r="AB104" s="355"/>
      <c r="AC104" s="355"/>
      <c r="AD104" s="355"/>
      <c r="AE104" s="355"/>
    </row>
    <row r="105" spans="2:31" hidden="1" x14ac:dyDescent="0.2">
      <c r="B105" s="703">
        <v>41729</v>
      </c>
      <c r="C105" s="700">
        <v>352214.35</v>
      </c>
      <c r="D105" s="699">
        <v>0</v>
      </c>
      <c r="E105" s="714">
        <v>108131.76</v>
      </c>
      <c r="F105" s="717">
        <v>-39375</v>
      </c>
      <c r="G105" s="354">
        <v>80073.789999999994</v>
      </c>
      <c r="H105" s="355">
        <f>-995.79</f>
        <v>-995.79</v>
      </c>
      <c r="I105" s="354">
        <v>7132.1</v>
      </c>
      <c r="J105" s="354"/>
      <c r="K105" s="354">
        <v>22685.3</v>
      </c>
      <c r="L105" s="354">
        <f>-7550.5</f>
        <v>-7550.5</v>
      </c>
      <c r="M105" s="354">
        <f>-54092.39</f>
        <v>-54092.39</v>
      </c>
      <c r="N105" s="354">
        <f t="shared" si="8"/>
        <v>-102013.68</v>
      </c>
      <c r="O105" s="355">
        <v>12859.06</v>
      </c>
      <c r="P105" s="355"/>
      <c r="Q105" s="355"/>
      <c r="R105" s="355"/>
      <c r="S105" s="355"/>
      <c r="T105" s="355"/>
      <c r="U105" s="355"/>
      <c r="V105" s="355"/>
      <c r="W105" s="355"/>
      <c r="X105" s="355"/>
      <c r="Y105" s="355"/>
      <c r="Z105" s="355"/>
      <c r="AA105" s="355"/>
      <c r="AB105" s="355"/>
      <c r="AC105" s="355"/>
      <c r="AD105" s="355"/>
      <c r="AE105" s="355"/>
    </row>
    <row r="106" spans="2:31" hidden="1" x14ac:dyDescent="0.2">
      <c r="B106" s="703">
        <v>41759</v>
      </c>
      <c r="C106" s="700">
        <v>203911.38</v>
      </c>
      <c r="D106" s="699"/>
      <c r="E106" s="714">
        <v>122525.49</v>
      </c>
      <c r="F106" s="717">
        <v>-32812.5</v>
      </c>
      <c r="G106" s="354">
        <v>93180.43</v>
      </c>
      <c r="H106" s="355"/>
      <c r="I106" s="354">
        <v>23310.89</v>
      </c>
      <c r="J106" s="354"/>
      <c r="K106" s="354">
        <f>14992.33+8513.43</f>
        <v>23505.760000000002</v>
      </c>
      <c r="L106" s="354">
        <f>-6371.96</f>
        <v>-6371.96</v>
      </c>
      <c r="M106" s="354">
        <f>-50406.33</f>
        <v>-50406.33</v>
      </c>
      <c r="N106" s="354">
        <f t="shared" si="8"/>
        <v>-89590.790000000008</v>
      </c>
      <c r="O106" s="355"/>
      <c r="P106" s="355"/>
      <c r="Q106" s="355"/>
      <c r="R106" s="355"/>
      <c r="S106" s="355"/>
      <c r="T106" s="355"/>
      <c r="U106" s="355"/>
      <c r="V106" s="355"/>
      <c r="W106" s="355"/>
      <c r="X106" s="355"/>
      <c r="Y106" s="355"/>
      <c r="Z106" s="355"/>
      <c r="AA106" s="355"/>
      <c r="AB106" s="355"/>
      <c r="AC106" s="355"/>
      <c r="AD106" s="355"/>
      <c r="AE106" s="355"/>
    </row>
    <row r="107" spans="2:31" hidden="1" x14ac:dyDescent="0.2">
      <c r="B107" s="703">
        <v>41790</v>
      </c>
      <c r="C107" s="700">
        <v>268931.68</v>
      </c>
      <c r="D107" s="699"/>
      <c r="E107" s="714">
        <v>27676.13</v>
      </c>
      <c r="F107" s="717">
        <v>-26250</v>
      </c>
      <c r="G107" s="354">
        <v>108003.71</v>
      </c>
      <c r="H107" s="355"/>
      <c r="I107" s="354">
        <v>29218.42</v>
      </c>
      <c r="J107" s="354"/>
      <c r="K107" s="354">
        <v>14893.76</v>
      </c>
      <c r="L107" s="354">
        <f>-5523.31</f>
        <v>-5523.31</v>
      </c>
      <c r="M107" s="354">
        <f>-46401.86</f>
        <v>-46401.86</v>
      </c>
      <c r="N107" s="354">
        <f t="shared" si="8"/>
        <v>-78175.17</v>
      </c>
      <c r="O107" s="355"/>
      <c r="P107" s="355"/>
      <c r="Q107" s="355"/>
      <c r="R107" s="355"/>
      <c r="S107" s="355"/>
      <c r="T107" s="355"/>
      <c r="U107" s="355"/>
      <c r="V107" s="355"/>
      <c r="W107" s="355"/>
      <c r="X107" s="355"/>
      <c r="Y107" s="355"/>
      <c r="Z107" s="355"/>
      <c r="AA107" s="355"/>
      <c r="AB107" s="355"/>
      <c r="AC107" s="355"/>
      <c r="AD107" s="355"/>
      <c r="AE107" s="355"/>
    </row>
    <row r="108" spans="2:31" hidden="1" x14ac:dyDescent="0.2">
      <c r="B108" s="703">
        <v>41820</v>
      </c>
      <c r="C108" s="700">
        <v>210713.22</v>
      </c>
      <c r="D108" s="699"/>
      <c r="E108" s="714">
        <v>40029.54</v>
      </c>
      <c r="F108" s="717">
        <v>-19687.5</v>
      </c>
      <c r="G108" s="354">
        <v>122892.68</v>
      </c>
      <c r="H108" s="355"/>
      <c r="I108" s="354">
        <v>29227.57</v>
      </c>
      <c r="J108" s="354"/>
      <c r="K108" s="354">
        <v>22211.97</v>
      </c>
      <c r="L108" s="354">
        <f>-4232.59</f>
        <v>-4232.59</v>
      </c>
      <c r="M108" s="354">
        <f>-43074.55</f>
        <v>-43074.55</v>
      </c>
      <c r="N108" s="354">
        <f t="shared" si="8"/>
        <v>-66994.64</v>
      </c>
      <c r="O108" s="355"/>
      <c r="P108" s="355"/>
      <c r="Q108" s="355"/>
      <c r="R108" s="355"/>
      <c r="S108" s="355"/>
      <c r="T108" s="355"/>
      <c r="U108" s="355"/>
      <c r="V108" s="355"/>
      <c r="W108" s="355"/>
      <c r="X108" s="355"/>
      <c r="Y108" s="355"/>
      <c r="Z108" s="355"/>
      <c r="AA108" s="355"/>
      <c r="AB108" s="355"/>
      <c r="AC108" s="355"/>
      <c r="AD108" s="355"/>
      <c r="AE108" s="355"/>
    </row>
    <row r="109" spans="2:31" hidden="1" x14ac:dyDescent="0.2">
      <c r="B109" s="703">
        <v>41851</v>
      </c>
      <c r="C109" s="700">
        <v>193883.41</v>
      </c>
      <c r="D109" s="699">
        <v>-45000</v>
      </c>
      <c r="E109" s="714">
        <v>58213.05</v>
      </c>
      <c r="F109" s="717">
        <v>-13125</v>
      </c>
      <c r="G109" s="354">
        <v>136402.56</v>
      </c>
      <c r="H109" s="355"/>
      <c r="I109" s="354">
        <f>13595.43+6800.79</f>
        <v>20396.22</v>
      </c>
      <c r="J109" s="354"/>
      <c r="K109" s="354">
        <v>30777.59</v>
      </c>
      <c r="L109" s="354">
        <f>-3525.69</f>
        <v>-3525.69</v>
      </c>
      <c r="M109" s="354">
        <f>-39245.49</f>
        <v>-39245.49</v>
      </c>
      <c r="N109" s="354">
        <f t="shared" si="8"/>
        <v>-100896.18</v>
      </c>
      <c r="O109" s="355"/>
      <c r="P109" s="355"/>
      <c r="Q109" s="355"/>
      <c r="R109" s="355"/>
      <c r="S109" s="355"/>
      <c r="T109" s="355"/>
      <c r="U109" s="355"/>
      <c r="V109" s="355"/>
      <c r="W109" s="355"/>
      <c r="X109" s="355"/>
      <c r="Y109" s="355"/>
      <c r="Z109" s="355"/>
      <c r="AA109" s="355"/>
      <c r="AB109" s="355"/>
      <c r="AC109" s="355"/>
      <c r="AD109" s="355"/>
      <c r="AE109" s="355"/>
    </row>
    <row r="110" spans="2:31" hidden="1" x14ac:dyDescent="0.2">
      <c r="B110" s="703">
        <v>41882</v>
      </c>
      <c r="C110" s="701">
        <v>406211.14</v>
      </c>
      <c r="D110" s="699">
        <v>-45000</v>
      </c>
      <c r="E110" s="716">
        <v>38736.97</v>
      </c>
      <c r="F110" s="717">
        <v>-6562.5</v>
      </c>
      <c r="G110" s="354">
        <v>40345.300000000003</v>
      </c>
      <c r="H110" s="355"/>
      <c r="I110" s="354">
        <v>13149.79</v>
      </c>
      <c r="J110" s="354">
        <v>-19567.21</v>
      </c>
      <c r="K110" s="718">
        <v>16274.2</v>
      </c>
      <c r="L110" s="354">
        <f>-2404.37</f>
        <v>-2404.37</v>
      </c>
      <c r="M110" s="354">
        <f>-49650.4</f>
        <v>-49650.400000000001</v>
      </c>
      <c r="N110" s="354">
        <f t="shared" si="8"/>
        <v>-123184.47999999998</v>
      </c>
      <c r="O110" s="355"/>
      <c r="P110" s="355"/>
      <c r="Q110" s="355"/>
      <c r="R110" s="355"/>
      <c r="S110" s="355"/>
      <c r="T110" s="355"/>
      <c r="U110" s="355"/>
      <c r="V110" s="355"/>
      <c r="W110" s="355"/>
      <c r="X110" s="355"/>
      <c r="Y110" s="355"/>
      <c r="Z110" s="355"/>
      <c r="AA110" s="355"/>
      <c r="AB110" s="355"/>
      <c r="AC110" s="355"/>
      <c r="AD110" s="355"/>
      <c r="AE110" s="355"/>
    </row>
    <row r="111" spans="2:31" hidden="1" x14ac:dyDescent="0.2">
      <c r="B111" s="703">
        <v>41912</v>
      </c>
      <c r="C111" s="700">
        <v>357801.7</v>
      </c>
      <c r="D111" s="699">
        <v>-45000</v>
      </c>
      <c r="E111" s="714">
        <v>58906.43</v>
      </c>
      <c r="F111" s="717">
        <v>0</v>
      </c>
      <c r="G111" s="354">
        <v>58427.99</v>
      </c>
      <c r="H111" s="355"/>
      <c r="I111" s="354">
        <v>21688.77</v>
      </c>
      <c r="J111" s="354">
        <v>-16617.29</v>
      </c>
      <c r="K111" s="718">
        <v>16766.91</v>
      </c>
      <c r="L111" s="354"/>
      <c r="M111" s="354">
        <f>-45634.85</f>
        <v>-45634.85</v>
      </c>
      <c r="N111" s="354">
        <f t="shared" si="8"/>
        <v>-107252.14</v>
      </c>
      <c r="O111" s="355"/>
      <c r="P111" s="355"/>
      <c r="Q111" s="355"/>
      <c r="R111" s="355"/>
      <c r="S111" s="355"/>
      <c r="T111" s="355"/>
      <c r="U111" s="355"/>
      <c r="V111" s="355"/>
      <c r="W111" s="355"/>
      <c r="X111" s="355"/>
      <c r="Y111" s="355"/>
      <c r="Z111" s="355"/>
      <c r="AA111" s="355"/>
      <c r="AB111" s="355"/>
      <c r="AC111" s="355"/>
      <c r="AD111" s="355"/>
      <c r="AE111" s="355"/>
    </row>
    <row r="112" spans="2:31" hidden="1" x14ac:dyDescent="0.2">
      <c r="B112" s="703">
        <v>41943</v>
      </c>
      <c r="C112" s="700">
        <v>304726.21000000002</v>
      </c>
      <c r="D112" s="699">
        <v>-35000</v>
      </c>
      <c r="E112" s="714">
        <v>68167.61</v>
      </c>
      <c r="F112" s="717"/>
      <c r="G112" s="354">
        <f>58427.99+23070.87</f>
        <v>81498.86</v>
      </c>
      <c r="H112" s="355"/>
      <c r="I112" s="354">
        <v>35220.080000000002</v>
      </c>
      <c r="J112" s="354">
        <v>-12345.61</v>
      </c>
      <c r="K112" s="354">
        <v>17133.22</v>
      </c>
      <c r="L112" s="354"/>
      <c r="M112" s="354">
        <f>-41200.99</f>
        <v>-41200.99</v>
      </c>
      <c r="N112" s="354">
        <f t="shared" si="8"/>
        <v>-88546.6</v>
      </c>
      <c r="O112" s="355"/>
      <c r="P112" s="355"/>
      <c r="Q112" s="355"/>
      <c r="R112" s="355"/>
      <c r="S112" s="355"/>
      <c r="T112" s="355"/>
      <c r="U112" s="355"/>
      <c r="V112" s="355"/>
      <c r="W112" s="355"/>
      <c r="X112" s="355"/>
      <c r="Y112" s="355"/>
      <c r="Z112" s="355"/>
      <c r="AA112" s="355"/>
      <c r="AB112" s="355"/>
      <c r="AC112" s="355"/>
      <c r="AD112" s="355"/>
      <c r="AE112" s="355"/>
    </row>
    <row r="113" spans="2:31" hidden="1" x14ac:dyDescent="0.2">
      <c r="B113" s="703">
        <v>41973</v>
      </c>
      <c r="C113" s="700">
        <v>367260.55</v>
      </c>
      <c r="D113" s="699">
        <v>-25000</v>
      </c>
      <c r="E113" s="714">
        <v>18665.560000000001</v>
      </c>
      <c r="F113" s="717"/>
      <c r="G113" s="354">
        <f>58427.99+42644</f>
        <v>101071.98999999999</v>
      </c>
      <c r="H113" s="355">
        <v>-60785.34</v>
      </c>
      <c r="I113" s="718">
        <v>42400.38</v>
      </c>
      <c r="J113" s="354">
        <v>-9402.2199999999993</v>
      </c>
      <c r="K113" s="354">
        <v>16835.169999999998</v>
      </c>
      <c r="L113" s="354"/>
      <c r="M113" s="354">
        <f>-38128.98</f>
        <v>-38128.980000000003</v>
      </c>
      <c r="N113" s="354">
        <f t="shared" si="8"/>
        <v>-133316.54</v>
      </c>
      <c r="O113" s="355"/>
      <c r="P113" s="355"/>
      <c r="Q113" s="355"/>
      <c r="R113" s="355"/>
      <c r="S113" s="355"/>
      <c r="T113" s="355"/>
      <c r="U113" s="355"/>
      <c r="V113" s="355"/>
      <c r="W113" s="355"/>
      <c r="X113" s="355"/>
      <c r="Y113" s="355"/>
      <c r="Z113" s="355"/>
      <c r="AA113" s="355"/>
      <c r="AB113" s="355"/>
      <c r="AC113" s="355"/>
      <c r="AD113" s="355"/>
      <c r="AE113" s="355"/>
    </row>
    <row r="114" spans="2:31" hidden="1" x14ac:dyDescent="0.2">
      <c r="B114" s="703">
        <v>42004</v>
      </c>
      <c r="C114" s="700">
        <v>332375.05</v>
      </c>
      <c r="D114" s="699">
        <v>-15000</v>
      </c>
      <c r="E114" s="714">
        <v>27102.52</v>
      </c>
      <c r="F114" s="717"/>
      <c r="G114" s="354">
        <f>58427.99+66494.07</f>
        <v>124922.06</v>
      </c>
      <c r="H114" s="355">
        <f>-56919.02</f>
        <v>-56919.02</v>
      </c>
      <c r="I114" s="718">
        <v>24390.62</v>
      </c>
      <c r="J114" s="354">
        <f>-5416.59</f>
        <v>-5416.59</v>
      </c>
      <c r="K114" s="354">
        <v>19802.73</v>
      </c>
      <c r="L114" s="354"/>
      <c r="M114" s="354">
        <f>-59256.8</f>
        <v>-59256.800000000003</v>
      </c>
      <c r="N114" s="354">
        <f t="shared" si="8"/>
        <v>-136592.40999999997</v>
      </c>
      <c r="O114" s="355"/>
      <c r="P114" s="355"/>
      <c r="Q114" s="355"/>
      <c r="R114" s="355"/>
      <c r="S114" s="355"/>
      <c r="T114" s="355"/>
      <c r="U114" s="355"/>
      <c r="V114" s="355"/>
      <c r="W114" s="355"/>
      <c r="X114" s="355"/>
      <c r="Y114" s="355"/>
      <c r="Z114" s="355"/>
      <c r="AA114" s="355"/>
      <c r="AB114" s="355"/>
      <c r="AC114" s="355"/>
      <c r="AD114" s="355"/>
      <c r="AE114" s="355"/>
    </row>
    <row r="115" spans="2:31" hidden="1" x14ac:dyDescent="0.2">
      <c r="B115" s="703">
        <v>42035</v>
      </c>
      <c r="C115" s="700">
        <v>380955.8</v>
      </c>
      <c r="D115" s="699">
        <v>-15000</v>
      </c>
      <c r="E115" s="714">
        <v>46848.77</v>
      </c>
      <c r="F115" s="717"/>
      <c r="G115" s="354">
        <f>58427.99+90066.64</f>
        <v>148494.63</v>
      </c>
      <c r="H115" s="355">
        <v>-56919.02</v>
      </c>
      <c r="I115" s="718">
        <v>35563.94</v>
      </c>
      <c r="J115" s="354">
        <f>-2354.16</f>
        <v>-2354.16</v>
      </c>
      <c r="K115" s="354">
        <v>18549.18</v>
      </c>
      <c r="L115" s="354">
        <v>-21835.67</v>
      </c>
      <c r="M115" s="354">
        <f>-105319.25</f>
        <v>-105319.25</v>
      </c>
      <c r="N115" s="354">
        <f t="shared" si="8"/>
        <v>-201428.09999999998</v>
      </c>
      <c r="O115" s="355"/>
      <c r="P115" s="355"/>
      <c r="Q115" s="355"/>
      <c r="R115" s="355"/>
      <c r="S115" s="355"/>
      <c r="T115" s="355"/>
      <c r="U115" s="355"/>
      <c r="V115" s="355"/>
      <c r="W115" s="355"/>
      <c r="X115" s="355"/>
      <c r="Y115" s="355"/>
      <c r="Z115" s="355"/>
      <c r="AA115" s="355"/>
      <c r="AB115" s="355"/>
      <c r="AC115" s="355"/>
      <c r="AD115" s="355"/>
      <c r="AE115" s="355"/>
    </row>
    <row r="116" spans="2:31" hidden="1" x14ac:dyDescent="0.2">
      <c r="B116" s="703">
        <v>42063</v>
      </c>
      <c r="C116" s="700">
        <v>452480.28</v>
      </c>
      <c r="D116" s="699">
        <v>-15000</v>
      </c>
      <c r="E116" s="714">
        <v>39872.22</v>
      </c>
      <c r="F116" s="717"/>
      <c r="G116" s="354">
        <f>11946.45+111132.48</f>
        <v>123078.93</v>
      </c>
      <c r="H116" s="355">
        <v>-56919.02</v>
      </c>
      <c r="I116" s="718">
        <v>50781.3</v>
      </c>
      <c r="J116" s="354">
        <v>0</v>
      </c>
      <c r="K116" s="354">
        <v>18031.32</v>
      </c>
      <c r="L116" s="354">
        <f>-20622.29</f>
        <v>-20622.29</v>
      </c>
      <c r="M116" s="354">
        <f>-102209.89</f>
        <v>-102209.89</v>
      </c>
      <c r="N116" s="354">
        <f t="shared" si="8"/>
        <v>-194751.2</v>
      </c>
      <c r="O116" s="355"/>
      <c r="P116" s="355"/>
      <c r="Q116" s="355"/>
      <c r="R116" s="355"/>
      <c r="S116" s="355"/>
      <c r="T116" s="355"/>
      <c r="U116" s="355"/>
      <c r="V116" s="355"/>
      <c r="W116" s="355"/>
      <c r="X116" s="355"/>
      <c r="Y116" s="355"/>
      <c r="Z116" s="355"/>
      <c r="AA116" s="355"/>
      <c r="AB116" s="355"/>
      <c r="AC116" s="355"/>
      <c r="AD116" s="355"/>
      <c r="AE116" s="355"/>
    </row>
    <row r="117" spans="2:31" hidden="1" x14ac:dyDescent="0.2">
      <c r="B117" s="703">
        <v>42094</v>
      </c>
      <c r="C117" s="700">
        <v>576087.44999999995</v>
      </c>
      <c r="D117" s="699">
        <v>0</v>
      </c>
      <c r="E117" s="714">
        <v>13747.11</v>
      </c>
      <c r="F117" s="717"/>
      <c r="G117" s="354">
        <v>45867.13</v>
      </c>
      <c r="H117" s="355">
        <f>-42689.27</f>
        <v>-42689.27</v>
      </c>
      <c r="I117" s="354">
        <v>18083</v>
      </c>
      <c r="J117" s="354">
        <v>0</v>
      </c>
      <c r="K117" s="354">
        <v>18839.88</v>
      </c>
      <c r="L117" s="354">
        <f>-18018.66</f>
        <v>-18018.66</v>
      </c>
      <c r="M117" s="354">
        <f>-112957.08</f>
        <v>-112957.08</v>
      </c>
      <c r="N117" s="354">
        <f t="shared" si="8"/>
        <v>-173665.01</v>
      </c>
      <c r="O117" s="355"/>
      <c r="P117" s="355"/>
      <c r="Q117" s="355"/>
      <c r="R117" s="355"/>
      <c r="S117" s="355"/>
      <c r="T117" s="355"/>
      <c r="U117" s="355"/>
      <c r="V117" s="355"/>
      <c r="W117" s="355"/>
      <c r="X117" s="355"/>
      <c r="Y117" s="355"/>
      <c r="Z117" s="355"/>
      <c r="AA117" s="355"/>
      <c r="AB117" s="355"/>
      <c r="AC117" s="355"/>
      <c r="AD117" s="355"/>
      <c r="AE117" s="355"/>
    </row>
    <row r="118" spans="2:31" hidden="1" x14ac:dyDescent="0.2">
      <c r="B118" s="703">
        <v>42124</v>
      </c>
      <c r="C118" s="700">
        <v>408772.18</v>
      </c>
      <c r="D118" s="699"/>
      <c r="E118" s="714">
        <f>E117+14371.11</f>
        <v>28118.22</v>
      </c>
      <c r="F118" s="717"/>
      <c r="G118" s="354">
        <v>69356.5</v>
      </c>
      <c r="H118" s="355">
        <f>-28054.91</f>
        <v>-28054.91</v>
      </c>
      <c r="I118" s="354">
        <v>45261.11</v>
      </c>
      <c r="J118" s="354">
        <v>0</v>
      </c>
      <c r="K118" s="354">
        <f>18839.88+11464.53</f>
        <v>30304.410000000003</v>
      </c>
      <c r="L118" s="354">
        <f>-14220.82</f>
        <v>-14220.82</v>
      </c>
      <c r="M118" s="354">
        <f>-59764.79</f>
        <v>-59764.79</v>
      </c>
      <c r="N118" s="354">
        <f t="shared" si="8"/>
        <v>-102040.51999999999</v>
      </c>
      <c r="O118" s="355"/>
      <c r="P118" s="355"/>
      <c r="Q118" s="355"/>
      <c r="R118" s="355"/>
      <c r="S118" s="355"/>
      <c r="T118" s="355"/>
      <c r="U118" s="355"/>
      <c r="V118" s="355"/>
      <c r="W118" s="355"/>
      <c r="X118" s="355"/>
      <c r="Y118" s="355"/>
      <c r="Z118" s="355"/>
      <c r="AA118" s="355"/>
      <c r="AB118" s="355"/>
      <c r="AC118" s="355"/>
      <c r="AD118" s="355"/>
      <c r="AE118" s="355"/>
    </row>
    <row r="119" spans="2:31" hidden="1" x14ac:dyDescent="0.2">
      <c r="B119" s="703">
        <v>42155</v>
      </c>
      <c r="C119" s="700">
        <v>366889.46</v>
      </c>
      <c r="D119" s="699"/>
      <c r="E119" s="714">
        <v>26221.200000000001</v>
      </c>
      <c r="F119" s="717"/>
      <c r="G119" s="354">
        <v>69858.740000000005</v>
      </c>
      <c r="H119" s="355">
        <f>-17801.31</f>
        <v>-17801.310000000001</v>
      </c>
      <c r="I119" s="354">
        <v>48880.52</v>
      </c>
      <c r="J119" s="354"/>
      <c r="K119" s="354">
        <v>22073.67</v>
      </c>
      <c r="L119" s="354">
        <f>-12247.97</f>
        <v>-12247.97</v>
      </c>
      <c r="M119" s="354">
        <f>-56273.53</f>
        <v>-56273.53</v>
      </c>
      <c r="N119" s="354">
        <f t="shared" si="8"/>
        <v>-86322.81</v>
      </c>
      <c r="O119" s="355"/>
      <c r="P119" s="355"/>
      <c r="Q119" s="355"/>
      <c r="R119" s="355"/>
      <c r="S119" s="355"/>
      <c r="T119" s="355"/>
      <c r="U119" s="355"/>
      <c r="V119" s="355"/>
      <c r="W119" s="355"/>
      <c r="X119" s="355"/>
      <c r="Y119" s="355"/>
      <c r="Z119" s="355"/>
      <c r="AA119" s="355"/>
      <c r="AB119" s="355"/>
      <c r="AC119" s="355"/>
      <c r="AD119" s="355"/>
      <c r="AE119" s="355"/>
    </row>
    <row r="120" spans="2:31" hidden="1" x14ac:dyDescent="0.2">
      <c r="B120" s="703">
        <v>42185</v>
      </c>
      <c r="C120" s="700">
        <v>357943.2</v>
      </c>
      <c r="D120" s="699">
        <v>-45000</v>
      </c>
      <c r="E120" s="714"/>
      <c r="F120" s="717"/>
      <c r="G120" s="354">
        <v>33043.050000000003</v>
      </c>
      <c r="H120" s="355">
        <v>0</v>
      </c>
      <c r="I120" s="354">
        <v>57178.34</v>
      </c>
      <c r="J120" s="354"/>
      <c r="K120" s="354">
        <v>27756.75</v>
      </c>
      <c r="L120" s="354">
        <f>-11521.3</f>
        <v>-11521.3</v>
      </c>
      <c r="M120" s="354">
        <f>-54170.49</f>
        <v>-54170.49</v>
      </c>
      <c r="N120" s="354">
        <f t="shared" si="8"/>
        <v>-110691.79000000001</v>
      </c>
      <c r="O120" s="355"/>
      <c r="P120" s="355"/>
      <c r="Q120" s="355"/>
      <c r="R120" s="355"/>
      <c r="S120" s="355"/>
      <c r="T120" s="355"/>
      <c r="U120" s="355"/>
      <c r="V120" s="355"/>
      <c r="W120" s="355"/>
      <c r="X120" s="355"/>
      <c r="Y120" s="355"/>
      <c r="Z120" s="355"/>
      <c r="AA120" s="355"/>
      <c r="AB120" s="355"/>
      <c r="AC120" s="355"/>
      <c r="AD120" s="355"/>
      <c r="AE120" s="355"/>
    </row>
    <row r="121" spans="2:31" hidden="1" x14ac:dyDescent="0.2">
      <c r="C121" s="700"/>
      <c r="F121" s="354"/>
      <c r="G121" s="354"/>
      <c r="H121" s="355"/>
      <c r="I121" s="354"/>
      <c r="J121" s="354"/>
      <c r="K121" s="354"/>
      <c r="L121" s="354"/>
      <c r="M121" s="354"/>
      <c r="N121" s="354"/>
      <c r="O121" s="355"/>
      <c r="P121" s="355"/>
      <c r="Q121" s="355"/>
      <c r="R121" s="355"/>
      <c r="S121" s="355"/>
      <c r="T121" s="355"/>
      <c r="U121" s="355"/>
      <c r="V121" s="355"/>
      <c r="W121" s="355"/>
      <c r="X121" s="355"/>
      <c r="Y121" s="355"/>
      <c r="Z121" s="355"/>
      <c r="AA121" s="355"/>
      <c r="AB121" s="355"/>
      <c r="AC121" s="355"/>
      <c r="AD121" s="355"/>
      <c r="AE121" s="355"/>
    </row>
    <row r="122" spans="2:31" hidden="1" x14ac:dyDescent="0.2">
      <c r="C122" s="700"/>
      <c r="F122" s="354"/>
      <c r="G122" s="354"/>
      <c r="H122" s="355"/>
      <c r="I122" s="354"/>
      <c r="J122" s="354"/>
      <c r="K122" s="354"/>
      <c r="L122" s="354"/>
      <c r="M122" s="354"/>
      <c r="N122" s="354"/>
      <c r="O122" s="355"/>
      <c r="P122" s="355"/>
      <c r="Q122" s="355"/>
      <c r="R122" s="355"/>
      <c r="S122" s="355"/>
      <c r="T122" s="355"/>
      <c r="U122" s="355"/>
      <c r="V122" s="355"/>
      <c r="W122" s="355"/>
      <c r="X122" s="355"/>
      <c r="Y122" s="355"/>
      <c r="Z122" s="355"/>
      <c r="AA122" s="355"/>
      <c r="AB122" s="355"/>
      <c r="AC122" s="355"/>
      <c r="AD122" s="355"/>
      <c r="AE122" s="355"/>
    </row>
    <row r="123" spans="2:31" hidden="1" x14ac:dyDescent="0.2">
      <c r="C123" s="700"/>
    </row>
    <row r="124" spans="2:31" hidden="1" x14ac:dyDescent="0.2">
      <c r="C124" s="700"/>
    </row>
    <row r="125" spans="2:31" hidden="1" x14ac:dyDescent="0.2">
      <c r="C125" s="700"/>
    </row>
    <row r="126" spans="2:31" hidden="1" x14ac:dyDescent="0.2">
      <c r="C126" s="700"/>
    </row>
    <row r="127" spans="2:31" hidden="1" x14ac:dyDescent="0.2">
      <c r="C127" s="700"/>
    </row>
    <row r="128" spans="2:31" hidden="1" x14ac:dyDescent="0.2">
      <c r="C128" s="700"/>
    </row>
    <row r="129" spans="3:3" hidden="1" x14ac:dyDescent="0.2">
      <c r="C129" s="700"/>
    </row>
    <row r="130" spans="3:3" x14ac:dyDescent="0.2">
      <c r="C130" s="700"/>
    </row>
    <row r="131" spans="3:3" x14ac:dyDescent="0.2">
      <c r="C131" s="700"/>
    </row>
    <row r="132" spans="3:3" x14ac:dyDescent="0.2">
      <c r="C132" s="700"/>
    </row>
    <row r="133" spans="3:3" x14ac:dyDescent="0.2">
      <c r="C133" s="700"/>
    </row>
    <row r="134" spans="3:3" x14ac:dyDescent="0.2">
      <c r="C134" s="700"/>
    </row>
    <row r="135" spans="3:3" x14ac:dyDescent="0.2">
      <c r="C135" s="700"/>
    </row>
    <row r="136" spans="3:3" x14ac:dyDescent="0.2">
      <c r="C136" s="700"/>
    </row>
    <row r="137" spans="3:3" x14ac:dyDescent="0.2">
      <c r="C137" s="700"/>
    </row>
    <row r="138" spans="3:3" x14ac:dyDescent="0.2">
      <c r="C138" s="700"/>
    </row>
    <row r="139" spans="3:3" x14ac:dyDescent="0.2">
      <c r="C139" s="700"/>
    </row>
    <row r="140" spans="3:3" x14ac:dyDescent="0.2">
      <c r="C140" s="700"/>
    </row>
    <row r="141" spans="3:3" x14ac:dyDescent="0.2">
      <c r="C141" s="700"/>
    </row>
    <row r="142" spans="3:3" x14ac:dyDescent="0.2">
      <c r="C142" s="700"/>
    </row>
    <row r="143" spans="3:3" x14ac:dyDescent="0.2">
      <c r="C143" s="700"/>
    </row>
    <row r="144" spans="3:3" x14ac:dyDescent="0.2">
      <c r="C144" s="700"/>
    </row>
    <row r="145" spans="3:3" x14ac:dyDescent="0.2">
      <c r="C145" s="700"/>
    </row>
    <row r="146" spans="3:3" x14ac:dyDescent="0.2">
      <c r="C146" s="700"/>
    </row>
    <row r="147" spans="3:3" x14ac:dyDescent="0.2">
      <c r="C147" s="700"/>
    </row>
    <row r="148" spans="3:3" x14ac:dyDescent="0.2">
      <c r="C148" s="700"/>
    </row>
    <row r="149" spans="3:3" x14ac:dyDescent="0.2">
      <c r="C149" s="700"/>
    </row>
    <row r="150" spans="3:3" x14ac:dyDescent="0.2">
      <c r="C150" s="700"/>
    </row>
    <row r="151" spans="3:3" x14ac:dyDescent="0.2">
      <c r="C151" s="700"/>
    </row>
    <row r="152" spans="3:3" x14ac:dyDescent="0.2">
      <c r="C152" s="700"/>
    </row>
    <row r="153" spans="3:3" x14ac:dyDescent="0.2">
      <c r="C153" s="700"/>
    </row>
    <row r="154" spans="3:3" x14ac:dyDescent="0.2">
      <c r="C154" s="700"/>
    </row>
    <row r="155" spans="3:3" x14ac:dyDescent="0.2">
      <c r="C155" s="700"/>
    </row>
    <row r="156" spans="3:3" x14ac:dyDescent="0.2">
      <c r="C156" s="700"/>
    </row>
    <row r="157" spans="3:3" x14ac:dyDescent="0.2">
      <c r="C157" s="700"/>
    </row>
    <row r="158" spans="3:3" x14ac:dyDescent="0.2">
      <c r="C158" s="700"/>
    </row>
    <row r="159" spans="3:3" x14ac:dyDescent="0.2">
      <c r="C159" s="700"/>
    </row>
    <row r="160" spans="3:3" x14ac:dyDescent="0.2">
      <c r="C160" s="700"/>
    </row>
    <row r="161" spans="3:3" x14ac:dyDescent="0.2">
      <c r="C161" s="700"/>
    </row>
    <row r="162" spans="3:3" x14ac:dyDescent="0.2">
      <c r="C162" s="700"/>
    </row>
    <row r="163" spans="3:3" x14ac:dyDescent="0.2">
      <c r="C163" s="700"/>
    </row>
    <row r="164" spans="3:3" x14ac:dyDescent="0.2">
      <c r="C164" s="700"/>
    </row>
    <row r="165" spans="3:3" x14ac:dyDescent="0.2">
      <c r="C165" s="700"/>
    </row>
    <row r="166" spans="3:3" x14ac:dyDescent="0.2">
      <c r="C166" s="700"/>
    </row>
  </sheetData>
  <mergeCells count="27">
    <mergeCell ref="B64:E64"/>
    <mergeCell ref="B65:E65"/>
    <mergeCell ref="B66:E66"/>
    <mergeCell ref="B67:E67"/>
    <mergeCell ref="B53:E53"/>
    <mergeCell ref="B54:E54"/>
    <mergeCell ref="B55:E55"/>
    <mergeCell ref="B56:E56"/>
    <mergeCell ref="B57:E57"/>
    <mergeCell ref="B59:E59"/>
    <mergeCell ref="B52:E52"/>
    <mergeCell ref="B38:C38"/>
    <mergeCell ref="B39:C39"/>
    <mergeCell ref="B40:C40"/>
    <mergeCell ref="B41:C41"/>
    <mergeCell ref="B42:C42"/>
    <mergeCell ref="B43:C43"/>
    <mergeCell ref="B44:C44"/>
    <mergeCell ref="B48:E48"/>
    <mergeCell ref="B49:E49"/>
    <mergeCell ref="B50:E50"/>
    <mergeCell ref="B51:E51"/>
    <mergeCell ref="B33:C33"/>
    <mergeCell ref="B34:C34"/>
    <mergeCell ref="B35:C35"/>
    <mergeCell ref="B36:C36"/>
    <mergeCell ref="B37:C37"/>
  </mergeCells>
  <pageMargins left="1.2" right="0.4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9"/>
  <sheetViews>
    <sheetView workbookViewId="0">
      <selection activeCell="K23" sqref="K23"/>
    </sheetView>
  </sheetViews>
  <sheetFormatPr defaultRowHeight="14.25" x14ac:dyDescent="0.2"/>
  <cols>
    <col min="1" max="1" width="42.125" style="4" customWidth="1"/>
    <col min="2" max="2" width="26" style="4" customWidth="1"/>
    <col min="3" max="3" width="13.75" style="5" customWidth="1"/>
    <col min="4" max="4" width="10.25" style="5" customWidth="1"/>
    <col min="5" max="5" width="11" style="5" customWidth="1"/>
    <col min="6" max="6" width="18.125" style="28" customWidth="1"/>
    <col min="7" max="7" width="18.25" style="28" customWidth="1"/>
    <col min="8" max="8" width="18.125" style="28" customWidth="1"/>
    <col min="9" max="15" width="9" style="29"/>
    <col min="16" max="26" width="9" style="11"/>
    <col min="27" max="36" width="9" style="1"/>
  </cols>
  <sheetData>
    <row r="1" spans="1:36" s="15" customFormat="1" ht="18" x14ac:dyDescent="0.25">
      <c r="A1" s="12" t="s">
        <v>0</v>
      </c>
      <c r="B1" s="12"/>
      <c r="C1" s="13"/>
      <c r="D1" s="13"/>
      <c r="E1" s="13"/>
      <c r="F1" s="26"/>
      <c r="G1" s="27"/>
      <c r="H1" s="26"/>
      <c r="I1" s="27"/>
      <c r="J1" s="27"/>
      <c r="K1" s="27"/>
      <c r="L1" s="27"/>
      <c r="M1" s="27"/>
      <c r="N1" s="27"/>
      <c r="O1" s="27"/>
      <c r="P1" s="30"/>
      <c r="Q1" s="30"/>
      <c r="R1" s="30"/>
      <c r="S1" s="30"/>
      <c r="T1" s="30"/>
      <c r="U1" s="30"/>
      <c r="V1" s="30"/>
      <c r="W1" s="30"/>
      <c r="X1" s="30"/>
      <c r="Y1" s="30"/>
      <c r="Z1" s="30"/>
      <c r="AA1" s="31"/>
      <c r="AB1" s="31"/>
      <c r="AC1" s="31"/>
      <c r="AD1" s="31"/>
      <c r="AE1" s="31"/>
      <c r="AF1" s="31"/>
      <c r="AG1" s="31"/>
      <c r="AH1" s="31"/>
      <c r="AI1" s="31"/>
      <c r="AJ1" s="31"/>
    </row>
    <row r="2" spans="1:36" s="15" customFormat="1" ht="18" x14ac:dyDescent="0.25">
      <c r="A2" s="16" t="s">
        <v>435</v>
      </c>
      <c r="B2" s="16"/>
      <c r="C2" s="13"/>
      <c r="D2" s="13"/>
      <c r="E2" s="13"/>
      <c r="F2" s="26"/>
      <c r="G2" s="27"/>
      <c r="H2" s="26"/>
      <c r="I2" s="27"/>
      <c r="J2" s="27"/>
      <c r="K2" s="27"/>
      <c r="L2" s="27"/>
      <c r="M2" s="27"/>
      <c r="N2" s="27"/>
      <c r="O2" s="27"/>
      <c r="P2" s="30"/>
      <c r="Q2" s="30"/>
      <c r="R2" s="30"/>
      <c r="S2" s="30"/>
      <c r="T2" s="30"/>
      <c r="U2" s="30"/>
      <c r="V2" s="30"/>
      <c r="W2" s="30"/>
      <c r="X2" s="30"/>
      <c r="Y2" s="30"/>
      <c r="Z2" s="30"/>
      <c r="AA2" s="31"/>
      <c r="AB2" s="31"/>
      <c r="AC2" s="31"/>
      <c r="AD2" s="31"/>
      <c r="AE2" s="31"/>
      <c r="AF2" s="31"/>
      <c r="AG2" s="31"/>
      <c r="AH2" s="31"/>
      <c r="AI2" s="31"/>
      <c r="AJ2" s="31"/>
    </row>
    <row r="3" spans="1:36" s="15" customFormat="1" ht="18" x14ac:dyDescent="0.25">
      <c r="A3" s="16"/>
      <c r="B3" s="16"/>
      <c r="C3" s="13"/>
      <c r="D3" s="13"/>
      <c r="E3" s="13"/>
      <c r="F3" s="26"/>
      <c r="G3" s="27"/>
      <c r="H3" s="26"/>
      <c r="I3" s="27"/>
      <c r="J3" s="27"/>
      <c r="K3" s="27"/>
      <c r="L3" s="27"/>
      <c r="M3" s="27"/>
      <c r="N3" s="27"/>
      <c r="O3" s="27"/>
      <c r="P3" s="30"/>
      <c r="Q3" s="30"/>
      <c r="R3" s="30"/>
      <c r="S3" s="30"/>
      <c r="T3" s="30"/>
      <c r="U3" s="30"/>
      <c r="V3" s="30"/>
      <c r="W3" s="30"/>
      <c r="X3" s="30"/>
      <c r="Y3" s="30"/>
      <c r="Z3" s="30"/>
      <c r="AA3" s="31"/>
      <c r="AB3" s="31"/>
      <c r="AC3" s="31"/>
      <c r="AD3" s="31"/>
      <c r="AE3" s="31"/>
      <c r="AF3" s="31"/>
      <c r="AG3" s="31"/>
      <c r="AH3" s="31"/>
      <c r="AI3" s="31"/>
      <c r="AJ3" s="31"/>
    </row>
    <row r="4" spans="1:36" s="15" customFormat="1" ht="13.5" customHeight="1" thickBot="1" x14ac:dyDescent="0.3">
      <c r="A4" s="16"/>
      <c r="B4" s="16"/>
      <c r="C4" s="13"/>
      <c r="D4" s="13"/>
      <c r="E4" s="13"/>
      <c r="F4" s="26"/>
      <c r="G4" s="27"/>
      <c r="H4" s="26"/>
      <c r="I4" s="27"/>
      <c r="J4" s="27"/>
      <c r="K4" s="27"/>
      <c r="L4" s="27"/>
      <c r="M4" s="27"/>
      <c r="N4" s="27"/>
      <c r="O4" s="27"/>
      <c r="P4" s="30"/>
      <c r="Q4" s="30"/>
      <c r="R4" s="30"/>
      <c r="S4" s="30"/>
      <c r="T4" s="30"/>
      <c r="U4" s="30"/>
      <c r="V4" s="30"/>
      <c r="W4" s="30"/>
      <c r="X4" s="30"/>
      <c r="Y4" s="30"/>
      <c r="Z4" s="30"/>
      <c r="AA4" s="31"/>
      <c r="AB4" s="31"/>
      <c r="AC4" s="31"/>
      <c r="AD4" s="31"/>
      <c r="AE4" s="31"/>
      <c r="AF4" s="31"/>
      <c r="AG4" s="31"/>
      <c r="AH4" s="31"/>
      <c r="AI4" s="31"/>
      <c r="AJ4" s="31"/>
    </row>
    <row r="5" spans="1:36" s="24" customFormat="1" ht="16.5" thickBot="1" x14ac:dyDescent="0.25">
      <c r="A5" s="395" t="s">
        <v>403</v>
      </c>
      <c r="B5" s="396"/>
      <c r="C5" s="396"/>
      <c r="D5" s="396"/>
      <c r="E5" s="396"/>
      <c r="F5" s="396"/>
      <c r="G5" s="396"/>
      <c r="H5" s="396"/>
      <c r="I5" s="32"/>
      <c r="J5" s="32"/>
      <c r="K5" s="32"/>
      <c r="L5" s="32"/>
      <c r="M5" s="32"/>
      <c r="N5" s="32"/>
      <c r="O5" s="32"/>
      <c r="P5" s="33"/>
      <c r="Q5" s="33"/>
      <c r="R5" s="33"/>
      <c r="S5" s="33"/>
      <c r="T5" s="33"/>
      <c r="U5" s="33"/>
      <c r="V5" s="33"/>
      <c r="W5" s="33"/>
      <c r="X5" s="33"/>
      <c r="Y5" s="33"/>
      <c r="Z5" s="33"/>
      <c r="AA5" s="34"/>
      <c r="AB5" s="34"/>
      <c r="AC5" s="34"/>
      <c r="AD5" s="34"/>
      <c r="AE5" s="34"/>
      <c r="AF5" s="34"/>
      <c r="AG5" s="34"/>
      <c r="AH5" s="34"/>
      <c r="AI5" s="34"/>
      <c r="AJ5" s="34"/>
    </row>
    <row r="6" spans="1:36" s="23" customFormat="1" ht="45.75" thickBot="1" x14ac:dyDescent="0.25">
      <c r="A6" s="653" t="s">
        <v>35</v>
      </c>
      <c r="B6" s="653" t="s">
        <v>21</v>
      </c>
      <c r="C6" s="653" t="s">
        <v>1</v>
      </c>
      <c r="D6" s="653" t="s">
        <v>2</v>
      </c>
      <c r="E6" s="653" t="s">
        <v>3</v>
      </c>
      <c r="F6" s="398" t="s">
        <v>16</v>
      </c>
      <c r="G6" s="398" t="s">
        <v>401</v>
      </c>
      <c r="H6" s="476" t="s">
        <v>435</v>
      </c>
      <c r="I6" s="35"/>
      <c r="J6" s="35"/>
      <c r="K6" s="35"/>
      <c r="L6" s="35"/>
      <c r="M6" s="35"/>
      <c r="N6" s="35"/>
      <c r="O6" s="35"/>
      <c r="P6" s="36"/>
      <c r="Q6" s="36"/>
      <c r="R6" s="36"/>
      <c r="S6" s="36"/>
      <c r="T6" s="36"/>
      <c r="U6" s="36"/>
      <c r="V6" s="36"/>
      <c r="W6" s="36"/>
      <c r="X6" s="36"/>
      <c r="Y6" s="36"/>
      <c r="Z6" s="36"/>
      <c r="AA6" s="6"/>
      <c r="AB6" s="6"/>
      <c r="AC6" s="6"/>
      <c r="AD6" s="6"/>
      <c r="AE6" s="6"/>
      <c r="AF6" s="6"/>
      <c r="AG6" s="6"/>
      <c r="AH6" s="6"/>
      <c r="AI6" s="6"/>
      <c r="AJ6" s="6"/>
    </row>
    <row r="7" spans="1:36" ht="71.25" x14ac:dyDescent="0.2">
      <c r="A7" s="705" t="s">
        <v>340</v>
      </c>
      <c r="B7" s="705" t="s">
        <v>23</v>
      </c>
      <c r="C7" s="705" t="s">
        <v>233</v>
      </c>
      <c r="D7" s="706">
        <v>42095</v>
      </c>
      <c r="E7" s="706">
        <v>42460</v>
      </c>
      <c r="F7" s="713">
        <v>240000</v>
      </c>
      <c r="G7" s="708" t="s">
        <v>397</v>
      </c>
      <c r="H7" s="711" t="s">
        <v>438</v>
      </c>
    </row>
    <row r="8" spans="1:36" hidden="1" x14ac:dyDescent="0.2">
      <c r="A8" s="435" t="s">
        <v>7</v>
      </c>
      <c r="B8" s="440" t="s">
        <v>22</v>
      </c>
      <c r="C8" s="440" t="s">
        <v>19</v>
      </c>
      <c r="D8" s="439">
        <v>41000</v>
      </c>
      <c r="E8" s="439">
        <v>41364</v>
      </c>
      <c r="F8" s="461"/>
      <c r="G8" s="443"/>
      <c r="H8" s="443"/>
    </row>
    <row r="9" spans="1:36" hidden="1" x14ac:dyDescent="0.2">
      <c r="A9" s="435" t="s">
        <v>7</v>
      </c>
      <c r="B9" s="440" t="s">
        <v>22</v>
      </c>
      <c r="C9" s="440" t="s">
        <v>19</v>
      </c>
      <c r="D9" s="439">
        <v>41456</v>
      </c>
      <c r="E9" s="439">
        <v>41820</v>
      </c>
      <c r="F9" s="461"/>
      <c r="G9" s="443"/>
      <c r="H9" s="443"/>
    </row>
    <row r="10" spans="1:36" ht="71.25" x14ac:dyDescent="0.2">
      <c r="A10" s="704" t="s">
        <v>339</v>
      </c>
      <c r="B10" s="705" t="s">
        <v>22</v>
      </c>
      <c r="C10" s="705" t="s">
        <v>286</v>
      </c>
      <c r="D10" s="706">
        <v>41821</v>
      </c>
      <c r="E10" s="706">
        <v>42185</v>
      </c>
      <c r="F10" s="707">
        <v>319000</v>
      </c>
      <c r="G10" s="708" t="s">
        <v>398</v>
      </c>
      <c r="H10" s="711" t="s">
        <v>438</v>
      </c>
    </row>
    <row r="11" spans="1:36" ht="71.25" hidden="1" x14ac:dyDescent="0.2">
      <c r="A11" s="435" t="s">
        <v>25</v>
      </c>
      <c r="B11" s="440" t="s">
        <v>22</v>
      </c>
      <c r="C11" s="440" t="s">
        <v>6</v>
      </c>
      <c r="D11" s="439">
        <v>41000</v>
      </c>
      <c r="E11" s="439">
        <v>41364</v>
      </c>
      <c r="F11" s="461"/>
      <c r="G11" s="443"/>
      <c r="H11" s="711" t="s">
        <v>422</v>
      </c>
    </row>
    <row r="12" spans="1:36" ht="71.25" hidden="1" x14ac:dyDescent="0.2">
      <c r="A12" s="435" t="s">
        <v>209</v>
      </c>
      <c r="B12" s="440" t="s">
        <v>22</v>
      </c>
      <c r="C12" s="440" t="s">
        <v>6</v>
      </c>
      <c r="D12" s="439">
        <v>41365</v>
      </c>
      <c r="E12" s="439">
        <v>41455</v>
      </c>
      <c r="F12" s="461"/>
      <c r="G12" s="443"/>
      <c r="H12" s="711" t="s">
        <v>422</v>
      </c>
    </row>
    <row r="13" spans="1:36" s="4" customFormat="1" ht="71.25" x14ac:dyDescent="0.2">
      <c r="A13" s="727" t="s">
        <v>341</v>
      </c>
      <c r="B13" s="728" t="s">
        <v>22</v>
      </c>
      <c r="C13" s="728" t="s">
        <v>287</v>
      </c>
      <c r="D13" s="729">
        <v>42095</v>
      </c>
      <c r="E13" s="729">
        <v>42460</v>
      </c>
      <c r="F13" s="730">
        <v>140000</v>
      </c>
      <c r="G13" s="692" t="s">
        <v>399</v>
      </c>
      <c r="H13" s="711" t="s">
        <v>438</v>
      </c>
      <c r="I13" s="29"/>
      <c r="J13" s="29"/>
      <c r="K13" s="29"/>
      <c r="L13" s="29"/>
      <c r="M13" s="29"/>
      <c r="N13" s="29"/>
      <c r="O13" s="29"/>
      <c r="P13" s="11"/>
      <c r="Q13" s="11"/>
      <c r="R13" s="11"/>
      <c r="S13" s="11"/>
      <c r="T13" s="11"/>
      <c r="U13" s="11"/>
      <c r="V13" s="11"/>
      <c r="W13" s="11"/>
      <c r="X13" s="11"/>
      <c r="Y13" s="11"/>
      <c r="Z13" s="11"/>
      <c r="AA13" s="1"/>
      <c r="AB13" s="1"/>
      <c r="AC13" s="1"/>
      <c r="AD13" s="1"/>
      <c r="AE13" s="1"/>
      <c r="AF13" s="1"/>
      <c r="AG13" s="1"/>
      <c r="AH13" s="1"/>
      <c r="AI13" s="1"/>
      <c r="AJ13" s="1"/>
    </row>
    <row r="14" spans="1:36" s="4" customFormat="1" hidden="1" x14ac:dyDescent="0.2">
      <c r="A14" s="435" t="s">
        <v>210</v>
      </c>
      <c r="B14" s="440" t="s">
        <v>22</v>
      </c>
      <c r="C14" s="440" t="s">
        <v>59</v>
      </c>
      <c r="D14" s="439">
        <v>41365</v>
      </c>
      <c r="E14" s="439">
        <v>41455</v>
      </c>
      <c r="F14" s="623"/>
      <c r="G14" s="443"/>
      <c r="H14" s="443"/>
      <c r="I14" s="29"/>
      <c r="J14" s="29"/>
      <c r="K14" s="29"/>
      <c r="L14" s="29"/>
      <c r="M14" s="29"/>
      <c r="N14" s="29"/>
      <c r="O14" s="29"/>
      <c r="P14" s="11"/>
      <c r="Q14" s="11"/>
      <c r="R14" s="11"/>
      <c r="S14" s="11"/>
      <c r="T14" s="11"/>
      <c r="U14" s="11"/>
      <c r="V14" s="11"/>
      <c r="W14" s="11"/>
      <c r="X14" s="11"/>
      <c r="Y14" s="11"/>
      <c r="Z14" s="11"/>
      <c r="AA14" s="1"/>
      <c r="AB14" s="1"/>
      <c r="AC14" s="1"/>
      <c r="AD14" s="1"/>
      <c r="AE14" s="1"/>
      <c r="AF14" s="1"/>
      <c r="AG14" s="1"/>
      <c r="AH14" s="1"/>
      <c r="AI14" s="1"/>
      <c r="AJ14" s="1"/>
    </row>
    <row r="15" spans="1:36" s="4" customFormat="1" hidden="1" x14ac:dyDescent="0.2">
      <c r="A15" s="435" t="s">
        <v>27</v>
      </c>
      <c r="B15" s="440" t="s">
        <v>236</v>
      </c>
      <c r="C15" s="440" t="s">
        <v>147</v>
      </c>
      <c r="D15" s="439">
        <v>41090</v>
      </c>
      <c r="E15" s="439">
        <v>41454</v>
      </c>
      <c r="F15" s="461"/>
      <c r="G15" s="443"/>
      <c r="H15" s="443"/>
      <c r="I15" s="29"/>
      <c r="J15" s="29"/>
      <c r="K15" s="29"/>
      <c r="L15" s="29"/>
      <c r="M15" s="29"/>
      <c r="N15" s="29"/>
      <c r="O15" s="29"/>
      <c r="P15" s="11"/>
      <c r="Q15" s="11"/>
      <c r="R15" s="11"/>
      <c r="S15" s="11"/>
      <c r="T15" s="11"/>
      <c r="U15" s="11"/>
      <c r="V15" s="11"/>
      <c r="W15" s="11"/>
      <c r="X15" s="11"/>
      <c r="Y15" s="11"/>
      <c r="Z15" s="11"/>
      <c r="AA15" s="1"/>
      <c r="AB15" s="1"/>
      <c r="AC15" s="1"/>
      <c r="AD15" s="1"/>
      <c r="AE15" s="1"/>
      <c r="AF15" s="1"/>
      <c r="AG15" s="1"/>
      <c r="AH15" s="1"/>
      <c r="AI15" s="1"/>
      <c r="AJ15" s="1"/>
    </row>
    <row r="16" spans="1:36" s="4" customFormat="1" x14ac:dyDescent="0.2">
      <c r="A16" s="531" t="s">
        <v>342</v>
      </c>
      <c r="B16" s="478" t="s">
        <v>22</v>
      </c>
      <c r="C16" s="478" t="s">
        <v>288</v>
      </c>
      <c r="D16" s="458">
        <v>42095</v>
      </c>
      <c r="E16" s="458">
        <v>42460</v>
      </c>
      <c r="F16" s="624">
        <v>25000</v>
      </c>
      <c r="G16" s="537" t="s">
        <v>127</v>
      </c>
      <c r="H16" s="537" t="s">
        <v>118</v>
      </c>
      <c r="I16" s="29"/>
      <c r="J16" s="29"/>
      <c r="K16" s="29"/>
      <c r="L16" s="29"/>
      <c r="M16" s="29"/>
      <c r="N16" s="29"/>
      <c r="O16" s="29"/>
      <c r="P16" s="11"/>
      <c r="Q16" s="11"/>
      <c r="R16" s="11"/>
      <c r="S16" s="11"/>
      <c r="T16" s="11"/>
      <c r="U16" s="11"/>
      <c r="V16" s="11"/>
      <c r="W16" s="11"/>
      <c r="X16" s="11"/>
      <c r="Y16" s="11"/>
      <c r="Z16" s="11"/>
      <c r="AA16" s="1"/>
      <c r="AB16" s="1"/>
      <c r="AC16" s="1"/>
      <c r="AD16" s="1"/>
      <c r="AE16" s="1"/>
      <c r="AF16" s="1"/>
      <c r="AG16" s="1"/>
      <c r="AH16" s="1"/>
      <c r="AI16" s="1"/>
      <c r="AJ16" s="1"/>
    </row>
    <row r="17" spans="1:36" hidden="1" x14ac:dyDescent="0.2">
      <c r="A17" s="435" t="s">
        <v>8</v>
      </c>
      <c r="B17" s="440" t="s">
        <v>22</v>
      </c>
      <c r="C17" s="440" t="s">
        <v>9</v>
      </c>
      <c r="D17" s="439">
        <v>40544</v>
      </c>
      <c r="E17" s="439">
        <v>40908</v>
      </c>
      <c r="F17" s="461"/>
      <c r="G17" s="443"/>
      <c r="H17" s="443"/>
    </row>
    <row r="18" spans="1:36" hidden="1" x14ac:dyDescent="0.2">
      <c r="A18" s="435" t="s">
        <v>67</v>
      </c>
      <c r="B18" s="440" t="s">
        <v>22</v>
      </c>
      <c r="C18" s="440" t="e">
        <f>#REF!</f>
        <v>#REF!</v>
      </c>
      <c r="D18" s="439" t="e">
        <f>#REF!</f>
        <v>#REF!</v>
      </c>
      <c r="E18" s="439">
        <v>40999</v>
      </c>
      <c r="F18" s="461"/>
      <c r="G18" s="535"/>
      <c r="H18" s="443"/>
    </row>
    <row r="19" spans="1:36" hidden="1" x14ac:dyDescent="0.2">
      <c r="A19" s="435"/>
      <c r="B19" s="533"/>
      <c r="C19" s="533"/>
      <c r="D19" s="534"/>
      <c r="E19" s="534"/>
      <c r="F19" s="625"/>
      <c r="G19" s="443"/>
      <c r="H19" s="536"/>
    </row>
    <row r="20" spans="1:36" hidden="1" x14ac:dyDescent="0.2">
      <c r="A20" s="435" t="s">
        <v>281</v>
      </c>
      <c r="B20" s="440" t="s">
        <v>22</v>
      </c>
      <c r="C20" s="440" t="s">
        <v>234</v>
      </c>
      <c r="D20" s="534">
        <v>41487</v>
      </c>
      <c r="E20" s="439">
        <v>41912</v>
      </c>
      <c r="F20" s="461"/>
      <c r="G20" s="443"/>
      <c r="H20" s="443"/>
    </row>
    <row r="21" spans="1:36" ht="71.25" x14ac:dyDescent="0.2">
      <c r="A21" s="704" t="s">
        <v>281</v>
      </c>
      <c r="B21" s="705" t="s">
        <v>22</v>
      </c>
      <c r="C21" s="705" t="s">
        <v>234</v>
      </c>
      <c r="D21" s="706">
        <v>41913</v>
      </c>
      <c r="E21" s="706">
        <v>42277</v>
      </c>
      <c r="F21" s="707">
        <v>315000</v>
      </c>
      <c r="G21" s="708" t="s">
        <v>400</v>
      </c>
      <c r="H21" s="711" t="s">
        <v>438</v>
      </c>
    </row>
    <row r="22" spans="1:36" hidden="1" x14ac:dyDescent="0.2">
      <c r="A22" s="435" t="s">
        <v>280</v>
      </c>
      <c r="B22" s="440" t="s">
        <v>28</v>
      </c>
      <c r="C22" s="440" t="s">
        <v>10</v>
      </c>
      <c r="D22" s="439">
        <v>41640</v>
      </c>
      <c r="E22" s="439">
        <v>42004</v>
      </c>
      <c r="F22" s="461"/>
      <c r="G22" s="443"/>
      <c r="H22" s="443"/>
    </row>
    <row r="23" spans="1:36" s="3" customFormat="1" x14ac:dyDescent="0.2">
      <c r="A23" s="435" t="s">
        <v>331</v>
      </c>
      <c r="B23" s="440" t="s">
        <v>28</v>
      </c>
      <c r="C23" s="440" t="s">
        <v>10</v>
      </c>
      <c r="D23" s="439">
        <v>42005</v>
      </c>
      <c r="E23" s="439">
        <v>42369</v>
      </c>
      <c r="F23" s="461">
        <v>36000</v>
      </c>
      <c r="G23" s="454" t="s">
        <v>127</v>
      </c>
      <c r="H23" s="443"/>
      <c r="I23" s="29"/>
      <c r="J23" s="29"/>
      <c r="K23" s="29"/>
      <c r="L23" s="29"/>
      <c r="M23" s="29"/>
      <c r="N23" s="29"/>
      <c r="O23" s="29"/>
      <c r="P23" s="11"/>
      <c r="Q23" s="11"/>
      <c r="R23" s="11"/>
      <c r="S23" s="11"/>
      <c r="T23" s="11"/>
      <c r="U23" s="11"/>
      <c r="V23" s="11"/>
      <c r="W23" s="11"/>
      <c r="X23" s="11"/>
      <c r="Y23" s="11"/>
      <c r="Z23" s="11"/>
      <c r="AA23" s="1"/>
      <c r="AB23" s="1"/>
      <c r="AC23" s="1"/>
      <c r="AD23" s="1"/>
      <c r="AE23" s="1"/>
      <c r="AF23" s="1"/>
      <c r="AG23" s="1"/>
      <c r="AH23" s="1"/>
      <c r="AI23" s="1"/>
      <c r="AJ23" s="1"/>
    </row>
    <row r="24" spans="1:36" s="3" customFormat="1" x14ac:dyDescent="0.2">
      <c r="A24" s="435" t="s">
        <v>362</v>
      </c>
      <c r="B24" s="440" t="s">
        <v>28</v>
      </c>
      <c r="C24" s="440" t="s">
        <v>33</v>
      </c>
      <c r="D24" s="439">
        <v>42005</v>
      </c>
      <c r="E24" s="439">
        <v>42276</v>
      </c>
      <c r="F24" s="461">
        <v>5000</v>
      </c>
      <c r="G24" s="454" t="s">
        <v>127</v>
      </c>
      <c r="H24" s="443"/>
      <c r="I24" s="29"/>
      <c r="J24" s="29"/>
      <c r="K24" s="29"/>
      <c r="L24" s="29"/>
      <c r="M24" s="29"/>
      <c r="N24" s="29"/>
      <c r="O24" s="29"/>
      <c r="P24" s="11"/>
      <c r="Q24" s="11"/>
      <c r="R24" s="11"/>
      <c r="S24" s="11"/>
      <c r="T24" s="11"/>
      <c r="U24" s="11"/>
      <c r="V24" s="11"/>
      <c r="W24" s="11"/>
      <c r="X24" s="11"/>
      <c r="Y24" s="11"/>
      <c r="Z24" s="11"/>
      <c r="AA24" s="1"/>
      <c r="AB24" s="1"/>
      <c r="AC24" s="1"/>
      <c r="AD24" s="1"/>
      <c r="AE24" s="1"/>
      <c r="AF24" s="1"/>
      <c r="AG24" s="1"/>
      <c r="AH24" s="1"/>
      <c r="AI24" s="1"/>
      <c r="AJ24" s="1"/>
    </row>
    <row r="25" spans="1:36" s="3" customFormat="1" x14ac:dyDescent="0.2">
      <c r="A25" s="531" t="s">
        <v>316</v>
      </c>
      <c r="B25" s="478" t="s">
        <v>28</v>
      </c>
      <c r="C25" s="478" t="s">
        <v>33</v>
      </c>
      <c r="D25" s="458">
        <v>41913</v>
      </c>
      <c r="E25" s="458">
        <v>42277</v>
      </c>
      <c r="F25" s="459">
        <v>43987</v>
      </c>
      <c r="G25" s="537" t="s">
        <v>127</v>
      </c>
      <c r="H25" s="460"/>
      <c r="I25" s="29"/>
      <c r="J25" s="29"/>
      <c r="K25" s="29"/>
      <c r="L25" s="29"/>
      <c r="M25" s="29"/>
      <c r="N25" s="29"/>
      <c r="O25" s="29"/>
      <c r="P25" s="11"/>
      <c r="Q25" s="11"/>
      <c r="R25" s="11"/>
      <c r="S25" s="11"/>
      <c r="T25" s="11"/>
      <c r="U25" s="11"/>
      <c r="V25" s="11"/>
      <c r="W25" s="11"/>
      <c r="X25" s="11"/>
      <c r="Y25" s="11"/>
      <c r="Z25" s="11"/>
      <c r="AA25" s="1"/>
      <c r="AB25" s="1"/>
      <c r="AC25" s="1"/>
      <c r="AD25" s="1"/>
      <c r="AE25" s="1"/>
      <c r="AF25" s="1"/>
      <c r="AG25" s="1"/>
      <c r="AH25" s="1"/>
      <c r="AI25" s="1"/>
      <c r="AJ25" s="1"/>
    </row>
    <row r="26" spans="1:36" s="3" customFormat="1" hidden="1" x14ac:dyDescent="0.2">
      <c r="A26" s="531" t="s">
        <v>325</v>
      </c>
      <c r="B26" s="478" t="s">
        <v>28</v>
      </c>
      <c r="C26" s="478" t="s">
        <v>33</v>
      </c>
      <c r="D26" s="458"/>
      <c r="E26" s="458"/>
      <c r="F26" s="459"/>
      <c r="G26" s="460"/>
      <c r="H26" s="460"/>
      <c r="I26" s="29"/>
      <c r="J26" s="29"/>
      <c r="K26" s="29"/>
      <c r="L26" s="29"/>
      <c r="M26" s="29"/>
      <c r="N26" s="29"/>
      <c r="O26" s="29"/>
      <c r="P26" s="11"/>
      <c r="Q26" s="11"/>
      <c r="R26" s="11"/>
      <c r="S26" s="11"/>
      <c r="T26" s="11"/>
      <c r="U26" s="11"/>
      <c r="V26" s="11"/>
      <c r="W26" s="11"/>
      <c r="X26" s="11"/>
      <c r="Y26" s="11"/>
      <c r="Z26" s="11"/>
      <c r="AA26" s="1"/>
      <c r="AB26" s="1"/>
      <c r="AC26" s="1"/>
      <c r="AD26" s="1"/>
      <c r="AE26" s="1"/>
      <c r="AF26" s="1"/>
      <c r="AG26" s="1"/>
      <c r="AH26" s="1"/>
      <c r="AI26" s="1"/>
      <c r="AJ26" s="1"/>
    </row>
    <row r="27" spans="1:36" s="3" customFormat="1" x14ac:dyDescent="0.2">
      <c r="A27" s="531" t="s">
        <v>296</v>
      </c>
      <c r="B27" s="478" t="s">
        <v>436</v>
      </c>
      <c r="C27" s="478" t="s">
        <v>33</v>
      </c>
      <c r="D27" s="629">
        <v>42005</v>
      </c>
      <c r="E27" s="458">
        <v>42369</v>
      </c>
      <c r="F27" s="459">
        <v>13000</v>
      </c>
      <c r="G27" s="537" t="s">
        <v>127</v>
      </c>
      <c r="H27" s="460"/>
      <c r="I27" s="29"/>
      <c r="J27" s="29"/>
      <c r="K27" s="29"/>
      <c r="L27" s="29"/>
      <c r="M27" s="29"/>
      <c r="N27" s="29"/>
      <c r="O27" s="29"/>
      <c r="P27" s="11"/>
      <c r="Q27" s="11"/>
      <c r="R27" s="11"/>
      <c r="S27" s="11"/>
      <c r="T27" s="11"/>
      <c r="U27" s="11"/>
      <c r="V27" s="11"/>
      <c r="W27" s="11"/>
      <c r="X27" s="11"/>
      <c r="Y27" s="11"/>
      <c r="Z27" s="11"/>
      <c r="AA27" s="1"/>
      <c r="AB27" s="1"/>
      <c r="AC27" s="1"/>
      <c r="AD27" s="1"/>
      <c r="AE27" s="1"/>
      <c r="AF27" s="1"/>
      <c r="AG27" s="1"/>
      <c r="AH27" s="1"/>
      <c r="AI27" s="1"/>
      <c r="AJ27" s="1"/>
    </row>
    <row r="28" spans="1:36" s="3" customFormat="1" ht="15" thickBot="1" x14ac:dyDescent="0.25">
      <c r="A28" s="626" t="s">
        <v>361</v>
      </c>
      <c r="B28" s="441" t="s">
        <v>205</v>
      </c>
      <c r="C28" s="441" t="s">
        <v>33</v>
      </c>
      <c r="D28" s="627">
        <v>42104</v>
      </c>
      <c r="E28" s="627">
        <v>42246</v>
      </c>
      <c r="F28" s="639">
        <v>13664.29</v>
      </c>
      <c r="G28" s="639" t="s">
        <v>127</v>
      </c>
      <c r="H28" s="444"/>
      <c r="I28" s="29"/>
      <c r="J28" s="29"/>
      <c r="K28" s="29"/>
      <c r="L28" s="29"/>
      <c r="M28" s="29"/>
      <c r="N28" s="29"/>
      <c r="O28" s="29"/>
      <c r="P28" s="11"/>
      <c r="Q28" s="11"/>
      <c r="R28" s="11"/>
      <c r="S28" s="11"/>
      <c r="T28" s="11"/>
      <c r="U28" s="11"/>
      <c r="V28" s="11"/>
      <c r="W28" s="11"/>
      <c r="X28" s="11"/>
      <c r="Y28" s="11"/>
      <c r="Z28" s="11"/>
      <c r="AA28" s="1"/>
      <c r="AB28" s="1"/>
      <c r="AC28" s="1"/>
      <c r="AD28" s="1"/>
      <c r="AE28" s="1"/>
      <c r="AF28" s="1"/>
      <c r="AG28" s="1"/>
      <c r="AH28" s="1"/>
      <c r="AI28" s="1"/>
      <c r="AJ28" s="1"/>
    </row>
    <row r="29" spans="1:36" s="17" customFormat="1" ht="16.5" thickBot="1" x14ac:dyDescent="0.3">
      <c r="A29" s="399" t="s">
        <v>50</v>
      </c>
      <c r="B29" s="400"/>
      <c r="C29" s="401"/>
      <c r="D29" s="402"/>
      <c r="E29" s="402"/>
      <c r="F29" s="427"/>
      <c r="G29" s="427">
        <f>60000+79750+35000+78750</f>
        <v>253500</v>
      </c>
      <c r="H29" s="427">
        <f>SUM(H7:H28)-H17</f>
        <v>0</v>
      </c>
      <c r="I29" s="37"/>
      <c r="J29" s="37"/>
      <c r="K29" s="37"/>
      <c r="L29" s="37"/>
      <c r="M29" s="37"/>
      <c r="N29" s="37"/>
      <c r="O29" s="37"/>
      <c r="P29" s="38"/>
      <c r="Q29" s="38"/>
      <c r="R29" s="38"/>
      <c r="S29" s="38"/>
      <c r="T29" s="38"/>
      <c r="U29" s="38"/>
      <c r="V29" s="38"/>
      <c r="W29" s="38"/>
      <c r="X29" s="38"/>
      <c r="Y29" s="38"/>
      <c r="Z29" s="38"/>
      <c r="AA29" s="39"/>
      <c r="AB29" s="39"/>
      <c r="AC29" s="39"/>
      <c r="AD29" s="39"/>
      <c r="AE29" s="39"/>
      <c r="AF29" s="39"/>
      <c r="AG29" s="39"/>
      <c r="AH29" s="39"/>
      <c r="AI29" s="39"/>
      <c r="AJ29" s="39"/>
    </row>
    <row r="30" spans="1:36" s="18" customFormat="1" ht="10.5" customHeight="1" thickBot="1" x14ac:dyDescent="0.25">
      <c r="A30" s="1"/>
      <c r="B30" s="44"/>
      <c r="C30" s="6"/>
      <c r="D30" s="6"/>
      <c r="E30" s="6"/>
      <c r="F30" s="29"/>
      <c r="G30" s="29"/>
      <c r="H30" s="29"/>
      <c r="I30" s="29"/>
      <c r="J30" s="29"/>
      <c r="K30" s="29"/>
      <c r="L30" s="29"/>
      <c r="M30" s="29"/>
      <c r="N30" s="29"/>
      <c r="O30" s="29"/>
      <c r="P30" s="11"/>
      <c r="Q30" s="11"/>
      <c r="R30" s="11"/>
      <c r="S30" s="11"/>
      <c r="T30" s="11"/>
      <c r="U30" s="11"/>
      <c r="V30" s="11"/>
      <c r="W30" s="11"/>
      <c r="X30" s="11"/>
      <c r="Y30" s="11"/>
      <c r="Z30" s="11"/>
      <c r="AA30" s="1"/>
      <c r="AB30" s="1"/>
      <c r="AC30" s="1"/>
      <c r="AD30" s="1"/>
      <c r="AE30" s="1"/>
      <c r="AF30" s="1"/>
      <c r="AG30" s="1"/>
      <c r="AH30" s="1"/>
      <c r="AI30" s="1"/>
      <c r="AJ30" s="1"/>
    </row>
    <row r="31" spans="1:36" s="22" customFormat="1" ht="16.5" thickBot="1" x14ac:dyDescent="0.3">
      <c r="A31" s="448" t="s">
        <v>421</v>
      </c>
      <c r="B31" s="159"/>
      <c r="C31" s="160"/>
      <c r="D31" s="160"/>
      <c r="E31" s="160"/>
      <c r="F31" s="161"/>
      <c r="G31" s="161"/>
      <c r="H31" s="161"/>
      <c r="I31" s="29"/>
      <c r="J31" s="29"/>
      <c r="K31" s="29"/>
      <c r="L31" s="29"/>
      <c r="M31" s="29"/>
      <c r="N31" s="29"/>
      <c r="O31" s="29"/>
      <c r="P31" s="11"/>
      <c r="Q31" s="11"/>
      <c r="R31" s="11"/>
      <c r="S31" s="11"/>
      <c r="T31" s="11"/>
      <c r="U31" s="11"/>
      <c r="V31" s="11"/>
      <c r="W31" s="11"/>
      <c r="X31" s="11"/>
      <c r="Y31" s="11"/>
      <c r="Z31" s="11"/>
      <c r="AA31" s="1"/>
      <c r="AB31" s="1"/>
      <c r="AC31" s="1"/>
      <c r="AD31" s="1"/>
      <c r="AE31" s="1"/>
      <c r="AF31" s="1"/>
      <c r="AG31" s="1"/>
      <c r="AH31" s="1"/>
      <c r="AI31" s="1"/>
      <c r="AJ31" s="1"/>
    </row>
    <row r="32" spans="1:36" s="20" customFormat="1" ht="45.75" thickBot="1" x14ac:dyDescent="0.25">
      <c r="A32" s="471" t="s">
        <v>35</v>
      </c>
      <c r="B32" s="751" t="s">
        <v>21</v>
      </c>
      <c r="C32" s="752"/>
      <c r="D32" s="471" t="s">
        <v>2</v>
      </c>
      <c r="E32" s="471" t="s">
        <v>3</v>
      </c>
      <c r="F32" s="476" t="s">
        <v>36</v>
      </c>
      <c r="G32" s="476" t="s">
        <v>437</v>
      </c>
      <c r="H32" s="476" t="s">
        <v>435</v>
      </c>
      <c r="I32" s="6"/>
      <c r="J32" s="35"/>
      <c r="K32" s="35"/>
      <c r="L32" s="35"/>
      <c r="M32" s="35"/>
      <c r="N32" s="35"/>
      <c r="O32" s="35"/>
      <c r="P32" s="36"/>
      <c r="Q32" s="36"/>
      <c r="R32" s="36"/>
      <c r="S32" s="36"/>
      <c r="T32" s="36"/>
      <c r="U32" s="36"/>
      <c r="V32" s="36"/>
      <c r="W32" s="36"/>
      <c r="X32" s="36"/>
      <c r="Y32" s="36"/>
      <c r="Z32" s="36"/>
      <c r="AA32" s="6"/>
      <c r="AB32" s="6"/>
      <c r="AC32" s="6"/>
      <c r="AD32" s="6"/>
      <c r="AE32" s="6"/>
      <c r="AF32" s="6"/>
      <c r="AG32" s="6"/>
      <c r="AH32" s="6"/>
      <c r="AI32" s="6"/>
      <c r="AJ32" s="6"/>
    </row>
    <row r="33" spans="1:36" hidden="1" x14ac:dyDescent="0.2">
      <c r="A33" s="435" t="s">
        <v>24</v>
      </c>
      <c r="B33" s="749" t="s">
        <v>18</v>
      </c>
      <c r="C33" s="750"/>
      <c r="D33" s="469">
        <v>41275</v>
      </c>
      <c r="E33" s="439">
        <v>41639</v>
      </c>
      <c r="F33" s="443"/>
      <c r="G33" s="443">
        <v>0</v>
      </c>
      <c r="H33" s="443" t="e">
        <f>F33-#REF!</f>
        <v>#REF!</v>
      </c>
    </row>
    <row r="34" spans="1:36" hidden="1" x14ac:dyDescent="0.2">
      <c r="A34" s="435"/>
      <c r="B34" s="749"/>
      <c r="C34" s="750"/>
      <c r="D34" s="469"/>
      <c r="E34" s="439"/>
      <c r="F34" s="443"/>
      <c r="G34" s="443"/>
      <c r="H34" s="443"/>
    </row>
    <row r="35" spans="1:36" x14ac:dyDescent="0.2">
      <c r="A35" s="435" t="s">
        <v>327</v>
      </c>
      <c r="B35" s="749" t="s">
        <v>18</v>
      </c>
      <c r="C35" s="750"/>
      <c r="D35" s="469">
        <v>42005</v>
      </c>
      <c r="E35" s="439">
        <v>42369</v>
      </c>
      <c r="F35" s="443">
        <v>25000</v>
      </c>
      <c r="G35" s="443">
        <v>25000</v>
      </c>
      <c r="H35" s="454" t="s">
        <v>118</v>
      </c>
    </row>
    <row r="36" spans="1:36" x14ac:dyDescent="0.2">
      <c r="A36" s="435" t="s">
        <v>345</v>
      </c>
      <c r="B36" s="749" t="s">
        <v>18</v>
      </c>
      <c r="C36" s="750"/>
      <c r="D36" s="469"/>
      <c r="E36" s="439"/>
      <c r="F36" s="443">
        <v>14250</v>
      </c>
      <c r="G36" s="443">
        <v>14250</v>
      </c>
      <c r="H36" s="454" t="s">
        <v>118</v>
      </c>
    </row>
    <row r="37" spans="1:36" x14ac:dyDescent="0.2">
      <c r="A37" s="435" t="s">
        <v>208</v>
      </c>
      <c r="B37" s="749" t="s">
        <v>18</v>
      </c>
      <c r="C37" s="750"/>
      <c r="D37" s="469">
        <v>41275</v>
      </c>
      <c r="E37" s="439">
        <v>42735</v>
      </c>
      <c r="F37" s="443">
        <f>18392.5*2</f>
        <v>36785</v>
      </c>
      <c r="G37" s="443">
        <v>36785</v>
      </c>
      <c r="H37" s="454" t="s">
        <v>118</v>
      </c>
    </row>
    <row r="38" spans="1:36" x14ac:dyDescent="0.2">
      <c r="A38" s="435" t="s">
        <v>346</v>
      </c>
      <c r="B38" s="749" t="s">
        <v>18</v>
      </c>
      <c r="C38" s="750"/>
      <c r="D38" s="469">
        <v>42005</v>
      </c>
      <c r="E38" s="439">
        <v>42369</v>
      </c>
      <c r="F38" s="443">
        <v>50000</v>
      </c>
      <c r="G38" s="443">
        <v>50000</v>
      </c>
      <c r="H38" s="454" t="s">
        <v>118</v>
      </c>
    </row>
    <row r="39" spans="1:36" x14ac:dyDescent="0.2">
      <c r="A39" s="435" t="s">
        <v>193</v>
      </c>
      <c r="B39" s="746" t="s">
        <v>192</v>
      </c>
      <c r="C39" s="748"/>
      <c r="D39" s="469">
        <v>41275</v>
      </c>
      <c r="E39" s="439" t="s">
        <v>207</v>
      </c>
      <c r="F39" s="443">
        <v>25000</v>
      </c>
      <c r="G39" s="443" t="s">
        <v>428</v>
      </c>
      <c r="H39" s="454" t="s">
        <v>420</v>
      </c>
    </row>
    <row r="40" spans="1:36" s="4" customFormat="1" hidden="1" x14ac:dyDescent="0.2">
      <c r="A40" s="435" t="s">
        <v>329</v>
      </c>
      <c r="B40" s="756" t="s">
        <v>29</v>
      </c>
      <c r="C40" s="757"/>
      <c r="D40" s="469"/>
      <c r="E40" s="439"/>
      <c r="F40" s="443"/>
      <c r="G40" s="443"/>
      <c r="H40" s="443"/>
      <c r="I40" s="1"/>
      <c r="J40" s="29"/>
      <c r="K40" s="29"/>
      <c r="L40" s="29"/>
      <c r="M40" s="29"/>
      <c r="N40" s="29"/>
      <c r="O40" s="29"/>
      <c r="P40" s="11"/>
      <c r="Q40" s="11"/>
      <c r="R40" s="11"/>
      <c r="S40" s="11"/>
      <c r="T40" s="11"/>
      <c r="U40" s="11"/>
      <c r="V40" s="11"/>
      <c r="W40" s="11"/>
      <c r="X40" s="11"/>
      <c r="Y40" s="11"/>
      <c r="Z40" s="11"/>
      <c r="AA40" s="1"/>
      <c r="AB40" s="1"/>
      <c r="AC40" s="1"/>
      <c r="AD40" s="1"/>
      <c r="AE40" s="1"/>
      <c r="AF40" s="1"/>
      <c r="AG40" s="1"/>
      <c r="AH40" s="1"/>
      <c r="AI40" s="1"/>
      <c r="AJ40" s="1"/>
    </row>
    <row r="41" spans="1:36" s="4" customFormat="1" x14ac:dyDescent="0.2">
      <c r="A41" s="435" t="s">
        <v>330</v>
      </c>
      <c r="B41" s="756" t="s">
        <v>29</v>
      </c>
      <c r="C41" s="757"/>
      <c r="D41" s="469">
        <v>42005</v>
      </c>
      <c r="E41" s="439">
        <v>43100</v>
      </c>
      <c r="F41" s="443">
        <v>50000</v>
      </c>
      <c r="G41" s="443">
        <v>25000</v>
      </c>
      <c r="H41" s="454" t="s">
        <v>118</v>
      </c>
      <c r="I41" s="1"/>
      <c r="J41" s="29"/>
      <c r="K41" s="29"/>
      <c r="L41" s="29"/>
      <c r="M41" s="29"/>
      <c r="N41" s="29"/>
      <c r="O41" s="29"/>
      <c r="P41" s="11"/>
      <c r="Q41" s="11"/>
      <c r="R41" s="11"/>
      <c r="S41" s="11"/>
      <c r="T41" s="11"/>
      <c r="U41" s="11"/>
      <c r="V41" s="11"/>
      <c r="W41" s="11"/>
      <c r="X41" s="11"/>
      <c r="Y41" s="11"/>
      <c r="Z41" s="11"/>
      <c r="AA41" s="1"/>
      <c r="AB41" s="1"/>
      <c r="AC41" s="1"/>
      <c r="AD41" s="1"/>
      <c r="AE41" s="1"/>
      <c r="AF41" s="1"/>
      <c r="AG41" s="1"/>
      <c r="AH41" s="1"/>
      <c r="AI41" s="1"/>
      <c r="AJ41" s="1"/>
    </row>
    <row r="42" spans="1:36" s="2" customFormat="1" x14ac:dyDescent="0.2">
      <c r="A42" s="435" t="s">
        <v>30</v>
      </c>
      <c r="B42" s="746" t="s">
        <v>57</v>
      </c>
      <c r="C42" s="748"/>
      <c r="D42" s="469">
        <v>40226</v>
      </c>
      <c r="E42" s="440" t="s">
        <v>38</v>
      </c>
      <c r="F42" s="443">
        <f>8007.78+5000+50</f>
        <v>13057.779999999999</v>
      </c>
      <c r="G42" s="443" t="s">
        <v>428</v>
      </c>
      <c r="H42" s="454" t="s">
        <v>118</v>
      </c>
      <c r="I42" s="1"/>
      <c r="J42" s="29"/>
      <c r="K42" s="29"/>
      <c r="L42" s="29"/>
      <c r="M42" s="29"/>
      <c r="N42" s="29"/>
      <c r="O42" s="29"/>
      <c r="P42" s="11"/>
      <c r="Q42" s="11"/>
      <c r="R42" s="11"/>
      <c r="S42" s="11"/>
      <c r="T42" s="11"/>
      <c r="U42" s="11"/>
      <c r="V42" s="11"/>
      <c r="W42" s="11"/>
      <c r="X42" s="11"/>
      <c r="Y42" s="11"/>
      <c r="Z42" s="11"/>
      <c r="AA42" s="1"/>
      <c r="AB42" s="1"/>
      <c r="AC42" s="1"/>
      <c r="AD42" s="1"/>
      <c r="AE42" s="1"/>
      <c r="AF42" s="1"/>
      <c r="AG42" s="1"/>
      <c r="AH42" s="1"/>
      <c r="AI42" s="1"/>
      <c r="AJ42" s="1"/>
    </row>
    <row r="43" spans="1:36" s="2" customFormat="1" ht="15" thickBot="1" x14ac:dyDescent="0.25">
      <c r="A43" s="436"/>
      <c r="B43" s="754"/>
      <c r="C43" s="755"/>
      <c r="D43" s="470"/>
      <c r="E43" s="441"/>
      <c r="F43" s="444"/>
      <c r="G43" s="444"/>
      <c r="H43" s="444"/>
      <c r="I43" s="1"/>
      <c r="J43" s="29"/>
      <c r="K43" s="29"/>
      <c r="L43" s="29"/>
      <c r="M43" s="29"/>
      <c r="N43" s="29"/>
      <c r="O43" s="29"/>
      <c r="P43" s="11"/>
      <c r="Q43" s="11"/>
      <c r="R43" s="11"/>
      <c r="S43" s="11"/>
      <c r="T43" s="11"/>
      <c r="U43" s="11"/>
      <c r="V43" s="11"/>
      <c r="W43" s="11"/>
      <c r="X43" s="11"/>
      <c r="Y43" s="11"/>
      <c r="Z43" s="11"/>
      <c r="AA43" s="1"/>
      <c r="AB43" s="1"/>
      <c r="AC43" s="1"/>
      <c r="AD43" s="1"/>
      <c r="AE43" s="1"/>
      <c r="AF43" s="1"/>
      <c r="AG43" s="1"/>
      <c r="AH43" s="1"/>
      <c r="AI43" s="1"/>
      <c r="AJ43" s="1"/>
    </row>
    <row r="44" spans="1:36" s="392" customFormat="1" ht="15.75" thickBot="1" x14ac:dyDescent="0.3">
      <c r="A44" s="434" t="s">
        <v>41</v>
      </c>
      <c r="B44" s="437"/>
      <c r="C44" s="437"/>
      <c r="D44" s="438"/>
      <c r="E44" s="438"/>
      <c r="F44" s="442">
        <f>SUM(F33:F43)</f>
        <v>214092.78</v>
      </c>
      <c r="G44" s="445">
        <f>SUM(G33:G43)</f>
        <v>151035</v>
      </c>
      <c r="H44" s="442"/>
      <c r="I44" s="391"/>
      <c r="J44" s="390"/>
      <c r="K44" s="390"/>
      <c r="L44" s="390"/>
      <c r="M44" s="390"/>
      <c r="N44" s="390"/>
      <c r="O44" s="390"/>
      <c r="P44" s="390"/>
      <c r="Q44" s="390"/>
      <c r="R44" s="390"/>
      <c r="S44" s="390"/>
      <c r="T44" s="390"/>
      <c r="U44" s="390"/>
      <c r="V44" s="390"/>
      <c r="W44" s="390"/>
      <c r="X44" s="390"/>
      <c r="Y44" s="390"/>
      <c r="Z44" s="390"/>
      <c r="AA44" s="391"/>
      <c r="AB44" s="391"/>
      <c r="AC44" s="391"/>
      <c r="AD44" s="391"/>
      <c r="AE44" s="391"/>
      <c r="AF44" s="391"/>
      <c r="AG44" s="391"/>
      <c r="AH44" s="391"/>
      <c r="AI44" s="391"/>
      <c r="AJ44" s="391"/>
    </row>
    <row r="45" spans="1:36" s="18" customFormat="1" ht="15" thickBot="1" x14ac:dyDescent="0.25">
      <c r="B45" s="1"/>
      <c r="C45" s="6"/>
      <c r="D45" s="6"/>
      <c r="E45" s="6"/>
      <c r="F45" s="29"/>
      <c r="G45" s="29"/>
      <c r="H45" s="29"/>
      <c r="I45" s="1"/>
      <c r="J45" s="29"/>
      <c r="K45" s="29"/>
      <c r="L45" s="29"/>
      <c r="M45" s="29"/>
      <c r="N45" s="29"/>
      <c r="O45" s="29"/>
      <c r="P45" s="11"/>
      <c r="Q45" s="11"/>
      <c r="R45" s="11"/>
      <c r="S45" s="11"/>
      <c r="T45" s="11"/>
      <c r="U45" s="11"/>
      <c r="V45" s="11"/>
      <c r="W45" s="11"/>
      <c r="X45" s="11"/>
      <c r="Y45" s="11"/>
      <c r="Z45" s="11"/>
      <c r="AA45" s="1"/>
      <c r="AB45" s="1"/>
      <c r="AC45" s="1"/>
      <c r="AD45" s="1"/>
      <c r="AE45" s="1"/>
      <c r="AF45" s="1"/>
      <c r="AG45" s="1"/>
      <c r="AH45" s="1"/>
      <c r="AI45" s="1"/>
      <c r="AJ45" s="1"/>
    </row>
    <row r="46" spans="1:36" s="21" customFormat="1" ht="18.75" thickBot="1" x14ac:dyDescent="0.3">
      <c r="A46" s="448" t="s">
        <v>204</v>
      </c>
      <c r="B46" s="449"/>
      <c r="C46" s="450"/>
      <c r="D46" s="450"/>
      <c r="E46" s="450"/>
      <c r="F46" s="453"/>
      <c r="G46" s="453"/>
      <c r="H46" s="453"/>
      <c r="I46" s="41"/>
      <c r="J46" s="40"/>
      <c r="K46" s="40"/>
      <c r="L46" s="40"/>
      <c r="M46" s="40"/>
      <c r="N46" s="40"/>
      <c r="O46" s="40"/>
      <c r="P46" s="42"/>
      <c r="Q46" s="42"/>
      <c r="R46" s="42"/>
      <c r="S46" s="42"/>
      <c r="T46" s="42"/>
      <c r="U46" s="42"/>
      <c r="V46" s="42"/>
      <c r="W46" s="42"/>
      <c r="X46" s="42"/>
      <c r="Y46" s="42"/>
      <c r="Z46" s="42"/>
      <c r="AA46" s="41"/>
      <c r="AB46" s="41"/>
      <c r="AC46" s="41"/>
      <c r="AD46" s="41"/>
      <c r="AE46" s="41"/>
      <c r="AF46" s="41"/>
      <c r="AG46" s="41"/>
      <c r="AH46" s="41"/>
      <c r="AI46" s="41"/>
      <c r="AJ46" s="41"/>
    </row>
    <row r="47" spans="1:36" s="23" customFormat="1" ht="45.75" thickBot="1" x14ac:dyDescent="0.25">
      <c r="A47" s="471" t="s">
        <v>44</v>
      </c>
      <c r="B47" s="751" t="s">
        <v>37</v>
      </c>
      <c r="C47" s="753"/>
      <c r="D47" s="753"/>
      <c r="E47" s="752"/>
      <c r="F47" s="475" t="s">
        <v>53</v>
      </c>
      <c r="G47" s="398" t="s">
        <v>434</v>
      </c>
      <c r="H47" s="476" t="s">
        <v>435</v>
      </c>
      <c r="I47" s="6"/>
      <c r="J47" s="35"/>
      <c r="K47" s="35"/>
      <c r="L47" s="35"/>
      <c r="M47" s="35"/>
      <c r="N47" s="35"/>
      <c r="O47" s="35"/>
      <c r="P47" s="36"/>
      <c r="Q47" s="36"/>
      <c r="R47" s="36"/>
      <c r="S47" s="36"/>
      <c r="T47" s="36"/>
      <c r="U47" s="36"/>
      <c r="V47" s="36"/>
      <c r="W47" s="36"/>
      <c r="X47" s="36"/>
      <c r="Y47" s="36"/>
      <c r="Z47" s="36"/>
      <c r="AA47" s="6"/>
      <c r="AB47" s="6"/>
      <c r="AC47" s="6"/>
      <c r="AD47" s="6"/>
      <c r="AE47" s="6"/>
      <c r="AF47" s="6"/>
      <c r="AG47" s="6"/>
      <c r="AH47" s="6"/>
      <c r="AI47" s="6"/>
      <c r="AJ47" s="6"/>
    </row>
    <row r="48" spans="1:36" s="18" customFormat="1" hidden="1" x14ac:dyDescent="0.2">
      <c r="A48" s="435" t="s">
        <v>45</v>
      </c>
      <c r="B48" s="746" t="s">
        <v>48</v>
      </c>
      <c r="C48" s="747"/>
      <c r="D48" s="747"/>
      <c r="E48" s="748"/>
      <c r="F48" s="443"/>
      <c r="G48" s="443"/>
      <c r="H48" s="443"/>
      <c r="I48" s="1"/>
      <c r="J48" s="29"/>
      <c r="K48" s="29"/>
      <c r="L48" s="29"/>
      <c r="M48" s="29"/>
      <c r="N48" s="29"/>
      <c r="O48" s="29"/>
      <c r="P48" s="11"/>
      <c r="Q48" s="11"/>
      <c r="R48" s="11"/>
      <c r="S48" s="11"/>
      <c r="T48" s="11"/>
      <c r="U48" s="11"/>
      <c r="V48" s="11"/>
      <c r="W48" s="11"/>
      <c r="X48" s="11"/>
      <c r="Y48" s="11"/>
      <c r="Z48" s="11"/>
      <c r="AA48" s="1"/>
      <c r="AB48" s="1"/>
      <c r="AC48" s="1"/>
      <c r="AD48" s="1"/>
      <c r="AE48" s="1"/>
      <c r="AF48" s="1"/>
      <c r="AG48" s="1"/>
      <c r="AH48" s="1"/>
      <c r="AI48" s="1"/>
      <c r="AJ48" s="1"/>
    </row>
    <row r="49" spans="1:36" hidden="1" x14ac:dyDescent="0.2">
      <c r="A49" s="435" t="s">
        <v>46</v>
      </c>
      <c r="B49" s="746" t="s">
        <v>49</v>
      </c>
      <c r="C49" s="747"/>
      <c r="D49" s="747"/>
      <c r="E49" s="748"/>
      <c r="F49" s="443"/>
      <c r="G49" s="443"/>
      <c r="H49" s="454"/>
    </row>
    <row r="50" spans="1:36" x14ac:dyDescent="0.2">
      <c r="A50" s="435" t="s">
        <v>334</v>
      </c>
      <c r="B50" s="746" t="s">
        <v>332</v>
      </c>
      <c r="C50" s="747"/>
      <c r="D50" s="747"/>
      <c r="E50" s="748"/>
      <c r="F50" s="443">
        <v>49000</v>
      </c>
      <c r="G50" s="443">
        <f>F50/2</f>
        <v>24500</v>
      </c>
      <c r="H50" s="454" t="s">
        <v>417</v>
      </c>
    </row>
    <row r="51" spans="1:36" s="18" customFormat="1" x14ac:dyDescent="0.2">
      <c r="A51" s="435" t="s">
        <v>335</v>
      </c>
      <c r="B51" s="746" t="s">
        <v>333</v>
      </c>
      <c r="C51" s="747"/>
      <c r="D51" s="747"/>
      <c r="E51" s="748"/>
      <c r="F51" s="443">
        <f>6500+3500+2000+3500+3500</f>
        <v>19000</v>
      </c>
      <c r="G51" s="443">
        <v>19000</v>
      </c>
      <c r="H51" s="454" t="s">
        <v>417</v>
      </c>
      <c r="I51" s="1"/>
      <c r="J51" s="29"/>
      <c r="K51" s="29"/>
      <c r="L51" s="29"/>
      <c r="M51" s="29"/>
      <c r="N51" s="29"/>
      <c r="O51" s="29"/>
      <c r="P51" s="11"/>
      <c r="Q51" s="11"/>
      <c r="R51" s="11"/>
      <c r="S51" s="11"/>
      <c r="T51" s="11"/>
      <c r="U51" s="11"/>
      <c r="V51" s="11"/>
      <c r="W51" s="11"/>
      <c r="X51" s="11"/>
      <c r="Y51" s="11"/>
      <c r="Z51" s="11"/>
      <c r="AA51" s="1"/>
      <c r="AB51" s="1"/>
      <c r="AC51" s="1"/>
      <c r="AD51" s="1"/>
      <c r="AE51" s="1"/>
      <c r="AF51" s="1"/>
      <c r="AG51" s="1"/>
      <c r="AH51" s="1"/>
      <c r="AI51" s="1"/>
      <c r="AJ51" s="1"/>
    </row>
    <row r="52" spans="1:36" x14ac:dyDescent="0.2">
      <c r="A52" s="435" t="s">
        <v>32</v>
      </c>
      <c r="B52" s="746" t="s">
        <v>206</v>
      </c>
      <c r="C52" s="747"/>
      <c r="D52" s="747"/>
      <c r="E52" s="748"/>
      <c r="F52" s="443"/>
      <c r="G52" s="443">
        <v>0</v>
      </c>
      <c r="H52" s="454" t="s">
        <v>417</v>
      </c>
    </row>
    <row r="53" spans="1:36" x14ac:dyDescent="0.2">
      <c r="A53" s="435" t="s">
        <v>32</v>
      </c>
      <c r="B53" s="746" t="s">
        <v>11</v>
      </c>
      <c r="C53" s="747"/>
      <c r="D53" s="747"/>
      <c r="E53" s="748"/>
      <c r="F53" s="443"/>
      <c r="G53" s="443">
        <v>1319.17</v>
      </c>
      <c r="H53" s="454" t="s">
        <v>417</v>
      </c>
    </row>
    <row r="54" spans="1:36" x14ac:dyDescent="0.2">
      <c r="A54" s="435" t="s">
        <v>32</v>
      </c>
      <c r="B54" s="746" t="s">
        <v>12</v>
      </c>
      <c r="C54" s="747"/>
      <c r="D54" s="747"/>
      <c r="E54" s="748"/>
      <c r="F54" s="443"/>
      <c r="G54" s="443">
        <v>10337.75</v>
      </c>
      <c r="H54" s="454" t="s">
        <v>417</v>
      </c>
    </row>
    <row r="55" spans="1:36" x14ac:dyDescent="0.2">
      <c r="A55" s="435" t="s">
        <v>32</v>
      </c>
      <c r="B55" s="746" t="s">
        <v>13</v>
      </c>
      <c r="C55" s="747"/>
      <c r="D55" s="747"/>
      <c r="E55" s="748"/>
      <c r="F55" s="443"/>
      <c r="G55" s="443">
        <v>10186.61</v>
      </c>
      <c r="H55" s="454" t="s">
        <v>417</v>
      </c>
    </row>
    <row r="56" spans="1:36" s="25" customFormat="1" ht="15" thickBot="1" x14ac:dyDescent="0.25">
      <c r="A56" s="435" t="s">
        <v>32</v>
      </c>
      <c r="B56" s="746" t="s">
        <v>328</v>
      </c>
      <c r="C56" s="747"/>
      <c r="D56" s="747"/>
      <c r="E56" s="748"/>
      <c r="F56" s="443"/>
      <c r="G56" s="443"/>
      <c r="H56" s="454" t="s">
        <v>417</v>
      </c>
      <c r="I56" s="1"/>
      <c r="J56" s="29"/>
      <c r="K56" s="29"/>
      <c r="L56" s="29"/>
      <c r="M56" s="29"/>
      <c r="N56" s="29"/>
      <c r="O56" s="29"/>
      <c r="P56" s="11"/>
      <c r="Q56" s="11"/>
      <c r="R56" s="11"/>
      <c r="S56" s="11"/>
      <c r="T56" s="11"/>
      <c r="U56" s="11"/>
      <c r="V56" s="11"/>
      <c r="W56" s="11"/>
      <c r="X56" s="11"/>
      <c r="Y56" s="11"/>
      <c r="Z56" s="11"/>
      <c r="AA56" s="1"/>
      <c r="AB56" s="1"/>
      <c r="AC56" s="1"/>
      <c r="AD56" s="1"/>
      <c r="AE56" s="1"/>
      <c r="AF56" s="1"/>
      <c r="AG56" s="1"/>
      <c r="AH56" s="1"/>
      <c r="AI56" s="1"/>
      <c r="AJ56" s="1"/>
    </row>
    <row r="57" spans="1:36" s="25" customFormat="1" ht="15" hidden="1" thickBot="1" x14ac:dyDescent="0.25">
      <c r="A57" s="435" t="s">
        <v>32</v>
      </c>
      <c r="B57" s="674" t="s">
        <v>100</v>
      </c>
      <c r="C57" s="675"/>
      <c r="D57" s="675"/>
      <c r="E57" s="676"/>
      <c r="F57" s="443"/>
      <c r="G57" s="443"/>
      <c r="H57" s="443"/>
      <c r="I57" s="1"/>
      <c r="J57" s="29"/>
      <c r="K57" s="29"/>
      <c r="L57" s="29"/>
      <c r="M57" s="29"/>
      <c r="N57" s="29"/>
      <c r="O57" s="29"/>
      <c r="P57" s="11"/>
      <c r="Q57" s="11"/>
      <c r="R57" s="11"/>
      <c r="S57" s="11"/>
      <c r="T57" s="11"/>
      <c r="U57" s="11"/>
      <c r="V57" s="11"/>
      <c r="W57" s="11"/>
      <c r="X57" s="11"/>
      <c r="Y57" s="11"/>
      <c r="Z57" s="11"/>
      <c r="AA57" s="1"/>
      <c r="AB57" s="1"/>
      <c r="AC57" s="1"/>
      <c r="AD57" s="1"/>
      <c r="AE57" s="1"/>
      <c r="AF57" s="1"/>
      <c r="AG57" s="1"/>
      <c r="AH57" s="1"/>
      <c r="AI57" s="1"/>
      <c r="AJ57" s="1"/>
    </row>
    <row r="58" spans="1:36" s="18" customFormat="1" ht="15" hidden="1" customHeight="1" x14ac:dyDescent="0.2">
      <c r="A58" s="436"/>
      <c r="B58" s="746"/>
      <c r="C58" s="747"/>
      <c r="D58" s="747"/>
      <c r="E58" s="748"/>
      <c r="F58" s="444"/>
      <c r="G58" s="444">
        <v>0</v>
      </c>
      <c r="H58" s="455"/>
      <c r="I58" s="1"/>
      <c r="J58" s="29"/>
      <c r="K58" s="29"/>
      <c r="L58" s="29"/>
      <c r="M58" s="29"/>
      <c r="N58" s="29"/>
      <c r="O58" s="29"/>
      <c r="P58" s="11"/>
      <c r="Q58" s="11"/>
      <c r="R58" s="11"/>
      <c r="S58" s="11"/>
      <c r="T58" s="11"/>
      <c r="U58" s="11"/>
      <c r="V58" s="11"/>
      <c r="W58" s="11"/>
      <c r="X58" s="11"/>
      <c r="Y58" s="11"/>
      <c r="Z58" s="11"/>
      <c r="AA58" s="1"/>
      <c r="AB58" s="1"/>
      <c r="AC58" s="1"/>
      <c r="AD58" s="1"/>
      <c r="AE58" s="1"/>
      <c r="AF58" s="1"/>
      <c r="AG58" s="1"/>
      <c r="AH58" s="1"/>
      <c r="AI58" s="1"/>
      <c r="AJ58" s="1"/>
    </row>
    <row r="59" spans="1:36" s="392" customFormat="1" ht="15.75" thickBot="1" x14ac:dyDescent="0.3">
      <c r="A59" s="472" t="s">
        <v>51</v>
      </c>
      <c r="B59" s="473"/>
      <c r="C59" s="473"/>
      <c r="D59" s="473"/>
      <c r="E59" s="474"/>
      <c r="F59" s="564">
        <f t="shared" ref="F59:H59" si="0">SUM(F48:F58)</f>
        <v>68000</v>
      </c>
      <c r="G59" s="565">
        <f t="shared" si="0"/>
        <v>65343.53</v>
      </c>
      <c r="H59" s="565">
        <f t="shared" si="0"/>
        <v>0</v>
      </c>
      <c r="I59" s="391"/>
      <c r="J59" s="390"/>
      <c r="K59" s="390"/>
      <c r="L59" s="390"/>
      <c r="M59" s="390"/>
      <c r="N59" s="390"/>
      <c r="O59" s="390"/>
      <c r="P59" s="390"/>
      <c r="Q59" s="390"/>
      <c r="R59" s="390"/>
      <c r="S59" s="390"/>
      <c r="T59" s="390"/>
      <c r="U59" s="390"/>
      <c r="V59" s="390"/>
      <c r="W59" s="390"/>
      <c r="X59" s="390"/>
      <c r="Y59" s="390"/>
      <c r="Z59" s="390"/>
      <c r="AA59" s="391"/>
      <c r="AB59" s="391"/>
      <c r="AC59" s="391"/>
      <c r="AD59" s="391"/>
      <c r="AE59" s="391"/>
      <c r="AF59" s="391"/>
      <c r="AG59" s="391"/>
      <c r="AH59" s="391"/>
      <c r="AI59" s="391"/>
      <c r="AJ59" s="391"/>
    </row>
    <row r="61" spans="1:36" s="51" customFormat="1" ht="31.5" hidden="1" x14ac:dyDescent="0.25">
      <c r="A61" s="54"/>
      <c r="B61" s="50"/>
      <c r="C61" s="50"/>
      <c r="D61" s="50"/>
      <c r="E61" s="50"/>
      <c r="F61" s="50"/>
      <c r="G61" s="151" t="s">
        <v>308</v>
      </c>
      <c r="H61" s="152" t="s">
        <v>153</v>
      </c>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row>
    <row r="62" spans="1:36" s="43" customFormat="1" ht="20.25" hidden="1" customHeight="1" x14ac:dyDescent="0.2">
      <c r="A62" s="496" t="s">
        <v>95</v>
      </c>
      <c r="B62" s="760" t="s">
        <v>60</v>
      </c>
      <c r="C62" s="760"/>
      <c r="D62" s="760"/>
      <c r="E62" s="760"/>
      <c r="F62" s="497"/>
      <c r="G62" s="497" t="e">
        <f>104647.76-#REF!-1250-1250</f>
        <v>#REF!</v>
      </c>
      <c r="H62" s="497" t="e">
        <f>#REF!</f>
        <v>#REF!</v>
      </c>
      <c r="I62" s="1"/>
      <c r="J62" s="29"/>
      <c r="K62" s="29"/>
      <c r="L62" s="29"/>
      <c r="M62" s="29"/>
      <c r="N62" s="29"/>
      <c r="O62" s="29"/>
      <c r="P62" s="11"/>
      <c r="Q62" s="11"/>
      <c r="R62" s="11"/>
      <c r="S62" s="11"/>
      <c r="T62" s="11"/>
      <c r="U62" s="11"/>
      <c r="V62" s="11"/>
      <c r="W62" s="11"/>
      <c r="X62" s="11"/>
      <c r="Y62" s="11"/>
      <c r="Z62" s="11"/>
      <c r="AA62" s="1"/>
      <c r="AB62" s="1"/>
      <c r="AC62" s="1"/>
      <c r="AD62" s="1"/>
      <c r="AE62" s="1"/>
      <c r="AF62" s="1"/>
      <c r="AG62" s="1"/>
      <c r="AH62" s="1"/>
      <c r="AI62" s="1"/>
      <c r="AJ62" s="1"/>
    </row>
    <row r="63" spans="1:36" s="25" customFormat="1" hidden="1" x14ac:dyDescent="0.2">
      <c r="A63" s="499" t="s">
        <v>47</v>
      </c>
      <c r="B63" s="759" t="s">
        <v>42</v>
      </c>
      <c r="C63" s="759"/>
      <c r="D63" s="759"/>
      <c r="E63" s="759"/>
      <c r="F63" s="494"/>
      <c r="G63" s="494"/>
      <c r="H63" s="495"/>
      <c r="I63" s="1"/>
      <c r="J63" s="29"/>
      <c r="K63" s="29"/>
      <c r="L63" s="29"/>
      <c r="M63" s="29"/>
      <c r="N63" s="29"/>
      <c r="O63" s="29"/>
      <c r="P63" s="11"/>
      <c r="Q63" s="11"/>
      <c r="R63" s="11"/>
      <c r="S63" s="11"/>
      <c r="T63" s="11"/>
      <c r="U63" s="11"/>
      <c r="V63" s="11"/>
      <c r="W63" s="11"/>
      <c r="X63" s="11"/>
      <c r="Y63" s="11"/>
      <c r="Z63" s="11"/>
      <c r="AA63" s="1"/>
      <c r="AB63" s="1"/>
      <c r="AC63" s="1"/>
      <c r="AD63" s="1"/>
      <c r="AE63" s="1"/>
      <c r="AF63" s="1"/>
      <c r="AG63" s="1"/>
      <c r="AH63" s="1"/>
      <c r="AI63" s="1"/>
      <c r="AJ63" s="1"/>
    </row>
    <row r="64" spans="1:36" s="18" customFormat="1" hidden="1" x14ac:dyDescent="0.2">
      <c r="A64" s="499" t="s">
        <v>32</v>
      </c>
      <c r="B64" s="761" t="s">
        <v>220</v>
      </c>
      <c r="C64" s="762"/>
      <c r="D64" s="762"/>
      <c r="E64" s="763"/>
      <c r="F64" s="494"/>
      <c r="G64" s="494"/>
      <c r="H64" s="495"/>
      <c r="I64" s="1"/>
      <c r="J64" s="29"/>
      <c r="K64" s="29"/>
      <c r="L64" s="29"/>
      <c r="M64" s="29"/>
      <c r="N64" s="29"/>
      <c r="O64" s="29"/>
      <c r="P64" s="11"/>
      <c r="Q64" s="11"/>
      <c r="R64" s="11"/>
      <c r="S64" s="11"/>
      <c r="T64" s="11"/>
      <c r="U64" s="11"/>
      <c r="V64" s="11"/>
      <c r="W64" s="11"/>
      <c r="X64" s="11"/>
      <c r="Y64" s="11"/>
      <c r="Z64" s="11"/>
      <c r="AA64" s="1"/>
      <c r="AB64" s="1"/>
      <c r="AC64" s="1"/>
      <c r="AD64" s="1"/>
      <c r="AE64" s="1"/>
      <c r="AF64" s="1"/>
      <c r="AG64" s="1"/>
      <c r="AH64" s="1"/>
      <c r="AI64" s="1"/>
      <c r="AJ64" s="1"/>
    </row>
    <row r="65" spans="1:36" s="18" customFormat="1" ht="15" hidden="1" thickBot="1" x14ac:dyDescent="0.25">
      <c r="A65" s="501" t="s">
        <v>219</v>
      </c>
      <c r="B65" s="758" t="s">
        <v>60</v>
      </c>
      <c r="C65" s="758"/>
      <c r="D65" s="758"/>
      <c r="E65" s="758"/>
      <c r="F65" s="502"/>
      <c r="G65" s="502"/>
      <c r="H65" s="502"/>
      <c r="I65" s="1"/>
      <c r="J65" s="29"/>
      <c r="K65" s="29"/>
      <c r="L65" s="29"/>
      <c r="M65" s="29"/>
      <c r="N65" s="29"/>
      <c r="O65" s="29"/>
      <c r="P65" s="11"/>
      <c r="Q65" s="11"/>
      <c r="R65" s="11"/>
      <c r="S65" s="11"/>
      <c r="T65" s="11"/>
      <c r="U65" s="11"/>
      <c r="V65" s="11"/>
      <c r="W65" s="11"/>
      <c r="X65" s="11"/>
      <c r="Y65" s="11"/>
      <c r="Z65" s="11"/>
      <c r="AA65" s="1"/>
      <c r="AB65" s="1"/>
      <c r="AC65" s="1"/>
      <c r="AD65" s="1"/>
      <c r="AE65" s="1"/>
      <c r="AF65" s="1"/>
      <c r="AG65" s="1"/>
      <c r="AH65" s="1"/>
      <c r="AI65" s="1"/>
      <c r="AJ65" s="1"/>
    </row>
    <row r="66" spans="1:36" x14ac:dyDescent="0.2">
      <c r="F66" s="354"/>
      <c r="G66" s="355"/>
      <c r="H66" s="354"/>
    </row>
    <row r="67" spans="1:36" x14ac:dyDescent="0.2">
      <c r="C67" s="700"/>
    </row>
    <row r="68" spans="1:36" x14ac:dyDescent="0.2">
      <c r="C68" s="700"/>
    </row>
    <row r="69" spans="1:36" x14ac:dyDescent="0.2">
      <c r="C69" s="700"/>
    </row>
  </sheetData>
  <mergeCells count="27">
    <mergeCell ref="B63:E63"/>
    <mergeCell ref="B64:E64"/>
    <mergeCell ref="B65:E65"/>
    <mergeCell ref="B53:E53"/>
    <mergeCell ref="B54:E54"/>
    <mergeCell ref="B55:E55"/>
    <mergeCell ref="B56:E56"/>
    <mergeCell ref="B58:E58"/>
    <mergeCell ref="B62:E62"/>
    <mergeCell ref="B52:E52"/>
    <mergeCell ref="B38:C38"/>
    <mergeCell ref="B39:C39"/>
    <mergeCell ref="B40:C40"/>
    <mergeCell ref="B41:C41"/>
    <mergeCell ref="B42:C42"/>
    <mergeCell ref="B43:C43"/>
    <mergeCell ref="B47:E47"/>
    <mergeCell ref="B48:E48"/>
    <mergeCell ref="B49:E49"/>
    <mergeCell ref="B50:E50"/>
    <mergeCell ref="B51:E51"/>
    <mergeCell ref="B37:C37"/>
    <mergeCell ref="B32:C32"/>
    <mergeCell ref="B33:C33"/>
    <mergeCell ref="B34:C34"/>
    <mergeCell ref="B35:C35"/>
    <mergeCell ref="B36:C36"/>
  </mergeCells>
  <pageMargins left="0.7" right="0.45" top="0.5" bottom="0.5" header="0.3" footer="0.3"/>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51"/>
  <sheetViews>
    <sheetView workbookViewId="0">
      <selection sqref="A1:I40"/>
    </sheetView>
  </sheetViews>
  <sheetFormatPr defaultRowHeight="14.25" x14ac:dyDescent="0.2"/>
  <cols>
    <col min="1" max="1" width="2.875" style="58" customWidth="1"/>
    <col min="2" max="2" width="8.125" style="58" customWidth="1"/>
    <col min="3" max="3" width="4.25" style="58" customWidth="1"/>
    <col min="4" max="4" width="5.75" style="58" customWidth="1"/>
    <col min="5" max="5" width="2.875" style="58" customWidth="1"/>
    <col min="6" max="6" width="50.25" style="58" customWidth="1"/>
    <col min="7" max="7" width="23.125" style="18" customWidth="1"/>
    <col min="8" max="8" width="1.75" style="18" customWidth="1"/>
    <col min="9" max="9" width="23.125" style="18" customWidth="1"/>
    <col min="10"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246</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2.5" customHeight="1" x14ac:dyDescent="0.4">
      <c r="A3" s="59" t="s">
        <v>217</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69</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ht="22.5" customHeight="1" x14ac:dyDescent="0.4">
      <c r="A5" s="59" t="s">
        <v>245</v>
      </c>
      <c r="B5" s="60"/>
      <c r="C5" s="61"/>
      <c r="D5" s="61"/>
      <c r="E5" s="61"/>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row>
    <row r="6" spans="1:130" s="64" customFormat="1" ht="8.25" customHeight="1" thickBot="1" x14ac:dyDescent="0.25">
      <c r="A6" s="62"/>
      <c r="B6" s="62"/>
      <c r="C6" s="62"/>
      <c r="D6" s="62"/>
      <c r="E6" s="62"/>
      <c r="F6" s="62"/>
      <c r="G6" s="63"/>
      <c r="H6" s="63"/>
      <c r="I6" s="479"/>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row>
    <row r="7" spans="1:130" s="67" customFormat="1" ht="24.75" customHeight="1" thickTop="1" thickBot="1" x14ac:dyDescent="0.25">
      <c r="A7" s="65" t="s">
        <v>246</v>
      </c>
      <c r="B7" s="65"/>
      <c r="C7" s="65"/>
      <c r="D7" s="65"/>
      <c r="E7" s="65"/>
      <c r="F7" s="65"/>
      <c r="G7" s="856" t="s">
        <v>71</v>
      </c>
      <c r="H7" s="856"/>
      <c r="I7" s="85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row>
    <row r="8" spans="1:130" s="69" customFormat="1" ht="8.25" customHeight="1" thickTop="1" x14ac:dyDescent="0.2">
      <c r="A8" s="68"/>
      <c r="B8" s="68"/>
      <c r="C8" s="68"/>
      <c r="D8" s="68"/>
      <c r="E8" s="68"/>
      <c r="F8" s="68"/>
    </row>
    <row r="9" spans="1:130" s="73" customFormat="1" ht="21" thickBot="1" x14ac:dyDescent="0.35">
      <c r="A9" s="70"/>
      <c r="B9" s="155" t="s">
        <v>267</v>
      </c>
      <c r="C9" s="155"/>
      <c r="D9" s="155"/>
      <c r="E9" s="155"/>
      <c r="F9" s="155"/>
      <c r="G9" s="424">
        <v>41274</v>
      </c>
      <c r="H9" s="482"/>
      <c r="I9" s="424">
        <v>41578</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130" s="75" customFormat="1" ht="20.25" x14ac:dyDescent="0.2">
      <c r="A10" s="74"/>
      <c r="B10" s="74"/>
      <c r="C10" s="76" t="s">
        <v>139</v>
      </c>
      <c r="D10" s="74"/>
      <c r="E10" s="74"/>
      <c r="F10" s="74"/>
      <c r="G10" s="405">
        <f>'June 15 State of Activities'!H68</f>
        <v>87637.560000000391</v>
      </c>
      <c r="H10" s="405"/>
      <c r="I10" s="405">
        <f>'June 15 State of Activities'!J68</f>
        <v>45507.389999999752</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74"/>
      <c r="D11" s="74"/>
      <c r="E11" s="74"/>
      <c r="F11" s="74"/>
      <c r="G11" s="406"/>
      <c r="H11" s="406"/>
      <c r="I11" s="40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t="s">
        <v>268</v>
      </c>
      <c r="C12" s="74"/>
      <c r="D12" s="74"/>
      <c r="E12" s="74"/>
      <c r="F12" s="74"/>
      <c r="G12" s="406"/>
      <c r="H12" s="406"/>
      <c r="I12" s="406"/>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1" thickBot="1" x14ac:dyDescent="0.25">
      <c r="A13" s="74"/>
      <c r="B13" s="568" t="s">
        <v>247</v>
      </c>
      <c r="C13" s="569"/>
      <c r="D13" s="88"/>
      <c r="E13" s="88"/>
      <c r="F13" s="88"/>
      <c r="G13" s="406"/>
      <c r="H13" s="406"/>
      <c r="I13" s="406"/>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76" t="s">
        <v>183</v>
      </c>
      <c r="D14" s="76"/>
      <c r="E14" s="74"/>
      <c r="F14" s="74"/>
      <c r="G14" s="406">
        <f>'June 15 State of Activities'!H50</f>
        <v>40160</v>
      </c>
      <c r="H14" s="406"/>
      <c r="I14" s="406">
        <f>'June 15 State of Activities'!J50</f>
        <v>18129</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570" t="s">
        <v>248</v>
      </c>
      <c r="D15" s="76"/>
      <c r="E15" s="74"/>
      <c r="F15" s="74"/>
      <c r="G15" s="406">
        <v>132</v>
      </c>
      <c r="H15" s="406"/>
      <c r="I15" s="406">
        <f>-'June 15 Financial Position'!K21+'June 15 Financial Position'!I21-0.5</f>
        <v>-24.640000000003056</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76" t="s">
        <v>249</v>
      </c>
      <c r="D16" s="76"/>
      <c r="E16" s="74"/>
      <c r="F16" s="74"/>
      <c r="G16" s="406"/>
      <c r="H16" s="406"/>
      <c r="I16" s="406"/>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0.25" x14ac:dyDescent="0.2">
      <c r="A17" s="74"/>
      <c r="B17" s="74"/>
      <c r="C17" s="78"/>
      <c r="D17" s="76" t="s">
        <v>250</v>
      </c>
      <c r="E17" s="74"/>
      <c r="F17" s="74"/>
      <c r="G17" s="406">
        <v>104073</v>
      </c>
      <c r="H17" s="406"/>
      <c r="I17" s="406">
        <f>-'June 15 Financial Position'!K19+'June 15 Financial Position'!I19</f>
        <v>-118899.02999999997</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6"/>
      <c r="D18" s="76" t="s">
        <v>251</v>
      </c>
      <c r="E18" s="74"/>
      <c r="F18" s="74"/>
      <c r="G18" s="406">
        <f>-1936+577</f>
        <v>-1359</v>
      </c>
      <c r="H18" s="406"/>
      <c r="I18" s="406">
        <f>-'June 15 Financial Position'!K22+'June 15 Financial Position'!I22</f>
        <v>1403.33</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0.25" x14ac:dyDescent="0.2">
      <c r="A19" s="74"/>
      <c r="B19" s="74"/>
      <c r="C19" s="76"/>
      <c r="D19" s="76" t="s">
        <v>252</v>
      </c>
      <c r="E19" s="74"/>
      <c r="F19" s="74"/>
      <c r="G19" s="406">
        <f>-17737</f>
        <v>-17737</v>
      </c>
      <c r="H19" s="406"/>
      <c r="I19" s="406">
        <f>'June 15 Financial Position'!K42-'June 15 Financial Position'!I42+'June 15 Financial Position'!K43-'June 15 Financial Position'!I43</f>
        <v>13222.199999999997</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0.25" x14ac:dyDescent="0.2">
      <c r="A20" s="74"/>
      <c r="B20" s="74"/>
      <c r="C20" s="76"/>
      <c r="D20" s="76" t="s">
        <v>264</v>
      </c>
      <c r="E20" s="74"/>
      <c r="F20" s="74"/>
      <c r="G20" s="406">
        <v>-1875</v>
      </c>
      <c r="H20" s="406"/>
      <c r="I20" s="406">
        <f>'June 15 Financial Position'!K50-'June 15 Financial Position'!I50+'June 15 Financial Position'!K52+'June 15 Financial Position'!K53-'June 15 Financial Position'!I52-'June 15 Financial Position'!I53</f>
        <v>-5057.3900000000031</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76"/>
      <c r="D21" s="76" t="s">
        <v>263</v>
      </c>
      <c r="E21" s="74"/>
      <c r="F21" s="74"/>
      <c r="G21" s="406">
        <v>-7710</v>
      </c>
      <c r="H21" s="406"/>
      <c r="I21" s="406">
        <f>'June 15 Financial Position'!K51-'June 15 Financial Position'!I51</f>
        <v>-1255.7799999999988</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76"/>
      <c r="D22" s="76" t="s">
        <v>137</v>
      </c>
      <c r="E22" s="74"/>
      <c r="F22" s="74"/>
      <c r="G22" s="406">
        <f>-12066</f>
        <v>-12066</v>
      </c>
      <c r="H22" s="406"/>
      <c r="I22" s="406">
        <f>'June 15 Financial Position'!K44-'June 15 Financial Position'!I44</f>
        <v>294.98000000000116</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0.25" x14ac:dyDescent="0.2">
      <c r="A23" s="74"/>
      <c r="B23" s="74"/>
      <c r="C23" s="76"/>
      <c r="D23" s="76" t="s">
        <v>150</v>
      </c>
      <c r="E23" s="74"/>
      <c r="F23" s="74"/>
      <c r="G23" s="406">
        <v>9502</v>
      </c>
      <c r="H23" s="406"/>
      <c r="I23" s="406">
        <f>'June 15 Financial Position'!K46-'June 15 Financial Position'!I46</f>
        <v>66420.06</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1" thickBot="1" x14ac:dyDescent="0.25">
      <c r="A24" s="74"/>
      <c r="B24" s="74"/>
      <c r="C24" s="76"/>
      <c r="D24" s="76" t="s">
        <v>266</v>
      </c>
      <c r="E24" s="74"/>
      <c r="F24" s="74"/>
      <c r="G24" s="407">
        <v>16400</v>
      </c>
      <c r="H24" s="481"/>
      <c r="I24" s="407">
        <f>-G24</f>
        <v>-16400</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69" customFormat="1" ht="21" thickBot="1" x14ac:dyDescent="0.25">
      <c r="A25" s="68"/>
      <c r="B25" s="68"/>
      <c r="C25" s="68"/>
      <c r="D25" s="68" t="s">
        <v>253</v>
      </c>
      <c r="E25" s="68"/>
      <c r="F25" s="68"/>
      <c r="G25" s="571">
        <f>SUM(G14:G24)</f>
        <v>129520</v>
      </c>
      <c r="H25" s="358"/>
      <c r="I25" s="571">
        <f>SUM(I14:I24)</f>
        <v>-42167.269999999975</v>
      </c>
    </row>
    <row r="26" spans="1:63" s="69" customFormat="1" ht="21" thickBot="1" x14ac:dyDescent="0.25">
      <c r="A26" s="68"/>
      <c r="B26" s="68" t="s">
        <v>254</v>
      </c>
      <c r="C26" s="68"/>
      <c r="E26" s="68"/>
      <c r="F26" s="68"/>
      <c r="G26" s="571">
        <f>G10+G25</f>
        <v>217157.56000000041</v>
      </c>
      <c r="H26" s="358"/>
      <c r="I26" s="571">
        <f>I10+I25</f>
        <v>3340.1199999997771</v>
      </c>
    </row>
    <row r="27" spans="1:63" s="69" customFormat="1" ht="20.25" x14ac:dyDescent="0.2">
      <c r="A27" s="68"/>
      <c r="B27" s="68"/>
      <c r="C27" s="68"/>
      <c r="D27" s="68"/>
      <c r="E27" s="68"/>
      <c r="F27" s="68"/>
      <c r="G27" s="358"/>
      <c r="H27" s="358"/>
      <c r="I27" s="358"/>
    </row>
    <row r="28" spans="1:63" s="75" customFormat="1" ht="21" thickBot="1" x14ac:dyDescent="0.25">
      <c r="A28" s="74"/>
      <c r="B28" s="88" t="s">
        <v>255</v>
      </c>
      <c r="C28" s="88"/>
      <c r="D28" s="88"/>
      <c r="E28" s="88"/>
      <c r="F28" s="88"/>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row>
    <row r="29" spans="1:63" s="69" customFormat="1" ht="20.25" x14ac:dyDescent="0.2">
      <c r="A29" s="68"/>
      <c r="B29" s="68"/>
      <c r="C29" s="80" t="s">
        <v>256</v>
      </c>
      <c r="D29" s="68"/>
      <c r="E29" s="68"/>
      <c r="F29" s="68"/>
      <c r="G29" s="417"/>
      <c r="H29" s="417"/>
      <c r="I29" s="417"/>
    </row>
    <row r="30" spans="1:63" s="69" customFormat="1" ht="20.25" x14ac:dyDescent="0.2">
      <c r="A30" s="68"/>
      <c r="B30" s="68"/>
      <c r="C30" s="80"/>
      <c r="D30" s="80" t="s">
        <v>265</v>
      </c>
      <c r="E30" s="68"/>
      <c r="F30" s="68"/>
      <c r="G30" s="417">
        <f>-6756</f>
        <v>-6756</v>
      </c>
      <c r="H30" s="417"/>
      <c r="I30" s="417">
        <f>-'June 15 Financial Position'!K28+'June 15 Financial Position'!I28</f>
        <v>-14941.51999999999</v>
      </c>
    </row>
    <row r="31" spans="1:63" s="69" customFormat="1" ht="20.25" x14ac:dyDescent="0.2">
      <c r="A31" s="68"/>
      <c r="B31" s="68"/>
      <c r="C31" s="80"/>
      <c r="D31" s="80" t="s">
        <v>257</v>
      </c>
      <c r="E31" s="68"/>
      <c r="F31" s="68"/>
      <c r="G31" s="417"/>
      <c r="H31" s="417"/>
      <c r="I31" s="417">
        <v>-21479.85</v>
      </c>
    </row>
    <row r="32" spans="1:63" s="69" customFormat="1" ht="21" thickBot="1" x14ac:dyDescent="0.25">
      <c r="A32" s="68"/>
      <c r="B32" s="68"/>
      <c r="C32" s="80" t="s">
        <v>258</v>
      </c>
      <c r="E32" s="68"/>
      <c r="F32" s="68"/>
      <c r="G32" s="572">
        <v>-590</v>
      </c>
      <c r="H32" s="417"/>
      <c r="I32" s="572"/>
    </row>
    <row r="33" spans="1:9" s="69" customFormat="1" ht="21" thickBot="1" x14ac:dyDescent="0.25">
      <c r="A33" s="68"/>
      <c r="B33" s="68" t="s">
        <v>259</v>
      </c>
      <c r="C33" s="68"/>
      <c r="D33" s="68"/>
      <c r="E33" s="68"/>
      <c r="F33" s="68"/>
      <c r="G33" s="573">
        <f>SUM(G30:G32)</f>
        <v>-7346</v>
      </c>
      <c r="H33" s="417"/>
      <c r="I33" s="573">
        <f>SUM(I30:I32)</f>
        <v>-36421.369999999988</v>
      </c>
    </row>
    <row r="34" spans="1:9" s="69" customFormat="1" ht="20.25" x14ac:dyDescent="0.2">
      <c r="A34" s="68"/>
      <c r="B34" s="68"/>
      <c r="C34" s="68"/>
      <c r="D34" s="68"/>
      <c r="E34" s="68"/>
      <c r="F34" s="68"/>
      <c r="G34" s="417"/>
      <c r="H34" s="417"/>
      <c r="I34" s="417"/>
    </row>
    <row r="35" spans="1:9" s="69" customFormat="1" ht="20.25" x14ac:dyDescent="0.2">
      <c r="A35" s="68"/>
      <c r="B35" s="68" t="s">
        <v>260</v>
      </c>
      <c r="C35" s="68"/>
      <c r="D35" s="68"/>
      <c r="E35" s="68"/>
      <c r="F35" s="68"/>
      <c r="G35" s="417">
        <f>G26+G33</f>
        <v>209811.56000000041</v>
      </c>
      <c r="H35" s="417"/>
      <c r="I35" s="417">
        <f>I26+I33</f>
        <v>-33081.250000000211</v>
      </c>
    </row>
    <row r="36" spans="1:9" s="69" customFormat="1" ht="20.25" x14ac:dyDescent="0.2">
      <c r="A36" s="68"/>
      <c r="B36" s="68"/>
      <c r="C36" s="68"/>
      <c r="D36" s="68"/>
      <c r="E36" s="68"/>
      <c r="F36" s="68"/>
      <c r="G36" s="417"/>
      <c r="H36" s="417"/>
      <c r="I36" s="417"/>
    </row>
    <row r="37" spans="1:9" s="69" customFormat="1" ht="21" thickBot="1" x14ac:dyDescent="0.25">
      <c r="A37" s="68"/>
      <c r="B37" s="68" t="s">
        <v>261</v>
      </c>
      <c r="C37" s="68"/>
      <c r="D37" s="68"/>
      <c r="E37" s="68"/>
      <c r="F37" s="68"/>
      <c r="G37" s="572">
        <f>'[2]Feb Financial Position'!G16</f>
        <v>156809.12</v>
      </c>
      <c r="H37" s="417"/>
      <c r="I37" s="572">
        <f>G39</f>
        <v>366620.6800000004</v>
      </c>
    </row>
    <row r="38" spans="1:9" s="69" customFormat="1" ht="20.25" x14ac:dyDescent="0.2">
      <c r="A38" s="68"/>
      <c r="B38" s="68"/>
      <c r="C38" s="68"/>
      <c r="D38" s="68"/>
      <c r="E38" s="68"/>
      <c r="F38" s="68"/>
      <c r="G38" s="417"/>
      <c r="H38" s="417"/>
      <c r="I38" s="417"/>
    </row>
    <row r="39" spans="1:9" s="69" customFormat="1" ht="21" thickBot="1" x14ac:dyDescent="0.25">
      <c r="A39" s="68"/>
      <c r="C39" s="68" t="s">
        <v>262</v>
      </c>
      <c r="D39" s="68"/>
      <c r="E39" s="68"/>
      <c r="F39" s="68"/>
      <c r="G39" s="574">
        <f>G35+G37</f>
        <v>366620.6800000004</v>
      </c>
      <c r="H39" s="575"/>
      <c r="I39" s="574">
        <f>I35+I37</f>
        <v>333539.43000000017</v>
      </c>
    </row>
    <row r="40" spans="1:9" s="69" customFormat="1" ht="21" thickTop="1" x14ac:dyDescent="0.2">
      <c r="A40" s="68"/>
      <c r="B40" s="68"/>
      <c r="C40" s="68"/>
      <c r="D40" s="68"/>
      <c r="E40" s="68"/>
      <c r="F40" s="68"/>
      <c r="G40" s="417"/>
      <c r="H40" s="417"/>
      <c r="I40" s="417"/>
    </row>
    <row r="41" spans="1:9" s="69" customFormat="1" ht="20.25" x14ac:dyDescent="0.2">
      <c r="A41" s="68"/>
      <c r="B41" s="68"/>
      <c r="C41" s="68"/>
      <c r="D41" s="68"/>
      <c r="E41" s="68"/>
      <c r="F41" s="68"/>
      <c r="G41" s="417"/>
      <c r="H41" s="417"/>
      <c r="I41" s="417"/>
    </row>
    <row r="42" spans="1:9" s="77" customFormat="1" ht="20.25" x14ac:dyDescent="0.2">
      <c r="A42" s="80"/>
      <c r="B42" s="80"/>
      <c r="D42" s="80"/>
      <c r="E42" s="80"/>
      <c r="F42" s="80"/>
      <c r="G42" s="358"/>
      <c r="H42" s="358"/>
      <c r="I42" s="358"/>
    </row>
    <row r="43" spans="1:9" s="77" customFormat="1" ht="20.25" x14ac:dyDescent="0.2">
      <c r="A43" s="80"/>
      <c r="B43" s="80"/>
      <c r="D43" s="80"/>
      <c r="E43" s="80"/>
      <c r="F43" s="80"/>
      <c r="G43" s="358"/>
      <c r="H43" s="358"/>
      <c r="I43" s="358"/>
    </row>
    <row r="44" spans="1:9" s="69" customFormat="1" ht="20.25" x14ac:dyDescent="0.2">
      <c r="A44" s="68"/>
      <c r="B44" s="68"/>
      <c r="D44" s="80"/>
      <c r="E44" s="68"/>
      <c r="F44" s="68"/>
      <c r="G44" s="358"/>
      <c r="H44" s="358"/>
      <c r="I44" s="358"/>
    </row>
    <row r="45" spans="1:9" s="69" customFormat="1" ht="23.25" x14ac:dyDescent="0.2">
      <c r="A45" s="68"/>
      <c r="B45" s="413"/>
      <c r="C45" s="68"/>
      <c r="D45" s="68"/>
      <c r="E45" s="68"/>
      <c r="F45" s="68"/>
      <c r="G45" s="363"/>
      <c r="H45" s="363"/>
      <c r="I45" s="363"/>
    </row>
    <row r="46" spans="1:9" s="69" customFormat="1" ht="20.25" x14ac:dyDescent="0.2">
      <c r="A46" s="68"/>
      <c r="B46" s="68"/>
      <c r="C46" s="68"/>
      <c r="D46" s="68"/>
      <c r="E46" s="68"/>
      <c r="F46" s="68"/>
      <c r="G46" s="358"/>
      <c r="H46" s="358"/>
      <c r="I46" s="358"/>
    </row>
    <row r="47" spans="1:9" s="83" customFormat="1" ht="26.25" x14ac:dyDescent="0.2">
      <c r="A47" s="410"/>
      <c r="B47" s="410"/>
      <c r="C47" s="410"/>
      <c r="D47" s="410"/>
      <c r="E47" s="410"/>
      <c r="F47" s="410"/>
      <c r="G47" s="363"/>
      <c r="H47" s="363"/>
      <c r="I47" s="363"/>
    </row>
    <row r="48" spans="1:9" s="18" customFormat="1" ht="20.25" x14ac:dyDescent="0.3">
      <c r="A48" s="123"/>
      <c r="B48" s="123"/>
      <c r="C48" s="123"/>
      <c r="D48" s="123"/>
      <c r="E48" s="123"/>
      <c r="F48" s="123"/>
      <c r="G48" s="419"/>
      <c r="H48" s="419"/>
      <c r="I48" s="419"/>
    </row>
    <row r="49" spans="7:9" ht="20.25" x14ac:dyDescent="0.3">
      <c r="G49" s="419"/>
      <c r="H49" s="419"/>
      <c r="I49" s="419"/>
    </row>
    <row r="50" spans="7:9" ht="20.25" x14ac:dyDescent="0.3">
      <c r="G50" s="419"/>
      <c r="H50" s="419"/>
      <c r="I50" s="419"/>
    </row>
    <row r="51" spans="7:9" ht="20.25" x14ac:dyDescent="0.3">
      <c r="G51" s="416"/>
      <c r="H51" s="416"/>
      <c r="I51" s="416"/>
    </row>
  </sheetData>
  <mergeCells count="1">
    <mergeCell ref="G7:I7"/>
  </mergeCells>
  <pageMargins left="0.45" right="0.4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Notes</vt:lpstr>
      <vt:lpstr>June 15 Revenues &amp; Expenses</vt:lpstr>
      <vt:lpstr>October Grants Timeline</vt:lpstr>
      <vt:lpstr>June 15 AR Aging </vt:lpstr>
      <vt:lpstr>Charts</vt:lpstr>
      <vt:lpstr>June 15 Financial Position</vt:lpstr>
      <vt:lpstr>June 15 State of Activities</vt:lpstr>
      <vt:lpstr>June 15 - Transportation</vt:lpstr>
      <vt:lpstr>Sheet1</vt:lpstr>
      <vt:lpstr>YE Trend</vt:lpstr>
      <vt:lpstr>Funds Available</vt:lpstr>
      <vt:lpstr>Restrictions</vt:lpstr>
      <vt:lpstr>October Cash Flow</vt:lpstr>
      <vt:lpstr>Charts!Print_Area</vt:lpstr>
      <vt:lpstr>'Funds Available'!Print_Area</vt:lpstr>
      <vt:lpstr>'June 15 - Transportation'!Print_Area</vt:lpstr>
      <vt:lpstr>'June 15 AR Aging '!Print_Area</vt:lpstr>
      <vt:lpstr>'June 15 Financial Position'!Print_Area</vt:lpstr>
      <vt:lpstr>'June 15 Revenues &amp; Expenses'!Print_Area</vt:lpstr>
      <vt:lpstr>'June 15 State of Activities'!Print_Area</vt:lpstr>
      <vt:lpstr>Notes!Print_Area</vt:lpstr>
      <vt:lpstr>'October Cash Flow'!Print_Area</vt:lpstr>
      <vt:lpstr>'October Grants Timeline'!Print_Area</vt:lpstr>
      <vt:lpstr>Restrictions!Print_Area</vt:lpstr>
      <vt:lpstr>'YE Trend'!Print_Area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2015-07-21T18:55:45Z</cp:lastPrinted>
  <dcterms:created xsi:type="dcterms:W3CDTF">2011-11-03T17:20:29Z</dcterms:created>
  <dcterms:modified xsi:type="dcterms:W3CDTF">2015-07-27T19:12:54Z</dcterms:modified>
</cp:coreProperties>
</file>