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19\"/>
    </mc:Choice>
  </mc:AlternateContent>
  <bookViews>
    <workbookView xWindow="90" yWindow="35820" windowWidth="14955" windowHeight="9060" tabRatio="787"/>
  </bookViews>
  <sheets>
    <sheet name="Notes" sheetId="15" r:id="rId1"/>
    <sheet name="Data" sheetId="19" state="hidden" r:id="rId2"/>
    <sheet name="August'19 Revenues &amp; Expenses" sheetId="3" r:id="rId3"/>
    <sheet name="August'19 AR Aging " sheetId="6" r:id="rId4"/>
    <sheet name="August'19 Financial Position" sheetId="5" r:id="rId5"/>
    <sheet name="August'19 State of Activities" sheetId="12" r:id="rId6"/>
    <sheet name="August'19 Transportation" sheetId="18" r:id="rId7"/>
    <sheet name="Transportation Projections" sheetId="23" r:id="rId8"/>
    <sheet name="2019 Budget" sheetId="22" state="hidden" r:id="rId9"/>
    <sheet name="2017 Medicaid Revenue" sheetId="21" state="hidden" r:id="rId10"/>
    <sheet name="Budget" sheetId="20" state="hidden" r:id="rId11"/>
    <sheet name="YE Historic Data" sheetId="17" state="hidden" r:id="rId12"/>
  </sheets>
  <definedNames>
    <definedName name="_xlnm.Print_Area" localSheetId="9">'2017 Medicaid Revenue'!$A$1:$H$69</definedName>
    <definedName name="_xlnm.Print_Area" localSheetId="3">'August''19 AR Aging '!$A$1:$G$111</definedName>
    <definedName name="_xlnm.Print_Area" localSheetId="4">'August''19 Financial Position'!$A$1:$L$67</definedName>
    <definedName name="_xlnm.Print_Area" localSheetId="2">'August''19 Revenues &amp; Expenses'!$A$1:$L$61</definedName>
    <definedName name="_xlnm.Print_Area" localSheetId="5">'August''19 State of Activities'!$A$1:$O$72</definedName>
    <definedName name="_xlnm.Print_Area" localSheetId="6">'August''19 Transportation'!$A$1:$P$62</definedName>
    <definedName name="_xlnm.Print_Area" localSheetId="10">Budget!$A$1:$G$54</definedName>
    <definedName name="_xlnm.Print_Area" localSheetId="0">Notes!$A$4:$H$109</definedName>
    <definedName name="_xlnm.Print_Area" localSheetId="7">'Transportation Projections'!$A$1:$P$53</definedName>
    <definedName name="_xlnm.Print_Area" localSheetId="11">'YE Historic Data'!$A$1:$W$41</definedName>
    <definedName name="_xlnm.Print_Titles" localSheetId="0">Notes!$1:$3</definedName>
  </definedNames>
  <calcPr calcId="152511"/>
</workbook>
</file>

<file path=xl/calcChain.xml><?xml version="1.0" encoding="utf-8"?>
<calcChain xmlns="http://schemas.openxmlformats.org/spreadsheetml/2006/main">
  <c r="O12" i="23" l="1"/>
  <c r="O52" i="23"/>
  <c r="O51" i="23"/>
  <c r="O47" i="23"/>
  <c r="O46" i="23"/>
  <c r="O45" i="23"/>
  <c r="O44" i="23"/>
  <c r="O43" i="23"/>
  <c r="O42" i="23"/>
  <c r="O41" i="23"/>
  <c r="O40" i="23"/>
  <c r="O39" i="23"/>
  <c r="O38" i="23"/>
  <c r="O37" i="23"/>
  <c r="O36" i="23"/>
  <c r="O35" i="23"/>
  <c r="O34" i="23"/>
  <c r="O33" i="23"/>
  <c r="O32" i="23"/>
  <c r="O30" i="23"/>
  <c r="O29" i="23"/>
  <c r="J31" i="23"/>
  <c r="M31" i="23"/>
  <c r="M48" i="23" s="1"/>
  <c r="O48" i="23" s="1"/>
  <c r="O24" i="23"/>
  <c r="O19" i="23"/>
  <c r="O18" i="23"/>
  <c r="O17" i="23"/>
  <c r="O16" i="23"/>
  <c r="O15" i="23"/>
  <c r="O14" i="23"/>
  <c r="O13" i="23"/>
  <c r="O10" i="23"/>
  <c r="O9" i="23"/>
  <c r="J34" i="23"/>
  <c r="M41" i="23"/>
  <c r="J41" i="23"/>
  <c r="J43" i="23"/>
  <c r="M39" i="23"/>
  <c r="J39" i="23"/>
  <c r="J35" i="23"/>
  <c r="J33" i="23"/>
  <c r="M30" i="23"/>
  <c r="O22" i="23" l="1"/>
  <c r="O31" i="23"/>
  <c r="J29" i="23" l="1"/>
  <c r="J46" i="23" l="1"/>
  <c r="J44" i="23"/>
  <c r="M43" i="23"/>
  <c r="M37" i="23" l="1"/>
  <c r="J37" i="23"/>
  <c r="J51" i="23" l="1"/>
  <c r="P24" i="23"/>
  <c r="P16" i="23"/>
  <c r="P14" i="23"/>
  <c r="J12" i="23"/>
  <c r="P12" i="23" s="1"/>
  <c r="K52" i="23"/>
  <c r="K47" i="23"/>
  <c r="P47" i="23"/>
  <c r="P46" i="23"/>
  <c r="P44" i="23"/>
  <c r="P43" i="23"/>
  <c r="P42" i="23"/>
  <c r="K42" i="23"/>
  <c r="P41" i="23"/>
  <c r="J40" i="23"/>
  <c r="P39" i="23"/>
  <c r="M52" i="23"/>
  <c r="J52" i="23"/>
  <c r="P36" i="23"/>
  <c r="P35" i="23"/>
  <c r="P34" i="23"/>
  <c r="P33" i="23"/>
  <c r="K31" i="23"/>
  <c r="K30" i="23"/>
  <c r="P29" i="23"/>
  <c r="O23" i="23"/>
  <c r="P23" i="23" s="1"/>
  <c r="M38" i="23"/>
  <c r="K21" i="23"/>
  <c r="K38" i="23" s="1"/>
  <c r="J38" i="23"/>
  <c r="O20" i="23"/>
  <c r="M19" i="23"/>
  <c r="K19" i="23"/>
  <c r="P18" i="23"/>
  <c r="P17" i="23"/>
  <c r="P15" i="23"/>
  <c r="K14" i="23"/>
  <c r="K13" i="23"/>
  <c r="K12" i="23"/>
  <c r="P10" i="23"/>
  <c r="K10" i="23"/>
  <c r="K9" i="23"/>
  <c r="K8" i="23"/>
  <c r="H44" i="15"/>
  <c r="G44" i="15"/>
  <c r="E35" i="15"/>
  <c r="P38" i="23" l="1"/>
  <c r="P31" i="23"/>
  <c r="P37" i="23"/>
  <c r="P40" i="23"/>
  <c r="J22" i="23"/>
  <c r="J25" i="23" s="1"/>
  <c r="K48" i="23"/>
  <c r="K22" i="23"/>
  <c r="K25" i="23" s="1"/>
  <c r="K49" i="23" s="1"/>
  <c r="K53" i="23" s="1"/>
  <c r="P13" i="23"/>
  <c r="P30" i="23"/>
  <c r="J48" i="23"/>
  <c r="M22" i="23"/>
  <c r="M25" i="23" s="1"/>
  <c r="O21" i="23"/>
  <c r="O25" i="23" l="1"/>
  <c r="J49" i="23"/>
  <c r="M49" i="23"/>
  <c r="M53" i="23" s="1"/>
  <c r="P9" i="23"/>
  <c r="P22" i="23"/>
  <c r="P48" i="23"/>
  <c r="P25" i="23"/>
  <c r="O49" i="23" l="1"/>
  <c r="P49" i="23"/>
  <c r="J53" i="23"/>
  <c r="O53" i="23" s="1"/>
  <c r="N525" i="19" l="1"/>
  <c r="G588" i="19"/>
  <c r="G586" i="19"/>
  <c r="B979" i="19"/>
  <c r="B978" i="19"/>
  <c r="M11" i="18" l="1"/>
  <c r="M47" i="18"/>
  <c r="M46" i="18"/>
  <c r="M44" i="18"/>
  <c r="M43" i="18"/>
  <c r="M42" i="18"/>
  <c r="M41" i="18"/>
  <c r="M39" i="18"/>
  <c r="M37" i="18"/>
  <c r="M30" i="18"/>
  <c r="K31" i="18"/>
  <c r="M13" i="18" l="1"/>
  <c r="M14" i="18"/>
  <c r="J47" i="18" l="1"/>
  <c r="J30" i="18"/>
  <c r="J43" i="18"/>
  <c r="J42" i="18"/>
  <c r="J41" i="18"/>
  <c r="J37" i="18"/>
  <c r="M23" i="18"/>
  <c r="J23" i="18"/>
  <c r="J14" i="18"/>
  <c r="J13" i="18"/>
  <c r="J65" i="12"/>
  <c r="J54" i="12"/>
  <c r="J51" i="12"/>
  <c r="J48" i="12"/>
  <c r="J47" i="12"/>
  <c r="J40" i="12"/>
  <c r="J34" i="12"/>
  <c r="G54" i="12"/>
  <c r="G51" i="12"/>
  <c r="G48" i="12"/>
  <c r="G40" i="12"/>
  <c r="G34" i="12"/>
  <c r="G24" i="12"/>
  <c r="G12" i="12"/>
  <c r="L50" i="5"/>
  <c r="L42" i="5"/>
  <c r="L22" i="5"/>
  <c r="H50" i="5"/>
  <c r="H37" i="3"/>
  <c r="H42" i="5"/>
  <c r="H22" i="5"/>
  <c r="J50" i="3"/>
  <c r="J49" i="3"/>
  <c r="K35" i="3"/>
  <c r="I21" i="3" l="1"/>
  <c r="I15" i="3"/>
  <c r="H13" i="3"/>
  <c r="H14" i="3"/>
  <c r="F44" i="6" l="1"/>
  <c r="G30" i="6"/>
  <c r="E12" i="6"/>
  <c r="E14" i="6" s="1"/>
  <c r="G43" i="15" l="1"/>
  <c r="G42" i="15"/>
  <c r="G41" i="15"/>
  <c r="G40" i="15"/>
  <c r="G39" i="15"/>
  <c r="G38" i="15"/>
  <c r="G37" i="15"/>
  <c r="G36" i="15"/>
  <c r="F45"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M40" i="18" l="1"/>
  <c r="M31" i="18"/>
  <c r="M10" i="18"/>
  <c r="J31" i="18"/>
  <c r="G65" i="12"/>
  <c r="G66" i="12"/>
  <c r="L12" i="12" l="1"/>
  <c r="K53" i="3"/>
  <c r="K56" i="3"/>
  <c r="H54" i="3"/>
  <c r="J51" i="3"/>
  <c r="J23" i="3"/>
  <c r="J13" i="3" l="1"/>
  <c r="J11" i="3"/>
  <c r="F51" i="6"/>
  <c r="E51" i="6"/>
  <c r="D51" i="6"/>
  <c r="G583" i="19" l="1"/>
  <c r="G584" i="19" s="1"/>
  <c r="G591" i="19" l="1"/>
  <c r="A3" i="18" l="1"/>
  <c r="O10" i="18"/>
  <c r="O20" i="18"/>
  <c r="O18" i="18"/>
  <c r="O17" i="18"/>
  <c r="J40" i="18"/>
  <c r="J19" i="12"/>
  <c r="G47" i="12"/>
  <c r="I37" i="3"/>
  <c r="K37" i="3" s="1"/>
  <c r="H36" i="3"/>
  <c r="H52" i="3"/>
  <c r="K51" i="3" l="1"/>
  <c r="J10" i="3" l="1"/>
  <c r="C86" i="6"/>
  <c r="G42" i="6"/>
  <c r="F103" i="15" l="1"/>
  <c r="F102" i="15"/>
  <c r="G94" i="15"/>
  <c r="F94" i="15" s="1"/>
  <c r="O11" i="18" l="1"/>
  <c r="K47" i="18" l="1"/>
  <c r="K42" i="18"/>
  <c r="K30" i="18"/>
  <c r="K11" i="18"/>
  <c r="O40" i="18" l="1"/>
  <c r="P40" i="18" s="1"/>
  <c r="O37" i="18"/>
  <c r="P37" i="18" s="1"/>
  <c r="O51" i="18"/>
  <c r="O47" i="18"/>
  <c r="P47" i="18" s="1"/>
  <c r="O46" i="18"/>
  <c r="P46" i="18" s="1"/>
  <c r="O45" i="18"/>
  <c r="O44" i="18"/>
  <c r="P44" i="18" s="1"/>
  <c r="O39" i="18"/>
  <c r="P39" i="18" s="1"/>
  <c r="O36" i="18"/>
  <c r="P36" i="18" s="1"/>
  <c r="O35" i="18"/>
  <c r="P35" i="18" s="1"/>
  <c r="O34" i="18"/>
  <c r="P34" i="18" s="1"/>
  <c r="O33" i="18"/>
  <c r="P33" i="18" s="1"/>
  <c r="O32" i="18"/>
  <c r="O30" i="18"/>
  <c r="P30" i="18" s="1"/>
  <c r="O29" i="18"/>
  <c r="P29" i="18" s="1"/>
  <c r="O24" i="18"/>
  <c r="P24" i="18" s="1"/>
  <c r="O13" i="18"/>
  <c r="P13" i="18" s="1"/>
  <c r="P11" i="18"/>
  <c r="K13" i="18"/>
  <c r="J16" i="18"/>
  <c r="O16" i="18" s="1"/>
  <c r="P16" i="18" s="1"/>
  <c r="O14" i="18"/>
  <c r="P14" i="18" s="1"/>
  <c r="M63" i="12"/>
  <c r="J71" i="12"/>
  <c r="L51" i="12"/>
  <c r="M51" i="12" s="1"/>
  <c r="L48" i="12"/>
  <c r="M48" i="12" s="1"/>
  <c r="L63" i="12"/>
  <c r="L55" i="12"/>
  <c r="L54" i="12"/>
  <c r="M54" i="12" s="1"/>
  <c r="L53" i="12"/>
  <c r="M53" i="12" s="1"/>
  <c r="L52" i="12"/>
  <c r="M52" i="12" s="1"/>
  <c r="L50" i="12"/>
  <c r="M50" i="12" s="1"/>
  <c r="L49" i="12"/>
  <c r="M49" i="12" s="1"/>
  <c r="L47" i="12"/>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L24" i="12"/>
  <c r="M24" i="12" s="1"/>
  <c r="L23" i="12"/>
  <c r="M23" i="12" s="1"/>
  <c r="L22" i="12"/>
  <c r="M22" i="12" s="1"/>
  <c r="L21" i="12"/>
  <c r="M21" i="12" s="1"/>
  <c r="L20" i="12"/>
  <c r="M20" i="12" s="1"/>
  <c r="L19" i="12"/>
  <c r="M19" i="12" s="1"/>
  <c r="L17" i="12"/>
  <c r="L16" i="12"/>
  <c r="M16" i="12" s="1"/>
  <c r="L15" i="12"/>
  <c r="M15" i="12" s="1"/>
  <c r="L14" i="12"/>
  <c r="L13" i="12"/>
  <c r="M13" i="12" s="1"/>
  <c r="L11" i="12"/>
  <c r="M11" i="12" s="1"/>
  <c r="L10" i="12"/>
  <c r="M10" i="12" s="1"/>
  <c r="L9" i="12"/>
  <c r="M9" i="12" s="1"/>
  <c r="H65" i="12"/>
  <c r="H66" i="12"/>
  <c r="H54" i="12"/>
  <c r="H51" i="12"/>
  <c r="H48" i="12"/>
  <c r="H47" i="12"/>
  <c r="H40" i="12"/>
  <c r="H34" i="12"/>
  <c r="H17" i="12"/>
  <c r="H24" i="12" s="1"/>
  <c r="H59" i="5"/>
  <c r="I36" i="3"/>
  <c r="H67" i="12" l="1"/>
  <c r="O23" i="18"/>
  <c r="P23" i="18" s="1"/>
  <c r="O43" i="18"/>
  <c r="P43" i="18" s="1"/>
  <c r="O42" i="18"/>
  <c r="P42" i="18" s="1"/>
  <c r="O41" i="18"/>
  <c r="P41" i="18" s="1"/>
  <c r="I32" i="3"/>
  <c r="K32" i="3" s="1"/>
  <c r="G91" i="15" s="1"/>
  <c r="J21" i="3" l="1"/>
  <c r="J15" i="3" l="1"/>
  <c r="L59" i="5" l="1"/>
  <c r="J59" i="5"/>
  <c r="J50" i="5"/>
  <c r="J42" i="5"/>
  <c r="J22" i="5"/>
  <c r="G64" i="6" l="1"/>
  <c r="I51" i="3" l="1"/>
  <c r="H51" i="3" s="1"/>
  <c r="H59" i="3" s="1"/>
  <c r="F13" i="3"/>
  <c r="G40" i="6"/>
  <c r="H21" i="3" s="1"/>
  <c r="G41" i="6"/>
  <c r="E16" i="15" s="1"/>
  <c r="D8" i="6"/>
  <c r="G68" i="15" l="1"/>
  <c r="M548" i="19" l="1"/>
  <c r="M547" i="19"/>
  <c r="M546" i="19"/>
  <c r="M545" i="19"/>
  <c r="M544" i="19"/>
  <c r="M554" i="19"/>
  <c r="M556" i="19" s="1"/>
  <c r="A4" i="18" l="1"/>
  <c r="M543" i="19"/>
  <c r="M552" i="19" s="1"/>
  <c r="M557" i="19" s="1"/>
  <c r="K50" i="3"/>
  <c r="F15" i="3" l="1"/>
  <c r="J7" i="3"/>
  <c r="G51" i="22" l="1"/>
  <c r="G47" i="22"/>
  <c r="G46" i="22"/>
  <c r="G28" i="22"/>
  <c r="G13" i="22"/>
  <c r="G20" i="22"/>
  <c r="G34" i="22" l="1"/>
  <c r="G53" i="22" l="1"/>
  <c r="G55" i="22" s="1"/>
  <c r="L31" i="5" l="1"/>
  <c r="C112" i="6" l="1"/>
  <c r="E44" i="6" l="1"/>
  <c r="G45" i="15" l="1"/>
  <c r="H36" i="15" l="1"/>
  <c r="H35" i="15"/>
  <c r="H42" i="15"/>
  <c r="H43" i="15"/>
  <c r="M19" i="18"/>
  <c r="L65" i="12"/>
  <c r="M65" i="12" s="1"/>
  <c r="O31" i="18" l="1"/>
  <c r="P31" i="18" s="1"/>
  <c r="G74" i="15" l="1"/>
  <c r="M15" i="18" l="1"/>
  <c r="M9" i="18"/>
  <c r="M62" i="18" s="1"/>
  <c r="D14" i="6" l="1"/>
  <c r="D93" i="15" l="1"/>
  <c r="D45" i="15"/>
  <c r="J21" i="18" l="1"/>
  <c r="K21" i="18"/>
  <c r="K38" i="18" s="1"/>
  <c r="K19" i="18"/>
  <c r="K9" i="18"/>
  <c r="K62" i="18" s="1"/>
  <c r="K15" i="18"/>
  <c r="K14" i="18"/>
  <c r="K8" i="18"/>
  <c r="K48" i="18" l="1"/>
  <c r="K52" i="18"/>
  <c r="J38" i="18"/>
  <c r="J48" i="18" s="1"/>
  <c r="K22" i="18"/>
  <c r="K56" i="18" l="1"/>
  <c r="K59" i="18"/>
  <c r="L8" i="5"/>
  <c r="K49" i="3"/>
  <c r="L49" i="3" s="1"/>
  <c r="D44" i="6" l="1"/>
  <c r="G13" i="6"/>
  <c r="H11" i="3" s="1"/>
  <c r="G11" i="3" s="1"/>
  <c r="A3" i="21" l="1"/>
  <c r="H41" i="15" l="1"/>
  <c r="H39" i="15"/>
  <c r="H38" i="15"/>
  <c r="H45" i="15" l="1"/>
  <c r="L50" i="3"/>
  <c r="F50" i="3"/>
  <c r="I31" i="3"/>
  <c r="K31"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H16" i="3" s="1"/>
  <c r="G16" i="3" l="1"/>
  <c r="J16" i="3"/>
  <c r="E80" i="15"/>
  <c r="K52" i="3" l="1"/>
  <c r="K25" i="3" l="1"/>
  <c r="D32" i="6"/>
  <c r="J19" i="18" l="1"/>
  <c r="O19" i="18" s="1"/>
  <c r="K54" i="3" l="1"/>
  <c r="J26" i="12" l="1"/>
  <c r="L26" i="12" s="1"/>
  <c r="M26" i="12" s="1"/>
  <c r="G8" i="12"/>
  <c r="J35" i="12" l="1"/>
  <c r="E81" i="15"/>
  <c r="L34" i="12" l="1"/>
  <c r="M34" i="12" s="1"/>
  <c r="B323" i="19"/>
  <c r="M52" i="18" l="1"/>
  <c r="K25" i="18"/>
  <c r="K49" i="18" s="1"/>
  <c r="K53" i="18" s="1"/>
  <c r="M21" i="18"/>
  <c r="O21" i="18" s="1"/>
  <c r="M38" i="18" l="1"/>
  <c r="M22" i="18"/>
  <c r="M25" i="18" s="1"/>
  <c r="J9" i="18"/>
  <c r="J62" i="18" s="1"/>
  <c r="J8" i="18"/>
  <c r="J52" i="18"/>
  <c r="O52" i="18" s="1"/>
  <c r="O9" i="18" l="1"/>
  <c r="P9" i="18" s="1"/>
  <c r="M48" i="18"/>
  <c r="M56" i="18" s="1"/>
  <c r="O38" i="18"/>
  <c r="P38" i="18" s="1"/>
  <c r="M49" i="18" l="1"/>
  <c r="M53" i="18" s="1"/>
  <c r="M59" i="18"/>
  <c r="J56" i="18"/>
  <c r="O48" i="18"/>
  <c r="P48" i="18" s="1"/>
  <c r="J59" i="18"/>
  <c r="J8" i="12"/>
  <c r="M8" i="18" s="1"/>
  <c r="J64" i="12" l="1"/>
  <c r="L64" i="12" s="1"/>
  <c r="M64" i="12" s="1"/>
  <c r="G35" i="12"/>
  <c r="L35" i="12" s="1"/>
  <c r="M35" i="12" s="1"/>
  <c r="G18" i="12"/>
  <c r="L18" i="12" s="1"/>
  <c r="M18" i="12" s="1"/>
  <c r="H35" i="12"/>
  <c r="G57" i="12" l="1"/>
  <c r="G27" i="12"/>
  <c r="J15" i="18"/>
  <c r="O15" i="18" s="1"/>
  <c r="P15" i="18" s="1"/>
  <c r="H27" i="12"/>
  <c r="H29" i="12" s="1"/>
  <c r="K55" i="3"/>
  <c r="K59" i="3" s="1"/>
  <c r="K36" i="3"/>
  <c r="G93" i="15" s="1"/>
  <c r="F93" i="15" s="1"/>
  <c r="I39" i="3"/>
  <c r="O22" i="18" l="1"/>
  <c r="P22" i="18" s="1"/>
  <c r="J22" i="18"/>
  <c r="J25" i="18" s="1"/>
  <c r="O25" i="18" s="1"/>
  <c r="P25" i="18" s="1"/>
  <c r="J49" i="18" l="1"/>
  <c r="O49" i="18" s="1"/>
  <c r="P49" i="18" s="1"/>
  <c r="J53" i="18" l="1"/>
  <c r="O53" i="18" s="1"/>
  <c r="G14" i="20"/>
  <c r="G46" i="20"/>
  <c r="G49" i="20"/>
  <c r="G48" i="20"/>
  <c r="G43" i="20"/>
  <c r="G41" i="20"/>
  <c r="G40" i="20"/>
  <c r="G28" i="20"/>
  <c r="G29" i="20" s="1"/>
  <c r="G24" i="20"/>
  <c r="G19" i="20"/>
  <c r="G31" i="20"/>
  <c r="G30" i="20"/>
  <c r="F107"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D66" i="6"/>
  <c r="H19" i="3" l="1"/>
  <c r="I19" i="3" s="1"/>
  <c r="D98" i="15"/>
  <c r="E98" i="15"/>
  <c r="G96" i="15"/>
  <c r="F96" i="15" s="1"/>
  <c r="F106" i="15"/>
  <c r="J19" i="3" l="1"/>
  <c r="G19" i="3"/>
  <c r="G58" i="6"/>
  <c r="C51" i="6"/>
  <c r="C44" i="6"/>
  <c r="G17" i="6"/>
  <c r="G18" i="6" l="1"/>
  <c r="F105" i="15"/>
  <c r="F104" i="15"/>
  <c r="D109" i="15"/>
  <c r="G108" i="15"/>
  <c r="G107" i="15"/>
  <c r="G106" i="15"/>
  <c r="H57" i="12" l="1"/>
  <c r="G103" i="15"/>
  <c r="E104" i="15" l="1"/>
  <c r="F109" i="15"/>
  <c r="G102" i="15"/>
  <c r="G104"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4" i="5" l="1"/>
  <c r="L47" i="5"/>
  <c r="L16" i="5"/>
  <c r="F91" i="15"/>
  <c r="G43" i="6" l="1"/>
  <c r="E14" i="15" l="1"/>
  <c r="J63" i="3"/>
  <c r="G48" i="6" l="1"/>
  <c r="G63" i="3" l="1"/>
  <c r="L56" i="5" l="1"/>
  <c r="L23" i="5"/>
  <c r="L25" i="5" s="1"/>
  <c r="J54" i="5"/>
  <c r="H54" i="5"/>
  <c r="J16" i="5"/>
  <c r="H16" i="5"/>
  <c r="L67" i="5" l="1"/>
  <c r="L35" i="5"/>
  <c r="D186" i="6" l="1"/>
  <c r="D187" i="6"/>
  <c r="D188" i="6"/>
  <c r="J66" i="12" l="1"/>
  <c r="L66" i="12" s="1"/>
  <c r="M66" i="12" s="1"/>
  <c r="F186" i="6" l="1"/>
  <c r="G31" i="6" l="1"/>
  <c r="G13" i="3" s="1"/>
  <c r="G60" i="6"/>
  <c r="G51" i="6"/>
  <c r="G50" i="6"/>
  <c r="E17" i="15" l="1"/>
  <c r="H23" i="3"/>
  <c r="G23" i="3" s="1"/>
  <c r="F39" i="3"/>
  <c r="N190" i="6" l="1"/>
  <c r="M190" i="6"/>
  <c r="L190" i="6"/>
  <c r="K190" i="6"/>
  <c r="J190" i="6"/>
  <c r="I190" i="6"/>
  <c r="H190" i="6"/>
  <c r="G190" i="6"/>
  <c r="C56" i="6" l="1"/>
  <c r="F27" i="6"/>
  <c r="F66" i="6" s="1"/>
  <c r="C32" i="6"/>
  <c r="C189" i="6" l="1"/>
  <c r="G54" i="6" l="1"/>
  <c r="G55" i="6"/>
  <c r="G56" i="6" l="1"/>
  <c r="G21" i="3" l="1"/>
  <c r="G20" i="6"/>
  <c r="C14" i="6"/>
  <c r="G12" i="6"/>
  <c r="H10" i="3" s="1"/>
  <c r="G10" i="3" s="1"/>
  <c r="H7" i="3"/>
  <c r="J27" i="12" l="1"/>
  <c r="L27" i="12" s="1"/>
  <c r="M27" i="12" s="1"/>
  <c r="L29" i="12" l="1"/>
  <c r="J57" i="12"/>
  <c r="J29" i="12"/>
  <c r="J67" i="12"/>
  <c r="M29" i="12" l="1"/>
  <c r="L57" i="12"/>
  <c r="M57" i="12" s="1"/>
  <c r="J59" i="12"/>
  <c r="L61" i="5" s="1"/>
  <c r="J69" i="12" l="1"/>
  <c r="J72" i="12" s="1"/>
  <c r="I30" i="3" l="1"/>
  <c r="K30" i="3" s="1"/>
  <c r="I63" i="3" l="1"/>
  <c r="G29" i="12" l="1"/>
  <c r="G59" i="12" l="1"/>
  <c r="H61" i="5" s="1"/>
  <c r="H59" i="12"/>
  <c r="J39" i="3"/>
  <c r="H69" i="12" l="1"/>
  <c r="H72" i="12" s="1"/>
  <c r="L62" i="5"/>
  <c r="J76" i="12" s="1"/>
  <c r="L59" i="12"/>
  <c r="M59" i="12" s="1"/>
  <c r="G71" i="12" l="1"/>
  <c r="H76" i="12"/>
  <c r="L64" i="5"/>
  <c r="L70" i="5" s="1"/>
  <c r="C187" i="6" l="1"/>
  <c r="G39" i="6"/>
  <c r="G32" i="6"/>
  <c r="G11" i="6"/>
  <c r="E15" i="15" l="1"/>
  <c r="H15" i="3"/>
  <c r="E12" i="15"/>
  <c r="G15" i="3"/>
  <c r="H63" i="3"/>
  <c r="K63" i="3" s="1"/>
  <c r="D190" i="6"/>
  <c r="G14" i="6"/>
  <c r="E13" i="15" s="1"/>
  <c r="G27" i="6"/>
  <c r="G44" i="6"/>
  <c r="F190" i="6" l="1"/>
  <c r="J23" i="5" l="1"/>
  <c r="J25" i="5" s="1"/>
  <c r="J35" i="5" s="1"/>
  <c r="M59" i="3"/>
  <c r="I59" i="3"/>
  <c r="J59" i="3"/>
  <c r="G59" i="3"/>
  <c r="F59" i="3"/>
  <c r="L56" i="3"/>
  <c r="L54" i="3"/>
  <c r="L53" i="3"/>
  <c r="F41" i="3"/>
  <c r="G41" i="3"/>
  <c r="J41" i="3"/>
  <c r="J47" i="5" l="1"/>
  <c r="J56" i="5" s="1"/>
  <c r="J67" i="5" s="1"/>
  <c r="L55" i="3" l="1"/>
  <c r="L59" i="3" l="1"/>
  <c r="L61" i="3" s="1"/>
  <c r="G67" i="12"/>
  <c r="E105" i="15"/>
  <c r="J62" i="5" l="1"/>
  <c r="J64" i="5" s="1"/>
  <c r="J70" i="5" s="1"/>
  <c r="H60" i="5"/>
  <c r="H62" i="5" s="1"/>
  <c r="G69" i="12"/>
  <c r="G72" i="12" s="1"/>
  <c r="L67" i="12"/>
  <c r="M67" i="12" s="1"/>
  <c r="E109" i="15"/>
  <c r="G105" i="15"/>
  <c r="G109" i="15" s="1"/>
  <c r="L69" i="12" l="1"/>
  <c r="E66" i="6"/>
  <c r="G7" i="6"/>
  <c r="C188" i="6" l="1"/>
  <c r="G7" i="3"/>
  <c r="H8" i="3"/>
  <c r="G8" i="6"/>
  <c r="G66" i="6" s="1"/>
  <c r="C8" i="6"/>
  <c r="C66" i="6" s="1"/>
  <c r="C68" i="6" l="1"/>
  <c r="G68" i="6"/>
  <c r="D68" i="6"/>
  <c r="F68" i="6"/>
  <c r="E68" i="6"/>
  <c r="I25" i="3"/>
  <c r="H25" i="3"/>
  <c r="J67" i="3" s="1"/>
  <c r="G8" i="3"/>
  <c r="G25" i="3" s="1"/>
  <c r="E11" i="15"/>
  <c r="E18" i="15" s="1"/>
  <c r="C186" i="6"/>
  <c r="C190" i="6" s="1"/>
  <c r="J8" i="3" l="1"/>
  <c r="J25" i="3" s="1"/>
  <c r="F17" i="15"/>
  <c r="F15" i="15"/>
  <c r="F14" i="15"/>
  <c r="F13" i="15"/>
  <c r="F12" i="15"/>
  <c r="F11" i="15"/>
  <c r="F16" i="15"/>
  <c r="C88" i="6"/>
  <c r="H19" i="5"/>
  <c r="H23" i="5" s="1"/>
  <c r="H25" i="5" s="1"/>
  <c r="H35" i="5" s="1"/>
  <c r="J68" i="3"/>
  <c r="J69" i="3" s="1"/>
  <c r="I34" i="3"/>
  <c r="K34" i="3" s="1"/>
  <c r="G90" i="15" s="1"/>
  <c r="F18" i="15" l="1"/>
  <c r="H41" i="3"/>
  <c r="I41" i="3" l="1"/>
  <c r="K41" i="3" l="1"/>
  <c r="G98" i="15" l="1"/>
  <c r="F90" i="15"/>
  <c r="F98" i="15" s="1"/>
  <c r="L41" i="3"/>
  <c r="H46" i="5" s="1"/>
  <c r="H47" i="5" s="1"/>
  <c r="H56" i="5" s="1"/>
  <c r="H64" i="5" l="1"/>
  <c r="H70" i="5" s="1"/>
  <c r="H67" i="5"/>
</calcChain>
</file>

<file path=xl/comments1.xml><?xml version="1.0" encoding="utf-8"?>
<comments xmlns="http://schemas.openxmlformats.org/spreadsheetml/2006/main">
  <authors>
    <author>John Ray</author>
  </authors>
  <commentList>
    <comment ref="C47" authorId="0" shapeId="0">
      <text>
        <r>
          <rPr>
            <b/>
            <sz val="9"/>
            <color indexed="81"/>
            <rFont val="Tahoma"/>
            <family val="2"/>
          </rPr>
          <t>John Ray:</t>
        </r>
        <r>
          <rPr>
            <sz val="9"/>
            <color indexed="81"/>
            <rFont val="Tahoma"/>
            <family val="2"/>
          </rPr>
          <t xml:space="preserve">
85100+85200</t>
        </r>
      </text>
    </comment>
    <comment ref="C48"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<sst xmlns="http://schemas.openxmlformats.org/spreadsheetml/2006/main" count="772" uniqueCount="517">
  <si>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</si>
  <si>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</si>
  <si>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</si>
  <si>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</si>
  <si>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</si>
  <si>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</si>
  <si>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</si>
  <si>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</si>
  <si>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</si>
  <si>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</si>
  <si>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</si>
  <si>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</si>
  <si>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</si>
  <si>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</si>
  <si>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</si>
  <si>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</si>
  <si>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</si>
  <si>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</si>
  <si>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</si>
  <si>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</si>
  <si>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</si>
  <si>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</si>
  <si>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</si>
  <si>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</si>
  <si>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</si>
  <si>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</si>
  <si>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</si>
  <si>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</si>
  <si>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</si>
  <si>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</si>
  <si>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</si>
  <si>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</si>
  <si>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</si>
  <si>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</si>
  <si>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</si>
  <si>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</si>
  <si>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</si>
  <si>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</si>
  <si>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</si>
  <si>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</si>
  <si>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</si>
  <si>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</si>
  <si>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</si>
  <si>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</si>
  <si>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</si>
  <si>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</si>
  <si>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</si>
  <si>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</si>
  <si>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</si>
  <si>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</si>
  <si>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</si>
  <si>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</si>
  <si>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</si>
  <si>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</si>
  <si>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</si>
  <si>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</si>
  <si>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</si>
  <si>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</si>
  <si>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</si>
  <si>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</si>
  <si>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</si>
  <si>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</si>
  <si>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</si>
  <si>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</si>
  <si>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</si>
  <si>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</si>
  <si>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</si>
  <si>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</si>
  <si>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</si>
  <si>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</si>
  <si>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</si>
  <si>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</si>
  <si>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</si>
  <si>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</si>
  <si>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</si>
  <si>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</si>
  <si>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</si>
  <si>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</si>
  <si>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</si>
  <si>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</si>
  <si>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</si>
  <si>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</si>
  <si>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</si>
  <si>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</si>
  <si>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</si>
  <si>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</si>
  <si>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</si>
  <si>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</si>
  <si>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</si>
  <si>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</si>
  <si>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</si>
  <si>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</si>
  <si>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</si>
  <si>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</si>
  <si>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</si>
  <si>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</si>
  <si>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</si>
  <si>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</si>
  <si>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</si>
  <si>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</si>
  <si>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</si>
  <si>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</si>
  <si>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</si>
  <si>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</si>
  <si>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</si>
  <si>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</si>
  <si>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</si>
  <si>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</si>
  <si>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</si>
  <si>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</si>
  <si>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</si>
  <si>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</si>
  <si>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</si>
  <si>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</si>
  <si>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</si>
  <si>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</si>
  <si>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</si>
  <si>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</si>
  <si>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</si>
  <si>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</si>
  <si>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</si>
  <si>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</si>
  <si>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</si>
  <si>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</si>
  <si>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</si>
  <si>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</si>
  <si>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</si>
  <si>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</si>
  <si>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</si>
  <si>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</si>
  <si>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</si>
  <si>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</si>
  <si>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</si>
  <si>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</si>
  <si>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</si>
  <si>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</si>
  <si>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</si>
  <si>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</si>
  <si>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</si>
  <si>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</si>
  <si>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</si>
  <si>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</si>
  <si>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</si>
  <si>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</si>
  <si>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</si>
  <si>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</si>
  <si>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</si>
  <si>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</si>
  <si>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</si>
  <si>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</si>
  <si>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</si>
  <si>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</si>
  <si>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</si>
  <si>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</si>
  <si>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</si>
  <si>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</si>
  <si>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</si>
  <si>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</si>
  <si>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</si>
  <si>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</si>
  <si>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</si>
  <si>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</si>
  <si>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</si>
  <si>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</si>
  <si>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</si>
  <si>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</si>
  <si>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</si>
  <si>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</si>
  <si>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</si>
  <si>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</si>
  <si>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</si>
  <si>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</si>
  <si>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</si>
  <si>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</si>
  <si>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</si>
  <si>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</si>
  <si>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</si>
  <si>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</si>
  <si>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</si>
  <si>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</si>
  <si>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</si>
  <si>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</si>
  <si>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</si>
  <si>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</si>
  <si>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</si>
  <si>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</si>
  <si>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</si>
  <si>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Ancram/Copake Prescription Access (2015)</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</si>
  <si>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</si>
  <si>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</si>
  <si>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</si>
  <si>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</si>
  <si>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</si>
  <si>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</si>
  <si>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</si>
  <si>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</si>
  <si>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</si>
  <si>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</si>
  <si>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</si>
  <si>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</si>
  <si>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</si>
  <si>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</si>
  <si>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</si>
  <si>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</si>
  <si>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</si>
  <si>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</si>
  <si>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</si>
  <si>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</si>
  <si>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</si>
  <si>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</si>
  <si>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</si>
  <si>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</si>
  <si>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</si>
  <si>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</si>
  <si>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</si>
  <si>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</si>
  <si>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</si>
  <si>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</si>
  <si>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</si>
  <si>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</si>
  <si>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</si>
  <si>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</si>
  <si>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</si>
  <si>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</si>
  <si>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</si>
  <si>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</si>
  <si>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</si>
  <si>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</si>
  <si>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</si>
  <si>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</si>
  <si>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</si>
  <si>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</si>
  <si>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</si>
  <si>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</si>
  <si>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</si>
  <si>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</si>
  <si>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</si>
  <si>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</si>
  <si>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</si>
  <si>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</si>
  <si>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</si>
  <si>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</si>
  <si>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</si>
  <si>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</si>
  <si>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</si>
  <si>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</si>
  <si>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</si>
  <si>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</si>
  <si>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</si>
  <si>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</si>
  <si>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NYS Grant Advances</t>
  </si>
  <si>
    <t>Tobacco Free Program</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</si>
  <si>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</si>
  <si>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</si>
  <si>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</si>
  <si>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</si>
  <si>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</si>
  <si>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</si>
  <si>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</si>
  <si>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</si>
  <si>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</si>
  <si>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</si>
  <si>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</si>
  <si>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</si>
  <si>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</si>
  <si>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</si>
  <si>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</si>
  <si>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</si>
  <si>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</si>
  <si>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</si>
  <si>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</si>
  <si>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</si>
  <si>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</si>
  <si>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Tobacco Free Communities Grant - COLA</t>
  </si>
  <si>
    <t>Totals</t>
  </si>
  <si>
    <t>Ten Months Ended October 31, 2016 and 2015</t>
  </si>
  <si>
    <t>Albany Medical Center</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</si>
  <si>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</si>
  <si>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</si>
  <si>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</si>
  <si>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</si>
  <si>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</si>
  <si>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</si>
  <si>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</si>
  <si>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</si>
  <si>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</si>
  <si>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</si>
  <si>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</si>
  <si>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</si>
  <si>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</si>
  <si>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</si>
  <si>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</si>
  <si>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</si>
  <si>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</si>
  <si>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</si>
  <si>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</si>
  <si>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</si>
  <si>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</si>
  <si>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</si>
  <si>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</si>
  <si>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</si>
  <si>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</si>
  <si>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</si>
  <si>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</si>
  <si>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</si>
  <si>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</si>
  <si>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</si>
  <si>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</si>
  <si>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</si>
  <si>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</si>
  <si>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</si>
  <si>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</si>
  <si>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</si>
  <si>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</si>
  <si>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</si>
  <si>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</si>
  <si>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</si>
  <si>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</si>
  <si>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</si>
  <si>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</si>
  <si>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</si>
  <si>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</si>
  <si>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</si>
  <si>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</si>
  <si>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</si>
  <si>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Rural Health Network Program-(9 Month Extension)</t>
  </si>
  <si>
    <t>Unrealized Gain (Loss) on Investments</t>
  </si>
  <si>
    <t>Complementary Therapies Fund</t>
  </si>
  <si>
    <t>Vehicle Maintenance &amp; Repairs</t>
  </si>
  <si>
    <t>CoCo Dept. of Human Services</t>
  </si>
  <si>
    <t>Greene County-Dept. of Social Services</t>
  </si>
  <si>
    <t>NYSDOH 04/18 to 12/18 (Quarterly Voucher)</t>
  </si>
  <si>
    <t>NYSDOH Infrastructure Grant 04/18 to 09/18</t>
  </si>
  <si>
    <t>NYSDOH Clinical Services Grant 04/18 to 09/18</t>
  </si>
  <si>
    <t>MIPPA                              04/18 to 9/18</t>
  </si>
  <si>
    <t>Tobacco Free Communities Grant - Yr#5 of 5</t>
  </si>
  <si>
    <t>Miscellaneous</t>
  </si>
  <si>
    <t>Vehicle mileage for period</t>
  </si>
  <si>
    <t>Number of Rides for period</t>
  </si>
  <si>
    <t>Number of Medicaid Rides for Period</t>
  </si>
  <si>
    <t>Recoup 2% of Medicaid Claims from 2015 Yr</t>
  </si>
  <si>
    <t>NYSDOH 07/18 to 06/19</t>
  </si>
  <si>
    <t>HRI Clinical Services 07/18 to 09/18</t>
  </si>
  <si>
    <t>Transportation Scheduling Software-RoutingBox</t>
  </si>
  <si>
    <t>Cost per mile (w/o depreciation&amp;rent)</t>
  </si>
  <si>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</si>
  <si>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</si>
  <si>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</si>
  <si>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</si>
  <si>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</si>
  <si>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</si>
  <si>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</si>
  <si>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</si>
  <si>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</si>
  <si>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</si>
  <si>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Senior Transportation Services - 2019</t>
  </si>
  <si>
    <t>County Government - 2019</t>
  </si>
  <si>
    <t>County Departments - 2019</t>
  </si>
  <si>
    <t>Columbia County BOS 2019 Budget Appropriation</t>
  </si>
  <si>
    <t>Columbia County Departments 2019 Donations (CARTS)</t>
  </si>
  <si>
    <t>Legal</t>
  </si>
  <si>
    <t>Credit sales</t>
  </si>
  <si>
    <t>NY State</t>
  </si>
  <si>
    <t>Medicaid</t>
  </si>
  <si>
    <t>Federal</t>
  </si>
  <si>
    <t>Greene Cty</t>
  </si>
  <si>
    <t>OFA</t>
  </si>
  <si>
    <t>Dept of Human</t>
  </si>
  <si>
    <t>Columbia Cty</t>
  </si>
  <si>
    <t>Col Depts</t>
  </si>
  <si>
    <t>Average AR</t>
  </si>
  <si>
    <t>Sales</t>
  </si>
  <si>
    <t>Total Fixed Assets-Net</t>
  </si>
  <si>
    <t>Rural Health Network Program- Yr#1of 5</t>
  </si>
  <si>
    <t>NYSDOH 01/19 to 12/19 (Quarterly Voucher)</t>
  </si>
  <si>
    <t>Columbia County Dept. of Human Services (Qrtly)</t>
  </si>
  <si>
    <t>Columbia County - BOS (Receptionist &amp; CARTS)</t>
  </si>
  <si>
    <t>In Person Assistors &amp; Navigators- Yr#1 of 5</t>
  </si>
  <si>
    <t>Balance as of 01/01/2019</t>
  </si>
  <si>
    <t>Without Donor Restrictions</t>
  </si>
  <si>
    <t>With Donor Restrictions</t>
  </si>
  <si>
    <t>General Operating Support (12-Months)</t>
  </si>
  <si>
    <t>Prescription Access (30-Months)</t>
  </si>
  <si>
    <t>Medicare Improvements for Patients &amp; Providers (MIPPA)</t>
  </si>
  <si>
    <t>With Donor Restrictions Net Assets</t>
  </si>
  <si>
    <t>For the Year Ended December 31, 2018</t>
  </si>
  <si>
    <t>Statement of Activities</t>
  </si>
  <si>
    <t xml:space="preserve">Change in With Donor Restrictions </t>
  </si>
  <si>
    <t>Changes in With Donor Restrictions - Net Assets</t>
  </si>
  <si>
    <t>CSP Program stopped as of Sept'18</t>
  </si>
  <si>
    <t>Columbia Memorial Hospital</t>
  </si>
  <si>
    <t>Misc. Revenue</t>
  </si>
  <si>
    <t>Beginning Balance at 01/01/2019</t>
  </si>
  <si>
    <t>2019 Operating Support</t>
  </si>
  <si>
    <t>Circulation</t>
  </si>
  <si>
    <t>Columbia Memorial Hospital-Comm Health Plan</t>
  </si>
  <si>
    <t>NY Connects E&amp;EP         04/19 to 03/20</t>
  </si>
  <si>
    <t>Transportation - Circulation</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</si>
  <si>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</si>
  <si>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</si>
  <si>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</si>
  <si>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</si>
  <si>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</si>
  <si>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r>
      <t xml:space="preserve">In Person Assisitors &amp; Navigators </t>
    </r>
    <r>
      <rPr>
        <sz val="10"/>
        <color theme="1"/>
        <rFont val="Arial"/>
        <family val="2"/>
      </rPr>
      <t>(3 Mth Extension)</t>
    </r>
  </si>
  <si>
    <t>Collaborative Community Health Planning Jan'19-Dec'19</t>
  </si>
  <si>
    <t>Total Donor Restrictions</t>
  </si>
  <si>
    <t>Gain (Loss) on Sale of Vehicle</t>
  </si>
  <si>
    <t>Tobacco Program purchased a $14K Community Study in 2019</t>
  </si>
  <si>
    <t>In 2019, review of Executive Director's employment contract for $201</t>
  </si>
  <si>
    <t>Auctions International</t>
  </si>
  <si>
    <t>2012 Chevy Impala</t>
  </si>
  <si>
    <t>OFA: NY Connects</t>
  </si>
  <si>
    <t>Dell Latitude Laptop</t>
  </si>
  <si>
    <t>Intelligent Technology Solutions</t>
  </si>
  <si>
    <t>Total Additions</t>
  </si>
  <si>
    <t>Total Sales</t>
  </si>
  <si>
    <t>Greene County DSS &amp; Others</t>
  </si>
  <si>
    <t>in 2019, sold Chevy Impala for $2,300. Fully depreciated vehicle</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</si>
  <si>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</si>
  <si>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</si>
  <si>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</si>
  <si>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</si>
  <si>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</si>
  <si>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</si>
  <si>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</si>
  <si>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</si>
  <si>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</si>
  <si>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</si>
  <si>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</si>
  <si>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</si>
  <si>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</si>
  <si>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</si>
  <si>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t xml:space="preserve">On January 28, 2019, we sold the 2012 Chevy Impala thru Auctions International for $2,300. Original cost $17,844.  </t>
  </si>
  <si>
    <r>
      <t>è</t>
    </r>
    <r>
      <rPr>
        <b/>
        <sz val="12"/>
        <color theme="1"/>
        <rFont val="Times New Roman"/>
        <family val="1"/>
      </rPr>
      <t xml:space="preserve"> Equipment, Furniture &amp; Vehicles</t>
    </r>
    <r>
      <rPr>
        <sz val="12"/>
        <color theme="1"/>
        <rFont val="Calibri"/>
        <family val="2"/>
      </rPr>
      <t xml:space="preserve"> </t>
    </r>
  </si>
  <si>
    <t>Additions:</t>
  </si>
  <si>
    <t>June</t>
  </si>
  <si>
    <t>July</t>
  </si>
  <si>
    <t>Month</t>
  </si>
  <si>
    <r>
      <t xml:space="preserve">è </t>
    </r>
    <r>
      <rPr>
        <sz val="12"/>
        <color theme="1"/>
        <rFont val="Times New Roman"/>
        <family val="1"/>
      </rPr>
      <t>Investment - Infinex Financial-Securities - Brief Description</t>
    </r>
  </si>
  <si>
    <t>NYSDOH 07/19 to 06/20</t>
  </si>
  <si>
    <t>NYSDOH 05/19 to 07/19</t>
  </si>
  <si>
    <t>Navigator Program - May 2019 Voucher</t>
  </si>
  <si>
    <t>Col Cty Dept of Human Services - 2nd Quarter 2019</t>
  </si>
  <si>
    <t>OFA: Senior Transportation - June 2019 Voucher</t>
  </si>
  <si>
    <t>East Coast Riders, Inc</t>
  </si>
  <si>
    <t>C34567GG</t>
  </si>
  <si>
    <t>East Coast Riders, Inc (Transportation &amp; Cancer Treatment)</t>
  </si>
  <si>
    <t>East Coast Riders</t>
  </si>
  <si>
    <t>Transportation - Other: Circulation &amp; CMH</t>
  </si>
  <si>
    <t>In 2019, increase in revenue from non-group riders.</t>
  </si>
  <si>
    <t>For 2019, new source of transportation revenue</t>
  </si>
  <si>
    <t>In 2019, Tobacco event expenses decrease of $6.3K</t>
  </si>
  <si>
    <t>Vehicle R&amp;M and Insurance expense &amp; increased by $5K in 2019</t>
  </si>
  <si>
    <t>in 2019, Tobacco COLA down $17K, Tobacco down $19K &amp; RHN down $7K</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</si>
  <si>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</si>
  <si>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</si>
  <si>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</si>
  <si>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</si>
  <si>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</si>
  <si>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</si>
  <si>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</si>
  <si>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</si>
  <si>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</si>
  <si>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Grants Receivable Aging Summary as of August 31, 2019</t>
  </si>
  <si>
    <t>August</t>
  </si>
  <si>
    <t>Payments Received After August 31, 2019</t>
  </si>
  <si>
    <t>Total AR Payments Received After August 31, 2019</t>
  </si>
  <si>
    <t>May &amp; Older</t>
  </si>
  <si>
    <t>August 31st AR Balance at September 23, 2019</t>
  </si>
  <si>
    <t>NYSDOH 08/19 to 07/20</t>
  </si>
  <si>
    <t>OFA: MIPPA - July'19 Voucher</t>
  </si>
  <si>
    <t>OFA: NY Connects - April'19 Voucher</t>
  </si>
  <si>
    <t>OFA: NY Connects - May'19 Voucher</t>
  </si>
  <si>
    <t>OFA: NY Connects - June'19 Voucher</t>
  </si>
  <si>
    <t>Greene County -Dept of Social Services</t>
  </si>
  <si>
    <t>Foundation for Community Health - Prescription Access</t>
  </si>
  <si>
    <t>IPA/Navigator Program - July 2019 Voucher</t>
  </si>
  <si>
    <t>Grants Receivable at 08/31/2019</t>
  </si>
  <si>
    <t>As of  August 31, 2019</t>
  </si>
  <si>
    <r>
      <t>Ancram/Copake Prescription Access (2018)</t>
    </r>
    <r>
      <rPr>
        <sz val="11"/>
        <color rgb="FFFF0000"/>
        <rFont val="Arial"/>
        <family val="2"/>
      </rPr>
      <t>(NEW)</t>
    </r>
  </si>
  <si>
    <t>QuickBooks AR at 08/31/2019</t>
  </si>
  <si>
    <t>Diff Transportation CMH &amp; Circulation</t>
  </si>
  <si>
    <t>Eight Months Ended August 31, 2019 and 2018</t>
  </si>
  <si>
    <t>Hudson Valley Ophthalmology, Hudson --CARTS Donation</t>
  </si>
  <si>
    <t>August '19 vs.'18</t>
  </si>
  <si>
    <t>Cancer Sservice Program funding stopped as of Sept'18</t>
  </si>
  <si>
    <t>August'19 vs. '18</t>
  </si>
  <si>
    <t>Medicaid Revenue per Medicaid Ride</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</si>
  <si>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August 31, 2019, we have accrued $1,725 for Rx prescription assistance thru the new Shop Rite store in Hudson. Vendor is experiencing issues duplicating Rx billing that was previously completed by the previous pharmacy owner, Price Chopper. </t>
    </r>
  </si>
  <si>
    <t>Ending Balance at August 31, 2019</t>
  </si>
  <si>
    <r>
      <t>è</t>
    </r>
    <r>
      <rPr>
        <b/>
        <sz val="12"/>
        <color theme="1"/>
        <rFont val="Times New Roman"/>
        <family val="1"/>
      </rPr>
      <t xml:space="preserve"> Cash</t>
    </r>
    <r>
      <rPr>
        <sz val="12"/>
        <color theme="1"/>
        <rFont val="Calibri"/>
        <family val="2"/>
      </rPr>
      <t xml:space="preserve"> -  Cash balance in the operating checking account started the 2019 year off with $274K and ended on the month of August'19 with $250K. Low balance on August 22nd was $173K &amp; the high balance on March 25th was $334K. Average daily balance for the 2019 &amp; 2018 years were $252K and $259K, respectively.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</si>
  <si>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2019 our Grant Receivable is $249K. Expectation is that we will collect on all receivables.  Annual  average days to collect at August'19 was 71 days with an annual receivable turnover ratio of 5.1. Summary of Grants Receivable at August 31, 2019 is as follows:</t>
    </r>
  </si>
  <si>
    <t>NYSDOH - Navigator Health Exchange Program</t>
  </si>
  <si>
    <t>NYSDOH - Tobacco-Free Program</t>
  </si>
  <si>
    <t>NYSDOH - Rural Health Network Program</t>
  </si>
  <si>
    <r>
      <t>è</t>
    </r>
    <r>
      <rPr>
        <b/>
        <sz val="12"/>
        <color theme="1"/>
        <rFont val="Times New Roman"/>
        <family val="1"/>
      </rPr>
      <t xml:space="preserve"> Investment - Infinex Financial-Securities</t>
    </r>
    <r>
      <rPr>
        <sz val="12"/>
        <color theme="1"/>
        <rFont val="Calibri"/>
        <family val="2"/>
      </rPr>
      <t xml:space="preserve"> - As of August 31, 2019, investment account value of six mutual funds is $174,581. Initial investment during the month of March 2016 was $152,036. This represents an annual increase of 4.25% over the last 3 1/2 years.</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</si>
  <si>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August 31, 2019: </t>
    </r>
  </si>
  <si>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August 31, 2019,</t>
    </r>
  </si>
  <si>
    <r>
      <t>è</t>
    </r>
    <r>
      <rPr>
        <b/>
        <sz val="12"/>
        <color theme="1"/>
        <rFont val="Times New Roman"/>
        <family val="1"/>
      </rPr>
      <t xml:space="preserve">Accounts Payable - </t>
    </r>
    <r>
      <rPr>
        <sz val="12"/>
        <color theme="1"/>
        <rFont val="Calibri"/>
        <family val="2"/>
        <scheme val="minor"/>
      </rPr>
      <t>At August 31, 2019, accounts payable lability is $7,523. All accounts payable liability is being paid timely within 28 days. Two vendors with the largest balance due was Columbia County in the amount of $2,895 for vehicle fuel &amp; repairs/maintenance and Health Alliance in the amount of $1,000 for financial assistance thru Columbia Cty Cancer Fund.</t>
    </r>
  </si>
  <si>
    <t>Ending Balance at 08/31/2019</t>
  </si>
  <si>
    <r>
      <t xml:space="preserve">General Operating Support (24-Months) </t>
    </r>
    <r>
      <rPr>
        <sz val="11"/>
        <color rgb="FFFF0000"/>
        <rFont val="Arial"/>
        <family val="2"/>
      </rPr>
      <t>(NEW)</t>
    </r>
  </si>
  <si>
    <t xml:space="preserve">Donations </t>
  </si>
  <si>
    <t>In 2019, decrease in CSP Grants by &lt;$58K&gt;, RHN &lt;$40K&gt;, and  Tobacco &lt;$22K&gt;</t>
  </si>
  <si>
    <t>Decrease in staffing from May'19 thru Aug'19</t>
  </si>
  <si>
    <t>Increase revenue in program for NY Connect by $36K for 2019</t>
  </si>
  <si>
    <t>Sharp positive swing in investment value between Dec'18 and Aug'19</t>
  </si>
  <si>
    <t>Health &amp; Dental Ins increased by $16K &amp; W/C Ins by $1.4K in 2019</t>
  </si>
  <si>
    <t>Tobacco Program's Program Supplies down $3.3K in 2019</t>
  </si>
  <si>
    <t>Tobacco-Free - June'19 Voucher</t>
  </si>
  <si>
    <r>
      <t>FLQL</t>
    </r>
    <r>
      <rPr>
        <sz val="11"/>
        <color rgb="FFFF0000"/>
        <rFont val="Arial"/>
        <family val="2"/>
      </rPr>
      <t xml:space="preserve"> (NEW)</t>
    </r>
  </si>
  <si>
    <t>Projections for the Years Ending December 31, 2019 and 2020</t>
  </si>
  <si>
    <t>Foundation Revenue-Foundation for Community Health</t>
  </si>
  <si>
    <t>Foundation Revenue-Dyson Foundation</t>
  </si>
  <si>
    <t>2019 vs. 2020</t>
  </si>
  <si>
    <t>Gain (Loss) on Sale of Vehicle- Ford Focus</t>
  </si>
  <si>
    <t>Telephone &amp; Internet</t>
  </si>
  <si>
    <r>
      <rPr>
        <b/>
        <sz val="11"/>
        <color rgb="FFFF0000"/>
        <rFont val="Calibri"/>
        <family val="2"/>
        <scheme val="minor"/>
      </rPr>
      <t>(NEW)</t>
    </r>
    <r>
      <rPr>
        <b/>
        <sz val="11"/>
        <color theme="1"/>
        <rFont val="Calibri"/>
        <family val="2"/>
        <scheme val="minor"/>
      </rPr>
      <t xml:space="preserve"> 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</si>
</sst>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0.000000000000_);[Red]\(#,##0.000000000000\)"/>
    <numFmt numFmtId="171" formatCode="&quot;$&quot;#,##0"/>
  </numFmts>
  <fonts count="7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sz val="11"/>
      <color rgb="FFFF0000"/>
      <name val="Arial"/>
      <family val="2"/>
    </font>
    <font>
      <b/>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5">
    <xf numFmtId="0" fontId="0"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9" fontId="4" fillId="0" borderId="0" applyFont="0" applyFill="0" applyBorder="0" applyAlignment="0" applyProtection="0"/>
  </cellStyleXfs>
  <cellXfs count="85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6"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xf numFmtId="14" fontId="6" fillId="0" borderId="0" xfId="0" applyNumberFormat="1" applyFont="1" applyFill="1" applyAlignment="1">
      <alignment horizontal="left"/>
    </xf>
    <xf numFmtId="0" fontId="8"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6" fillId="4" borderId="6" xfId="0" applyFont="1" applyFill="1" applyBorder="1"/>
    <xf numFmtId="0" fontId="0" fillId="4" borderId="6" xfId="0" applyFill="1" applyBorder="1"/>
    <xf numFmtId="0" fontId="0" fillId="3" borderId="2" xfId="0" applyFill="1" applyBorder="1" applyAlignment="1">
      <alignment horizontal="center"/>
    </xf>
    <xf numFmtId="0" fontId="9" fillId="4" borderId="0" xfId="0" applyFont="1" applyFill="1"/>
    <xf numFmtId="0" fontId="0" fillId="0" borderId="12" xfId="0" applyBorder="1"/>
    <xf numFmtId="40" fontId="7" fillId="0" borderId="0" xfId="0" applyNumberFormat="1" applyFont="1" applyFill="1" applyAlignment="1"/>
    <xf numFmtId="40" fontId="7"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7" fillId="0" borderId="0" xfId="0" applyNumberFormat="1" applyFont="1" applyFill="1" applyBorder="1" applyAlignment="1"/>
    <xf numFmtId="0" fontId="7" fillId="0" borderId="0" xfId="0" applyFont="1" applyFill="1" applyBorder="1"/>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8" fillId="0" borderId="0" xfId="0" applyNumberFormat="1" applyFont="1" applyFill="1" applyBorder="1" applyAlignment="1"/>
    <xf numFmtId="4" fontId="8" fillId="0" borderId="0" xfId="0" applyNumberFormat="1" applyFont="1" applyFill="1" applyBorder="1" applyAlignment="1"/>
    <xf numFmtId="0" fontId="8" fillId="0" borderId="0" xfId="0" applyFont="1" applyFill="1" applyBorder="1"/>
    <xf numFmtId="40" fontId="6" fillId="0" borderId="0" xfId="0" applyNumberFormat="1" applyFont="1" applyFill="1" applyBorder="1" applyAlignment="1"/>
    <xf numFmtId="0" fontId="6" fillId="0" borderId="0" xfId="0" applyFont="1" applyFill="1" applyBorder="1"/>
    <xf numFmtId="4" fontId="6"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5"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8" fillId="0" borderId="0" xfId="1" applyNumberFormat="1" applyFont="1" applyFill="1" applyBorder="1" applyAlignment="1"/>
    <xf numFmtId="0" fontId="0" fillId="4" borderId="11" xfId="0" applyFill="1" applyBorder="1"/>
    <xf numFmtId="0" fontId="8" fillId="0" borderId="0" xfId="0" applyFont="1" applyFill="1" applyBorder="1" applyAlignment="1"/>
    <xf numFmtId="0" fontId="8" fillId="3" borderId="0" xfId="0" applyFont="1" applyFill="1" applyBorder="1" applyAlignment="1"/>
    <xf numFmtId="0" fontId="8" fillId="3" borderId="5" xfId="0" applyFont="1" applyFill="1" applyBorder="1" applyAlignment="1"/>
    <xf numFmtId="0" fontId="8" fillId="4" borderId="13" xfId="0" applyFont="1" applyFill="1" applyBorder="1" applyAlignment="1"/>
    <xf numFmtId="0" fontId="8" fillId="4" borderId="14" xfId="0" applyFont="1" applyFill="1" applyBorder="1" applyAlignment="1"/>
    <xf numFmtId="0" fontId="8" fillId="3" borderId="16" xfId="0" applyFont="1" applyFill="1" applyBorder="1" applyAlignment="1"/>
    <xf numFmtId="0" fontId="0" fillId="0" borderId="0" xfId="0" applyFill="1" applyBorder="1" applyAlignment="1">
      <alignment horizontal="left"/>
    </xf>
    <xf numFmtId="49" fontId="10" fillId="0" borderId="0" xfId="0" applyNumberFormat="1" applyFont="1" applyAlignment="1">
      <alignment horizontal="center"/>
    </xf>
    <xf numFmtId="0" fontId="0" fillId="0" borderId="0" xfId="0" applyAlignment="1">
      <alignment horizontal="center"/>
    </xf>
    <xf numFmtId="0" fontId="10" fillId="0" borderId="0" xfId="0" applyNumberFormat="1" applyFont="1"/>
    <xf numFmtId="0" fontId="11" fillId="0" borderId="0" xfId="0" applyFont="1"/>
    <xf numFmtId="0" fontId="12" fillId="0" borderId="0" xfId="0" applyFont="1"/>
    <xf numFmtId="0" fontId="12" fillId="0" borderId="0" xfId="0" applyFont="1" applyAlignment="1">
      <alignment horizontal="center"/>
    </xf>
    <xf numFmtId="49" fontId="13"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4" fillId="0" borderId="30" xfId="0" applyNumberFormat="1" applyFont="1" applyBorder="1" applyAlignment="1">
      <alignment vertical="center"/>
    </xf>
    <xf numFmtId="0" fontId="16" fillId="0" borderId="0" xfId="0" applyFont="1" applyBorder="1" applyAlignment="1">
      <alignment vertical="center"/>
    </xf>
    <xf numFmtId="0" fontId="16" fillId="0" borderId="30" xfId="0" applyFont="1" applyBorder="1" applyAlignment="1">
      <alignment vertical="center"/>
    </xf>
    <xf numFmtId="49" fontId="13" fillId="0" borderId="0" xfId="0" applyNumberFormat="1" applyFont="1" applyBorder="1" applyAlignment="1">
      <alignment vertical="center"/>
    </xf>
    <xf numFmtId="0" fontId="0" fillId="0" borderId="0" xfId="0" applyBorder="1" applyAlignment="1">
      <alignment vertical="center"/>
    </xf>
    <xf numFmtId="49" fontId="13" fillId="0" borderId="0" xfId="0" applyNumberFormat="1" applyFont="1" applyAlignment="1"/>
    <xf numFmtId="49" fontId="13" fillId="0" borderId="2" xfId="0" applyNumberFormat="1" applyFont="1" applyBorder="1" applyAlignment="1"/>
    <xf numFmtId="0" fontId="0" fillId="0" borderId="0" xfId="0" applyBorder="1" applyAlignment="1"/>
    <xf numFmtId="0" fontId="0" fillId="0" borderId="0" xfId="0" applyAlignment="1"/>
    <xf numFmtId="49" fontId="13" fillId="0" borderId="0" xfId="0" applyNumberFormat="1" applyFont="1" applyAlignment="1">
      <alignment vertical="center"/>
    </xf>
    <xf numFmtId="0" fontId="0" fillId="0" borderId="0" xfId="0" applyAlignment="1">
      <alignment vertical="center"/>
    </xf>
    <xf numFmtId="49" fontId="17"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7" fillId="0" borderId="2" xfId="0" applyNumberFormat="1" applyFont="1" applyBorder="1" applyAlignment="1">
      <alignment vertical="center"/>
    </xf>
    <xf numFmtId="49" fontId="17" fillId="0" borderId="0" xfId="0" applyNumberFormat="1" applyFont="1" applyBorder="1" applyAlignment="1">
      <alignment vertical="center"/>
    </xf>
    <xf numFmtId="49" fontId="13" fillId="0" borderId="3" xfId="0" applyNumberFormat="1" applyFont="1" applyBorder="1" applyAlignment="1">
      <alignment vertical="center"/>
    </xf>
    <xf numFmtId="49" fontId="14" fillId="0" borderId="31"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49" fontId="18" fillId="0" borderId="27" xfId="0" applyNumberFormat="1" applyFont="1" applyBorder="1" applyAlignment="1">
      <alignment vertical="center"/>
    </xf>
    <xf numFmtId="49" fontId="13" fillId="0" borderId="27" xfId="0" applyNumberFormat="1" applyFont="1" applyBorder="1" applyAlignment="1">
      <alignment vertical="center"/>
    </xf>
    <xf numFmtId="49" fontId="13" fillId="0" borderId="2" xfId="0" applyNumberFormat="1" applyFont="1" applyBorder="1" applyAlignment="1">
      <alignment vertical="center"/>
    </xf>
    <xf numFmtId="49" fontId="18" fillId="0" borderId="28" xfId="0" applyNumberFormat="1" applyFont="1" applyBorder="1" applyAlignment="1">
      <alignment vertical="center"/>
    </xf>
    <xf numFmtId="49" fontId="13" fillId="0" borderId="28" xfId="0" applyNumberFormat="1" applyFont="1" applyBorder="1" applyAlignment="1">
      <alignment vertical="center"/>
    </xf>
    <xf numFmtId="0" fontId="14" fillId="0" borderId="0" xfId="0" applyFont="1" applyAlignment="1">
      <alignment vertical="center"/>
    </xf>
    <xf numFmtId="49" fontId="19"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0"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1" fillId="6" borderId="0" xfId="0" applyNumberFormat="1" applyFont="1" applyFill="1" applyBorder="1"/>
    <xf numFmtId="0" fontId="0" fillId="7" borderId="0" xfId="0" applyFont="1" applyFill="1"/>
    <xf numFmtId="49" fontId="21" fillId="7" borderId="0" xfId="0" applyNumberFormat="1" applyFont="1" applyFill="1" applyBorder="1"/>
    <xf numFmtId="0" fontId="0" fillId="7" borderId="0" xfId="0" applyFont="1" applyFill="1" applyAlignment="1">
      <alignment horizontal="center"/>
    </xf>
    <xf numFmtId="49" fontId="20" fillId="0" borderId="0" xfId="0" applyNumberFormat="1" applyFont="1" applyFill="1" applyBorder="1" applyAlignment="1">
      <alignment horizontal="center"/>
    </xf>
    <xf numFmtId="49" fontId="20" fillId="0" borderId="0" xfId="0" applyNumberFormat="1" applyFont="1" applyFill="1" applyBorder="1" applyAlignment="1">
      <alignment horizontal="left"/>
    </xf>
    <xf numFmtId="0" fontId="0" fillId="10" borderId="0" xfId="0" applyFont="1" applyFill="1"/>
    <xf numFmtId="0" fontId="0" fillId="8" borderId="0" xfId="0" applyFont="1" applyFill="1"/>
    <xf numFmtId="49" fontId="20" fillId="0" borderId="0" xfId="0" applyNumberFormat="1" applyFont="1" applyFill="1" applyBorder="1"/>
    <xf numFmtId="0" fontId="0" fillId="0" borderId="3" xfId="0" applyFont="1" applyFill="1" applyBorder="1"/>
    <xf numFmtId="0" fontId="0" fillId="8" borderId="3" xfId="0" applyFont="1" applyFill="1" applyBorder="1"/>
    <xf numFmtId="49" fontId="21"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1" fillId="11" borderId="0" xfId="0" applyNumberFormat="1" applyFont="1" applyFill="1" applyBorder="1" applyAlignment="1">
      <alignment horizontal="left"/>
    </xf>
    <xf numFmtId="0" fontId="0" fillId="9" borderId="0" xfId="0" applyFont="1" applyFill="1" applyAlignment="1">
      <alignment horizontal="center"/>
    </xf>
    <xf numFmtId="49" fontId="20" fillId="0" borderId="0" xfId="0" applyNumberFormat="1" applyFont="1" applyBorder="1"/>
    <xf numFmtId="0" fontId="20" fillId="0" borderId="0" xfId="0" applyNumberFormat="1" applyFont="1" applyBorder="1"/>
    <xf numFmtId="0" fontId="0" fillId="12" borderId="0" xfId="0" applyFont="1" applyFill="1"/>
    <xf numFmtId="0" fontId="22" fillId="0" borderId="0" xfId="0" applyNumberFormat="1" applyFont="1" applyBorder="1"/>
    <xf numFmtId="0" fontId="10" fillId="0" borderId="0" xfId="0" applyNumberFormat="1" applyFont="1" applyBorder="1"/>
    <xf numFmtId="0" fontId="0" fillId="0" borderId="0" xfId="0" applyNumberFormat="1" applyAlignment="1">
      <alignment horizontal="right"/>
    </xf>
    <xf numFmtId="49" fontId="21" fillId="5" borderId="0" xfId="0" applyNumberFormat="1" applyFont="1" applyFill="1" applyBorder="1"/>
    <xf numFmtId="49" fontId="21" fillId="7" borderId="0" xfId="0" applyNumberFormat="1" applyFont="1" applyFill="1" applyBorder="1" applyAlignment="1">
      <alignment horizontal="left"/>
    </xf>
    <xf numFmtId="49" fontId="21" fillId="10" borderId="0" xfId="0" applyNumberFormat="1" applyFont="1" applyFill="1" applyBorder="1"/>
    <xf numFmtId="49" fontId="21" fillId="11" borderId="0" xfId="0" applyNumberFormat="1" applyFont="1" applyFill="1" applyBorder="1"/>
    <xf numFmtId="0" fontId="7" fillId="0" borderId="0" xfId="0" applyFont="1" applyBorder="1" applyAlignment="1">
      <alignment horizontal="center"/>
    </xf>
    <xf numFmtId="49" fontId="20" fillId="5" borderId="16" xfId="0" applyNumberFormat="1" applyFont="1" applyFill="1" applyBorder="1"/>
    <xf numFmtId="49" fontId="20" fillId="6" borderId="34" xfId="0" applyNumberFormat="1" applyFont="1" applyFill="1" applyBorder="1"/>
    <xf numFmtId="49" fontId="20" fillId="6" borderId="28" xfId="0" applyNumberFormat="1" applyFont="1" applyFill="1" applyBorder="1"/>
    <xf numFmtId="49" fontId="20" fillId="6" borderId="16" xfId="0" applyNumberFormat="1" applyFont="1" applyFill="1" applyBorder="1"/>
    <xf numFmtId="49" fontId="20" fillId="7" borderId="34" xfId="0" applyNumberFormat="1" applyFont="1" applyFill="1" applyBorder="1"/>
    <xf numFmtId="49" fontId="20" fillId="7" borderId="28" xfId="0" applyNumberFormat="1" applyFont="1" applyFill="1" applyBorder="1"/>
    <xf numFmtId="49" fontId="20" fillId="7" borderId="16" xfId="0" applyNumberFormat="1" applyFont="1" applyFill="1" applyBorder="1"/>
    <xf numFmtId="49" fontId="20" fillId="7" borderId="16" xfId="0" applyNumberFormat="1" applyFont="1" applyFill="1" applyBorder="1" applyAlignment="1">
      <alignment horizontal="center"/>
    </xf>
    <xf numFmtId="49" fontId="20" fillId="10" borderId="34" xfId="0" applyNumberFormat="1" applyFont="1" applyFill="1" applyBorder="1"/>
    <xf numFmtId="49" fontId="20" fillId="10" borderId="28" xfId="0" applyNumberFormat="1" applyFont="1" applyFill="1" applyBorder="1"/>
    <xf numFmtId="49" fontId="20" fillId="10" borderId="16" xfId="0" applyNumberFormat="1" applyFont="1" applyFill="1" applyBorder="1"/>
    <xf numFmtId="49" fontId="20" fillId="8" borderId="34" xfId="0" applyNumberFormat="1" applyFont="1" applyFill="1" applyBorder="1"/>
    <xf numFmtId="49" fontId="20" fillId="8" borderId="28" xfId="0" applyNumberFormat="1" applyFont="1" applyFill="1" applyBorder="1"/>
    <xf numFmtId="49" fontId="21" fillId="8" borderId="16" xfId="0" applyNumberFormat="1" applyFont="1" applyFill="1" applyBorder="1"/>
    <xf numFmtId="49" fontId="20" fillId="11" borderId="34" xfId="0" applyNumberFormat="1" applyFont="1" applyFill="1" applyBorder="1" applyAlignment="1">
      <alignment horizontal="left"/>
    </xf>
    <xf numFmtId="49" fontId="20" fillId="11" borderId="28" xfId="0" applyNumberFormat="1" applyFont="1" applyFill="1" applyBorder="1" applyAlignment="1">
      <alignment horizontal="center"/>
    </xf>
    <xf numFmtId="0" fontId="7" fillId="11" borderId="16" xfId="0" applyFont="1" applyFill="1" applyBorder="1" applyAlignment="1">
      <alignment horizontal="center"/>
    </xf>
    <xf numFmtId="49" fontId="20" fillId="9" borderId="34" xfId="0" applyNumberFormat="1" applyFont="1" applyFill="1" applyBorder="1"/>
    <xf numFmtId="49" fontId="20" fillId="5" borderId="37" xfId="0" applyNumberFormat="1" applyFont="1" applyFill="1" applyBorder="1" applyAlignment="1"/>
    <xf numFmtId="49" fontId="20" fillId="8" borderId="24" xfId="0" applyNumberFormat="1" applyFont="1" applyFill="1" applyBorder="1"/>
    <xf numFmtId="0" fontId="8" fillId="3" borderId="8" xfId="0" applyFont="1" applyFill="1" applyBorder="1" applyAlignment="1">
      <alignment horizontal="center" wrapText="1"/>
    </xf>
    <xf numFmtId="40" fontId="5" fillId="3" borderId="9" xfId="0" applyNumberFormat="1" applyFont="1" applyFill="1" applyBorder="1" applyAlignment="1">
      <alignment horizontal="center" vertical="center" wrapText="1"/>
    </xf>
    <xf numFmtId="0" fontId="8" fillId="3" borderId="22" xfId="0" applyFont="1" applyFill="1" applyBorder="1" applyAlignment="1">
      <alignment horizontal="center" vertical="center"/>
    </xf>
    <xf numFmtId="0" fontId="0" fillId="0" borderId="2" xfId="0" applyFont="1" applyBorder="1" applyAlignment="1">
      <alignment vertical="center"/>
    </xf>
    <xf numFmtId="49" fontId="13" fillId="0" borderId="27" xfId="0" applyNumberFormat="1" applyFont="1" applyBorder="1" applyAlignment="1"/>
    <xf numFmtId="0" fontId="0" fillId="0" borderId="27" xfId="0" applyBorder="1" applyAlignment="1"/>
    <xf numFmtId="49" fontId="20"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9" fillId="0" borderId="0" xfId="0" applyNumberFormat="1" applyFont="1" applyBorder="1" applyAlignment="1">
      <alignment horizontal="center"/>
    </xf>
    <xf numFmtId="0" fontId="22" fillId="0" borderId="0" xfId="0" applyNumberFormat="1" applyFont="1" applyAlignment="1">
      <alignment horizontal="center"/>
    </xf>
    <xf numFmtId="38" fontId="21" fillId="5" borderId="1" xfId="1" applyNumberFormat="1" applyFont="1" applyFill="1" applyBorder="1" applyAlignment="1">
      <alignment horizontal="right"/>
    </xf>
    <xf numFmtId="38" fontId="21" fillId="5" borderId="9" xfId="1" applyNumberFormat="1" applyFont="1" applyFill="1" applyBorder="1" applyAlignment="1">
      <alignment horizontal="right"/>
    </xf>
    <xf numFmtId="38" fontId="20" fillId="0" borderId="0" xfId="0" applyNumberFormat="1" applyFont="1" applyBorder="1" applyAlignment="1">
      <alignment horizontal="right"/>
    </xf>
    <xf numFmtId="38" fontId="21" fillId="6" borderId="37" xfId="0" applyNumberFormat="1" applyFont="1" applyFill="1" applyBorder="1" applyAlignment="1">
      <alignment horizontal="right"/>
    </xf>
    <xf numFmtId="38" fontId="21" fillId="6" borderId="39" xfId="0" applyNumberFormat="1" applyFont="1" applyFill="1" applyBorder="1" applyAlignment="1">
      <alignment horizontal="right"/>
    </xf>
    <xf numFmtId="38" fontId="21" fillId="6" borderId="1" xfId="1" applyNumberFormat="1" applyFont="1" applyFill="1" applyBorder="1" applyAlignment="1">
      <alignment horizontal="right"/>
    </xf>
    <xf numFmtId="38" fontId="21" fillId="6" borderId="9" xfId="1" applyNumberFormat="1" applyFont="1" applyFill="1" applyBorder="1" applyAlignment="1">
      <alignment horizontal="right"/>
    </xf>
    <xf numFmtId="38" fontId="20" fillId="0" borderId="0" xfId="1" applyNumberFormat="1" applyFont="1" applyBorder="1" applyAlignment="1">
      <alignment horizontal="right"/>
    </xf>
    <xf numFmtId="38" fontId="7" fillId="0" borderId="0" xfId="1" applyNumberFormat="1" applyFont="1" applyBorder="1" applyAlignment="1">
      <alignment horizontal="right"/>
    </xf>
    <xf numFmtId="38" fontId="21" fillId="7" borderId="37" xfId="1" applyNumberFormat="1" applyFont="1" applyFill="1" applyBorder="1" applyAlignment="1">
      <alignment horizontal="right"/>
    </xf>
    <xf numFmtId="38" fontId="21" fillId="7" borderId="39" xfId="1" applyNumberFormat="1" applyFont="1" applyFill="1" applyBorder="1" applyAlignment="1">
      <alignment horizontal="right"/>
    </xf>
    <xf numFmtId="38" fontId="21" fillId="7" borderId="1" xfId="1" applyNumberFormat="1" applyFont="1" applyFill="1" applyBorder="1" applyAlignment="1">
      <alignment horizontal="right"/>
    </xf>
    <xf numFmtId="38" fontId="21" fillId="7" borderId="9" xfId="1" applyNumberFormat="1" applyFont="1" applyFill="1" applyBorder="1" applyAlignment="1">
      <alignment horizontal="right"/>
    </xf>
    <xf numFmtId="38" fontId="20" fillId="0" borderId="0" xfId="1" applyNumberFormat="1" applyFont="1" applyFill="1" applyBorder="1" applyAlignment="1">
      <alignment horizontal="right"/>
    </xf>
    <xf numFmtId="38" fontId="21" fillId="10" borderId="37" xfId="1" applyNumberFormat="1" applyFont="1" applyFill="1" applyBorder="1" applyAlignment="1">
      <alignment horizontal="right"/>
    </xf>
    <xf numFmtId="38" fontId="21" fillId="10" borderId="39" xfId="1" applyNumberFormat="1" applyFont="1" applyFill="1" applyBorder="1" applyAlignment="1">
      <alignment horizontal="right"/>
    </xf>
    <xf numFmtId="38" fontId="21" fillId="10" borderId="1" xfId="1" applyNumberFormat="1" applyFont="1" applyFill="1" applyBorder="1" applyAlignment="1">
      <alignment horizontal="right"/>
    </xf>
    <xf numFmtId="38" fontId="21" fillId="10"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8" borderId="1" xfId="1" applyNumberFormat="1" applyFont="1" applyFill="1" applyBorder="1" applyAlignment="1">
      <alignment horizontal="right"/>
    </xf>
    <xf numFmtId="38" fontId="21" fillId="8" borderId="9" xfId="1" applyNumberFormat="1" applyFont="1" applyFill="1" applyBorder="1" applyAlignment="1">
      <alignment horizontal="right"/>
    </xf>
    <xf numFmtId="38" fontId="20" fillId="8" borderId="37" xfId="1" applyNumberFormat="1" applyFont="1" applyFill="1" applyBorder="1" applyAlignment="1">
      <alignment horizontal="right"/>
    </xf>
    <xf numFmtId="38" fontId="20" fillId="8" borderId="39" xfId="1" applyNumberFormat="1" applyFont="1" applyFill="1" applyBorder="1" applyAlignment="1">
      <alignment horizontal="right"/>
    </xf>
    <xf numFmtId="38" fontId="20" fillId="11" borderId="37" xfId="1" applyNumberFormat="1" applyFont="1" applyFill="1" applyBorder="1" applyAlignment="1">
      <alignment horizontal="right"/>
    </xf>
    <xf numFmtId="38" fontId="20" fillId="11" borderId="39" xfId="1" applyNumberFormat="1" applyFont="1" applyFill="1" applyBorder="1" applyAlignment="1">
      <alignment horizontal="right"/>
    </xf>
    <xf numFmtId="38" fontId="21" fillId="11" borderId="1" xfId="1" applyNumberFormat="1" applyFont="1" applyFill="1" applyBorder="1" applyAlignment="1">
      <alignment horizontal="right"/>
    </xf>
    <xf numFmtId="38" fontId="21"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0" fillId="5" borderId="19" xfId="0" applyNumberFormat="1" applyFont="1" applyFill="1" applyBorder="1" applyAlignment="1">
      <alignment horizontal="center"/>
    </xf>
    <xf numFmtId="6" fontId="20"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0" fillId="6" borderId="19" xfId="0" applyNumberFormat="1" applyFont="1" applyFill="1" applyBorder="1" applyAlignment="1">
      <alignment horizontal="center"/>
    </xf>
    <xf numFmtId="6" fontId="20"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0" fillId="7" borderId="19" xfId="0" applyNumberFormat="1" applyFont="1" applyFill="1" applyBorder="1" applyAlignment="1">
      <alignment horizontal="center"/>
    </xf>
    <xf numFmtId="6" fontId="20"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0" fillId="10" borderId="19" xfId="0" applyNumberFormat="1" applyFont="1" applyFill="1" applyBorder="1" applyAlignment="1">
      <alignment horizontal="center"/>
    </xf>
    <xf numFmtId="6" fontId="20" fillId="10" borderId="25" xfId="1" applyNumberFormat="1" applyFont="1" applyFill="1" applyBorder="1" applyAlignment="1">
      <alignment horizontal="right"/>
    </xf>
    <xf numFmtId="6" fontId="20"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0" fillId="8" borderId="19" xfId="0" applyNumberFormat="1" applyFont="1" applyFill="1" applyBorder="1" applyAlignment="1">
      <alignment horizontal="center"/>
    </xf>
    <xf numFmtId="6" fontId="20" fillId="8" borderId="25" xfId="1" applyNumberFormat="1" applyFont="1" applyFill="1" applyBorder="1" applyAlignment="1">
      <alignment horizontal="right"/>
    </xf>
    <xf numFmtId="6" fontId="20" fillId="8" borderId="20"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6" fillId="11" borderId="19" xfId="0" applyNumberFormat="1" applyFont="1" applyFill="1" applyBorder="1" applyAlignment="1">
      <alignment horizontal="center"/>
    </xf>
    <xf numFmtId="6" fontId="20"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0"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2" fillId="0" borderId="0" xfId="0" applyNumberFormat="1" applyFont="1"/>
    <xf numFmtId="41" fontId="13" fillId="0" borderId="0" xfId="0" applyNumberFormat="1" applyFont="1" applyBorder="1" applyAlignment="1">
      <alignment horizontal="center" vertical="center"/>
    </xf>
    <xf numFmtId="41" fontId="17" fillId="0" borderId="0" xfId="0" applyNumberFormat="1" applyFont="1" applyBorder="1" applyAlignment="1">
      <alignment vertical="center"/>
    </xf>
    <xf numFmtId="41" fontId="17" fillId="0" borderId="27" xfId="0" applyNumberFormat="1" applyFont="1" applyBorder="1" applyAlignment="1"/>
    <xf numFmtId="41" fontId="17" fillId="0" borderId="0" xfId="0" applyNumberFormat="1" applyFont="1" applyAlignment="1">
      <alignment vertical="center"/>
    </xf>
    <xf numFmtId="41" fontId="17" fillId="0" borderId="2" xfId="0" applyNumberFormat="1" applyFont="1" applyBorder="1" applyAlignment="1">
      <alignment vertical="center"/>
    </xf>
    <xf numFmtId="41" fontId="13" fillId="0" borderId="0" xfId="0" applyNumberFormat="1" applyFont="1" applyAlignment="1">
      <alignment vertical="center"/>
    </xf>
    <xf numFmtId="41" fontId="13" fillId="0" borderId="0" xfId="0" applyNumberFormat="1" applyFont="1" applyBorder="1" applyAlignment="1">
      <alignment vertical="center"/>
    </xf>
    <xf numFmtId="41" fontId="13" fillId="0" borderId="31" xfId="0" applyNumberFormat="1" applyFont="1" applyBorder="1" applyAlignment="1">
      <alignment vertical="center"/>
    </xf>
    <xf numFmtId="41" fontId="17" fillId="0" borderId="2" xfId="0" applyNumberFormat="1" applyFont="1" applyBorder="1" applyAlignment="1"/>
    <xf numFmtId="41" fontId="13" fillId="0" borderId="3" xfId="0" applyNumberFormat="1" applyFont="1" applyBorder="1" applyAlignment="1">
      <alignment vertical="center"/>
    </xf>
    <xf numFmtId="41" fontId="15" fillId="0" borderId="30" xfId="0" applyNumberFormat="1" applyFont="1" applyBorder="1" applyAlignment="1">
      <alignment vertical="center"/>
    </xf>
    <xf numFmtId="41" fontId="17" fillId="0" borderId="27" xfId="0" applyNumberFormat="1" applyFont="1" applyBorder="1" applyAlignment="1">
      <alignment vertical="center"/>
    </xf>
    <xf numFmtId="41" fontId="17" fillId="0" borderId="6" xfId="0" applyNumberFormat="1" applyFont="1" applyBorder="1" applyAlignment="1">
      <alignment vertical="center"/>
    </xf>
    <xf numFmtId="41" fontId="0" fillId="0" borderId="0" xfId="0" applyNumberFormat="1"/>
    <xf numFmtId="42" fontId="17" fillId="0" borderId="0" xfId="0" applyNumberFormat="1" applyFont="1" applyAlignment="1">
      <alignment vertical="center"/>
    </xf>
    <xf numFmtId="42" fontId="14" fillId="0" borderId="31" xfId="0" applyNumberFormat="1" applyFont="1" applyBorder="1" applyAlignment="1">
      <alignment vertical="center"/>
    </xf>
    <xf numFmtId="42" fontId="17"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5" fillId="0" borderId="0" xfId="0" applyNumberFormat="1" applyFont="1" applyFill="1" applyBorder="1" applyAlignment="1"/>
    <xf numFmtId="42" fontId="5" fillId="0" borderId="0" xfId="0" applyNumberFormat="1" applyFont="1" applyFill="1" applyBorder="1"/>
    <xf numFmtId="42" fontId="5" fillId="3" borderId="6" xfId="0" applyNumberFormat="1" applyFont="1" applyFill="1" applyBorder="1"/>
    <xf numFmtId="40" fontId="5" fillId="0" borderId="44" xfId="0" applyNumberFormat="1" applyFont="1" applyFill="1" applyBorder="1" applyAlignment="1">
      <alignment horizontal="center"/>
    </xf>
    <xf numFmtId="0" fontId="8" fillId="4" borderId="32" xfId="0" applyFont="1" applyFill="1" applyBorder="1" applyAlignment="1">
      <alignment vertical="center"/>
    </xf>
    <xf numFmtId="0" fontId="8" fillId="4" borderId="33" xfId="0" applyFont="1" applyFill="1" applyBorder="1" applyAlignment="1">
      <alignment vertical="center"/>
    </xf>
    <xf numFmtId="0" fontId="8" fillId="4" borderId="42" xfId="0" applyFont="1" applyFill="1" applyBorder="1" applyAlignment="1">
      <alignment vertical="center"/>
    </xf>
    <xf numFmtId="40" fontId="5" fillId="3" borderId="47" xfId="0" applyNumberFormat="1" applyFont="1" applyFill="1" applyBorder="1" applyAlignment="1">
      <alignment horizontal="center" vertical="center" wrapText="1"/>
    </xf>
    <xf numFmtId="0" fontId="8" fillId="3" borderId="35" xfId="0" applyFont="1" applyFill="1" applyBorder="1"/>
    <xf numFmtId="0" fontId="8" fillId="3" borderId="27" xfId="0" applyFont="1" applyFill="1" applyBorder="1"/>
    <xf numFmtId="0" fontId="8" fillId="3" borderId="27" xfId="0" applyFont="1" applyFill="1" applyBorder="1" applyAlignment="1">
      <alignment horizontal="center"/>
    </xf>
    <xf numFmtId="14" fontId="8" fillId="3" borderId="27" xfId="0" applyNumberFormat="1" applyFont="1" applyFill="1" applyBorder="1" applyAlignment="1">
      <alignment horizontal="center"/>
    </xf>
    <xf numFmtId="42" fontId="25" fillId="0" borderId="0" xfId="0" applyNumberFormat="1" applyFont="1" applyAlignment="1">
      <alignment horizontal="right" vertical="center"/>
    </xf>
    <xf numFmtId="41" fontId="0" fillId="0" borderId="0" xfId="0" applyNumberFormat="1" applyBorder="1" applyAlignment="1">
      <alignment vertical="center"/>
    </xf>
    <xf numFmtId="42" fontId="17" fillId="0" borderId="0" xfId="0" applyNumberFormat="1" applyFont="1" applyFill="1" applyAlignment="1">
      <alignment vertical="center"/>
    </xf>
    <xf numFmtId="41" fontId="17" fillId="0" borderId="0" xfId="0" applyNumberFormat="1" applyFont="1" applyFill="1" applyAlignment="1">
      <alignment vertical="center"/>
    </xf>
    <xf numFmtId="41" fontId="17" fillId="0" borderId="27" xfId="0" applyNumberFormat="1" applyFont="1" applyFill="1" applyBorder="1" applyAlignment="1">
      <alignment vertical="center"/>
    </xf>
    <xf numFmtId="49" fontId="13" fillId="0" borderId="0" xfId="0" applyNumberFormat="1" applyFont="1" applyBorder="1" applyAlignment="1"/>
    <xf numFmtId="41" fontId="17" fillId="0" borderId="0" xfId="0" applyNumberFormat="1" applyFont="1" applyBorder="1" applyAlignment="1"/>
    <xf numFmtId="49" fontId="14" fillId="0" borderId="0" xfId="0" applyNumberFormat="1" applyFont="1" applyBorder="1" applyAlignment="1">
      <alignment vertical="center"/>
    </xf>
    <xf numFmtId="42" fontId="14" fillId="0" borderId="0" xfId="0" applyNumberFormat="1" applyFont="1" applyBorder="1" applyAlignment="1">
      <alignment vertical="center"/>
    </xf>
    <xf numFmtId="41" fontId="15" fillId="0" borderId="0" xfId="0" applyNumberFormat="1" applyFont="1" applyBorder="1" applyAlignment="1">
      <alignment vertical="center"/>
    </xf>
    <xf numFmtId="49" fontId="18" fillId="0" borderId="0" xfId="0" applyNumberFormat="1" applyFont="1" applyBorder="1" applyAlignment="1">
      <alignment vertical="center"/>
    </xf>
    <xf numFmtId="41" fontId="0" fillId="0" borderId="0" xfId="0" applyNumberFormat="1" applyBorder="1"/>
    <xf numFmtId="42" fontId="13" fillId="0" borderId="0" xfId="0" applyNumberFormat="1" applyFont="1" applyBorder="1" applyAlignment="1">
      <alignment vertical="center"/>
    </xf>
    <xf numFmtId="0" fontId="26" fillId="0" borderId="0" xfId="0" applyFont="1" applyBorder="1"/>
    <xf numFmtId="41" fontId="26" fillId="0" borderId="0" xfId="0" applyNumberFormat="1" applyFont="1" applyBorder="1" applyAlignment="1">
      <alignment vertical="center"/>
    </xf>
    <xf numFmtId="41" fontId="17" fillId="0" borderId="0" xfId="0" applyNumberFormat="1" applyFont="1" applyBorder="1" applyAlignment="1">
      <alignment horizontal="right" vertical="center"/>
    </xf>
    <xf numFmtId="41" fontId="26" fillId="0" borderId="0" xfId="0" applyNumberFormat="1" applyFont="1" applyBorder="1"/>
    <xf numFmtId="0" fontId="0" fillId="0" borderId="0" xfId="0" applyFill="1" applyBorder="1" applyAlignment="1">
      <alignment horizontal="left"/>
    </xf>
    <xf numFmtId="6" fontId="6" fillId="13" borderId="38" xfId="1" applyNumberFormat="1" applyFont="1" applyFill="1" applyBorder="1" applyAlignment="1">
      <alignment horizontal="right"/>
    </xf>
    <xf numFmtId="0" fontId="27" fillId="0" borderId="0" xfId="0" applyNumberFormat="1" applyFont="1"/>
    <xf numFmtId="38" fontId="17" fillId="0" borderId="0" xfId="0" applyNumberFormat="1" applyFont="1" applyBorder="1" applyAlignment="1">
      <alignment vertical="center"/>
    </xf>
    <xf numFmtId="166" fontId="28" fillId="0" borderId="27" xfId="0" applyNumberFormat="1" applyFont="1" applyBorder="1" applyAlignment="1">
      <alignment horizontal="center"/>
    </xf>
    <xf numFmtId="10" fontId="0" fillId="0" borderId="0" xfId="0" applyNumberFormat="1" applyFill="1" applyBorder="1" applyAlignment="1"/>
    <xf numFmtId="0" fontId="29" fillId="0" borderId="0" xfId="0" applyFont="1" applyFill="1" applyBorder="1" applyAlignment="1">
      <alignment horizontal="left"/>
    </xf>
    <xf numFmtId="42" fontId="8" fillId="3" borderId="46" xfId="1" applyNumberFormat="1" applyFont="1" applyFill="1" applyBorder="1" applyAlignment="1"/>
    <xf numFmtId="42" fontId="5" fillId="3" borderId="35" xfId="0" applyNumberFormat="1" applyFont="1" applyFill="1" applyBorder="1"/>
    <xf numFmtId="0" fontId="0" fillId="0" borderId="49" xfId="0" applyFill="1" applyBorder="1"/>
    <xf numFmtId="0" fontId="0" fillId="0" borderId="46" xfId="0" applyFill="1" applyBorder="1"/>
    <xf numFmtId="42" fontId="5" fillId="3" borderId="27" xfId="0" applyNumberFormat="1" applyFont="1" applyFill="1" applyBorder="1"/>
    <xf numFmtId="42" fontId="5"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5"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5" fillId="3" borderId="27" xfId="0" applyNumberFormat="1" applyFont="1" applyFill="1" applyBorder="1" applyAlignment="1"/>
    <xf numFmtId="42" fontId="5" fillId="3" borderId="52" xfId="0" applyNumberFormat="1" applyFont="1" applyFill="1" applyBorder="1" applyAlignment="1"/>
    <xf numFmtId="42" fontId="5" fillId="3" borderId="53" xfId="0" applyNumberFormat="1" applyFont="1" applyFill="1" applyBorder="1" applyAlignment="1"/>
    <xf numFmtId="0" fontId="8" fillId="4" borderId="34" xfId="0" applyFont="1" applyFill="1" applyBorder="1"/>
    <xf numFmtId="0" fontId="6" fillId="4" borderId="28" xfId="0" applyFont="1" applyFill="1" applyBorder="1"/>
    <xf numFmtId="0" fontId="6"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6"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6" fillId="4" borderId="41" xfId="0" applyNumberFormat="1" applyFont="1" applyFill="1" applyBorder="1" applyAlignment="1"/>
    <xf numFmtId="40" fontId="6"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0" fillId="0" borderId="0" xfId="0" applyNumberFormat="1" applyFont="1" applyBorder="1" applyAlignment="1">
      <alignment horizontal="center"/>
    </xf>
    <xf numFmtId="0" fontId="24"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5" fillId="3" borderId="44" xfId="0" applyFont="1" applyFill="1" applyBorder="1" applyAlignment="1">
      <alignment horizontal="center" vertical="center"/>
    </xf>
    <xf numFmtId="42" fontId="5" fillId="3" borderId="32" xfId="0" applyNumberFormat="1" applyFont="1" applyFill="1" applyBorder="1"/>
    <xf numFmtId="42" fontId="5" fillId="3" borderId="33" xfId="0" applyNumberFormat="1" applyFont="1" applyFill="1" applyBorder="1"/>
    <xf numFmtId="42" fontId="5" fillId="3" borderId="42" xfId="0" applyNumberFormat="1" applyFont="1" applyFill="1" applyBorder="1"/>
    <xf numFmtId="40" fontId="5" fillId="3" borderId="44" xfId="0" applyNumberFormat="1" applyFont="1" applyFill="1" applyBorder="1" applyAlignment="1">
      <alignment horizontal="center" vertical="center"/>
    </xf>
    <xf numFmtId="40" fontId="5"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3" fillId="0" borderId="31" xfId="0" applyNumberFormat="1" applyFont="1" applyBorder="1" applyAlignment="1">
      <alignment vertical="center"/>
    </xf>
    <xf numFmtId="41" fontId="17" fillId="0" borderId="0" xfId="0" applyNumberFormat="1" applyFont="1" applyFill="1" applyBorder="1" applyAlignment="1">
      <alignment vertical="center"/>
    </xf>
    <xf numFmtId="166" fontId="28" fillId="0" borderId="0" xfId="0" applyNumberFormat="1" applyFont="1" applyBorder="1" applyAlignment="1">
      <alignment horizontal="center"/>
    </xf>
    <xf numFmtId="41" fontId="15" fillId="0" borderId="57" xfId="0" applyNumberFormat="1" applyFont="1" applyBorder="1" applyAlignment="1">
      <alignment vertical="center"/>
    </xf>
    <xf numFmtId="41" fontId="13" fillId="0" borderId="57" xfId="0" applyNumberFormat="1" applyFont="1" applyBorder="1" applyAlignment="1">
      <alignment vertical="center"/>
    </xf>
    <xf numFmtId="42" fontId="17" fillId="0" borderId="0" xfId="0" applyNumberFormat="1" applyFont="1" applyFill="1" applyBorder="1" applyAlignment="1">
      <alignment vertical="center"/>
    </xf>
    <xf numFmtId="41" fontId="20" fillId="5" borderId="16" xfId="0" applyNumberFormat="1" applyFont="1" applyFill="1" applyBorder="1" applyAlignment="1">
      <alignment horizontal="left"/>
    </xf>
    <xf numFmtId="41" fontId="20" fillId="5" borderId="1" xfId="0" applyNumberFormat="1" applyFont="1" applyFill="1" applyBorder="1" applyAlignment="1"/>
    <xf numFmtId="41" fontId="20"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1" fillId="0" borderId="0" xfId="0" applyNumberFormat="1" applyFont="1" applyBorder="1" applyAlignment="1">
      <alignment vertical="center"/>
    </xf>
    <xf numFmtId="49" fontId="20" fillId="12" borderId="34" xfId="0" applyNumberFormat="1" applyFont="1" applyFill="1" applyBorder="1"/>
    <xf numFmtId="49" fontId="20" fillId="12" borderId="28" xfId="0" applyNumberFormat="1" applyFont="1" applyFill="1" applyBorder="1"/>
    <xf numFmtId="6" fontId="20" fillId="12" borderId="39" xfId="1" applyNumberFormat="1" applyFont="1" applyFill="1" applyBorder="1" applyAlignment="1">
      <alignment horizontal="right"/>
    </xf>
    <xf numFmtId="49" fontId="20" fillId="12" borderId="16" xfId="0" applyNumberFormat="1" applyFont="1" applyFill="1" applyBorder="1"/>
    <xf numFmtId="49" fontId="20" fillId="12" borderId="24" xfId="0" applyNumberFormat="1" applyFont="1" applyFill="1" applyBorder="1"/>
    <xf numFmtId="6" fontId="20" fillId="12" borderId="40" xfId="1" applyNumberFormat="1" applyFont="1" applyFill="1" applyBorder="1" applyAlignment="1">
      <alignment horizontal="right"/>
    </xf>
    <xf numFmtId="49" fontId="21" fillId="12" borderId="0" xfId="0" applyNumberFormat="1" applyFont="1" applyFill="1" applyBorder="1"/>
    <xf numFmtId="49" fontId="21" fillId="12" borderId="2" xfId="0" applyNumberFormat="1" applyFont="1" applyFill="1" applyBorder="1"/>
    <xf numFmtId="0" fontId="30"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4" fillId="0" borderId="57" xfId="0" applyNumberFormat="1" applyFont="1" applyBorder="1" applyAlignment="1">
      <alignment vertical="center"/>
    </xf>
    <xf numFmtId="38" fontId="20" fillId="12" borderId="39" xfId="1" applyNumberFormat="1" applyFont="1" applyFill="1" applyBorder="1" applyAlignment="1">
      <alignment horizontal="right"/>
    </xf>
    <xf numFmtId="49" fontId="20"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2" fillId="0" borderId="0" xfId="0" applyNumberFormat="1" applyFont="1"/>
    <xf numFmtId="8" fontId="0" fillId="0" borderId="0" xfId="0" applyNumberFormat="1" applyBorder="1" applyAlignment="1">
      <alignment horizontal="center" vertical="center"/>
    </xf>
    <xf numFmtId="8" fontId="16"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4" fillId="0" borderId="0" xfId="0" applyNumberFormat="1" applyFont="1" applyBorder="1" applyAlignment="1">
      <alignment vertical="center"/>
    </xf>
    <xf numFmtId="8" fontId="10"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0" fillId="9" borderId="16" xfId="0" applyNumberFormat="1" applyFont="1" applyFill="1" applyBorder="1"/>
    <xf numFmtId="49" fontId="20" fillId="9" borderId="24" xfId="0" applyNumberFormat="1" applyFont="1" applyFill="1" applyBorder="1"/>
    <xf numFmtId="49" fontId="20" fillId="14" borderId="33" xfId="0" applyNumberFormat="1" applyFont="1" applyFill="1" applyBorder="1"/>
    <xf numFmtId="6" fontId="20" fillId="14" borderId="38" xfId="1" applyNumberFormat="1" applyFont="1" applyFill="1" applyBorder="1" applyAlignment="1">
      <alignment horizontal="right"/>
    </xf>
    <xf numFmtId="38" fontId="20" fillId="14" borderId="38" xfId="1" applyNumberFormat="1" applyFont="1" applyFill="1" applyBorder="1" applyAlignment="1">
      <alignment horizontal="right"/>
    </xf>
    <xf numFmtId="42" fontId="5" fillId="3" borderId="60" xfId="1" applyNumberFormat="1" applyFont="1" applyFill="1" applyBorder="1" applyAlignment="1"/>
    <xf numFmtId="42" fontId="5" fillId="3" borderId="38" xfId="1" applyNumberFormat="1" applyFont="1" applyFill="1" applyBorder="1" applyAlignment="1"/>
    <xf numFmtId="42" fontId="5" fillId="3" borderId="61" xfId="1" applyNumberFormat="1" applyFont="1" applyFill="1" applyBorder="1" applyAlignment="1"/>
    <xf numFmtId="42" fontId="5" fillId="3" borderId="62" xfId="1" applyNumberFormat="1" applyFont="1" applyFill="1" applyBorder="1" applyAlignment="1"/>
    <xf numFmtId="41" fontId="26" fillId="0" borderId="27" xfId="0" applyNumberFormat="1" applyFont="1" applyBorder="1" applyAlignment="1">
      <alignment vertical="center"/>
    </xf>
    <xf numFmtId="42" fontId="26" fillId="0" borderId="0" xfId="0" applyNumberFormat="1" applyFont="1" applyBorder="1" applyAlignment="1">
      <alignment vertical="center"/>
    </xf>
    <xf numFmtId="42" fontId="0" fillId="0" borderId="0" xfId="0" applyNumberFormat="1" applyFont="1" applyBorder="1" applyAlignment="1">
      <alignment vertical="center"/>
    </xf>
    <xf numFmtId="41" fontId="32"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3" fillId="0" borderId="0" xfId="0" applyNumberFormat="1" applyFont="1" applyFill="1" applyBorder="1" applyAlignment="1">
      <alignment vertical="center"/>
    </xf>
    <xf numFmtId="42" fontId="14"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7" fillId="0" borderId="0" xfId="0" applyNumberFormat="1" applyFont="1" applyAlignment="1">
      <alignment vertical="center"/>
    </xf>
    <xf numFmtId="49" fontId="17" fillId="0" borderId="0" xfId="0" applyNumberFormat="1" applyFont="1" applyFill="1" applyBorder="1" applyAlignment="1">
      <alignment vertical="center"/>
    </xf>
    <xf numFmtId="49" fontId="17" fillId="0" borderId="0" xfId="0" applyNumberFormat="1" applyFont="1" applyFill="1" applyAlignment="1">
      <alignment vertical="center"/>
    </xf>
    <xf numFmtId="49" fontId="13" fillId="0" borderId="0" xfId="0" applyNumberFormat="1" applyFont="1" applyFill="1" applyAlignment="1">
      <alignment vertical="center"/>
    </xf>
    <xf numFmtId="49" fontId="13" fillId="0" borderId="27" xfId="0" applyNumberFormat="1" applyFont="1" applyFill="1" applyBorder="1" applyAlignment="1">
      <alignment vertical="center"/>
    </xf>
    <xf numFmtId="49" fontId="13" fillId="0" borderId="0" xfId="0" applyNumberFormat="1" applyFont="1" applyFill="1" applyBorder="1" applyAlignment="1">
      <alignment vertical="center"/>
    </xf>
    <xf numFmtId="49" fontId="14" fillId="0" borderId="0" xfId="0" applyNumberFormat="1" applyFont="1" applyFill="1" applyBorder="1" applyAlignment="1">
      <alignment vertical="center"/>
    </xf>
    <xf numFmtId="49" fontId="18" fillId="0" borderId="0" xfId="0" applyNumberFormat="1" applyFont="1" applyFill="1" applyBorder="1" applyAlignment="1">
      <alignment vertical="center"/>
    </xf>
    <xf numFmtId="0" fontId="10" fillId="0" borderId="0" xfId="0" applyNumberFormat="1" applyFont="1" applyFill="1"/>
    <xf numFmtId="41" fontId="17" fillId="0" borderId="2" xfId="0" applyNumberFormat="1" applyFont="1" applyFill="1" applyBorder="1" applyAlignment="1">
      <alignment vertical="center"/>
    </xf>
    <xf numFmtId="41" fontId="26" fillId="0" borderId="0" xfId="0" applyNumberFormat="1" applyFont="1" applyFill="1" applyBorder="1" applyAlignment="1">
      <alignment vertical="center"/>
    </xf>
    <xf numFmtId="41" fontId="17" fillId="0" borderId="0" xfId="0" applyNumberFormat="1" applyFont="1" applyFill="1" applyBorder="1" applyAlignment="1">
      <alignment horizontal="right" vertical="center"/>
    </xf>
    <xf numFmtId="0" fontId="5" fillId="3" borderId="47" xfId="0" applyFont="1" applyFill="1" applyBorder="1" applyAlignment="1">
      <alignment horizontal="center" vertical="center"/>
    </xf>
    <xf numFmtId="42" fontId="10" fillId="0" borderId="0" xfId="0" applyNumberFormat="1" applyFont="1" applyBorder="1" applyAlignment="1">
      <alignment vertical="center"/>
    </xf>
    <xf numFmtId="0" fontId="26" fillId="0" borderId="0" xfId="0" applyFont="1" applyBorder="1" applyAlignment="1">
      <alignment vertical="center"/>
    </xf>
    <xf numFmtId="0" fontId="13" fillId="0" borderId="0" xfId="0" applyFont="1" applyBorder="1" applyAlignment="1">
      <alignment vertical="center"/>
    </xf>
    <xf numFmtId="0" fontId="26" fillId="0" borderId="27" xfId="0" applyFont="1" applyBorder="1" applyAlignment="1">
      <alignment vertical="center"/>
    </xf>
    <xf numFmtId="41" fontId="15" fillId="0" borderId="30" xfId="0" applyNumberFormat="1" applyFont="1" applyBorder="1" applyAlignment="1">
      <alignment horizontal="center" vertical="center"/>
    </xf>
    <xf numFmtId="49" fontId="17" fillId="0" borderId="0" xfId="0" applyNumberFormat="1" applyFont="1" applyAlignment="1">
      <alignment vertical="center"/>
    </xf>
    <xf numFmtId="49" fontId="17" fillId="0" borderId="27" xfId="0" applyNumberFormat="1" applyFont="1" applyBorder="1" applyAlignment="1">
      <alignment vertical="center"/>
    </xf>
    <xf numFmtId="49" fontId="13" fillId="0" borderId="0" xfId="0" applyNumberFormat="1" applyFont="1" applyAlignment="1">
      <alignment wrapText="1"/>
    </xf>
    <xf numFmtId="166" fontId="28" fillId="0" borderId="27" xfId="0" applyNumberFormat="1" applyFont="1" applyBorder="1" applyAlignment="1">
      <alignment horizontal="center" vertical="center" wrapText="1"/>
    </xf>
    <xf numFmtId="41" fontId="10" fillId="0" borderId="0" xfId="0" applyNumberFormat="1" applyFont="1"/>
    <xf numFmtId="10" fontId="13" fillId="0" borderId="0" xfId="0" applyNumberFormat="1" applyFont="1" applyAlignment="1">
      <alignment vertical="center"/>
    </xf>
    <xf numFmtId="0" fontId="26" fillId="0" borderId="30" xfId="0" applyFont="1" applyBorder="1" applyAlignment="1">
      <alignment horizontal="center" vertical="center"/>
    </xf>
    <xf numFmtId="165" fontId="9" fillId="0" borderId="0" xfId="0" applyNumberFormat="1" applyFont="1" applyBorder="1" applyAlignment="1">
      <alignment horizontal="center" vertical="center"/>
    </xf>
    <xf numFmtId="165" fontId="9" fillId="0" borderId="27" xfId="0" applyNumberFormat="1" applyFont="1" applyBorder="1" applyAlignment="1">
      <alignment horizontal="center" vertical="center"/>
    </xf>
    <xf numFmtId="0" fontId="26" fillId="0" borderId="30" xfId="0" applyFont="1" applyBorder="1" applyAlignment="1">
      <alignment horizontal="right" vertical="center"/>
    </xf>
    <xf numFmtId="8" fontId="44" fillId="0" borderId="0" xfId="0" applyNumberFormat="1" applyFont="1" applyAlignment="1">
      <alignment vertical="center"/>
    </xf>
    <xf numFmtId="0" fontId="44" fillId="0" borderId="0" xfId="0" applyFont="1" applyAlignment="1">
      <alignment vertical="center"/>
    </xf>
    <xf numFmtId="0" fontId="44" fillId="0" borderId="0" xfId="0" applyFont="1"/>
    <xf numFmtId="8" fontId="44" fillId="0" borderId="0" xfId="0" applyNumberFormat="1" applyFont="1"/>
    <xf numFmtId="49" fontId="17"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0" fillId="9" borderId="40" xfId="1" applyNumberFormat="1" applyFont="1" applyFill="1" applyBorder="1" applyAlignment="1">
      <alignment horizontal="right"/>
    </xf>
    <xf numFmtId="165" fontId="45" fillId="0" borderId="0" xfId="0" applyNumberFormat="1" applyFont="1" applyBorder="1" applyAlignment="1">
      <alignment horizontal="center" vertical="center"/>
    </xf>
    <xf numFmtId="0" fontId="27" fillId="0" borderId="0" xfId="0" applyNumberFormat="1" applyFont="1" applyFill="1"/>
    <xf numFmtId="38" fontId="0" fillId="0" borderId="48" xfId="1" applyNumberFormat="1" applyFont="1" applyFill="1" applyBorder="1" applyAlignment="1">
      <alignment horizontal="right"/>
    </xf>
    <xf numFmtId="6" fontId="21" fillId="9" borderId="0" xfId="0" applyNumberFormat="1" applyFont="1" applyFill="1" applyBorder="1"/>
    <xf numFmtId="6" fontId="20" fillId="9" borderId="19" xfId="0" applyNumberFormat="1" applyFont="1" applyFill="1" applyBorder="1" applyAlignment="1">
      <alignment horizontal="center"/>
    </xf>
    <xf numFmtId="38" fontId="20" fillId="9" borderId="9" xfId="1" applyNumberFormat="1" applyFont="1" applyFill="1" applyBorder="1" applyAlignment="1">
      <alignment horizontal="right"/>
    </xf>
    <xf numFmtId="38" fontId="20" fillId="9" borderId="1" xfId="1" applyNumberFormat="1" applyFont="1" applyFill="1" applyBorder="1" applyAlignment="1">
      <alignment horizontal="right"/>
    </xf>
    <xf numFmtId="38" fontId="20" fillId="9" borderId="4" xfId="1" applyNumberFormat="1" applyFont="1" applyFill="1" applyBorder="1" applyAlignment="1">
      <alignment horizontal="right"/>
    </xf>
    <xf numFmtId="6" fontId="20" fillId="0" borderId="0" xfId="1" applyNumberFormat="1" applyFont="1" applyFill="1" applyBorder="1" applyAlignment="1">
      <alignment horizontal="right"/>
    </xf>
    <xf numFmtId="6" fontId="20" fillId="15" borderId="38" xfId="1" applyNumberFormat="1" applyFont="1" applyFill="1" applyBorder="1" applyAlignment="1">
      <alignment horizontal="right"/>
    </xf>
    <xf numFmtId="38" fontId="20" fillId="15" borderId="38" xfId="1" applyNumberFormat="1" applyFont="1" applyFill="1" applyBorder="1" applyAlignment="1">
      <alignment horizontal="right"/>
    </xf>
    <xf numFmtId="0" fontId="30" fillId="0" borderId="0" xfId="0" applyNumberFormat="1" applyFont="1" applyFill="1" applyBorder="1" applyAlignment="1">
      <alignment horizontal="center"/>
    </xf>
    <xf numFmtId="42" fontId="5" fillId="2" borderId="44" xfId="0" applyNumberFormat="1" applyFont="1" applyFill="1" applyBorder="1" applyAlignment="1"/>
    <xf numFmtId="40" fontId="47" fillId="0" borderId="0" xfId="0" applyNumberFormat="1" applyFont="1" applyAlignment="1">
      <alignment horizontal="center" vertical="center"/>
    </xf>
    <xf numFmtId="165" fontId="46" fillId="0" borderId="0" xfId="0" applyNumberFormat="1" applyFont="1" applyBorder="1" applyAlignment="1">
      <alignment horizontal="center" vertical="center"/>
    </xf>
    <xf numFmtId="167" fontId="37" fillId="0" borderId="0" xfId="0" applyNumberFormat="1" applyFont="1" applyFill="1" applyAlignment="1">
      <alignment horizontal="right" wrapText="1"/>
    </xf>
    <xf numFmtId="0" fontId="37" fillId="0" borderId="0" xfId="0" applyFont="1" applyFill="1" applyAlignment="1">
      <alignment horizontal="right" wrapText="1"/>
    </xf>
    <xf numFmtId="41" fontId="37" fillId="0" borderId="0" xfId="0" applyNumberFormat="1" applyFont="1" applyFill="1" applyAlignment="1">
      <alignment horizontal="center" wrapText="1"/>
    </xf>
    <xf numFmtId="0" fontId="36" fillId="0" borderId="0" xfId="0" applyFont="1" applyFill="1" applyAlignment="1">
      <alignment horizontal="left" vertical="center" wrapText="1"/>
    </xf>
    <xf numFmtId="0" fontId="40" fillId="0" borderId="0" xfId="0" quotePrefix="1" applyFont="1" applyFill="1" applyAlignment="1">
      <alignment horizontal="center" vertical="center" wrapText="1"/>
    </xf>
    <xf numFmtId="42" fontId="37" fillId="0" borderId="31" xfId="0" applyNumberFormat="1" applyFont="1" applyFill="1" applyBorder="1" applyAlignment="1">
      <alignment horizontal="center" vertical="center" wrapText="1"/>
    </xf>
    <xf numFmtId="167" fontId="37" fillId="0" borderId="0" xfId="0" applyNumberFormat="1" applyFont="1" applyFill="1" applyAlignment="1">
      <alignment horizontal="center" wrapText="1"/>
    </xf>
    <xf numFmtId="6" fontId="37" fillId="0" borderId="31" xfId="0" applyNumberFormat="1" applyFont="1" applyFill="1" applyBorder="1" applyAlignment="1">
      <alignment horizontal="right" wrapText="1"/>
    </xf>
    <xf numFmtId="42" fontId="37" fillId="0" borderId="31" xfId="0" applyNumberFormat="1" applyFont="1" applyFill="1" applyBorder="1" applyAlignment="1">
      <alignment horizontal="left" vertical="center" wrapText="1"/>
    </xf>
    <xf numFmtId="0" fontId="43" fillId="0" borderId="0" xfId="0" applyFont="1" applyFill="1" applyAlignment="1">
      <alignment horizontal="center" wrapText="1"/>
    </xf>
    <xf numFmtId="0" fontId="36" fillId="0" borderId="0" xfId="0" applyFont="1" applyFill="1" applyAlignment="1">
      <alignment horizontal="center" vertical="center" wrapText="1"/>
    </xf>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38" fontId="21" fillId="9" borderId="9" xfId="1" applyNumberFormat="1" applyFont="1" applyFill="1" applyBorder="1" applyAlignment="1">
      <alignment horizontal="right"/>
    </xf>
    <xf numFmtId="38" fontId="21" fillId="9" borderId="10" xfId="1" applyNumberFormat="1" applyFont="1" applyFill="1" applyBorder="1" applyAlignment="1">
      <alignment horizontal="right"/>
    </xf>
    <xf numFmtId="38" fontId="21" fillId="12" borderId="9" xfId="1" applyNumberFormat="1" applyFont="1" applyFill="1" applyBorder="1" applyAlignment="1">
      <alignment horizontal="right"/>
    </xf>
    <xf numFmtId="38" fontId="21" fillId="12" borderId="10" xfId="1" applyNumberFormat="1" applyFont="1" applyFill="1" applyBorder="1" applyAlignment="1">
      <alignment horizontal="right"/>
    </xf>
    <xf numFmtId="6" fontId="20" fillId="13" borderId="33" xfId="0" applyNumberFormat="1" applyFont="1" applyFill="1" applyBorder="1" applyAlignment="1">
      <alignment horizontal="center" vertical="center"/>
    </xf>
    <xf numFmtId="49" fontId="20" fillId="15" borderId="33" xfId="0" applyNumberFormat="1" applyFont="1" applyFill="1" applyBorder="1" applyAlignment="1">
      <alignment vertical="center"/>
    </xf>
    <xf numFmtId="49" fontId="20" fillId="15" borderId="32" xfId="0" applyNumberFormat="1" applyFont="1" applyFill="1" applyBorder="1" applyAlignment="1">
      <alignment vertical="center"/>
    </xf>
    <xf numFmtId="49" fontId="20" fillId="16" borderId="33" xfId="0" applyNumberFormat="1" applyFont="1" applyFill="1" applyBorder="1"/>
    <xf numFmtId="6" fontId="20" fillId="16" borderId="38" xfId="1" applyNumberFormat="1" applyFont="1" applyFill="1" applyBorder="1" applyAlignment="1">
      <alignment horizontal="right"/>
    </xf>
    <xf numFmtId="38" fontId="20" fillId="16" borderId="38" xfId="1" applyNumberFormat="1" applyFont="1" applyFill="1" applyBorder="1" applyAlignment="1">
      <alignment horizontal="right"/>
    </xf>
    <xf numFmtId="49" fontId="20" fillId="16" borderId="32" xfId="0" applyNumberFormat="1" applyFont="1" applyFill="1" applyBorder="1" applyAlignment="1">
      <alignment vertical="center"/>
    </xf>
    <xf numFmtId="43" fontId="0" fillId="0" borderId="49" xfId="1" applyNumberFormat="1" applyFont="1" applyFill="1" applyBorder="1" applyAlignment="1"/>
    <xf numFmtId="0" fontId="12" fillId="0" borderId="0" xfId="0" applyFont="1" applyBorder="1"/>
    <xf numFmtId="165" fontId="46" fillId="0" borderId="27" xfId="0" applyNumberFormat="1" applyFont="1" applyBorder="1" applyAlignment="1">
      <alignment horizontal="center" vertical="center"/>
    </xf>
    <xf numFmtId="42" fontId="26" fillId="0" borderId="31" xfId="0" applyNumberFormat="1" applyFont="1" applyBorder="1" applyAlignment="1">
      <alignment vertical="center"/>
    </xf>
    <xf numFmtId="41" fontId="17" fillId="0" borderId="19" xfId="0" applyNumberFormat="1" applyFont="1" applyFill="1" applyBorder="1" applyAlignment="1">
      <alignment vertical="center"/>
    </xf>
    <xf numFmtId="42" fontId="17" fillId="0" borderId="27" xfId="0" applyNumberFormat="1" applyFont="1" applyFill="1" applyBorder="1" applyAlignment="1">
      <alignment vertical="center"/>
    </xf>
    <xf numFmtId="42" fontId="17" fillId="0" borderId="31" xfId="0" applyNumberFormat="1" applyFont="1" applyFill="1" applyBorder="1" applyAlignment="1">
      <alignment vertical="center"/>
    </xf>
    <xf numFmtId="0" fontId="5" fillId="0" borderId="0" xfId="0" applyFont="1" applyBorder="1" applyAlignment="1">
      <alignment horizontal="center" vertical="center" wrapText="1"/>
    </xf>
    <xf numFmtId="41" fontId="5"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0" fillId="0" borderId="0" xfId="0" applyFont="1" applyFill="1" applyAlignment="1">
      <alignment horizontal="right" vertical="center" wrapText="1"/>
    </xf>
    <xf numFmtId="42" fontId="37"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6" fillId="0" borderId="0" xfId="0" applyFont="1" applyFill="1" applyAlignment="1">
      <alignment horizontal="left" vertical="top" wrapText="1"/>
    </xf>
    <xf numFmtId="38" fontId="0" fillId="0" borderId="0" xfId="0" applyNumberFormat="1" applyFill="1"/>
    <xf numFmtId="0" fontId="23"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1"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6" fillId="0" borderId="0" xfId="0" applyFont="1" applyFill="1" applyAlignment="1">
      <alignment horizontal="left" vertical="top" wrapText="1"/>
    </xf>
    <xf numFmtId="41" fontId="37" fillId="0" borderId="0" xfId="0" applyNumberFormat="1" applyFont="1" applyFill="1" applyAlignment="1">
      <alignment horizontal="right" vertical="center" wrapText="1"/>
    </xf>
    <xf numFmtId="49" fontId="17" fillId="0" borderId="0" xfId="0" applyNumberFormat="1" applyFont="1" applyAlignment="1">
      <alignment horizontal="left" vertical="center"/>
    </xf>
    <xf numFmtId="42" fontId="8" fillId="2" borderId="44" xfId="0" applyNumberFormat="1" applyFont="1" applyFill="1" applyBorder="1" applyAlignment="1"/>
    <xf numFmtId="0" fontId="16" fillId="0" borderId="0" xfId="0" applyFont="1" applyFill="1" applyBorder="1" applyAlignment="1">
      <alignment vertical="center"/>
    </xf>
    <xf numFmtId="38" fontId="10" fillId="0" borderId="65" xfId="0" applyNumberFormat="1" applyFont="1" applyBorder="1" applyAlignment="1">
      <alignment horizontal="center"/>
    </xf>
    <xf numFmtId="38" fontId="10" fillId="0" borderId="0" xfId="0" applyNumberFormat="1" applyFont="1"/>
    <xf numFmtId="38" fontId="53" fillId="0" borderId="0" xfId="0" applyNumberFormat="1" applyFont="1"/>
    <xf numFmtId="38" fontId="53" fillId="0" borderId="0" xfId="0" applyNumberFormat="1" applyFont="1" applyBorder="1"/>
    <xf numFmtId="38" fontId="52" fillId="0" borderId="0" xfId="0" applyNumberFormat="1" applyFont="1"/>
    <xf numFmtId="168" fontId="54"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7" fillId="0" borderId="0" xfId="0" applyFont="1" applyFill="1" applyBorder="1" applyAlignment="1">
      <alignment horizontal="center" vertical="center" wrapText="1"/>
    </xf>
    <xf numFmtId="41" fontId="15" fillId="0" borderId="30" xfId="0" applyNumberFormat="1" applyFont="1" applyBorder="1" applyAlignment="1">
      <alignment horizontal="center" vertical="center"/>
    </xf>
    <xf numFmtId="49" fontId="20" fillId="14" borderId="32" xfId="0" applyNumberFormat="1" applyFont="1" applyFill="1" applyBorder="1" applyAlignment="1">
      <alignment vertical="center"/>
    </xf>
    <xf numFmtId="165" fontId="46" fillId="0" borderId="31" xfId="0" applyNumberFormat="1" applyFont="1" applyBorder="1" applyAlignment="1">
      <alignment horizontal="center" vertical="center"/>
    </xf>
    <xf numFmtId="0" fontId="12"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4" fillId="0" borderId="0" xfId="0" applyFont="1" applyFill="1" applyBorder="1" applyAlignment="1">
      <alignment vertical="center"/>
    </xf>
    <xf numFmtId="41" fontId="15"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6" fillId="0" borderId="33" xfId="0" applyNumberFormat="1" applyFont="1" applyBorder="1" applyAlignment="1">
      <alignment horizontal="center" vertical="center"/>
    </xf>
    <xf numFmtId="41" fontId="56" fillId="0" borderId="0" xfId="0" applyNumberFormat="1" applyFont="1" applyBorder="1" applyAlignment="1">
      <alignment vertical="center"/>
    </xf>
    <xf numFmtId="41" fontId="55" fillId="0" borderId="27" xfId="0" applyNumberFormat="1" applyFont="1" applyBorder="1" applyAlignment="1">
      <alignment vertical="center"/>
    </xf>
    <xf numFmtId="165" fontId="46" fillId="0" borderId="2" xfId="0" applyNumberFormat="1" applyFont="1" applyBorder="1" applyAlignment="1">
      <alignment horizontal="center" vertical="center"/>
    </xf>
    <xf numFmtId="41" fontId="56" fillId="0" borderId="2" xfId="0" applyNumberFormat="1" applyFont="1" applyBorder="1" applyAlignment="1">
      <alignment vertical="center"/>
    </xf>
    <xf numFmtId="0" fontId="56" fillId="0" borderId="0" xfId="0" applyFont="1" applyBorder="1" applyAlignment="1">
      <alignment vertical="center"/>
    </xf>
    <xf numFmtId="0" fontId="56" fillId="0" borderId="27" xfId="0" applyFont="1" applyBorder="1" applyAlignment="1">
      <alignment vertical="center"/>
    </xf>
    <xf numFmtId="41" fontId="21" fillId="5" borderId="1" xfId="0" applyNumberFormat="1" applyFont="1" applyFill="1" applyBorder="1" applyAlignment="1"/>
    <xf numFmtId="38" fontId="21" fillId="9" borderId="1" xfId="1" applyNumberFormat="1" applyFont="1" applyFill="1" applyBorder="1" applyAlignment="1">
      <alignment horizontal="right"/>
    </xf>
    <xf numFmtId="168" fontId="57" fillId="0" borderId="0" xfId="0" applyNumberFormat="1" applyFont="1"/>
    <xf numFmtId="3" fontId="53" fillId="0" borderId="0" xfId="0" applyNumberFormat="1" applyFont="1"/>
    <xf numFmtId="168" fontId="10" fillId="0" borderId="65" xfId="0" applyNumberFormat="1" applyFont="1" applyBorder="1" applyAlignment="1">
      <alignment horizontal="center"/>
    </xf>
    <xf numFmtId="168" fontId="10" fillId="0" borderId="0" xfId="0" applyNumberFormat="1" applyFont="1"/>
    <xf numFmtId="168" fontId="53"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8" fillId="0" borderId="0" xfId="0" applyNumberFormat="1" applyFont="1" applyBorder="1" applyAlignment="1">
      <alignment horizontal="center"/>
    </xf>
    <xf numFmtId="0" fontId="59" fillId="0" borderId="0" xfId="0" applyFont="1"/>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xf numFmtId="41" fontId="7" fillId="0" borderId="0" xfId="0" applyNumberFormat="1" applyFont="1" applyBorder="1" applyAlignment="1">
      <alignment vertical="center"/>
    </xf>
    <xf numFmtId="41" fontId="21" fillId="0" borderId="0" xfId="0" applyNumberFormat="1" applyFont="1" applyFill="1" applyBorder="1" applyAlignment="1">
      <alignment vertical="center"/>
    </xf>
    <xf numFmtId="43"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Border="1"/>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44" fontId="5" fillId="0" borderId="11" xfId="1" applyFont="1" applyFill="1" applyBorder="1" applyAlignment="1">
      <alignment horizontal="center" vertical="center" wrapText="1"/>
    </xf>
    <xf numFmtId="41" fontId="5" fillId="0" borderId="11" xfId="0" applyNumberFormat="1" applyFont="1" applyFill="1" applyBorder="1" applyAlignment="1">
      <alignment horizontal="center" vertical="center" wrapText="1"/>
    </xf>
    <xf numFmtId="44" fontId="60"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2" fillId="0" borderId="11" xfId="0" applyFont="1" applyBorder="1" applyAlignment="1">
      <alignment horizontal="center" vertical="center" wrapText="1"/>
    </xf>
    <xf numFmtId="42" fontId="37" fillId="0" borderId="0" xfId="0" applyNumberFormat="1" applyFont="1" applyFill="1" applyBorder="1" applyAlignment="1">
      <alignment horizontal="left" vertical="center" wrapText="1"/>
    </xf>
    <xf numFmtId="0" fontId="36" fillId="0" borderId="0" xfId="0" applyFont="1" applyFill="1" applyAlignment="1">
      <alignment horizontal="left" vertical="top" wrapText="1"/>
    </xf>
    <xf numFmtId="40" fontId="0" fillId="0" borderId="0" xfId="0" applyNumberFormat="1" applyFont="1" applyFill="1" applyBorder="1"/>
    <xf numFmtId="0" fontId="61" fillId="0" borderId="0" xfId="0" applyNumberFormat="1" applyFont="1" applyFill="1" applyBorder="1" applyAlignment="1">
      <alignment horizontal="left"/>
    </xf>
    <xf numFmtId="0" fontId="58" fillId="0" borderId="0" xfId="0" applyNumberFormat="1" applyFont="1" applyFill="1"/>
    <xf numFmtId="38" fontId="9" fillId="0" borderId="0" xfId="0" applyNumberFormat="1" applyFont="1" applyAlignment="1">
      <alignment horizontal="right"/>
    </xf>
    <xf numFmtId="3" fontId="53" fillId="2" borderId="0" xfId="0" applyNumberFormat="1" applyFont="1" applyFill="1"/>
    <xf numFmtId="38" fontId="52"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4" fillId="0" borderId="45" xfId="0" applyFont="1" applyBorder="1" applyAlignment="1">
      <alignment horizontal="center"/>
    </xf>
    <xf numFmtId="38" fontId="34" fillId="0" borderId="45" xfId="0" applyNumberFormat="1" applyFont="1" applyBorder="1" applyAlignment="1">
      <alignment horizontal="center" vertical="center"/>
    </xf>
    <xf numFmtId="0" fontId="34" fillId="0" borderId="46" xfId="0" applyFont="1" applyBorder="1" applyAlignment="1">
      <alignment horizontal="center"/>
    </xf>
    <xf numFmtId="38" fontId="34" fillId="0" borderId="46" xfId="0" applyNumberFormat="1" applyFont="1" applyBorder="1" applyAlignment="1">
      <alignment horizontal="center" vertical="center"/>
    </xf>
    <xf numFmtId="0" fontId="64"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4" fillId="0" borderId="44" xfId="0" applyFont="1" applyBorder="1" applyAlignment="1">
      <alignment horizontal="center" vertical="center"/>
    </xf>
    <xf numFmtId="38" fontId="34"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4" fillId="0" borderId="0" xfId="0" applyFont="1" applyAlignment="1">
      <alignment horizontal="center"/>
    </xf>
    <xf numFmtId="38" fontId="34"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5" fillId="3" borderId="14" xfId="0" applyFont="1" applyFill="1" applyBorder="1" applyAlignment="1">
      <alignment horizontal="center" vertic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5"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5" fillId="0" borderId="0" xfId="0" applyFont="1"/>
    <xf numFmtId="169" fontId="0" fillId="0" borderId="11" xfId="1" applyNumberFormat="1" applyFont="1" applyBorder="1"/>
    <xf numFmtId="38" fontId="23" fillId="0" borderId="11" xfId="0" applyNumberFormat="1" applyFont="1" applyBorder="1"/>
    <xf numFmtId="169" fontId="23" fillId="0" borderId="11" xfId="1" applyNumberFormat="1" applyFont="1" applyBorder="1"/>
    <xf numFmtId="169" fontId="23" fillId="0" borderId="11" xfId="0" applyNumberFormat="1" applyFont="1" applyBorder="1"/>
    <xf numFmtId="6" fontId="0" fillId="0" borderId="49" xfId="1" applyNumberFormat="1" applyFont="1" applyFill="1" applyBorder="1" applyAlignment="1">
      <alignment horizontal="right"/>
    </xf>
    <xf numFmtId="38" fontId="9" fillId="0" borderId="0" xfId="0" applyNumberFormat="1" applyFont="1" applyFill="1" applyBorder="1" applyAlignment="1">
      <alignment horizontal="right"/>
    </xf>
    <xf numFmtId="43" fontId="17" fillId="0" borderId="0" xfId="0" applyNumberFormat="1" applyFont="1" applyFill="1" applyBorder="1" applyAlignment="1">
      <alignment vertical="center"/>
    </xf>
    <xf numFmtId="0" fontId="23" fillId="0" borderId="0" xfId="0" applyFont="1" applyFill="1" applyBorder="1" applyAlignment="1">
      <alignment horizontal="center" wrapText="1"/>
    </xf>
    <xf numFmtId="0" fontId="23" fillId="0" borderId="0" xfId="0" applyFont="1" applyBorder="1" applyAlignment="1">
      <alignment horizontal="center" wrapText="1"/>
    </xf>
    <xf numFmtId="169" fontId="0" fillId="0" borderId="0" xfId="0" applyNumberFormat="1" applyFont="1" applyFill="1" applyBorder="1" applyAlignment="1">
      <alignment horizontal="center"/>
    </xf>
    <xf numFmtId="169" fontId="66" fillId="0" borderId="0" xfId="0" applyNumberFormat="1" applyFont="1" applyFill="1" applyBorder="1" applyAlignment="1">
      <alignment horizontal="center"/>
    </xf>
    <xf numFmtId="169" fontId="23" fillId="0" borderId="0" xfId="0" applyNumberFormat="1" applyFont="1" applyFill="1" applyBorder="1" applyAlignment="1">
      <alignment horizontal="center"/>
    </xf>
    <xf numFmtId="42" fontId="0" fillId="0" borderId="11" xfId="0" applyNumberFormat="1" applyBorder="1"/>
    <xf numFmtId="0" fontId="36" fillId="0" borderId="0" xfId="0" applyFont="1" applyFill="1" applyAlignment="1">
      <alignment horizontal="left" vertical="top" wrapText="1"/>
    </xf>
    <xf numFmtId="0" fontId="23" fillId="0" borderId="11" xfId="0" applyFont="1" applyFill="1" applyBorder="1" applyAlignment="1">
      <alignment horizontal="center" vertical="top" wrapText="1"/>
    </xf>
    <xf numFmtId="0" fontId="5" fillId="3" borderId="13" xfId="0" applyFont="1" applyFill="1" applyBorder="1" applyAlignment="1">
      <alignment horizontal="center" vertical="center"/>
    </xf>
    <xf numFmtId="0" fontId="0" fillId="0" borderId="35" xfId="0" applyFill="1" applyBorder="1" applyAlignment="1"/>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2" fillId="0" borderId="11" xfId="1" applyFont="1" applyFill="1" applyBorder="1" applyAlignment="1">
      <alignment horizontal="center" vertical="center" wrapText="1"/>
    </xf>
    <xf numFmtId="41" fontId="0" fillId="0" borderId="11" xfId="1" applyNumberFormat="1" applyFont="1" applyBorder="1"/>
    <xf numFmtId="6" fontId="21" fillId="9" borderId="2" xfId="0" applyNumberFormat="1" applyFont="1" applyFill="1" applyBorder="1"/>
    <xf numFmtId="38" fontId="21" fillId="9" borderId="4" xfId="1" applyNumberFormat="1" applyFont="1" applyFill="1" applyBorder="1" applyAlignment="1">
      <alignment horizontal="right"/>
    </xf>
    <xf numFmtId="14" fontId="0" fillId="0" borderId="63" xfId="0" applyNumberFormat="1" applyFill="1" applyBorder="1" applyAlignment="1">
      <alignment horizontal="center"/>
    </xf>
    <xf numFmtId="14" fontId="0" fillId="0" borderId="6" xfId="0" applyNumberFormat="1" applyFill="1" applyBorder="1" applyAlignment="1">
      <alignment horizontal="center"/>
    </xf>
    <xf numFmtId="41" fontId="0" fillId="0" borderId="63" xfId="1" applyNumberFormat="1" applyFont="1" applyFill="1" applyBorder="1" applyAlignment="1"/>
    <xf numFmtId="38" fontId="0" fillId="0" borderId="63" xfId="1" applyNumberFormat="1" applyFont="1" applyFill="1" applyBorder="1" applyAlignment="1"/>
    <xf numFmtId="0" fontId="0" fillId="0" borderId="49" xfId="0" applyFill="1" applyBorder="1" applyAlignment="1"/>
    <xf numFmtId="0" fontId="0" fillId="0" borderId="16" xfId="0" applyFill="1" applyBorder="1" applyAlignment="1"/>
    <xf numFmtId="41" fontId="37" fillId="0" borderId="0" xfId="0" applyNumberFormat="1" applyFont="1" applyFill="1" applyAlignment="1">
      <alignment horizontal="center" vertical="center" wrapText="1"/>
    </xf>
    <xf numFmtId="0" fontId="7" fillId="0" borderId="30" xfId="0" applyFont="1" applyBorder="1" applyAlignment="1">
      <alignment vertical="center"/>
    </xf>
    <xf numFmtId="7" fontId="17" fillId="0" borderId="19" xfId="0" applyNumberFormat="1" applyFont="1" applyFill="1" applyBorder="1" applyAlignment="1">
      <alignment vertical="center"/>
    </xf>
    <xf numFmtId="7" fontId="17" fillId="0" borderId="0" xfId="0" applyNumberFormat="1" applyFont="1" applyFill="1" applyBorder="1" applyAlignment="1">
      <alignment vertical="center"/>
    </xf>
    <xf numFmtId="41" fontId="15" fillId="0" borderId="30" xfId="0" applyNumberFormat="1" applyFont="1" applyBorder="1" applyAlignment="1">
      <alignment horizontal="center" vertical="center"/>
    </xf>
    <xf numFmtId="170" fontId="0" fillId="0" borderId="0" xfId="0" applyNumberFormat="1" applyFont="1" applyFill="1" applyBorder="1"/>
    <xf numFmtId="38" fontId="0" fillId="0" borderId="31" xfId="0" applyNumberFormat="1" applyBorder="1" applyAlignment="1">
      <alignment horizontal="right"/>
    </xf>
    <xf numFmtId="0" fontId="36" fillId="0" borderId="0" xfId="0" applyFont="1" applyFill="1" applyAlignment="1">
      <alignment horizontal="left" vertical="top" wrapText="1"/>
    </xf>
    <xf numFmtId="0" fontId="23" fillId="0" borderId="11" xfId="0" applyFont="1" applyBorder="1" applyAlignment="1">
      <alignment horizontal="center" vertical="center"/>
    </xf>
    <xf numFmtId="40"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8" fontId="0" fillId="0" borderId="2" xfId="0" applyNumberFormat="1" applyFont="1" applyBorder="1" applyAlignment="1">
      <alignment vertical="center"/>
    </xf>
    <xf numFmtId="41" fontId="26" fillId="0" borderId="2" xfId="0" applyNumberFormat="1" applyFont="1" applyBorder="1" applyAlignment="1">
      <alignment vertical="center"/>
    </xf>
    <xf numFmtId="0" fontId="0" fillId="0" borderId="24" xfId="0" applyFill="1" applyBorder="1"/>
    <xf numFmtId="0" fontId="0" fillId="0" borderId="16" xfId="0" applyFill="1" applyBorder="1"/>
    <xf numFmtId="0" fontId="0" fillId="0" borderId="69" xfId="0" applyFill="1" applyBorder="1"/>
    <xf numFmtId="0" fontId="0" fillId="0" borderId="49" xfId="0" applyFill="1" applyBorder="1" applyAlignment="1">
      <alignment horizontal="left"/>
    </xf>
    <xf numFmtId="0" fontId="0" fillId="0" borderId="48" xfId="0" applyFill="1" applyBorder="1" applyAlignment="1">
      <alignment horizontal="left"/>
    </xf>
    <xf numFmtId="0" fontId="0" fillId="0" borderId="63" xfId="0" applyFill="1" applyBorder="1" applyAlignment="1">
      <alignment horizontal="left"/>
    </xf>
    <xf numFmtId="0" fontId="0" fillId="0" borderId="2" xfId="0" applyFill="1" applyBorder="1" applyAlignment="1">
      <alignment horizontal="center"/>
    </xf>
    <xf numFmtId="0" fontId="0" fillId="0" borderId="6" xfId="0" applyFill="1" applyBorder="1" applyAlignment="1">
      <alignment horizontal="center"/>
    </xf>
    <xf numFmtId="0" fontId="0" fillId="0" borderId="27" xfId="0" applyFill="1" applyBorder="1" applyAlignment="1">
      <alignment horizontal="center"/>
    </xf>
    <xf numFmtId="41" fontId="0" fillId="0" borderId="46" xfId="1" applyNumberFormat="1" applyFont="1" applyFill="1" applyBorder="1" applyAlignment="1">
      <alignment horizontal="center"/>
    </xf>
    <xf numFmtId="41" fontId="0" fillId="0" borderId="6" xfId="1" applyNumberFormat="1" applyFont="1" applyFill="1" applyBorder="1" applyAlignment="1"/>
    <xf numFmtId="41" fontId="0" fillId="0" borderId="27" xfId="1" applyNumberFormat="1" applyFont="1" applyFill="1" applyBorder="1" applyAlignment="1"/>
    <xf numFmtId="44" fontId="14" fillId="0" borderId="0" xfId="0" applyNumberFormat="1" applyFont="1" applyBorder="1" applyAlignment="1">
      <alignment vertical="center"/>
    </xf>
    <xf numFmtId="8" fontId="0" fillId="0" borderId="0" xfId="0" applyNumberFormat="1"/>
    <xf numFmtId="42" fontId="36" fillId="0" borderId="0" xfId="0" applyNumberFormat="1" applyFont="1" applyFill="1" applyAlignment="1">
      <alignment horizontal="left" vertical="top" wrapText="1"/>
    </xf>
    <xf numFmtId="41" fontId="7" fillId="0" borderId="0" xfId="0" applyNumberFormat="1" applyFont="1" applyBorder="1" applyAlignment="1">
      <alignment horizontal="left" vertical="center"/>
    </xf>
    <xf numFmtId="49" fontId="58" fillId="0" borderId="0" xfId="0" applyNumberFormat="1" applyFont="1" applyBorder="1" applyAlignment="1">
      <alignment horizontal="center"/>
    </xf>
    <xf numFmtId="3" fontId="7" fillId="0" borderId="0" xfId="0" applyNumberFormat="1" applyFont="1" applyFill="1" applyBorder="1" applyAlignment="1"/>
    <xf numFmtId="3" fontId="0" fillId="0" borderId="0" xfId="0" applyNumberFormat="1" applyAlignment="1">
      <alignment horizontal="right"/>
    </xf>
    <xf numFmtId="3" fontId="19" fillId="0" borderId="0" xfId="0" applyNumberFormat="1" applyFont="1" applyBorder="1" applyAlignment="1">
      <alignment horizontal="center"/>
    </xf>
    <xf numFmtId="3" fontId="20" fillId="5" borderId="36" xfId="0" applyNumberFormat="1" applyFont="1" applyFill="1" applyBorder="1" applyAlignment="1"/>
    <xf numFmtId="3" fontId="21" fillId="5" borderId="17" xfId="1" applyNumberFormat="1" applyFont="1" applyFill="1" applyBorder="1" applyAlignment="1">
      <alignment horizontal="right"/>
    </xf>
    <xf numFmtId="3" fontId="20" fillId="5" borderId="21" xfId="1" applyNumberFormat="1" applyFont="1" applyFill="1" applyBorder="1" applyAlignment="1">
      <alignment horizontal="right"/>
    </xf>
    <xf numFmtId="3" fontId="20" fillId="0" borderId="0" xfId="0" applyNumberFormat="1" applyFont="1" applyBorder="1" applyAlignment="1">
      <alignment horizontal="right"/>
    </xf>
    <xf numFmtId="3" fontId="21" fillId="6" borderId="36" xfId="0" applyNumberFormat="1" applyFont="1" applyFill="1" applyBorder="1" applyAlignment="1">
      <alignment horizontal="right"/>
    </xf>
    <xf numFmtId="3" fontId="21" fillId="6" borderId="17" xfId="1" applyNumberFormat="1" applyFont="1" applyFill="1" applyBorder="1" applyAlignment="1">
      <alignment horizontal="right"/>
    </xf>
    <xf numFmtId="3" fontId="20" fillId="6" borderId="21" xfId="1" applyNumberFormat="1" applyFont="1" applyFill="1" applyBorder="1" applyAlignment="1">
      <alignment horizontal="right"/>
    </xf>
    <xf numFmtId="3" fontId="20" fillId="0" borderId="0" xfId="1" applyNumberFormat="1" applyFont="1" applyBorder="1" applyAlignment="1">
      <alignment horizontal="right"/>
    </xf>
    <xf numFmtId="3" fontId="21" fillId="7" borderId="36" xfId="1" applyNumberFormat="1" applyFont="1" applyFill="1" applyBorder="1" applyAlignment="1">
      <alignment horizontal="right"/>
    </xf>
    <xf numFmtId="3" fontId="21" fillId="7" borderId="17" xfId="1" applyNumberFormat="1" applyFont="1" applyFill="1" applyBorder="1" applyAlignment="1">
      <alignment horizontal="right"/>
    </xf>
    <xf numFmtId="3" fontId="20" fillId="7" borderId="21" xfId="1" applyNumberFormat="1" applyFont="1" applyFill="1" applyBorder="1" applyAlignment="1">
      <alignment horizontal="right"/>
    </xf>
    <xf numFmtId="3" fontId="20" fillId="0" borderId="0" xfId="1" applyNumberFormat="1" applyFont="1" applyFill="1" applyBorder="1" applyAlignment="1">
      <alignment horizontal="right"/>
    </xf>
    <xf numFmtId="3" fontId="21" fillId="10" borderId="36" xfId="1" applyNumberFormat="1" applyFont="1" applyFill="1" applyBorder="1" applyAlignment="1">
      <alignment horizontal="right"/>
    </xf>
    <xf numFmtId="3" fontId="21" fillId="10" borderId="17" xfId="1" applyNumberFormat="1" applyFont="1" applyFill="1" applyBorder="1" applyAlignment="1">
      <alignment horizontal="right"/>
    </xf>
    <xf numFmtId="3" fontId="20" fillId="10"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8" borderId="17" xfId="1" applyNumberFormat="1" applyFont="1" applyFill="1" applyBorder="1" applyAlignment="1">
      <alignment horizontal="right"/>
    </xf>
    <xf numFmtId="3" fontId="20" fillId="8" borderId="21" xfId="1" applyNumberFormat="1" applyFont="1" applyFill="1" applyBorder="1" applyAlignment="1">
      <alignment horizontal="right"/>
    </xf>
    <xf numFmtId="3" fontId="20" fillId="8" borderId="36" xfId="1" applyNumberFormat="1" applyFont="1" applyFill="1" applyBorder="1" applyAlignment="1">
      <alignment horizontal="right"/>
    </xf>
    <xf numFmtId="3" fontId="20" fillId="11" borderId="36" xfId="1" applyNumberFormat="1" applyFont="1" applyFill="1" applyBorder="1" applyAlignment="1">
      <alignment horizontal="right"/>
    </xf>
    <xf numFmtId="3" fontId="21" fillId="11" borderId="17" xfId="1" applyNumberFormat="1" applyFont="1" applyFill="1" applyBorder="1" applyAlignment="1">
      <alignment horizontal="right"/>
    </xf>
    <xf numFmtId="3" fontId="20" fillId="11" borderId="21" xfId="1" applyNumberFormat="1" applyFont="1" applyFill="1" applyBorder="1" applyAlignment="1">
      <alignment horizontal="right"/>
    </xf>
    <xf numFmtId="3" fontId="7" fillId="0" borderId="0" xfId="1" applyNumberFormat="1" applyFont="1" applyBorder="1" applyAlignment="1">
      <alignment horizontal="right"/>
    </xf>
    <xf numFmtId="3" fontId="0" fillId="9" borderId="36" xfId="0" applyNumberFormat="1" applyFont="1" applyFill="1" applyBorder="1" applyAlignment="1">
      <alignment horizontal="center"/>
    </xf>
    <xf numFmtId="3" fontId="20" fillId="9" borderId="17" xfId="1" applyNumberFormat="1" applyFont="1" applyFill="1" applyBorder="1" applyAlignment="1">
      <alignment horizontal="right"/>
    </xf>
    <xf numFmtId="3" fontId="20" fillId="9" borderId="64" xfId="1" applyNumberFormat="1" applyFont="1" applyFill="1" applyBorder="1" applyAlignment="1">
      <alignment horizontal="right"/>
    </xf>
    <xf numFmtId="3" fontId="20" fillId="9" borderId="51" xfId="1" applyNumberFormat="1" applyFont="1" applyFill="1" applyBorder="1" applyAlignment="1">
      <alignment horizontal="right"/>
    </xf>
    <xf numFmtId="3" fontId="20" fillId="12" borderId="41" xfId="1" applyNumberFormat="1" applyFont="1" applyFill="1" applyBorder="1" applyAlignment="1">
      <alignment horizontal="right"/>
    </xf>
    <xf numFmtId="3" fontId="20" fillId="12" borderId="29" xfId="1" applyNumberFormat="1" applyFont="1" applyFill="1" applyBorder="1" applyAlignment="1">
      <alignment horizontal="right"/>
    </xf>
    <xf numFmtId="3" fontId="20" fillId="12" borderId="43" xfId="1" applyNumberFormat="1" applyFont="1" applyFill="1" applyBorder="1" applyAlignment="1">
      <alignment horizontal="right"/>
    </xf>
    <xf numFmtId="3" fontId="20" fillId="12" borderId="40" xfId="1" applyNumberFormat="1" applyFont="1" applyFill="1" applyBorder="1" applyAlignment="1">
      <alignment horizontal="right"/>
    </xf>
    <xf numFmtId="3" fontId="20" fillId="16" borderId="42" xfId="1" applyNumberFormat="1" applyFont="1" applyFill="1" applyBorder="1" applyAlignment="1">
      <alignment horizontal="right"/>
    </xf>
    <xf numFmtId="3" fontId="20" fillId="14" borderId="42" xfId="1" applyNumberFormat="1" applyFont="1" applyFill="1" applyBorder="1" applyAlignment="1">
      <alignment horizontal="right"/>
    </xf>
    <xf numFmtId="3" fontId="20"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1" fontId="6" fillId="13" borderId="38" xfId="1" applyNumberFormat="1" applyFont="1" applyFill="1" applyBorder="1" applyAlignment="1">
      <alignment horizontal="right"/>
    </xf>
    <xf numFmtId="49" fontId="20" fillId="0" borderId="0" xfId="0" applyNumberFormat="1" applyFont="1" applyFill="1" applyBorder="1" applyAlignment="1">
      <alignment vertical="center"/>
    </xf>
    <xf numFmtId="49" fontId="20" fillId="2" borderId="32" xfId="0" applyNumberFormat="1" applyFont="1" applyFill="1" applyBorder="1" applyAlignment="1">
      <alignment vertical="center"/>
    </xf>
    <xf numFmtId="49" fontId="20" fillId="2" borderId="33" xfId="0" applyNumberFormat="1" applyFont="1" applyFill="1" applyBorder="1" applyAlignment="1">
      <alignment vertical="center"/>
    </xf>
    <xf numFmtId="6" fontId="20" fillId="2" borderId="70" xfId="1" applyNumberFormat="1" applyFont="1" applyFill="1" applyBorder="1" applyAlignment="1">
      <alignment horizontal="right"/>
    </xf>
    <xf numFmtId="38" fontId="20" fillId="2" borderId="70" xfId="1" applyNumberFormat="1" applyFont="1" applyFill="1" applyBorder="1" applyAlignment="1">
      <alignment horizontal="right"/>
    </xf>
    <xf numFmtId="3" fontId="20" fillId="2" borderId="61" xfId="1" applyNumberFormat="1" applyFont="1" applyFill="1" applyBorder="1" applyAlignment="1">
      <alignment horizontal="right"/>
    </xf>
    <xf numFmtId="0" fontId="43" fillId="0" borderId="0" xfId="0" applyFont="1" applyFill="1" applyAlignment="1">
      <alignment horizontal="center" wrapText="1"/>
    </xf>
    <xf numFmtId="41" fontId="37"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0" fontId="60" fillId="0" borderId="16" xfId="0" applyFont="1" applyFill="1" applyBorder="1"/>
    <xf numFmtId="38" fontId="32" fillId="0" borderId="49" xfId="1" applyNumberFormat="1" applyFont="1" applyFill="1" applyBorder="1" applyAlignment="1"/>
    <xf numFmtId="44" fontId="8"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7" fontId="17" fillId="0" borderId="0" xfId="0" applyNumberFormat="1" applyFont="1" applyFill="1" applyBorder="1" applyAlignment="1">
      <alignment vertical="center"/>
    </xf>
    <xf numFmtId="6" fontId="37" fillId="0" borderId="0" xfId="0" applyNumberFormat="1" applyFont="1" applyFill="1" applyBorder="1" applyAlignment="1">
      <alignment horizontal="center" wrapText="1"/>
    </xf>
    <xf numFmtId="0" fontId="36" fillId="0" borderId="0" xfId="0" applyFont="1" applyFill="1" applyAlignment="1">
      <alignment horizontal="left" vertical="top" wrapText="1"/>
    </xf>
    <xf numFmtId="0" fontId="36" fillId="0" borderId="0" xfId="0" applyFont="1" applyFill="1" applyAlignment="1">
      <alignment horizontal="left" wrapText="1"/>
    </xf>
    <xf numFmtId="41" fontId="37" fillId="0" borderId="0" xfId="0" applyNumberFormat="1" applyFont="1" applyFill="1" applyAlignment="1">
      <alignment horizontal="center" vertical="center" wrapText="1"/>
    </xf>
    <xf numFmtId="3" fontId="0" fillId="0" borderId="0" xfId="0" applyNumberFormat="1" applyFont="1" applyFill="1" applyBorder="1" applyAlignment="1">
      <alignment horizontal="center"/>
    </xf>
    <xf numFmtId="4" fontId="0" fillId="0" borderId="0" xfId="0" applyNumberFormat="1" applyFont="1" applyFill="1" applyBorder="1"/>
    <xf numFmtId="40" fontId="67" fillId="0" borderId="45" xfId="0" applyNumberFormat="1" applyFont="1" applyFill="1" applyBorder="1" applyAlignment="1">
      <alignment horizontal="center"/>
    </xf>
    <xf numFmtId="166" fontId="28" fillId="0" borderId="27" xfId="0" applyNumberFormat="1" applyFont="1" applyFill="1" applyBorder="1" applyAlignment="1">
      <alignment horizontal="center"/>
    </xf>
    <xf numFmtId="166" fontId="21" fillId="0" borderId="27" xfId="0" applyNumberFormat="1" applyFont="1" applyFill="1" applyBorder="1" applyAlignment="1">
      <alignment horizontal="center"/>
    </xf>
    <xf numFmtId="166" fontId="28"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7" fillId="0" borderId="0" xfId="0" applyFont="1" applyFill="1" applyBorder="1" applyAlignment="1">
      <alignment vertical="center"/>
    </xf>
    <xf numFmtId="165" fontId="37" fillId="0" borderId="0" xfId="0" applyNumberFormat="1" applyFont="1" applyFill="1" applyAlignment="1">
      <alignment horizontal="center" wrapText="1"/>
    </xf>
    <xf numFmtId="165" fontId="37" fillId="0" borderId="31" xfId="0" applyNumberFormat="1" applyFont="1" applyFill="1" applyBorder="1" applyAlignment="1">
      <alignment horizontal="center" wrapText="1"/>
    </xf>
    <xf numFmtId="0" fontId="20" fillId="0" borderId="0" xfId="0" applyNumberFormat="1" applyFont="1" applyBorder="1" applyAlignment="1">
      <alignment horizontal="right" vertical="center"/>
    </xf>
    <xf numFmtId="165" fontId="6" fillId="0" borderId="0" xfId="0" applyNumberFormat="1" applyFont="1" applyBorder="1" applyAlignment="1">
      <alignment horizontal="right" vertical="center"/>
    </xf>
    <xf numFmtId="6" fontId="20" fillId="0" borderId="0" xfId="0" applyNumberFormat="1" applyFont="1" applyFill="1" applyBorder="1"/>
    <xf numFmtId="6" fontId="20" fillId="0" borderId="0" xfId="0" applyNumberFormat="1" applyFont="1" applyFill="1" applyBorder="1" applyAlignment="1">
      <alignment horizontal="center" vertical="center"/>
    </xf>
    <xf numFmtId="6" fontId="6" fillId="0" borderId="0" xfId="1" applyNumberFormat="1" applyFont="1" applyFill="1" applyBorder="1" applyAlignment="1">
      <alignment horizontal="right"/>
    </xf>
    <xf numFmtId="171" fontId="6" fillId="0" borderId="0" xfId="1" applyNumberFormat="1" applyFont="1" applyFill="1" applyBorder="1" applyAlignment="1">
      <alignment horizontal="right"/>
    </xf>
    <xf numFmtId="0" fontId="37"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60"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6"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3" fillId="0" borderId="11" xfId="0" applyNumberFormat="1" applyFont="1" applyBorder="1" applyAlignment="1">
      <alignment horizontal="center"/>
    </xf>
    <xf numFmtId="41" fontId="15" fillId="0" borderId="30" xfId="0" applyNumberFormat="1" applyFont="1" applyBorder="1" applyAlignment="1">
      <alignment horizontal="center" vertical="center"/>
    </xf>
    <xf numFmtId="38" fontId="52" fillId="0" borderId="0" xfId="0" applyNumberFormat="1" applyFont="1" applyFill="1"/>
    <xf numFmtId="14" fontId="0" fillId="0" borderId="0" xfId="0" applyNumberFormat="1" applyFill="1"/>
    <xf numFmtId="37" fontId="0" fillId="0" borderId="11" xfId="1" applyNumberFormat="1" applyFont="1" applyBorder="1"/>
    <xf numFmtId="43" fontId="16" fillId="0" borderId="0" xfId="0" applyNumberFormat="1" applyFont="1" applyBorder="1" applyAlignment="1">
      <alignment vertical="center"/>
    </xf>
    <xf numFmtId="41" fontId="56" fillId="0" borderId="0" xfId="0" applyNumberFormat="1" applyFont="1" applyFill="1" applyBorder="1" applyAlignment="1">
      <alignment vertical="center"/>
    </xf>
    <xf numFmtId="43" fontId="56" fillId="0" borderId="0" xfId="0" applyNumberFormat="1" applyFont="1" applyFill="1" applyBorder="1" applyAlignment="1">
      <alignment vertical="center"/>
    </xf>
    <xf numFmtId="41" fontId="56" fillId="0" borderId="0" xfId="0" applyNumberFormat="1" applyFont="1" applyFill="1" applyBorder="1" applyAlignment="1">
      <alignment horizontal="right" vertical="center"/>
    </xf>
    <xf numFmtId="41" fontId="56" fillId="0" borderId="2" xfId="0" applyNumberFormat="1" applyFont="1" applyFill="1" applyBorder="1" applyAlignment="1">
      <alignment vertical="center"/>
    </xf>
    <xf numFmtId="0" fontId="37" fillId="0" borderId="0" xfId="0" applyFont="1" applyFill="1" applyAlignment="1">
      <alignment horizontal="left" vertical="top" wrapText="1"/>
    </xf>
    <xf numFmtId="0" fontId="37"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left"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3" fillId="0" borderId="11" xfId="0" applyFont="1" applyFill="1" applyBorder="1" applyAlignment="1">
      <alignment horizontal="center" vertical="top" wrapText="1"/>
    </xf>
    <xf numFmtId="0" fontId="36" fillId="0" borderId="0" xfId="0" applyFont="1" applyFill="1" applyAlignment="1">
      <alignment horizontal="left" vertical="top" wrapText="1"/>
    </xf>
    <xf numFmtId="0" fontId="37"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17" fontId="0" fillId="0" borderId="2" xfId="0" applyNumberFormat="1" applyFont="1" applyFill="1" applyBorder="1" applyAlignment="1">
      <alignment horizontal="left" vertical="center"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2" fillId="0" borderId="11" xfId="0" applyFont="1" applyFill="1" applyBorder="1" applyAlignment="1">
      <alignment horizontal="left" vertical="top" wrapText="1"/>
    </xf>
    <xf numFmtId="0" fontId="37" fillId="0" borderId="0" xfId="0" applyFont="1" applyFill="1" applyAlignment="1">
      <alignment horizontal="right" vertical="center" wrapText="1"/>
    </xf>
    <xf numFmtId="0" fontId="37" fillId="0" borderId="0" xfId="0" applyFont="1" applyFill="1" applyAlignment="1">
      <alignment horizontal="left" vertical="center" wrapText="1"/>
    </xf>
    <xf numFmtId="41" fontId="37" fillId="0" borderId="0" xfId="0" applyNumberFormat="1" applyFont="1" applyFill="1" applyAlignment="1">
      <alignment horizontal="center" vertical="center" wrapText="1"/>
    </xf>
    <xf numFmtId="0" fontId="37" fillId="0" borderId="0" xfId="0" applyFont="1" applyFill="1" applyAlignment="1">
      <alignment horizontal="left" vertical="center" wrapText="1" indent="2"/>
    </xf>
    <xf numFmtId="0" fontId="40" fillId="0" borderId="0" xfId="0" applyFont="1" applyFill="1" applyAlignment="1">
      <alignment horizontal="right" vertical="center" wrapText="1"/>
    </xf>
    <xf numFmtId="0" fontId="40" fillId="0" borderId="0" xfId="0" applyFont="1" applyFill="1" applyAlignment="1">
      <alignment horizontal="left" vertical="center" wrapText="1"/>
    </xf>
    <xf numFmtId="0" fontId="40" fillId="0" borderId="0" xfId="0" applyFont="1" applyFill="1" applyAlignment="1">
      <alignment horizontal="center" vertical="center" wrapText="1"/>
    </xf>
    <xf numFmtId="0" fontId="62" fillId="0" borderId="0" xfId="0" applyFont="1" applyFill="1" applyAlignment="1">
      <alignment horizontal="center" vertical="center" wrapText="1"/>
    </xf>
    <xf numFmtId="0" fontId="36" fillId="0" borderId="2" xfId="0" applyFont="1" applyFill="1" applyBorder="1" applyAlignment="1">
      <alignment horizontal="left" vertical="top" wrapText="1"/>
    </xf>
    <xf numFmtId="0" fontId="35" fillId="0" borderId="0" xfId="0" applyFont="1" applyFill="1" applyAlignment="1">
      <alignment horizontal="center" vertical="center"/>
    </xf>
    <xf numFmtId="168" fontId="35" fillId="0" borderId="0" xfId="0" applyNumberFormat="1" applyFont="1" applyFill="1" applyAlignment="1">
      <alignment horizontal="center" vertical="center"/>
    </xf>
    <xf numFmtId="0" fontId="43" fillId="0" borderId="0" xfId="0" applyFont="1" applyFill="1" applyAlignment="1">
      <alignment horizontal="center" vertical="center" wrapText="1"/>
    </xf>
    <xf numFmtId="0" fontId="5" fillId="3" borderId="32" xfId="0" applyFont="1" applyFill="1" applyBorder="1" applyAlignment="1">
      <alignment horizontal="center" vertical="center"/>
    </xf>
    <xf numFmtId="0" fontId="5"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5"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20" fillId="5" borderId="34" xfId="0" applyNumberFormat="1" applyFont="1" applyFill="1" applyBorder="1" applyAlignment="1">
      <alignment horizontal="left"/>
    </xf>
    <xf numFmtId="49" fontId="20" fillId="5" borderId="28" xfId="0" applyNumberFormat="1" applyFont="1" applyFill="1" applyBorder="1" applyAlignment="1">
      <alignment horizontal="left"/>
    </xf>
    <xf numFmtId="49" fontId="20" fillId="12" borderId="35" xfId="0" applyNumberFormat="1" applyFont="1" applyFill="1" applyBorder="1" applyAlignment="1">
      <alignment horizontal="center" vertical="center"/>
    </xf>
    <xf numFmtId="49" fontId="20" fillId="12" borderId="52" xfId="0" applyNumberFormat="1" applyFont="1" applyFill="1" applyBorder="1" applyAlignment="1">
      <alignment horizontal="center" vertical="center"/>
    </xf>
    <xf numFmtId="49" fontId="19" fillId="0" borderId="0" xfId="0" applyNumberFormat="1" applyFont="1" applyAlignment="1">
      <alignment horizontal="center" vertical="center"/>
    </xf>
    <xf numFmtId="0" fontId="0" fillId="0" borderId="27" xfId="0" applyBorder="1" applyAlignment="1">
      <alignment horizontal="center"/>
    </xf>
    <xf numFmtId="41" fontId="15" fillId="0" borderId="30" xfId="0" applyNumberFormat="1" applyFont="1" applyBorder="1" applyAlignment="1">
      <alignment horizontal="center" vertical="center"/>
    </xf>
    <xf numFmtId="49" fontId="17" fillId="0" borderId="0" xfId="0" applyNumberFormat="1" applyFont="1" applyBorder="1" applyAlignment="1">
      <alignment horizontal="left" vertical="center"/>
    </xf>
    <xf numFmtId="49" fontId="13" fillId="0" borderId="0" xfId="0" applyNumberFormat="1" applyFont="1" applyBorder="1" applyAlignment="1">
      <alignment horizontal="center" vertical="center"/>
    </xf>
    <xf numFmtId="49" fontId="17" fillId="0" borderId="0" xfId="0" applyNumberFormat="1" applyFont="1" applyAlignment="1">
      <alignment horizontal="left" vertical="center"/>
    </xf>
    <xf numFmtId="0" fontId="63" fillId="0" borderId="32" xfId="0" applyFont="1" applyBorder="1" applyAlignment="1">
      <alignment horizontal="center"/>
    </xf>
    <xf numFmtId="0" fontId="63" fillId="0" borderId="33" xfId="0" applyFont="1" applyBorder="1" applyAlignment="1">
      <alignment horizontal="center"/>
    </xf>
    <xf numFmtId="0" fontId="63" fillId="0" borderId="42" xfId="0" applyFont="1" applyBorder="1" applyAlignment="1">
      <alignment horizontal="center"/>
    </xf>
    <xf numFmtId="49" fontId="13" fillId="0" borderId="27" xfId="0" applyNumberFormat="1" applyFont="1" applyBorder="1" applyAlignment="1">
      <alignment horizontal="center" wrapText="1"/>
    </xf>
    <xf numFmtId="49" fontId="13"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Data!$A$525:$A$959</c:f>
              <c:numCache>
                <c:formatCode>[$-F800]dddd\,\ mmmm\ dd\,\ yyyy</c:formatCode>
                <c:ptCount val="435"/>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numCache>
            </c:numRef>
          </c:cat>
          <c:val>
            <c:numRef>
              <c:f>Data!$B$525:$B$959</c:f>
              <c:numCache>
                <c:formatCode>#,##0_);[Red]\(#,##0\)</c:formatCode>
                <c:ptCount val="435"/>
                <c:pt idx="0">
                  <c:v>282559</c:v>
                </c:pt>
                <c:pt idx="1">
                  <c:v>282508.58</c:v>
                </c:pt>
                <c:pt idx="2">
                  <c:v>282509</c:v>
                </c:pt>
                <c:pt idx="3">
                  <c:v>283213.14</c:v>
                </c:pt>
                <c:pt idx="4">
                  <c:v>297779.06</c:v>
                </c:pt>
                <c:pt idx="5">
                  <c:v>263886.2</c:v>
                </c:pt>
                <c:pt idx="6">
                  <c:v>277030.96999999997</c:v>
                </c:pt>
                <c:pt idx="7">
                  <c:v>277031</c:v>
                </c:pt>
                <c:pt idx="8">
                  <c:v>281394.14</c:v>
                </c:pt>
                <c:pt idx="9">
                  <c:v>281470.18</c:v>
                </c:pt>
                <c:pt idx="10">
                  <c:v>281470</c:v>
                </c:pt>
                <c:pt idx="11">
                  <c:v>284325.94</c:v>
                </c:pt>
                <c:pt idx="12">
                  <c:v>305911.78000000003</c:v>
                </c:pt>
                <c:pt idx="13">
                  <c:v>305752.93</c:v>
                </c:pt>
                <c:pt idx="14">
                  <c:v>332730.14</c:v>
                </c:pt>
                <c:pt idx="15">
                  <c:v>291419.49</c:v>
                </c:pt>
                <c:pt idx="16">
                  <c:v>293419.65000000002</c:v>
                </c:pt>
                <c:pt idx="17">
                  <c:v>293420</c:v>
                </c:pt>
                <c:pt idx="18">
                  <c:v>301331.82</c:v>
                </c:pt>
                <c:pt idx="19">
                  <c:v>327084.28999999998</c:v>
                </c:pt>
                <c:pt idx="20">
                  <c:v>327084</c:v>
                </c:pt>
                <c:pt idx="21">
                  <c:v>327084</c:v>
                </c:pt>
                <c:pt idx="22">
                  <c:v>337130.63</c:v>
                </c:pt>
                <c:pt idx="23">
                  <c:v>334292.59999999998</c:v>
                </c:pt>
                <c:pt idx="24">
                  <c:v>335977.23</c:v>
                </c:pt>
                <c:pt idx="25">
                  <c:v>300614.99</c:v>
                </c:pt>
                <c:pt idx="26">
                  <c:v>295509.53999999998</c:v>
                </c:pt>
                <c:pt idx="27">
                  <c:v>295510</c:v>
                </c:pt>
                <c:pt idx="28">
                  <c:v>295623.09999999998</c:v>
                </c:pt>
                <c:pt idx="29">
                  <c:v>295623</c:v>
                </c:pt>
                <c:pt idx="30">
                  <c:v>299232.09999999998</c:v>
                </c:pt>
                <c:pt idx="31">
                  <c:v>304422.01</c:v>
                </c:pt>
                <c:pt idx="32">
                  <c:v>330191.24</c:v>
                </c:pt>
                <c:pt idx="33">
                  <c:v>313471.64</c:v>
                </c:pt>
                <c:pt idx="34">
                  <c:v>313472</c:v>
                </c:pt>
                <c:pt idx="35">
                  <c:v>313472</c:v>
                </c:pt>
                <c:pt idx="36">
                  <c:v>277471.58</c:v>
                </c:pt>
                <c:pt idx="37">
                  <c:v>287526.92</c:v>
                </c:pt>
                <c:pt idx="38">
                  <c:v>296486.64</c:v>
                </c:pt>
                <c:pt idx="39">
                  <c:v>296487</c:v>
                </c:pt>
                <c:pt idx="40">
                  <c:v>296487</c:v>
                </c:pt>
                <c:pt idx="41">
                  <c:v>335911.5</c:v>
                </c:pt>
                <c:pt idx="42">
                  <c:v>335912</c:v>
                </c:pt>
                <c:pt idx="43">
                  <c:v>330042.21999999997</c:v>
                </c:pt>
                <c:pt idx="44">
                  <c:v>367034.5</c:v>
                </c:pt>
                <c:pt idx="45">
                  <c:v>330990.42</c:v>
                </c:pt>
                <c:pt idx="46">
                  <c:v>333065.89</c:v>
                </c:pt>
                <c:pt idx="47">
                  <c:v>331065.89</c:v>
                </c:pt>
                <c:pt idx="48">
                  <c:v>331092.17</c:v>
                </c:pt>
                <c:pt idx="49">
                  <c:v>311733.17</c:v>
                </c:pt>
                <c:pt idx="50">
                  <c:v>317116.19</c:v>
                </c:pt>
                <c:pt idx="51">
                  <c:v>317116</c:v>
                </c:pt>
                <c:pt idx="52">
                  <c:v>317496.19</c:v>
                </c:pt>
                <c:pt idx="53">
                  <c:v>317772.45</c:v>
                </c:pt>
                <c:pt idx="54">
                  <c:v>317772</c:v>
                </c:pt>
                <c:pt idx="55">
                  <c:v>279446.55</c:v>
                </c:pt>
                <c:pt idx="56">
                  <c:v>272785.62</c:v>
                </c:pt>
                <c:pt idx="57">
                  <c:v>288240.15999999997</c:v>
                </c:pt>
                <c:pt idx="58">
                  <c:v>278742.74</c:v>
                </c:pt>
                <c:pt idx="59">
                  <c:v>278840.24</c:v>
                </c:pt>
                <c:pt idx="60">
                  <c:v>278942.24</c:v>
                </c:pt>
                <c:pt idx="61">
                  <c:v>257048.49</c:v>
                </c:pt>
                <c:pt idx="62">
                  <c:v>252662.47</c:v>
                </c:pt>
                <c:pt idx="63">
                  <c:v>254708.73</c:v>
                </c:pt>
                <c:pt idx="64">
                  <c:v>281702.86</c:v>
                </c:pt>
                <c:pt idx="65">
                  <c:v>244220.77</c:v>
                </c:pt>
                <c:pt idx="66">
                  <c:v>244221</c:v>
                </c:pt>
                <c:pt idx="67">
                  <c:v>244221</c:v>
                </c:pt>
                <c:pt idx="68">
                  <c:v>225503.87</c:v>
                </c:pt>
                <c:pt idx="69">
                  <c:v>225504</c:v>
                </c:pt>
                <c:pt idx="70">
                  <c:v>225503.8</c:v>
                </c:pt>
                <c:pt idx="71">
                  <c:v>227389.96</c:v>
                </c:pt>
                <c:pt idx="72">
                  <c:v>235472.53</c:v>
                </c:pt>
                <c:pt idx="73">
                  <c:v>222207.84</c:v>
                </c:pt>
                <c:pt idx="74">
                  <c:v>222287.93</c:v>
                </c:pt>
                <c:pt idx="75">
                  <c:v>186664.28</c:v>
                </c:pt>
                <c:pt idx="76">
                  <c:v>188484.95</c:v>
                </c:pt>
                <c:pt idx="77">
                  <c:v>188485</c:v>
                </c:pt>
                <c:pt idx="78">
                  <c:v>180474.73</c:v>
                </c:pt>
                <c:pt idx="79">
                  <c:v>188207.38</c:v>
                </c:pt>
                <c:pt idx="80">
                  <c:v>198618.83</c:v>
                </c:pt>
                <c:pt idx="81">
                  <c:v>198619</c:v>
                </c:pt>
                <c:pt idx="82">
                  <c:v>198619</c:v>
                </c:pt>
                <c:pt idx="83">
                  <c:v>189089.55</c:v>
                </c:pt>
                <c:pt idx="84">
                  <c:v>216053.77</c:v>
                </c:pt>
                <c:pt idx="85">
                  <c:v>179849.52</c:v>
                </c:pt>
                <c:pt idx="86">
                  <c:v>179850</c:v>
                </c:pt>
                <c:pt idx="87">
                  <c:v>173749.01</c:v>
                </c:pt>
                <c:pt idx="88">
                  <c:v>200792.85</c:v>
                </c:pt>
                <c:pt idx="89">
                  <c:v>202331.91</c:v>
                </c:pt>
                <c:pt idx="90">
                  <c:v>203517.87</c:v>
                </c:pt>
                <c:pt idx="91">
                  <c:v>203518</c:v>
                </c:pt>
                <c:pt idx="92">
                  <c:v>203518</c:v>
                </c:pt>
                <c:pt idx="93">
                  <c:v>191114.58</c:v>
                </c:pt>
                <c:pt idx="94">
                  <c:v>153114.57999999999</c:v>
                </c:pt>
                <c:pt idx="95">
                  <c:v>153115</c:v>
                </c:pt>
                <c:pt idx="96">
                  <c:v>182792.08</c:v>
                </c:pt>
                <c:pt idx="97">
                  <c:v>182792</c:v>
                </c:pt>
                <c:pt idx="98">
                  <c:v>222152.66</c:v>
                </c:pt>
                <c:pt idx="99">
                  <c:v>222153</c:v>
                </c:pt>
                <c:pt idx="100">
                  <c:v>222153</c:v>
                </c:pt>
                <c:pt idx="101">
                  <c:v>222153</c:v>
                </c:pt>
                <c:pt idx="102">
                  <c:v>222152</c:v>
                </c:pt>
                <c:pt idx="103">
                  <c:v>211720.43</c:v>
                </c:pt>
                <c:pt idx="104">
                  <c:v>211720</c:v>
                </c:pt>
                <c:pt idx="105">
                  <c:v>211720</c:v>
                </c:pt>
                <c:pt idx="106">
                  <c:v>176327.95</c:v>
                </c:pt>
                <c:pt idx="107">
                  <c:v>176328</c:v>
                </c:pt>
                <c:pt idx="108">
                  <c:v>169004.5</c:v>
                </c:pt>
                <c:pt idx="109">
                  <c:v>261992.26</c:v>
                </c:pt>
                <c:pt idx="110">
                  <c:v>270521.09000000003</c:v>
                </c:pt>
                <c:pt idx="111">
                  <c:v>285365.09000000003</c:v>
                </c:pt>
                <c:pt idx="112">
                  <c:v>285365</c:v>
                </c:pt>
                <c:pt idx="113">
                  <c:v>287246.65999999997</c:v>
                </c:pt>
                <c:pt idx="114">
                  <c:v>287247</c:v>
                </c:pt>
                <c:pt idx="115">
                  <c:v>287247</c:v>
                </c:pt>
                <c:pt idx="116">
                  <c:v>253042.79</c:v>
                </c:pt>
                <c:pt idx="117">
                  <c:v>253043</c:v>
                </c:pt>
                <c:pt idx="118">
                  <c:v>246521.36</c:v>
                </c:pt>
                <c:pt idx="119">
                  <c:v>246593.56</c:v>
                </c:pt>
                <c:pt idx="120">
                  <c:v>246594</c:v>
                </c:pt>
                <c:pt idx="121">
                  <c:v>246594</c:v>
                </c:pt>
                <c:pt idx="122">
                  <c:v>246594</c:v>
                </c:pt>
                <c:pt idx="123">
                  <c:v>228395.48</c:v>
                </c:pt>
                <c:pt idx="124">
                  <c:v>228395</c:v>
                </c:pt>
                <c:pt idx="125">
                  <c:v>192627.9</c:v>
                </c:pt>
                <c:pt idx="126">
                  <c:v>192628</c:v>
                </c:pt>
                <c:pt idx="127">
                  <c:v>192628</c:v>
                </c:pt>
                <c:pt idx="128">
                  <c:v>193904.61</c:v>
                </c:pt>
                <c:pt idx="129">
                  <c:v>195328.48</c:v>
                </c:pt>
                <c:pt idx="130">
                  <c:v>199304.09</c:v>
                </c:pt>
                <c:pt idx="131">
                  <c:v>201071.11</c:v>
                </c:pt>
                <c:pt idx="132">
                  <c:v>201071</c:v>
                </c:pt>
                <c:pt idx="133">
                  <c:v>223298.16</c:v>
                </c:pt>
                <c:pt idx="134">
                  <c:v>238962.66</c:v>
                </c:pt>
                <c:pt idx="135">
                  <c:v>203086.22</c:v>
                </c:pt>
                <c:pt idx="136">
                  <c:v>226930.31</c:v>
                </c:pt>
                <c:pt idx="137">
                  <c:v>226930</c:v>
                </c:pt>
                <c:pt idx="138">
                  <c:v>220822.05</c:v>
                </c:pt>
                <c:pt idx="139">
                  <c:v>220986.35</c:v>
                </c:pt>
                <c:pt idx="140">
                  <c:v>220986</c:v>
                </c:pt>
                <c:pt idx="141">
                  <c:v>220986</c:v>
                </c:pt>
                <c:pt idx="142">
                  <c:v>197995.27</c:v>
                </c:pt>
                <c:pt idx="143">
                  <c:v>202931.61</c:v>
                </c:pt>
                <c:pt idx="144">
                  <c:v>202932</c:v>
                </c:pt>
                <c:pt idx="145">
                  <c:v>167839.6</c:v>
                </c:pt>
                <c:pt idx="146">
                  <c:v>167840</c:v>
                </c:pt>
                <c:pt idx="147">
                  <c:v>167840</c:v>
                </c:pt>
                <c:pt idx="148">
                  <c:v>180485.58</c:v>
                </c:pt>
                <c:pt idx="149">
                  <c:v>205676.09</c:v>
                </c:pt>
                <c:pt idx="150">
                  <c:v>199229.46</c:v>
                </c:pt>
                <c:pt idx="151">
                  <c:v>199612.46</c:v>
                </c:pt>
                <c:pt idx="152">
                  <c:v>327321.84000000003</c:v>
                </c:pt>
                <c:pt idx="153">
                  <c:v>328551.67</c:v>
                </c:pt>
                <c:pt idx="154">
                  <c:v>328552</c:v>
                </c:pt>
                <c:pt idx="155">
                  <c:v>293600.95</c:v>
                </c:pt>
                <c:pt idx="156">
                  <c:v>298153.56</c:v>
                </c:pt>
                <c:pt idx="157">
                  <c:v>298154</c:v>
                </c:pt>
                <c:pt idx="158">
                  <c:v>294180.65999999997</c:v>
                </c:pt>
                <c:pt idx="159">
                  <c:v>294181</c:v>
                </c:pt>
                <c:pt idx="160">
                  <c:v>294679.65999999997</c:v>
                </c:pt>
                <c:pt idx="161">
                  <c:v>294680</c:v>
                </c:pt>
                <c:pt idx="162">
                  <c:v>294761.65000000002</c:v>
                </c:pt>
                <c:pt idx="163">
                  <c:v>290632.52</c:v>
                </c:pt>
                <c:pt idx="164">
                  <c:v>290633</c:v>
                </c:pt>
                <c:pt idx="165">
                  <c:v>254427.11</c:v>
                </c:pt>
                <c:pt idx="166">
                  <c:v>255823.93</c:v>
                </c:pt>
                <c:pt idx="167">
                  <c:v>255419.13</c:v>
                </c:pt>
                <c:pt idx="168">
                  <c:v>272759.37</c:v>
                </c:pt>
                <c:pt idx="169">
                  <c:v>272846.37</c:v>
                </c:pt>
                <c:pt idx="170">
                  <c:v>272846</c:v>
                </c:pt>
                <c:pt idx="171">
                  <c:v>272846</c:v>
                </c:pt>
                <c:pt idx="172">
                  <c:v>276622.58</c:v>
                </c:pt>
                <c:pt idx="173">
                  <c:v>276623</c:v>
                </c:pt>
                <c:pt idx="174">
                  <c:v>276773.33</c:v>
                </c:pt>
                <c:pt idx="175">
                  <c:v>276773</c:v>
                </c:pt>
                <c:pt idx="176">
                  <c:v>240090.56</c:v>
                </c:pt>
                <c:pt idx="177">
                  <c:v>240091</c:v>
                </c:pt>
                <c:pt idx="178">
                  <c:v>237779.31</c:v>
                </c:pt>
                <c:pt idx="179">
                  <c:v>237779</c:v>
                </c:pt>
                <c:pt idx="180">
                  <c:v>243552.34</c:v>
                </c:pt>
                <c:pt idx="181">
                  <c:v>243552</c:v>
                </c:pt>
                <c:pt idx="182">
                  <c:v>243552</c:v>
                </c:pt>
                <c:pt idx="183">
                  <c:v>266009.96000000002</c:v>
                </c:pt>
                <c:pt idx="184">
                  <c:v>266087.59999999998</c:v>
                </c:pt>
                <c:pt idx="185">
                  <c:v>229939.6</c:v>
                </c:pt>
                <c:pt idx="186">
                  <c:v>229940</c:v>
                </c:pt>
                <c:pt idx="187">
                  <c:v>229940</c:v>
                </c:pt>
                <c:pt idx="188">
                  <c:v>226983.82</c:v>
                </c:pt>
                <c:pt idx="189">
                  <c:v>226983.82</c:v>
                </c:pt>
                <c:pt idx="190">
                  <c:v>231167.41</c:v>
                </c:pt>
                <c:pt idx="191">
                  <c:v>231298.26</c:v>
                </c:pt>
                <c:pt idx="192">
                  <c:v>231298</c:v>
                </c:pt>
                <c:pt idx="193">
                  <c:v>218195.44</c:v>
                </c:pt>
                <c:pt idx="194">
                  <c:v>218195</c:v>
                </c:pt>
                <c:pt idx="195">
                  <c:v>181738.47</c:v>
                </c:pt>
                <c:pt idx="196">
                  <c:v>175674.86</c:v>
                </c:pt>
                <c:pt idx="197">
                  <c:v>175890.11</c:v>
                </c:pt>
                <c:pt idx="198">
                  <c:v>176908.84</c:v>
                </c:pt>
                <c:pt idx="199">
                  <c:v>176909</c:v>
                </c:pt>
                <c:pt idx="200">
                  <c:v>176909</c:v>
                </c:pt>
                <c:pt idx="201">
                  <c:v>226038.22</c:v>
                </c:pt>
                <c:pt idx="202">
                  <c:v>226038</c:v>
                </c:pt>
                <c:pt idx="203">
                  <c:v>223293.31</c:v>
                </c:pt>
                <c:pt idx="204">
                  <c:v>272327.27</c:v>
                </c:pt>
                <c:pt idx="205">
                  <c:v>236397.34</c:v>
                </c:pt>
                <c:pt idx="206">
                  <c:v>236553.84</c:v>
                </c:pt>
                <c:pt idx="207">
                  <c:v>249133.92</c:v>
                </c:pt>
                <c:pt idx="208">
                  <c:v>254043.68</c:v>
                </c:pt>
                <c:pt idx="209">
                  <c:v>254064.5</c:v>
                </c:pt>
                <c:pt idx="210">
                  <c:v>290142.09999999998</c:v>
                </c:pt>
                <c:pt idx="211">
                  <c:v>290142</c:v>
                </c:pt>
                <c:pt idx="212">
                  <c:v>290034.38</c:v>
                </c:pt>
                <c:pt idx="213">
                  <c:v>291747.36</c:v>
                </c:pt>
                <c:pt idx="214">
                  <c:v>306637.48</c:v>
                </c:pt>
                <c:pt idx="215">
                  <c:v>270401.28999999998</c:v>
                </c:pt>
                <c:pt idx="216">
                  <c:v>278028.58</c:v>
                </c:pt>
                <c:pt idx="217">
                  <c:v>278029</c:v>
                </c:pt>
                <c:pt idx="218">
                  <c:v>279523.53000000003</c:v>
                </c:pt>
                <c:pt idx="219">
                  <c:v>303100.06</c:v>
                </c:pt>
                <c:pt idx="220">
                  <c:v>303100.06</c:v>
                </c:pt>
                <c:pt idx="221">
                  <c:v>303100.06</c:v>
                </c:pt>
                <c:pt idx="222">
                  <c:v>303954.14</c:v>
                </c:pt>
                <c:pt idx="223">
                  <c:v>294843.14</c:v>
                </c:pt>
                <c:pt idx="224">
                  <c:v>294843</c:v>
                </c:pt>
                <c:pt idx="225">
                  <c:v>294843</c:v>
                </c:pt>
                <c:pt idx="226">
                  <c:v>294843</c:v>
                </c:pt>
                <c:pt idx="227">
                  <c:v>259514.47</c:v>
                </c:pt>
                <c:pt idx="228">
                  <c:v>255987.45</c:v>
                </c:pt>
                <c:pt idx="229">
                  <c:v>255987.45</c:v>
                </c:pt>
                <c:pt idx="230">
                  <c:v>255987.45</c:v>
                </c:pt>
                <c:pt idx="231">
                  <c:v>254650.75</c:v>
                </c:pt>
                <c:pt idx="232">
                  <c:v>298403.21000000002</c:v>
                </c:pt>
                <c:pt idx="233">
                  <c:v>300529.64</c:v>
                </c:pt>
                <c:pt idx="234">
                  <c:v>300229.64</c:v>
                </c:pt>
                <c:pt idx="235">
                  <c:v>300230</c:v>
                </c:pt>
                <c:pt idx="236">
                  <c:v>267674.82</c:v>
                </c:pt>
                <c:pt idx="237">
                  <c:v>273448.82</c:v>
                </c:pt>
                <c:pt idx="238">
                  <c:v>252527.09</c:v>
                </c:pt>
                <c:pt idx="239">
                  <c:v>321968.59000000003</c:v>
                </c:pt>
                <c:pt idx="240">
                  <c:v>321969</c:v>
                </c:pt>
                <c:pt idx="241">
                  <c:v>321969</c:v>
                </c:pt>
                <c:pt idx="242">
                  <c:v>321969</c:v>
                </c:pt>
                <c:pt idx="243">
                  <c:v>314251.55</c:v>
                </c:pt>
                <c:pt idx="244">
                  <c:v>315739.42</c:v>
                </c:pt>
                <c:pt idx="245">
                  <c:v>315739</c:v>
                </c:pt>
                <c:pt idx="246">
                  <c:v>275506.94</c:v>
                </c:pt>
                <c:pt idx="247">
                  <c:v>275507</c:v>
                </c:pt>
                <c:pt idx="248">
                  <c:v>289896.89</c:v>
                </c:pt>
                <c:pt idx="249">
                  <c:v>313281.34999999998</c:v>
                </c:pt>
                <c:pt idx="250">
                  <c:v>313281</c:v>
                </c:pt>
                <c:pt idx="251">
                  <c:v>317556.84999999998</c:v>
                </c:pt>
                <c:pt idx="252">
                  <c:v>317557</c:v>
                </c:pt>
                <c:pt idx="253">
                  <c:v>297159.33</c:v>
                </c:pt>
                <c:pt idx="254">
                  <c:v>297159</c:v>
                </c:pt>
                <c:pt idx="255">
                  <c:v>260233.37</c:v>
                </c:pt>
                <c:pt idx="256">
                  <c:v>260233</c:v>
                </c:pt>
                <c:pt idx="257">
                  <c:v>261845.78</c:v>
                </c:pt>
                <c:pt idx="258">
                  <c:v>261846</c:v>
                </c:pt>
                <c:pt idx="259">
                  <c:v>273805.40000000002</c:v>
                </c:pt>
                <c:pt idx="260">
                  <c:v>274101.40000000002</c:v>
                </c:pt>
                <c:pt idx="261">
                  <c:v>274101</c:v>
                </c:pt>
                <c:pt idx="262">
                  <c:v>299108.40000000002</c:v>
                </c:pt>
                <c:pt idx="263">
                  <c:v>298070.78000000003</c:v>
                </c:pt>
                <c:pt idx="264">
                  <c:v>298071</c:v>
                </c:pt>
                <c:pt idx="265">
                  <c:v>298430.78000000003</c:v>
                </c:pt>
                <c:pt idx="266">
                  <c:v>264835.63</c:v>
                </c:pt>
                <c:pt idx="267">
                  <c:v>303664.65999999997</c:v>
                </c:pt>
                <c:pt idx="268">
                  <c:v>299790.71999999997</c:v>
                </c:pt>
                <c:pt idx="269">
                  <c:v>309881.71999999997</c:v>
                </c:pt>
                <c:pt idx="270">
                  <c:v>284374.78999999998</c:v>
                </c:pt>
                <c:pt idx="271">
                  <c:v>284494.75</c:v>
                </c:pt>
                <c:pt idx="272">
                  <c:v>277370.03000000003</c:v>
                </c:pt>
                <c:pt idx="273">
                  <c:v>266103.65999999997</c:v>
                </c:pt>
                <c:pt idx="274">
                  <c:v>266189.65999999997</c:v>
                </c:pt>
                <c:pt idx="275">
                  <c:v>266190</c:v>
                </c:pt>
                <c:pt idx="276">
                  <c:v>228832.05</c:v>
                </c:pt>
                <c:pt idx="277">
                  <c:v>229285.41</c:v>
                </c:pt>
                <c:pt idx="278">
                  <c:v>236709.42</c:v>
                </c:pt>
                <c:pt idx="279">
                  <c:v>236709</c:v>
                </c:pt>
                <c:pt idx="280">
                  <c:v>236400.88</c:v>
                </c:pt>
                <c:pt idx="281">
                  <c:v>236401</c:v>
                </c:pt>
                <c:pt idx="282">
                  <c:v>236401</c:v>
                </c:pt>
                <c:pt idx="283">
                  <c:v>237605.71</c:v>
                </c:pt>
                <c:pt idx="284">
                  <c:v>237728.71</c:v>
                </c:pt>
                <c:pt idx="285">
                  <c:v>201980</c:v>
                </c:pt>
                <c:pt idx="286">
                  <c:v>225615.34</c:v>
                </c:pt>
                <c:pt idx="287">
                  <c:v>225615</c:v>
                </c:pt>
                <c:pt idx="288">
                  <c:v>219151.3</c:v>
                </c:pt>
                <c:pt idx="289">
                  <c:v>219351.3</c:v>
                </c:pt>
                <c:pt idx="290">
                  <c:v>219351</c:v>
                </c:pt>
                <c:pt idx="291">
                  <c:v>219351</c:v>
                </c:pt>
                <c:pt idx="292">
                  <c:v>219351</c:v>
                </c:pt>
                <c:pt idx="293">
                  <c:v>206758.66</c:v>
                </c:pt>
                <c:pt idx="294">
                  <c:v>234837.55</c:v>
                </c:pt>
                <c:pt idx="295">
                  <c:v>234838</c:v>
                </c:pt>
                <c:pt idx="296">
                  <c:v>199113.26</c:v>
                </c:pt>
                <c:pt idx="297">
                  <c:v>199113</c:v>
                </c:pt>
                <c:pt idx="298">
                  <c:v>205400.17</c:v>
                </c:pt>
                <c:pt idx="299">
                  <c:v>220161.91</c:v>
                </c:pt>
                <c:pt idx="300">
                  <c:v>220161.91</c:v>
                </c:pt>
                <c:pt idx="301">
                  <c:v>220161.91</c:v>
                </c:pt>
                <c:pt idx="302">
                  <c:v>220161.91</c:v>
                </c:pt>
                <c:pt idx="303">
                  <c:v>224635.26</c:v>
                </c:pt>
                <c:pt idx="304">
                  <c:v>298900.61</c:v>
                </c:pt>
                <c:pt idx="305">
                  <c:v>262246.8</c:v>
                </c:pt>
                <c:pt idx="306">
                  <c:v>262247</c:v>
                </c:pt>
                <c:pt idx="307">
                  <c:v>262247</c:v>
                </c:pt>
                <c:pt idx="308">
                  <c:v>275395.15000000002</c:v>
                </c:pt>
                <c:pt idx="309">
                  <c:v>275395</c:v>
                </c:pt>
                <c:pt idx="310">
                  <c:v>275395</c:v>
                </c:pt>
                <c:pt idx="311">
                  <c:v>275395</c:v>
                </c:pt>
                <c:pt idx="312">
                  <c:v>316802.46999999997</c:v>
                </c:pt>
                <c:pt idx="313">
                  <c:v>297067.40000000002</c:v>
                </c:pt>
                <c:pt idx="314">
                  <c:v>300574.83</c:v>
                </c:pt>
                <c:pt idx="315">
                  <c:v>264695.24</c:v>
                </c:pt>
                <c:pt idx="316">
                  <c:v>264695</c:v>
                </c:pt>
                <c:pt idx="317">
                  <c:v>264695</c:v>
                </c:pt>
                <c:pt idx="318">
                  <c:v>282838.67</c:v>
                </c:pt>
                <c:pt idx="319">
                  <c:v>282839</c:v>
                </c:pt>
                <c:pt idx="320">
                  <c:v>333807.26</c:v>
                </c:pt>
                <c:pt idx="321">
                  <c:v>332295.96000000002</c:v>
                </c:pt>
                <c:pt idx="322">
                  <c:v>325401.01</c:v>
                </c:pt>
                <c:pt idx="323">
                  <c:v>328793.55</c:v>
                </c:pt>
                <c:pt idx="324">
                  <c:v>329088.55</c:v>
                </c:pt>
                <c:pt idx="325">
                  <c:v>328488.55</c:v>
                </c:pt>
                <c:pt idx="326">
                  <c:v>292528.71999999997</c:v>
                </c:pt>
                <c:pt idx="327">
                  <c:v>294672.43</c:v>
                </c:pt>
                <c:pt idx="328">
                  <c:v>292850.33</c:v>
                </c:pt>
                <c:pt idx="329">
                  <c:v>284702.78999999998</c:v>
                </c:pt>
                <c:pt idx="330">
                  <c:v>284703</c:v>
                </c:pt>
                <c:pt idx="331">
                  <c:v>284775.52</c:v>
                </c:pt>
                <c:pt idx="332">
                  <c:v>284776</c:v>
                </c:pt>
                <c:pt idx="333">
                  <c:v>277335.02</c:v>
                </c:pt>
                <c:pt idx="334">
                  <c:v>277335</c:v>
                </c:pt>
                <c:pt idx="335">
                  <c:v>277462.90999999997</c:v>
                </c:pt>
                <c:pt idx="336">
                  <c:v>241180.07</c:v>
                </c:pt>
                <c:pt idx="337">
                  <c:v>257634.61</c:v>
                </c:pt>
                <c:pt idx="338">
                  <c:v>241154.55</c:v>
                </c:pt>
                <c:pt idx="339">
                  <c:v>243162.78</c:v>
                </c:pt>
                <c:pt idx="340">
                  <c:v>243003.93</c:v>
                </c:pt>
                <c:pt idx="341">
                  <c:v>243004</c:v>
                </c:pt>
                <c:pt idx="342">
                  <c:v>243060.55</c:v>
                </c:pt>
                <c:pt idx="343">
                  <c:v>245074.5</c:v>
                </c:pt>
                <c:pt idx="344">
                  <c:v>274493.84000000003</c:v>
                </c:pt>
                <c:pt idx="345">
                  <c:v>274494</c:v>
                </c:pt>
                <c:pt idx="346">
                  <c:v>268536.75</c:v>
                </c:pt>
                <c:pt idx="347">
                  <c:v>249086.1</c:v>
                </c:pt>
                <c:pt idx="348">
                  <c:v>253347.36</c:v>
                </c:pt>
                <c:pt idx="349">
                  <c:v>253347</c:v>
                </c:pt>
                <c:pt idx="350">
                  <c:v>253347</c:v>
                </c:pt>
                <c:pt idx="351">
                  <c:v>253347</c:v>
                </c:pt>
                <c:pt idx="352">
                  <c:v>253347</c:v>
                </c:pt>
                <c:pt idx="353">
                  <c:v>256363.47</c:v>
                </c:pt>
                <c:pt idx="354">
                  <c:v>256363</c:v>
                </c:pt>
                <c:pt idx="355">
                  <c:v>256363</c:v>
                </c:pt>
                <c:pt idx="356">
                  <c:v>220671.47</c:v>
                </c:pt>
                <c:pt idx="357">
                  <c:v>248680.89</c:v>
                </c:pt>
                <c:pt idx="358">
                  <c:v>254567.98</c:v>
                </c:pt>
                <c:pt idx="359">
                  <c:v>310563.12</c:v>
                </c:pt>
                <c:pt idx="360">
                  <c:v>310000.12</c:v>
                </c:pt>
                <c:pt idx="361">
                  <c:v>310000.12</c:v>
                </c:pt>
                <c:pt idx="362">
                  <c:v>310000.12</c:v>
                </c:pt>
                <c:pt idx="363">
                  <c:v>300109.28999999998</c:v>
                </c:pt>
                <c:pt idx="364">
                  <c:v>297396.90999999997</c:v>
                </c:pt>
                <c:pt idx="365">
                  <c:v>297397</c:v>
                </c:pt>
                <c:pt idx="366">
                  <c:v>309520.18</c:v>
                </c:pt>
                <c:pt idx="367">
                  <c:v>309520</c:v>
                </c:pt>
                <c:pt idx="368">
                  <c:v>306153.90000000002</c:v>
                </c:pt>
                <c:pt idx="369">
                  <c:v>307621.78000000003</c:v>
                </c:pt>
                <c:pt idx="370">
                  <c:v>307288.12</c:v>
                </c:pt>
                <c:pt idx="371">
                  <c:v>307288</c:v>
                </c:pt>
                <c:pt idx="372">
                  <c:v>307288</c:v>
                </c:pt>
                <c:pt idx="373">
                  <c:v>296580.19</c:v>
                </c:pt>
                <c:pt idx="374">
                  <c:v>295981.95</c:v>
                </c:pt>
                <c:pt idx="375">
                  <c:v>260513.06</c:v>
                </c:pt>
                <c:pt idx="376">
                  <c:v>260513</c:v>
                </c:pt>
                <c:pt idx="377">
                  <c:v>260513</c:v>
                </c:pt>
                <c:pt idx="378">
                  <c:v>255966.98</c:v>
                </c:pt>
                <c:pt idx="379">
                  <c:v>257507.94</c:v>
                </c:pt>
                <c:pt idx="380">
                  <c:v>257508</c:v>
                </c:pt>
                <c:pt idx="381">
                  <c:v>257508</c:v>
                </c:pt>
                <c:pt idx="382">
                  <c:v>257508</c:v>
                </c:pt>
                <c:pt idx="383">
                  <c:v>245601.94</c:v>
                </c:pt>
                <c:pt idx="384">
                  <c:v>245768.94</c:v>
                </c:pt>
                <c:pt idx="385">
                  <c:v>245769</c:v>
                </c:pt>
                <c:pt idx="386">
                  <c:v>209143.06</c:v>
                </c:pt>
                <c:pt idx="387">
                  <c:v>216087.16</c:v>
                </c:pt>
                <c:pt idx="388">
                  <c:v>218399.34</c:v>
                </c:pt>
                <c:pt idx="389">
                  <c:v>246675.15</c:v>
                </c:pt>
                <c:pt idx="390">
                  <c:v>246675</c:v>
                </c:pt>
                <c:pt idx="391">
                  <c:v>248377.32</c:v>
                </c:pt>
                <c:pt idx="392">
                  <c:v>277944.71000000002</c:v>
                </c:pt>
                <c:pt idx="393">
                  <c:v>277945</c:v>
                </c:pt>
                <c:pt idx="394">
                  <c:v>278046.71000000002</c:v>
                </c:pt>
                <c:pt idx="395">
                  <c:v>282590.19</c:v>
                </c:pt>
                <c:pt idx="396">
                  <c:v>247195.73</c:v>
                </c:pt>
                <c:pt idx="397">
                  <c:v>247195.73</c:v>
                </c:pt>
                <c:pt idx="398">
                  <c:v>235813.1</c:v>
                </c:pt>
                <c:pt idx="399">
                  <c:v>237210.07</c:v>
                </c:pt>
                <c:pt idx="400">
                  <c:v>237490.39</c:v>
                </c:pt>
                <c:pt idx="401">
                  <c:v>237490</c:v>
                </c:pt>
                <c:pt idx="402">
                  <c:v>237490.39</c:v>
                </c:pt>
                <c:pt idx="403">
                  <c:v>232593.57</c:v>
                </c:pt>
                <c:pt idx="404">
                  <c:v>232923.06</c:v>
                </c:pt>
                <c:pt idx="405">
                  <c:v>196798.51</c:v>
                </c:pt>
                <c:pt idx="406">
                  <c:v>199629.38</c:v>
                </c:pt>
                <c:pt idx="407">
                  <c:v>199629</c:v>
                </c:pt>
                <c:pt idx="408">
                  <c:v>195151.45</c:v>
                </c:pt>
                <c:pt idx="409">
                  <c:v>228843.78</c:v>
                </c:pt>
                <c:pt idx="410">
                  <c:v>228844</c:v>
                </c:pt>
                <c:pt idx="411">
                  <c:v>228844</c:v>
                </c:pt>
                <c:pt idx="412">
                  <c:v>229051.78</c:v>
                </c:pt>
                <c:pt idx="413">
                  <c:v>234767.17</c:v>
                </c:pt>
                <c:pt idx="414">
                  <c:v>236117.76000000001</c:v>
                </c:pt>
                <c:pt idx="415">
                  <c:v>236118</c:v>
                </c:pt>
                <c:pt idx="416">
                  <c:v>208888.5</c:v>
                </c:pt>
                <c:pt idx="417">
                  <c:v>208792.5</c:v>
                </c:pt>
                <c:pt idx="418">
                  <c:v>203219.37</c:v>
                </c:pt>
                <c:pt idx="419">
                  <c:v>205639.37</c:v>
                </c:pt>
                <c:pt idx="420">
                  <c:v>205639.37</c:v>
                </c:pt>
                <c:pt idx="421">
                  <c:v>232145.73</c:v>
                </c:pt>
                <c:pt idx="422">
                  <c:v>233325.32</c:v>
                </c:pt>
                <c:pt idx="423">
                  <c:v>225375.98</c:v>
                </c:pt>
                <c:pt idx="424">
                  <c:v>225424.1</c:v>
                </c:pt>
                <c:pt idx="425">
                  <c:v>187365.06</c:v>
                </c:pt>
                <c:pt idx="426">
                  <c:v>187365</c:v>
                </c:pt>
                <c:pt idx="427">
                  <c:v>187365</c:v>
                </c:pt>
                <c:pt idx="428">
                  <c:v>172667.6</c:v>
                </c:pt>
                <c:pt idx="429">
                  <c:v>172668</c:v>
                </c:pt>
                <c:pt idx="430">
                  <c:v>236616.35</c:v>
                </c:pt>
                <c:pt idx="431">
                  <c:v>237913.62</c:v>
                </c:pt>
                <c:pt idx="432">
                  <c:v>237914</c:v>
                </c:pt>
                <c:pt idx="433">
                  <c:v>244708.19</c:v>
                </c:pt>
                <c:pt idx="434">
                  <c:v>249899.19</c:v>
                </c:pt>
              </c:numCache>
            </c:numRef>
          </c:val>
          <c:smooth val="0"/>
        </c:ser>
        <c:dLbls>
          <c:showLegendKey val="0"/>
          <c:showVal val="0"/>
          <c:showCatName val="0"/>
          <c:showSerName val="0"/>
          <c:showPercent val="0"/>
          <c:showBubbleSize val="0"/>
        </c:dLbls>
        <c:smooth val="0"/>
        <c:axId val="176273280"/>
        <c:axId val="176273672"/>
      </c:lineChart>
      <c:dateAx>
        <c:axId val="1762732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73672"/>
        <c:crosses val="autoZero"/>
        <c:auto val="1"/>
        <c:lblOffset val="100"/>
        <c:baseTimeUnit val="days"/>
        <c:majorUnit val="30"/>
        <c:majorTimeUnit val="days"/>
        <c:minorUnit val="4"/>
        <c:minorTimeUnit val="months"/>
      </c:dateAx>
      <c:valAx>
        <c:axId val="176273672"/>
        <c:scaling>
          <c:orientation val="minMax"/>
          <c:min val="15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732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Data!$F$550:$F$569</c:f>
              <c:numCache>
                <c:formatCode>mmm\-yy</c:formatCode>
                <c:ptCount val="2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numCache>
            </c:numRef>
          </c:cat>
          <c:val>
            <c:numRef>
              <c:f>Data!$G$550:$G$569</c:f>
              <c:numCache>
                <c:formatCode>"$"#,##0_);[Red]\("$"#,##0\)</c:formatCode>
                <c:ptCount val="20"/>
                <c:pt idx="0">
                  <c:v>297556.56</c:v>
                </c:pt>
                <c:pt idx="1">
                  <c:v>287550</c:v>
                </c:pt>
                <c:pt idx="2">
                  <c:v>277699.34999999998</c:v>
                </c:pt>
                <c:pt idx="3">
                  <c:v>310068.02</c:v>
                </c:pt>
                <c:pt idx="4">
                  <c:v>338828.68</c:v>
                </c:pt>
                <c:pt idx="5">
                  <c:v>316601.96000000002</c:v>
                </c:pt>
                <c:pt idx="6">
                  <c:v>282196.90999999997</c:v>
                </c:pt>
                <c:pt idx="7">
                  <c:v>287391.71999999997</c:v>
                </c:pt>
                <c:pt idx="8">
                  <c:v>327095.84000000003</c:v>
                </c:pt>
                <c:pt idx="9">
                  <c:v>233504.28</c:v>
                </c:pt>
                <c:pt idx="10">
                  <c:v>166530.44</c:v>
                </c:pt>
                <c:pt idx="11">
                  <c:v>245292.72</c:v>
                </c:pt>
                <c:pt idx="12">
                  <c:v>322895</c:v>
                </c:pt>
                <c:pt idx="13">
                  <c:v>388590.24</c:v>
                </c:pt>
                <c:pt idx="14">
                  <c:v>244069.19</c:v>
                </c:pt>
                <c:pt idx="15">
                  <c:v>265093.77</c:v>
                </c:pt>
                <c:pt idx="16">
                  <c:v>218979.44</c:v>
                </c:pt>
                <c:pt idx="17">
                  <c:v>271502.03999999998</c:v>
                </c:pt>
                <c:pt idx="18">
                  <c:v>272449.37</c:v>
                </c:pt>
                <c:pt idx="19">
                  <c:v>248965.4</c:v>
                </c:pt>
              </c:numCache>
            </c:numRef>
          </c:val>
        </c:ser>
        <c:dLbls>
          <c:showLegendKey val="0"/>
          <c:showVal val="0"/>
          <c:showCatName val="0"/>
          <c:showSerName val="0"/>
          <c:showPercent val="0"/>
          <c:showBubbleSize val="0"/>
        </c:dLbls>
        <c:gapWidth val="243"/>
        <c:overlap val="-83"/>
        <c:axId val="178405048"/>
        <c:axId val="178405440"/>
      </c:barChart>
      <c:dateAx>
        <c:axId val="1784050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5440"/>
        <c:crosses val="autoZero"/>
        <c:auto val="1"/>
        <c:lblOffset val="100"/>
        <c:baseTimeUnit val="months"/>
      </c:dateAx>
      <c:valAx>
        <c:axId val="1784054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Mutal Funds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Data!$J$526:$J$566</c:f>
              <c:numCache>
                <c:formatCode>mmm\-yy</c:formatCode>
                <c:ptCount val="41"/>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numCache>
            </c:numRef>
          </c:xVal>
          <c:yVal>
            <c:numRef>
              <c:f>Data!$K$526:$K$566</c:f>
              <c:numCache>
                <c:formatCode>_("$"* #,##0_);_("$"* \(#,##0\);_("$"* "-"_);_(@_)</c:formatCode>
                <c:ptCount val="41"/>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numCache>
            </c:numRef>
          </c:yVal>
          <c:smooth val="0"/>
        </c:ser>
        <c:dLbls>
          <c:showLegendKey val="0"/>
          <c:showVal val="0"/>
          <c:showCatName val="0"/>
          <c:showSerName val="0"/>
          <c:showPercent val="0"/>
          <c:showBubbleSize val="0"/>
        </c:dLbls>
        <c:axId val="178406224"/>
        <c:axId val="178406616"/>
      </c:scatterChart>
      <c:valAx>
        <c:axId val="17840622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6616"/>
        <c:crosses val="autoZero"/>
        <c:crossBetween val="midCat"/>
      </c:valAx>
      <c:valAx>
        <c:axId val="1784066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62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ser>
        <c:dLbls>
          <c:showLegendKey val="0"/>
          <c:showVal val="0"/>
          <c:showCatName val="0"/>
          <c:showSerName val="0"/>
          <c:showPercent val="0"/>
          <c:showBubbleSize val="0"/>
        </c:dLbls>
        <c:axId val="178407400"/>
        <c:axId val="178407792"/>
      </c:scatterChart>
      <c:valAx>
        <c:axId val="17840740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7792"/>
        <c:crosses val="autoZero"/>
        <c:crossBetween val="midCat"/>
      </c:valAx>
      <c:valAx>
        <c:axId val="1784077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074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'August''19 AR Aging '!$B$186</c:f>
              <c:strCache>
                <c:ptCount val="1"/>
                <c:pt idx="0">
                  <c:v>Current Month</c:v>
                </c:pt>
              </c:strCache>
            </c:strRef>
          </c:tx>
          <c:spPr>
            <a:solidFill>
              <a:srgbClr val="0070C0"/>
            </a:solidFill>
          </c:spPr>
          <c:invertIfNegative val="0"/>
          <c:val>
            <c:numRef>
              <c:f>'August''19 AR Aging '!$C$186:$N$186</c:f>
            </c:numRef>
          </c:val>
          <c:extLst>
            <c:ext xmlns:c15="http://schemas.microsoft.com/office/drawing/2012/chart" uri="{02D57815-91ED-43cb-92C2-25804820EDAC}">
              <c15:filteredCategoryTitle>
                <c15:cat>
                  <c:multiLvlStrRef>
                    <c:extLst>
                      <c:ext uri="{02D57815-91ED-43cb-92C2-25804820EDAC}">
                        <c15:formulaRef>
                          <c15:sqref>'August''19 AR Aging '!$C$185:$N$185</c15:sqref>
                        </c15:formulaRef>
                      </c:ext>
                    </c:extLst>
                  </c:multiLvlStrRef>
                </c15:cat>
              </c15:filteredCategoryTitle>
            </c:ext>
          </c:extLst>
        </c:ser>
        <c:ser>
          <c:idx val="1"/>
          <c:order val="1"/>
          <c:tx>
            <c:strRef>
              <c:f>'August''19 AR Aging '!$B$187</c:f>
              <c:strCache>
                <c:ptCount val="1"/>
                <c:pt idx="0">
                  <c:v>Previous Month</c:v>
                </c:pt>
              </c:strCache>
            </c:strRef>
          </c:tx>
          <c:spPr>
            <a:solidFill>
              <a:schemeClr val="accent6">
                <a:lumMod val="40000"/>
                <a:lumOff val="60000"/>
              </a:schemeClr>
            </a:solidFill>
          </c:spPr>
          <c:invertIfNegative val="0"/>
          <c:val>
            <c:numRef>
              <c:f>'August''19 AR Aging '!$C$187:$N$187</c:f>
            </c:numRef>
          </c:val>
          <c:extLst>
            <c:ext xmlns:c15="http://schemas.microsoft.com/office/drawing/2012/chart" uri="{02D57815-91ED-43cb-92C2-25804820EDAC}">
              <c15:filteredCategoryTitle>
                <c15:cat>
                  <c:multiLvlStrRef>
                    <c:extLst>
                      <c:ext uri="{02D57815-91ED-43cb-92C2-25804820EDAC}">
                        <c15:formulaRef>
                          <c15:sqref>'August''19 AR Aging '!$C$185:$N$185</c15:sqref>
                        </c15:formulaRef>
                      </c:ext>
                    </c:extLst>
                  </c:multiLvlStrRef>
                </c15:cat>
              </c15:filteredCategoryTitle>
            </c:ext>
          </c:extLst>
        </c:ser>
        <c:ser>
          <c:idx val="2"/>
          <c:order val="2"/>
          <c:tx>
            <c:strRef>
              <c:f>'August''19 AR Aging '!$B$188</c:f>
              <c:strCache>
                <c:ptCount val="1"/>
                <c:pt idx="0">
                  <c:v>Three Months Ago</c:v>
                </c:pt>
              </c:strCache>
            </c:strRef>
          </c:tx>
          <c:spPr>
            <a:solidFill>
              <a:schemeClr val="accent3">
                <a:lumMod val="75000"/>
              </a:schemeClr>
            </a:solidFill>
          </c:spPr>
          <c:invertIfNegative val="0"/>
          <c:val>
            <c:numRef>
              <c:f>'August''19 AR Aging '!$C$188:$N$188</c:f>
            </c:numRef>
          </c:val>
          <c:extLst>
            <c:ext xmlns:c15="http://schemas.microsoft.com/office/drawing/2012/chart" uri="{02D57815-91ED-43cb-92C2-25804820EDAC}">
              <c15:filteredCategoryTitle>
                <c15:cat>
                  <c:multiLvlStrRef>
                    <c:extLst>
                      <c:ext uri="{02D57815-91ED-43cb-92C2-25804820EDAC}">
                        <c15:formulaRef>
                          <c15:sqref>'August''19 AR Aging '!$C$185:$N$185</c15:sqref>
                        </c15:formulaRef>
                      </c:ext>
                    </c:extLst>
                  </c:multiLvlStrRef>
                </c15:cat>
              </c15:filteredCategoryTitle>
            </c:ext>
          </c:extLst>
        </c:ser>
        <c:ser>
          <c:idx val="3"/>
          <c:order val="3"/>
          <c:tx>
            <c:strRef>
              <c:f>'August''19 AR Aging '!$B$189</c:f>
              <c:strCache>
                <c:ptCount val="1"/>
                <c:pt idx="0">
                  <c:v>Older than Three Months</c:v>
                </c:pt>
              </c:strCache>
            </c:strRef>
          </c:tx>
          <c:spPr>
            <a:solidFill>
              <a:schemeClr val="accent4">
                <a:lumMod val="40000"/>
                <a:lumOff val="60000"/>
              </a:schemeClr>
            </a:solidFill>
          </c:spPr>
          <c:invertIfNegative val="0"/>
          <c:val>
            <c:numRef>
              <c:f>'August''19 AR Aging '!$C$189:$N$189</c:f>
            </c:numRef>
          </c:val>
          <c:extLst>
            <c:ext xmlns:c15="http://schemas.microsoft.com/office/drawing/2012/chart" uri="{02D57815-91ED-43cb-92C2-25804820EDAC}">
              <c15:filteredCategoryTitle>
                <c15:cat>
                  <c:multiLvlStrRef>
                    <c:extLst>
                      <c:ext uri="{02D57815-91ED-43cb-92C2-25804820EDAC}">
                        <c15:formulaRef>
                          <c15:sqref>'August''19 AR Aging '!$C$185:$N$185</c15:sqref>
                        </c15:formulaRef>
                      </c:ext>
                    </c:extLst>
                  </c:multiLvlStrRef>
                </c15:cat>
              </c15:filteredCategoryTitle>
            </c:ext>
          </c:extLst>
        </c:ser>
        <c:dLbls>
          <c:showLegendKey val="0"/>
          <c:showVal val="0"/>
          <c:showCatName val="0"/>
          <c:showSerName val="0"/>
          <c:showPercent val="0"/>
          <c:showBubbleSize val="0"/>
        </c:dLbls>
        <c:gapWidth val="56"/>
        <c:overlap val="100"/>
        <c:axId val="177821848"/>
        <c:axId val="177822240"/>
      </c:barChart>
      <c:catAx>
        <c:axId val="177821848"/>
        <c:scaling>
          <c:orientation val="minMax"/>
        </c:scaling>
        <c:delete val="0"/>
        <c:axPos val="b"/>
        <c:numFmt formatCode="[$-409]mmmm\-yy;@" sourceLinked="1"/>
        <c:majorTickMark val="none"/>
        <c:minorTickMark val="none"/>
        <c:tickLblPos val="nextTo"/>
        <c:spPr>
          <a:noFill/>
          <a:ln w="22225"/>
        </c:spPr>
        <c:crossAx val="177822240"/>
        <c:crosses val="autoZero"/>
        <c:auto val="0"/>
        <c:lblAlgn val="ctr"/>
        <c:lblOffset val="100"/>
        <c:tickLblSkip val="1"/>
        <c:noMultiLvlLbl val="0"/>
      </c:catAx>
      <c:valAx>
        <c:axId val="177822240"/>
        <c:scaling>
          <c:orientation val="minMax"/>
        </c:scaling>
        <c:delete val="0"/>
        <c:axPos val="l"/>
        <c:majorGridlines/>
        <c:numFmt formatCode="&quot;$&quot;#,##0_);[Red]\(&quot;$&quot;#,##0\)" sourceLinked="1"/>
        <c:majorTickMark val="none"/>
        <c:minorTickMark val="none"/>
        <c:tickLblPos val="nextTo"/>
        <c:crossAx val="177821848"/>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962025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179</xdr:row>
      <xdr:rowOff>47625</xdr:rowOff>
    </xdr:from>
    <xdr:to>
      <xdr:col>8</xdr:col>
      <xdr:colOff>523875</xdr:colOff>
      <xdr:row>216</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abSelected="1" zoomScaleNormal="100" workbookViewId="0">
      <selection activeCell="C17" sqref="C17:D17"/>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14" t="s">
        <v>181</v>
      </c>
      <c r="B1" s="814"/>
      <c r="C1" s="814"/>
      <c r="D1" s="814"/>
      <c r="E1" s="814"/>
      <c r="F1" s="814"/>
      <c r="G1" s="814"/>
      <c r="H1" s="814"/>
    </row>
    <row r="2" spans="1:8" ht="23.25" x14ac:dyDescent="0.2">
      <c r="A2" s="814" t="s">
        <v>182</v>
      </c>
      <c r="B2" s="814"/>
      <c r="C2" s="814"/>
      <c r="D2" s="814"/>
      <c r="E2" s="814"/>
      <c r="F2" s="814"/>
      <c r="G2" s="814"/>
      <c r="H2" s="814"/>
    </row>
    <row r="3" spans="1:8" ht="23.25" x14ac:dyDescent="0.2">
      <c r="A3" s="815">
        <v>43732</v>
      </c>
      <c r="B3" s="815"/>
      <c r="C3" s="815"/>
      <c r="D3" s="815"/>
      <c r="E3" s="815"/>
      <c r="F3" s="815"/>
      <c r="G3" s="815"/>
      <c r="H3" s="815"/>
    </row>
    <row r="4" spans="1:8" ht="21.75" customHeight="1" x14ac:dyDescent="0.2">
      <c r="A4" s="816" t="s">
        <v>193</v>
      </c>
      <c r="B4" s="816"/>
      <c r="C4" s="816"/>
      <c r="D4" s="816"/>
      <c r="E4" s="816"/>
      <c r="F4" s="816"/>
      <c r="G4" s="816"/>
      <c r="H4" s="816"/>
    </row>
    <row r="5" spans="1:8" ht="51" customHeight="1" x14ac:dyDescent="0.2">
      <c r="A5" s="796" t="s">
        <v>490</v>
      </c>
      <c r="B5" s="796"/>
      <c r="C5" s="796"/>
      <c r="D5" s="796"/>
      <c r="E5" s="796"/>
      <c r="F5" s="796"/>
      <c r="G5" s="796"/>
      <c r="H5" s="796"/>
    </row>
    <row r="6" spans="1:8" ht="81" customHeight="1" x14ac:dyDescent="0.2">
      <c r="A6" s="497"/>
      <c r="B6" s="497"/>
      <c r="C6" s="497"/>
      <c r="D6" s="497"/>
      <c r="E6" s="497"/>
      <c r="F6" s="497"/>
      <c r="G6" s="497"/>
      <c r="H6" s="497"/>
    </row>
    <row r="7" spans="1:8" ht="81" customHeight="1" x14ac:dyDescent="0.2">
      <c r="A7" s="497"/>
      <c r="B7" s="497"/>
      <c r="C7" s="497"/>
      <c r="D7" s="497"/>
      <c r="E7" s="497"/>
      <c r="F7" s="497"/>
      <c r="G7" s="497"/>
      <c r="H7" s="497"/>
    </row>
    <row r="8" spans="1:8" ht="81" customHeight="1" x14ac:dyDescent="0.2">
      <c r="A8" s="497"/>
      <c r="B8" s="497"/>
      <c r="C8" s="497"/>
      <c r="D8" s="497"/>
      <c r="E8" s="497"/>
      <c r="F8" s="497"/>
      <c r="G8" s="497"/>
      <c r="H8" s="497"/>
    </row>
    <row r="9" spans="1:8" ht="53.25" customHeight="1" x14ac:dyDescent="0.2">
      <c r="A9" s="796" t="s">
        <v>491</v>
      </c>
      <c r="B9" s="796"/>
      <c r="C9" s="796"/>
      <c r="D9" s="796"/>
      <c r="E9" s="796"/>
      <c r="F9" s="796"/>
      <c r="G9" s="796"/>
      <c r="H9" s="796"/>
    </row>
    <row r="10" spans="1:8" ht="15.75" x14ac:dyDescent="0.25">
      <c r="A10" s="467"/>
      <c r="B10" s="788"/>
      <c r="C10" s="788"/>
      <c r="D10" s="458"/>
      <c r="E10" s="464" t="s">
        <v>54</v>
      </c>
      <c r="F10" s="464" t="s">
        <v>427</v>
      </c>
      <c r="G10" s="459"/>
      <c r="H10" s="467"/>
    </row>
    <row r="11" spans="1:8" ht="15.75" customHeight="1" x14ac:dyDescent="0.25">
      <c r="A11" s="467"/>
      <c r="C11" s="787" t="s">
        <v>494</v>
      </c>
      <c r="D11" s="787"/>
      <c r="E11" s="495">
        <f>'August''19 AR Aging '!G8</f>
        <v>25131.73</v>
      </c>
      <c r="F11" s="754">
        <f>E11/E$18</f>
        <v>0.10094466941992743</v>
      </c>
      <c r="G11" s="460"/>
      <c r="H11" s="467"/>
    </row>
    <row r="12" spans="1:8" ht="15.75" customHeight="1" x14ac:dyDescent="0.25">
      <c r="A12" s="467"/>
      <c r="C12" s="787" t="s">
        <v>492</v>
      </c>
      <c r="D12" s="787"/>
      <c r="E12" s="498">
        <f>'August''19 AR Aging '!G32</f>
        <v>51586.18</v>
      </c>
      <c r="F12" s="754">
        <f t="shared" ref="F12:F17" si="0">E12/E$18</f>
        <v>0.20720220560768685</v>
      </c>
      <c r="G12" s="460"/>
      <c r="H12" s="467"/>
    </row>
    <row r="13" spans="1:8" ht="15.75" customHeight="1" x14ac:dyDescent="0.25">
      <c r="A13" s="467"/>
      <c r="C13" s="787" t="s">
        <v>493</v>
      </c>
      <c r="D13" s="787"/>
      <c r="E13" s="498">
        <f>'August''19 AR Aging '!G14</f>
        <v>75376.33</v>
      </c>
      <c r="F13" s="754">
        <f t="shared" si="0"/>
        <v>0.30275825476150503</v>
      </c>
      <c r="G13" s="460"/>
      <c r="H13" s="467"/>
    </row>
    <row r="14" spans="1:8" ht="15.75" customHeight="1" x14ac:dyDescent="0.25">
      <c r="A14" s="467"/>
      <c r="C14" s="788" t="s">
        <v>49</v>
      </c>
      <c r="D14" s="788"/>
      <c r="E14" s="498">
        <f>'August''19 AR Aging '!G43</f>
        <v>26733.87</v>
      </c>
      <c r="F14" s="754">
        <f t="shared" si="0"/>
        <v>0.10737986081600094</v>
      </c>
      <c r="G14" s="460"/>
      <c r="H14" s="467"/>
    </row>
    <row r="15" spans="1:8" ht="15.75" customHeight="1" x14ac:dyDescent="0.25">
      <c r="A15" s="467"/>
      <c r="C15" s="788" t="s">
        <v>431</v>
      </c>
      <c r="D15" s="788"/>
      <c r="E15" s="498">
        <f>'August''19 AR Aging '!G51+'August''19 AR Aging '!G56+'August''19 AR Aging '!G58+'August''19 AR Aging '!G39+'August''19 AR Aging '!G62+'August''19 AR Aging '!G40</f>
        <v>68375.260000000009</v>
      </c>
      <c r="F15" s="754">
        <f t="shared" si="0"/>
        <v>0.27463760024485334</v>
      </c>
      <c r="G15" s="460"/>
      <c r="H15" s="467"/>
    </row>
    <row r="16" spans="1:8" ht="15.75" customHeight="1" x14ac:dyDescent="0.25">
      <c r="A16" s="730"/>
      <c r="C16" s="788" t="s">
        <v>390</v>
      </c>
      <c r="D16" s="788"/>
      <c r="E16" s="498">
        <f>'August''19 AR Aging '!G64+'August''19 AR Aging '!G41</f>
        <v>642.04</v>
      </c>
      <c r="F16" s="754">
        <f t="shared" si="0"/>
        <v>2.5788322393392816E-3</v>
      </c>
      <c r="G16" s="460"/>
      <c r="H16" s="730"/>
    </row>
    <row r="17" spans="1:12" ht="15.75" customHeight="1" x14ac:dyDescent="0.25">
      <c r="A17" s="467"/>
      <c r="C17" s="788" t="s">
        <v>416</v>
      </c>
      <c r="D17" s="788"/>
      <c r="E17" s="498">
        <f>'August''19 AR Aging '!G60+'August''19 AR Aging '!G42</f>
        <v>1119.99</v>
      </c>
      <c r="F17" s="754">
        <f t="shared" si="0"/>
        <v>4.4985769106871878E-3</v>
      </c>
      <c r="G17" s="460"/>
      <c r="H17" s="467"/>
    </row>
    <row r="18" spans="1:12" ht="16.5" customHeight="1" thickBot="1" x14ac:dyDescent="0.3">
      <c r="A18" s="467"/>
      <c r="B18" s="788" t="s">
        <v>429</v>
      </c>
      <c r="C18" s="788"/>
      <c r="D18" s="788"/>
      <c r="E18" s="465">
        <f>SUM(E11:E17)</f>
        <v>248965.4</v>
      </c>
      <c r="F18" s="755">
        <f>SUM(F11:F17)</f>
        <v>1</v>
      </c>
      <c r="G18" s="742"/>
      <c r="H18" s="467"/>
    </row>
    <row r="19" spans="1:12" ht="38.25" customHeight="1" thickTop="1" x14ac:dyDescent="0.2">
      <c r="A19" s="573"/>
      <c r="B19" s="573"/>
      <c r="C19" s="573"/>
      <c r="D19" s="573"/>
      <c r="E19" s="573"/>
      <c r="F19" s="573"/>
      <c r="G19" s="573"/>
      <c r="H19" s="573"/>
    </row>
    <row r="20" spans="1:12" ht="88.5" customHeight="1" x14ac:dyDescent="0.2">
      <c r="A20" s="573"/>
      <c r="B20" s="573"/>
      <c r="C20" s="573"/>
      <c r="D20" s="573"/>
      <c r="E20" s="573"/>
      <c r="F20" s="573"/>
      <c r="G20" s="573"/>
      <c r="H20" s="573"/>
    </row>
    <row r="21" spans="1:12" ht="88.5" customHeight="1" x14ac:dyDescent="0.2">
      <c r="A21" s="573"/>
      <c r="B21" s="573"/>
      <c r="C21" s="573"/>
      <c r="D21" s="573"/>
      <c r="E21" s="573"/>
      <c r="F21" s="573"/>
      <c r="G21" s="573"/>
      <c r="H21" s="573"/>
    </row>
    <row r="22" spans="1:12" ht="88.5" customHeight="1" x14ac:dyDescent="0.2">
      <c r="A22" s="573"/>
      <c r="B22" s="573"/>
      <c r="C22" s="573"/>
      <c r="D22" s="573"/>
      <c r="E22" s="573"/>
      <c r="F22" s="573"/>
      <c r="G22" s="573"/>
      <c r="H22" s="573"/>
    </row>
    <row r="23" spans="1:12" ht="35.25" hidden="1" customHeight="1" x14ac:dyDescent="0.2">
      <c r="A23" s="796" t="s">
        <v>298</v>
      </c>
      <c r="B23" s="796"/>
      <c r="C23" s="796"/>
      <c r="D23" s="796"/>
      <c r="E23" s="796"/>
      <c r="F23" s="796"/>
      <c r="G23" s="796"/>
      <c r="H23" s="796"/>
    </row>
    <row r="24" spans="1:12" ht="15" customHeight="1" x14ac:dyDescent="0.2">
      <c r="A24" s="573"/>
      <c r="B24" s="573"/>
      <c r="C24" s="573"/>
      <c r="D24" s="573"/>
      <c r="E24" s="573"/>
      <c r="F24" s="573"/>
      <c r="G24" s="573"/>
      <c r="H24" s="573"/>
    </row>
    <row r="25" spans="1:12" ht="38.25" customHeight="1" x14ac:dyDescent="0.2">
      <c r="A25" s="796" t="s">
        <v>495</v>
      </c>
      <c r="B25" s="796"/>
      <c r="C25" s="796"/>
      <c r="D25" s="796"/>
      <c r="E25" s="796"/>
      <c r="F25" s="796"/>
      <c r="G25" s="796"/>
      <c r="H25" s="796"/>
      <c r="L25" s="780"/>
    </row>
    <row r="26" spans="1:12" ht="38.25" customHeight="1" x14ac:dyDescent="0.2">
      <c r="A26" s="743"/>
      <c r="B26" s="743"/>
      <c r="C26" s="743"/>
      <c r="D26" s="743"/>
      <c r="E26" s="743"/>
      <c r="F26" s="743"/>
      <c r="G26" s="743"/>
      <c r="H26" s="743"/>
      <c r="L26" s="780"/>
    </row>
    <row r="27" spans="1:12" ht="38.25" customHeight="1" x14ac:dyDescent="0.2">
      <c r="A27" s="743"/>
      <c r="B27" s="743"/>
      <c r="C27" s="743"/>
      <c r="D27" s="743"/>
      <c r="E27" s="743"/>
      <c r="F27" s="743"/>
      <c r="G27" s="743"/>
      <c r="H27" s="743"/>
    </row>
    <row r="28" spans="1:12" ht="38.25" customHeight="1" x14ac:dyDescent="0.2">
      <c r="A28" s="743"/>
      <c r="B28" s="743"/>
      <c r="C28" s="743"/>
      <c r="D28" s="743"/>
      <c r="E28" s="743"/>
      <c r="F28" s="743"/>
      <c r="G28" s="743"/>
      <c r="H28" s="743"/>
    </row>
    <row r="29" spans="1:12" ht="38.25" customHeight="1" x14ac:dyDescent="0.2">
      <c r="A29" s="743"/>
      <c r="B29" s="743"/>
      <c r="C29" s="743"/>
      <c r="D29" s="743"/>
      <c r="E29" s="743"/>
      <c r="F29" s="743"/>
      <c r="G29" s="743"/>
      <c r="H29" s="743"/>
    </row>
    <row r="30" spans="1:12" ht="38.25" customHeight="1" x14ac:dyDescent="0.2">
      <c r="A30" s="743"/>
      <c r="B30" s="743"/>
      <c r="C30" s="743"/>
      <c r="D30" s="743"/>
      <c r="E30" s="743"/>
      <c r="F30" s="743"/>
      <c r="G30" s="743"/>
      <c r="H30" s="743"/>
    </row>
    <row r="31" spans="1:12" ht="38.25" customHeight="1" x14ac:dyDescent="0.2">
      <c r="A31" s="743"/>
      <c r="B31" s="743"/>
      <c r="C31" s="743"/>
      <c r="D31" s="743"/>
      <c r="E31" s="743"/>
      <c r="F31" s="743"/>
      <c r="G31" s="743"/>
      <c r="H31" s="743"/>
    </row>
    <row r="32" spans="1:12" ht="38.25" customHeight="1" x14ac:dyDescent="0.2">
      <c r="A32" s="743"/>
      <c r="B32" s="743"/>
      <c r="C32" s="743"/>
      <c r="D32" s="743"/>
      <c r="E32" s="743"/>
      <c r="F32" s="743"/>
      <c r="G32" s="743"/>
      <c r="H32" s="743"/>
    </row>
    <row r="33" spans="1:12" ht="38.25" customHeight="1" x14ac:dyDescent="0.2">
      <c r="A33" s="743"/>
      <c r="B33" s="743"/>
      <c r="C33" s="743"/>
      <c r="D33" s="743"/>
      <c r="E33" s="743"/>
      <c r="F33" s="743"/>
      <c r="G33" s="743"/>
      <c r="H33" s="743"/>
    </row>
    <row r="34" spans="1:12" ht="30" customHeight="1" x14ac:dyDescent="0.25">
      <c r="A34" s="497"/>
      <c r="B34" s="662" t="s">
        <v>323</v>
      </c>
      <c r="C34" s="663" t="s">
        <v>392</v>
      </c>
      <c r="D34" s="662" t="s">
        <v>255</v>
      </c>
      <c r="E34" s="664" t="s">
        <v>455</v>
      </c>
      <c r="F34" s="664" t="s">
        <v>461</v>
      </c>
      <c r="G34" s="664" t="s">
        <v>499</v>
      </c>
      <c r="H34" s="664" t="s">
        <v>324</v>
      </c>
      <c r="I34" s="631"/>
      <c r="J34" s="632"/>
      <c r="K34" s="631"/>
    </row>
    <row r="35" spans="1:12" ht="15" x14ac:dyDescent="0.2">
      <c r="A35" s="497"/>
      <c r="B35" s="43" t="s">
        <v>458</v>
      </c>
      <c r="C35" s="624">
        <v>-20</v>
      </c>
      <c r="D35" s="624"/>
      <c r="E35" s="624">
        <f>10762-10528</f>
        <v>234</v>
      </c>
      <c r="F35" s="624">
        <v>-105</v>
      </c>
      <c r="G35" s="636">
        <v>109.03</v>
      </c>
      <c r="H35" s="776">
        <f t="shared" ref="H35:H41" si="1">G35/G$45</f>
        <v>6.2452325184898241E-4</v>
      </c>
      <c r="I35" s="94"/>
      <c r="J35" s="766"/>
      <c r="K35" s="18"/>
    </row>
    <row r="36" spans="1:12" ht="15" x14ac:dyDescent="0.2">
      <c r="A36" s="497"/>
      <c r="B36" s="43" t="s">
        <v>256</v>
      </c>
      <c r="C36" s="645">
        <v>38489.56</v>
      </c>
      <c r="D36" s="645">
        <v>1294.8599999999999</v>
      </c>
      <c r="E36" s="645"/>
      <c r="F36" s="645">
        <v>2487.5700000000002</v>
      </c>
      <c r="G36" s="645">
        <f>C36+D36+F36+E36</f>
        <v>42271.99</v>
      </c>
      <c r="H36" s="776">
        <f t="shared" si="1"/>
        <v>0.24213373068813779</v>
      </c>
      <c r="I36" s="633"/>
      <c r="J36" s="766"/>
      <c r="K36" s="767"/>
    </row>
    <row r="37" spans="1:12" ht="15" x14ac:dyDescent="0.25">
      <c r="A37" s="497"/>
      <c r="B37" s="43" t="s">
        <v>257</v>
      </c>
      <c r="C37" s="645">
        <v>14903.11</v>
      </c>
      <c r="D37" s="645">
        <v>192.85</v>
      </c>
      <c r="E37" s="645">
        <v>-15478.91</v>
      </c>
      <c r="F37" s="645">
        <v>382.95</v>
      </c>
      <c r="G37" s="645">
        <f t="shared" ref="G37:G44" si="2">C37+D37+F37+E37</f>
        <v>0</v>
      </c>
      <c r="H37" s="776"/>
      <c r="I37" s="634"/>
      <c r="J37" s="766"/>
      <c r="K37" s="767"/>
      <c r="L37" s="521"/>
    </row>
    <row r="38" spans="1:12" ht="15" x14ac:dyDescent="0.2">
      <c r="A38" s="497"/>
      <c r="B38" s="43" t="s">
        <v>258</v>
      </c>
      <c r="C38" s="645">
        <v>44091.09</v>
      </c>
      <c r="D38" s="645"/>
      <c r="E38" s="645"/>
      <c r="F38" s="645">
        <v>9069.7000000000007</v>
      </c>
      <c r="G38" s="645">
        <f t="shared" si="2"/>
        <v>53160.789999999994</v>
      </c>
      <c r="H38" s="776">
        <f t="shared" si="1"/>
        <v>0.30450471834963644</v>
      </c>
      <c r="I38" s="633"/>
      <c r="J38" s="766"/>
      <c r="K38" s="767"/>
      <c r="L38" s="521"/>
    </row>
    <row r="39" spans="1:12" ht="15" x14ac:dyDescent="0.25">
      <c r="A39" s="497"/>
      <c r="B39" s="43" t="s">
        <v>259</v>
      </c>
      <c r="C39" s="645">
        <v>21132.04</v>
      </c>
      <c r="D39" s="645">
        <v>373.75</v>
      </c>
      <c r="E39" s="645"/>
      <c r="F39" s="645">
        <v>-105.58</v>
      </c>
      <c r="G39" s="645">
        <f t="shared" si="2"/>
        <v>21400.21</v>
      </c>
      <c r="H39" s="776">
        <f t="shared" si="1"/>
        <v>0.1225802874387885</v>
      </c>
      <c r="I39" s="634"/>
      <c r="J39" s="766"/>
      <c r="K39" s="767"/>
      <c r="L39" s="521"/>
    </row>
    <row r="40" spans="1:12" ht="15" x14ac:dyDescent="0.25">
      <c r="A40" s="497"/>
      <c r="B40" s="43" t="s">
        <v>260</v>
      </c>
      <c r="C40" s="645">
        <v>21091.57</v>
      </c>
      <c r="D40" s="645">
        <v>438.93</v>
      </c>
      <c r="E40" s="645">
        <v>-22513.11</v>
      </c>
      <c r="F40" s="645">
        <v>982.62</v>
      </c>
      <c r="G40" s="645">
        <f t="shared" si="2"/>
        <v>9.9999999983992893E-3</v>
      </c>
      <c r="H40" s="776"/>
      <c r="I40" s="634"/>
      <c r="J40" s="766"/>
      <c r="K40" s="767"/>
      <c r="L40" s="521"/>
    </row>
    <row r="41" spans="1:12" ht="15" x14ac:dyDescent="0.25">
      <c r="A41" s="497"/>
      <c r="B41" s="43" t="s">
        <v>261</v>
      </c>
      <c r="C41" s="645">
        <v>19933.830000000002</v>
      </c>
      <c r="D41" s="645">
        <v>673.8</v>
      </c>
      <c r="E41" s="645">
        <v>-10770</v>
      </c>
      <c r="F41" s="645">
        <v>-386.08</v>
      </c>
      <c r="G41" s="645">
        <f t="shared" si="2"/>
        <v>9451.5499999999993</v>
      </c>
      <c r="H41" s="776">
        <f t="shared" si="1"/>
        <v>5.4138427414594598E-2</v>
      </c>
      <c r="I41" s="634"/>
      <c r="J41" s="766"/>
      <c r="K41" s="767"/>
      <c r="L41" s="521"/>
    </row>
    <row r="42" spans="1:12" ht="15" x14ac:dyDescent="0.25">
      <c r="A42" s="771"/>
      <c r="B42" s="43" t="s">
        <v>456</v>
      </c>
      <c r="C42" s="645"/>
      <c r="D42" s="645"/>
      <c r="E42" s="645">
        <v>15482.91</v>
      </c>
      <c r="F42" s="645">
        <v>-352.63</v>
      </c>
      <c r="G42" s="645">
        <f t="shared" si="2"/>
        <v>15130.28</v>
      </c>
      <c r="H42" s="776">
        <f t="shared" ref="H42:H44" si="3">G42/G$45</f>
        <v>8.6666162221275073E-2</v>
      </c>
      <c r="I42" s="634"/>
      <c r="J42" s="766"/>
      <c r="K42" s="767"/>
      <c r="L42" s="521"/>
    </row>
    <row r="43" spans="1:12" ht="15" x14ac:dyDescent="0.25">
      <c r="A43" s="771"/>
      <c r="B43" s="43" t="s">
        <v>457</v>
      </c>
      <c r="C43" s="645"/>
      <c r="D43" s="645"/>
      <c r="E43" s="645">
        <v>22517.11</v>
      </c>
      <c r="F43" s="645">
        <v>-155.59</v>
      </c>
      <c r="G43" s="645">
        <f t="shared" si="2"/>
        <v>22361.52</v>
      </c>
      <c r="H43" s="776">
        <f t="shared" si="3"/>
        <v>0.1280866659331015</v>
      </c>
      <c r="I43" s="634"/>
      <c r="J43" s="766"/>
      <c r="K43" s="767"/>
      <c r="L43" s="521"/>
    </row>
    <row r="44" spans="1:12" ht="17.25" customHeight="1" x14ac:dyDescent="0.2">
      <c r="A44" s="497"/>
      <c r="B44" s="43" t="s">
        <v>509</v>
      </c>
      <c r="C44" s="624"/>
      <c r="D44" s="547"/>
      <c r="E44" s="781">
        <v>10528</v>
      </c>
      <c r="F44" s="624">
        <v>167.79</v>
      </c>
      <c r="G44" s="624">
        <f t="shared" si="2"/>
        <v>10695.79</v>
      </c>
      <c r="H44" s="776">
        <f t="shared" si="3"/>
        <v>6.1265427422671083E-2</v>
      </c>
      <c r="I44" s="633"/>
      <c r="J44" s="766"/>
      <c r="K44" s="767"/>
      <c r="L44" s="521"/>
    </row>
    <row r="45" spans="1:12" ht="15" x14ac:dyDescent="0.25">
      <c r="A45" s="497"/>
      <c r="B45" s="625" t="s">
        <v>274</v>
      </c>
      <c r="C45" s="626">
        <f>SUM(C35:C44)</f>
        <v>159621.20000000001</v>
      </c>
      <c r="D45" s="627">
        <f>SUM(D36:D44)</f>
        <v>2974.1899999999996</v>
      </c>
      <c r="E45" s="626">
        <f>SUM(E35:E44)</f>
        <v>0</v>
      </c>
      <c r="F45" s="626">
        <f>SUM(F35:F44)</f>
        <v>11985.750000000004</v>
      </c>
      <c r="G45" s="626">
        <f>SUM(G35:G44)</f>
        <v>174581.16999999998</v>
      </c>
      <c r="H45" s="777">
        <f>SUM(H35:H44)</f>
        <v>0.99999994272005388</v>
      </c>
      <c r="I45" s="635"/>
      <c r="J45" s="766"/>
      <c r="K45" s="767"/>
    </row>
    <row r="46" spans="1:12" ht="15" x14ac:dyDescent="0.2">
      <c r="A46" s="508"/>
      <c r="B46" s="768"/>
      <c r="C46" s="769"/>
      <c r="D46" s="769"/>
      <c r="E46" s="769"/>
      <c r="F46" s="769"/>
      <c r="G46" s="770"/>
      <c r="I46" s="1"/>
      <c r="J46" s="766"/>
      <c r="K46" s="767"/>
    </row>
    <row r="47" spans="1:12" ht="15" x14ac:dyDescent="0.2">
      <c r="A47" s="743"/>
      <c r="B47" s="18"/>
      <c r="C47" s="548"/>
      <c r="D47" s="548"/>
      <c r="E47" s="548"/>
      <c r="F47" s="548"/>
      <c r="G47" s="765"/>
      <c r="I47" s="1"/>
      <c r="J47" s="766"/>
      <c r="K47" s="767"/>
    </row>
    <row r="48" spans="1:12" ht="15" x14ac:dyDescent="0.2">
      <c r="A48" s="743"/>
      <c r="B48" s="813" t="s">
        <v>438</v>
      </c>
      <c r="C48" s="813"/>
      <c r="D48" s="813"/>
      <c r="E48" s="813"/>
      <c r="F48" s="743"/>
      <c r="G48" s="743"/>
      <c r="H48" s="743"/>
      <c r="J48" s="766"/>
      <c r="K48" s="767"/>
    </row>
    <row r="49" spans="1:11" ht="47.25" customHeight="1" x14ac:dyDescent="0.2">
      <c r="A49" s="497"/>
      <c r="B49" s="789" t="s">
        <v>270</v>
      </c>
      <c r="C49" s="790"/>
      <c r="D49" s="790"/>
      <c r="E49" s="790"/>
      <c r="F49" s="790"/>
      <c r="G49" s="790"/>
      <c r="H49" s="522"/>
      <c r="J49" s="766"/>
      <c r="K49" s="767"/>
    </row>
    <row r="50" spans="1:11" ht="47.25" hidden="1" customHeight="1" x14ac:dyDescent="0.2">
      <c r="A50" s="497"/>
      <c r="B50" s="789" t="s">
        <v>272</v>
      </c>
      <c r="C50" s="790"/>
      <c r="D50" s="790"/>
      <c r="E50" s="790"/>
      <c r="F50" s="790"/>
      <c r="G50" s="790"/>
      <c r="H50" s="522"/>
      <c r="J50" s="766"/>
      <c r="K50" s="767"/>
    </row>
    <row r="51" spans="1:11" ht="42" customHeight="1" x14ac:dyDescent="0.2">
      <c r="A51" s="497"/>
      <c r="B51" s="799" t="s">
        <v>269</v>
      </c>
      <c r="C51" s="800"/>
      <c r="D51" s="800"/>
      <c r="E51" s="800"/>
      <c r="F51" s="800"/>
      <c r="G51" s="800"/>
      <c r="H51" s="522"/>
      <c r="J51" s="766"/>
      <c r="K51" s="767"/>
    </row>
    <row r="52" spans="1:11" ht="47.25" customHeight="1" x14ac:dyDescent="0.2">
      <c r="A52" s="497"/>
      <c r="B52" s="789" t="s">
        <v>268</v>
      </c>
      <c r="C52" s="790"/>
      <c r="D52" s="790"/>
      <c r="E52" s="790"/>
      <c r="F52" s="790"/>
      <c r="G52" s="790"/>
      <c r="H52" s="522"/>
      <c r="J52" s="766"/>
      <c r="K52" s="767"/>
    </row>
    <row r="53" spans="1:11" ht="47.25" hidden="1" customHeight="1" x14ac:dyDescent="0.2">
      <c r="A53" s="497"/>
      <c r="B53" s="789" t="s">
        <v>267</v>
      </c>
      <c r="C53" s="790"/>
      <c r="D53" s="790"/>
      <c r="E53" s="790"/>
      <c r="F53" s="790"/>
      <c r="G53" s="790"/>
      <c r="H53" s="522"/>
      <c r="J53" s="766"/>
      <c r="K53" s="767"/>
    </row>
    <row r="54" spans="1:11" ht="47.25" customHeight="1" x14ac:dyDescent="0.2">
      <c r="A54" s="497"/>
      <c r="B54" s="789" t="s">
        <v>266</v>
      </c>
      <c r="C54" s="790"/>
      <c r="D54" s="790"/>
      <c r="E54" s="790"/>
      <c r="F54" s="790"/>
      <c r="G54" s="790"/>
      <c r="H54" s="522"/>
      <c r="J54" s="766"/>
      <c r="K54" s="767"/>
    </row>
    <row r="55" spans="1:11" ht="46.5" customHeight="1" x14ac:dyDescent="0.2">
      <c r="A55" s="771"/>
      <c r="B55" s="802" t="s">
        <v>459</v>
      </c>
      <c r="C55" s="803"/>
      <c r="D55" s="803"/>
      <c r="E55" s="803"/>
      <c r="F55" s="803"/>
      <c r="G55" s="803"/>
      <c r="H55" s="522"/>
      <c r="J55" s="766"/>
      <c r="K55" s="775"/>
    </row>
    <row r="56" spans="1:11" ht="38.25" customHeight="1" x14ac:dyDescent="0.2">
      <c r="A56" s="771"/>
      <c r="B56" s="802" t="s">
        <v>460</v>
      </c>
      <c r="C56" s="803"/>
      <c r="D56" s="803"/>
      <c r="E56" s="803"/>
      <c r="F56" s="803"/>
      <c r="G56" s="803"/>
      <c r="H56" s="522"/>
      <c r="J56" s="766"/>
      <c r="K56" s="767"/>
    </row>
    <row r="57" spans="1:11" ht="93" customHeight="1" x14ac:dyDescent="0.2">
      <c r="A57" s="497"/>
      <c r="B57" s="804" t="s">
        <v>516</v>
      </c>
      <c r="C57" s="803"/>
      <c r="D57" s="803"/>
      <c r="E57" s="803"/>
      <c r="F57" s="803"/>
      <c r="G57" s="803"/>
      <c r="H57" s="497"/>
      <c r="J57" s="766"/>
      <c r="K57" s="767"/>
    </row>
    <row r="58" spans="1:11" ht="32.25" customHeight="1" x14ac:dyDescent="0.25">
      <c r="A58" s="791" t="s">
        <v>433</v>
      </c>
      <c r="B58" s="791"/>
      <c r="C58" s="791"/>
      <c r="D58" s="791"/>
      <c r="E58" s="791"/>
      <c r="F58" s="791"/>
      <c r="G58" s="791"/>
      <c r="H58" s="791"/>
      <c r="J58" s="766"/>
      <c r="K58" s="767"/>
    </row>
    <row r="59" spans="1:11" ht="16.5" customHeight="1" x14ac:dyDescent="0.25">
      <c r="A59" s="744"/>
      <c r="B59" s="762" t="s">
        <v>434</v>
      </c>
      <c r="C59" s="744"/>
      <c r="D59" s="744"/>
      <c r="E59" s="744"/>
      <c r="F59" s="744"/>
      <c r="G59" s="744"/>
      <c r="H59" s="744"/>
      <c r="J59" s="766"/>
      <c r="K59" s="767"/>
    </row>
    <row r="60" spans="1:11" ht="15" x14ac:dyDescent="0.25">
      <c r="A60" s="637"/>
      <c r="B60" s="638" t="s">
        <v>262</v>
      </c>
      <c r="C60" s="499" t="s">
        <v>263</v>
      </c>
      <c r="D60" s="638" t="s">
        <v>264</v>
      </c>
      <c r="E60" s="795" t="s">
        <v>24</v>
      </c>
      <c r="F60" s="795"/>
      <c r="G60" s="638" t="s">
        <v>265</v>
      </c>
      <c r="H60" s="637"/>
      <c r="J60" s="766"/>
      <c r="K60" s="767"/>
    </row>
    <row r="61" spans="1:11" ht="30" customHeight="1" x14ac:dyDescent="0.2">
      <c r="A61" s="637"/>
      <c r="B61" s="500">
        <v>43525</v>
      </c>
      <c r="C61" s="507" t="s">
        <v>411</v>
      </c>
      <c r="D61" s="644" t="s">
        <v>413</v>
      </c>
      <c r="E61" s="794" t="s">
        <v>412</v>
      </c>
      <c r="F61" s="794"/>
      <c r="G61" s="502">
        <v>1691.99</v>
      </c>
      <c r="H61" s="637"/>
    </row>
    <row r="62" spans="1:11" ht="30" hidden="1" customHeight="1" x14ac:dyDescent="0.2">
      <c r="A62" s="637"/>
      <c r="B62" s="500"/>
      <c r="C62" s="507"/>
      <c r="D62" s="644"/>
      <c r="E62" s="794"/>
      <c r="F62" s="794"/>
      <c r="G62" s="502"/>
      <c r="H62" s="637"/>
    </row>
    <row r="63" spans="1:11" ht="30" hidden="1" customHeight="1" x14ac:dyDescent="0.2">
      <c r="A63" s="637"/>
      <c r="B63" s="500"/>
      <c r="C63" s="507"/>
      <c r="D63" s="644"/>
      <c r="E63" s="794"/>
      <c r="F63" s="794"/>
      <c r="G63" s="502"/>
      <c r="H63" s="637"/>
    </row>
    <row r="64" spans="1:11" ht="30" hidden="1" customHeight="1" x14ac:dyDescent="0.2">
      <c r="A64" s="661"/>
      <c r="B64" s="500"/>
      <c r="C64" s="507"/>
      <c r="D64" s="569"/>
      <c r="E64" s="794"/>
      <c r="F64" s="794"/>
      <c r="G64" s="502"/>
      <c r="H64" s="681"/>
    </row>
    <row r="65" spans="1:8" ht="30" hidden="1" customHeight="1" x14ac:dyDescent="0.2">
      <c r="A65" s="661"/>
      <c r="B65" s="500"/>
      <c r="C65" s="507"/>
      <c r="D65" s="569"/>
      <c r="E65" s="794"/>
      <c r="F65" s="794"/>
      <c r="G65" s="502"/>
      <c r="H65" s="661"/>
    </row>
    <row r="66" spans="1:8" ht="30" hidden="1" customHeight="1" x14ac:dyDescent="0.2">
      <c r="A66" s="661"/>
      <c r="B66" s="500"/>
      <c r="C66" s="507"/>
      <c r="D66" s="644"/>
      <c r="E66" s="794"/>
      <c r="F66" s="794"/>
      <c r="G66" s="502"/>
      <c r="H66" s="661"/>
    </row>
    <row r="67" spans="1:8" ht="30" hidden="1" customHeight="1" x14ac:dyDescent="0.2">
      <c r="A67" s="637"/>
      <c r="B67" s="500"/>
      <c r="C67" s="507"/>
      <c r="D67" s="569"/>
      <c r="E67" s="794"/>
      <c r="F67" s="794"/>
      <c r="G67" s="502"/>
      <c r="H67" s="637"/>
    </row>
    <row r="68" spans="1:8" ht="15" x14ac:dyDescent="0.2">
      <c r="A68" s="637"/>
      <c r="B68" s="561"/>
      <c r="C68" s="562"/>
      <c r="D68" s="563"/>
      <c r="E68" s="564"/>
      <c r="F68" s="505" t="s">
        <v>414</v>
      </c>
      <c r="G68" s="570">
        <f>SUM(G61:G67)</f>
        <v>1691.99</v>
      </c>
      <c r="H68" s="637"/>
    </row>
    <row r="69" spans="1:8" ht="8.25" customHeight="1" x14ac:dyDescent="0.2">
      <c r="A69" s="743"/>
      <c r="B69" s="561"/>
      <c r="C69" s="562"/>
      <c r="D69" s="563"/>
      <c r="E69" s="564"/>
      <c r="F69" s="505"/>
      <c r="G69" s="763"/>
      <c r="H69" s="743"/>
    </row>
    <row r="70" spans="1:8" ht="30" customHeight="1" x14ac:dyDescent="0.2">
      <c r="A70" s="743"/>
      <c r="B70" s="801" t="s">
        <v>432</v>
      </c>
      <c r="C70" s="801"/>
      <c r="D70" s="801"/>
      <c r="E70" s="801"/>
      <c r="F70" s="801"/>
      <c r="G70" s="801"/>
      <c r="H70" s="637"/>
    </row>
    <row r="71" spans="1:8" ht="15" x14ac:dyDescent="0.2">
      <c r="A71" s="637"/>
      <c r="B71" s="565" t="s">
        <v>291</v>
      </c>
      <c r="C71" s="566" t="s">
        <v>294</v>
      </c>
      <c r="D71" s="567" t="s">
        <v>293</v>
      </c>
      <c r="E71" s="792" t="s">
        <v>24</v>
      </c>
      <c r="F71" s="793"/>
      <c r="G71" s="568" t="s">
        <v>292</v>
      </c>
      <c r="H71" s="637"/>
    </row>
    <row r="72" spans="1:8" ht="15" x14ac:dyDescent="0.2">
      <c r="A72" s="637"/>
      <c r="B72" s="500">
        <v>43466</v>
      </c>
      <c r="C72" s="571" t="s">
        <v>409</v>
      </c>
      <c r="D72" s="752">
        <v>151044</v>
      </c>
      <c r="E72" s="794" t="s">
        <v>410</v>
      </c>
      <c r="F72" s="794"/>
      <c r="G72" s="503">
        <v>2300</v>
      </c>
      <c r="H72" s="637"/>
    </row>
    <row r="73" spans="1:8" ht="15" hidden="1" x14ac:dyDescent="0.2">
      <c r="A73" s="637"/>
      <c r="B73" s="500"/>
      <c r="C73" s="571"/>
      <c r="D73" s="501"/>
      <c r="E73" s="794"/>
      <c r="F73" s="794"/>
      <c r="G73" s="503"/>
      <c r="H73" s="637"/>
    </row>
    <row r="74" spans="1:8" ht="15" x14ac:dyDescent="0.2">
      <c r="A74" s="637"/>
      <c r="B74" s="504"/>
      <c r="C74" s="504"/>
      <c r="D74" s="504"/>
      <c r="E74" s="504"/>
      <c r="F74" s="505" t="s">
        <v>415</v>
      </c>
      <c r="G74" s="506">
        <f>G72+G73</f>
        <v>2300</v>
      </c>
      <c r="H74" s="637"/>
    </row>
    <row r="75" spans="1:8" ht="11.25" customHeight="1" x14ac:dyDescent="0.2">
      <c r="A75" s="497"/>
      <c r="B75" s="497"/>
      <c r="C75" s="497"/>
      <c r="D75" s="497"/>
      <c r="E75" s="497"/>
      <c r="F75" s="497"/>
      <c r="G75" s="497"/>
      <c r="H75" s="497"/>
    </row>
    <row r="76" spans="1:8" ht="52.5" customHeight="1" x14ac:dyDescent="0.2">
      <c r="A76" s="796" t="s">
        <v>498</v>
      </c>
      <c r="B76" s="796"/>
      <c r="C76" s="796"/>
      <c r="D76" s="796"/>
      <c r="E76" s="796"/>
      <c r="F76" s="796"/>
      <c r="G76" s="796"/>
      <c r="H76" s="796"/>
    </row>
    <row r="77" spans="1:8" ht="15.75" hidden="1" customHeight="1" x14ac:dyDescent="0.2">
      <c r="A77" s="461"/>
      <c r="C77" s="797" t="s">
        <v>289</v>
      </c>
      <c r="D77" s="797"/>
      <c r="E77" s="509">
        <v>1823.85</v>
      </c>
      <c r="F77" s="798" t="s">
        <v>295</v>
      </c>
      <c r="G77" s="798"/>
      <c r="H77" s="461"/>
    </row>
    <row r="78" spans="1:8" ht="15.75" hidden="1" customHeight="1" x14ac:dyDescent="0.2">
      <c r="A78" s="461"/>
      <c r="C78" s="797"/>
      <c r="D78" s="797"/>
      <c r="E78" s="509"/>
      <c r="F78" s="798"/>
      <c r="G78" s="798"/>
      <c r="H78" s="461"/>
    </row>
    <row r="79" spans="1:8" ht="15.75" hidden="1" customHeight="1" x14ac:dyDescent="0.2">
      <c r="A79" s="461"/>
      <c r="C79" s="797"/>
      <c r="D79" s="797"/>
      <c r="E79" s="509"/>
      <c r="F79" s="798"/>
      <c r="G79" s="798"/>
      <c r="H79" s="461"/>
    </row>
    <row r="80" spans="1:8" ht="15.75" hidden="1" customHeight="1" x14ac:dyDescent="0.2">
      <c r="A80" s="461"/>
      <c r="C80" s="797" t="s">
        <v>247</v>
      </c>
      <c r="D80" s="797"/>
      <c r="E80" s="509">
        <f>1689.92+2978.07</f>
        <v>4667.99</v>
      </c>
      <c r="F80" s="798" t="s">
        <v>296</v>
      </c>
      <c r="G80" s="798"/>
      <c r="H80" s="461"/>
    </row>
    <row r="81" spans="1:23" ht="16.5" hidden="1" thickBot="1" x14ac:dyDescent="0.25">
      <c r="A81" s="461"/>
      <c r="B81" s="469"/>
      <c r="C81" s="807" t="s">
        <v>223</v>
      </c>
      <c r="D81" s="807"/>
      <c r="E81" s="466">
        <f>SUM(E77:E80)</f>
        <v>6491.84</v>
      </c>
      <c r="F81" s="469"/>
      <c r="G81" s="469"/>
      <c r="H81" s="461"/>
    </row>
    <row r="82" spans="1:23" ht="9.75" customHeight="1" x14ac:dyDescent="0.2">
      <c r="A82" s="461"/>
      <c r="B82" s="559"/>
      <c r="C82" s="560"/>
      <c r="D82" s="560"/>
      <c r="E82" s="572"/>
      <c r="F82" s="559"/>
      <c r="G82" s="559"/>
      <c r="H82" s="461"/>
    </row>
    <row r="83" spans="1:23" ht="33" customHeight="1" x14ac:dyDescent="0.25">
      <c r="A83" s="791" t="s">
        <v>454</v>
      </c>
      <c r="B83" s="791"/>
      <c r="C83" s="791"/>
      <c r="D83" s="791"/>
      <c r="E83" s="791"/>
      <c r="F83" s="791"/>
      <c r="G83" s="791"/>
      <c r="H83" s="791"/>
    </row>
    <row r="84" spans="1:23" ht="11.25" customHeight="1" x14ac:dyDescent="0.2">
      <c r="A84" s="744"/>
      <c r="B84" s="744"/>
      <c r="C84" s="744"/>
      <c r="D84" s="744"/>
      <c r="E84" s="744"/>
      <c r="F84" s="744"/>
      <c r="G84" s="744"/>
      <c r="H84" s="744"/>
    </row>
    <row r="85" spans="1:23" ht="47.25" customHeight="1" x14ac:dyDescent="0.25">
      <c r="A85" s="791" t="s">
        <v>488</v>
      </c>
      <c r="B85" s="791"/>
      <c r="C85" s="791"/>
      <c r="D85" s="791"/>
      <c r="E85" s="791"/>
      <c r="F85" s="791"/>
      <c r="G85" s="791"/>
      <c r="H85" s="791"/>
    </row>
    <row r="86" spans="1:23" ht="8.25" customHeight="1" x14ac:dyDescent="0.2">
      <c r="A86" s="461"/>
      <c r="B86" s="559"/>
      <c r="C86" s="560"/>
      <c r="D86" s="560"/>
      <c r="E86" s="572"/>
      <c r="F86" s="559"/>
      <c r="G86" s="559"/>
      <c r="H86" s="461"/>
    </row>
    <row r="87" spans="1:23" ht="97.5" customHeight="1" x14ac:dyDescent="0.2">
      <c r="A87" s="796" t="s">
        <v>497</v>
      </c>
      <c r="B87" s="796"/>
      <c r="C87" s="796"/>
      <c r="D87" s="796"/>
      <c r="E87" s="796"/>
      <c r="F87" s="796"/>
      <c r="G87" s="796"/>
      <c r="H87" s="796"/>
      <c r="V87" s="496"/>
      <c r="W87" s="495"/>
    </row>
    <row r="88" spans="1:23" ht="47.25" x14ac:dyDescent="0.2">
      <c r="A88" s="468"/>
      <c r="B88" s="811" t="s">
        <v>214</v>
      </c>
      <c r="C88" s="811"/>
      <c r="D88" s="471" t="s">
        <v>215</v>
      </c>
      <c r="E88" s="462" t="s">
        <v>216</v>
      </c>
      <c r="F88" s="471" t="s">
        <v>217</v>
      </c>
      <c r="G88" s="471" t="s">
        <v>489</v>
      </c>
      <c r="H88" s="468"/>
      <c r="V88" s="496"/>
      <c r="W88" s="495"/>
    </row>
    <row r="89" spans="1:23" ht="15.75" customHeight="1" x14ac:dyDescent="0.2">
      <c r="A89" s="468"/>
      <c r="B89" s="810" t="s">
        <v>11</v>
      </c>
      <c r="C89" s="810"/>
      <c r="D89" s="810"/>
      <c r="E89" s="470"/>
      <c r="F89" s="470"/>
      <c r="G89" s="470"/>
      <c r="H89" s="468"/>
      <c r="V89" s="496"/>
      <c r="W89" s="495"/>
    </row>
    <row r="90" spans="1:23" ht="15.75" customHeight="1" x14ac:dyDescent="0.2">
      <c r="A90" s="468"/>
      <c r="B90" s="808" t="s">
        <v>248</v>
      </c>
      <c r="C90" s="808"/>
      <c r="D90" s="470">
        <v>4818.43</v>
      </c>
      <c r="E90" s="470">
        <v>5000</v>
      </c>
      <c r="F90" s="745">
        <f>-D90-E90+G90</f>
        <v>-3660.49</v>
      </c>
      <c r="G90" s="470">
        <f>'August''19 Revenues &amp; Expenses'!K33+'August''19 Revenues &amp; Expenses'!K34+'August''19 Revenues &amp; Expenses'!K35</f>
        <v>6157.9400000000005</v>
      </c>
      <c r="H90" s="468"/>
      <c r="V90" s="496"/>
      <c r="W90" s="495"/>
    </row>
    <row r="91" spans="1:23" ht="15.75" customHeight="1" x14ac:dyDescent="0.2">
      <c r="A91" s="468"/>
      <c r="B91" s="808" t="s">
        <v>249</v>
      </c>
      <c r="C91" s="808"/>
      <c r="D91" s="470">
        <v>0</v>
      </c>
      <c r="E91" s="470">
        <v>25000</v>
      </c>
      <c r="F91" s="470">
        <f>G91-E91-D91</f>
        <v>-16321.39</v>
      </c>
      <c r="G91" s="470">
        <f>'August''19 Revenues &amp; Expenses'!K32</f>
        <v>8678.61</v>
      </c>
      <c r="H91" s="468"/>
      <c r="V91" s="496"/>
      <c r="W91" s="495"/>
    </row>
    <row r="92" spans="1:23" ht="15.75" customHeight="1" x14ac:dyDescent="0.2">
      <c r="A92" s="468"/>
      <c r="B92" s="810" t="s">
        <v>17</v>
      </c>
      <c r="C92" s="810"/>
      <c r="D92" s="470"/>
      <c r="E92" s="470"/>
      <c r="F92" s="470"/>
      <c r="G92" s="470"/>
      <c r="H92" s="468"/>
      <c r="V92" s="496"/>
    </row>
    <row r="93" spans="1:23" ht="15.75" customHeight="1" x14ac:dyDescent="0.2">
      <c r="A93" s="468"/>
      <c r="B93" s="808" t="s">
        <v>248</v>
      </c>
      <c r="C93" s="808"/>
      <c r="D93" s="470">
        <f>'August''19 Revenues &amp; Expenses'!G36</f>
        <v>5772.78</v>
      </c>
      <c r="E93" s="470"/>
      <c r="F93" s="470">
        <f>-D93-E93+G93</f>
        <v>-5772.78</v>
      </c>
      <c r="G93" s="470">
        <f>'August''19 Revenues &amp; Expenses'!K36</f>
        <v>0</v>
      </c>
      <c r="H93" s="468"/>
      <c r="V93" s="496"/>
    </row>
    <row r="94" spans="1:23" ht="15.75" customHeight="1" x14ac:dyDescent="0.2">
      <c r="A94" s="468"/>
      <c r="B94" s="808" t="s">
        <v>393</v>
      </c>
      <c r="C94" s="808"/>
      <c r="D94" s="731">
        <v>0</v>
      </c>
      <c r="E94" s="731">
        <v>50000</v>
      </c>
      <c r="F94" s="745">
        <f>-D94-E94+G94</f>
        <v>-12003.839999999997</v>
      </c>
      <c r="G94" s="731">
        <f>'August''19 Revenues &amp; Expenses'!K37</f>
        <v>37996.160000000003</v>
      </c>
      <c r="H94" s="468"/>
      <c r="V94" s="496"/>
    </row>
    <row r="95" spans="1:23" ht="15.75" customHeight="1" x14ac:dyDescent="0.2">
      <c r="A95" s="468"/>
      <c r="B95" s="810" t="s">
        <v>250</v>
      </c>
      <c r="C95" s="810"/>
      <c r="D95" s="470"/>
      <c r="E95" s="470"/>
      <c r="F95" s="470"/>
      <c r="G95" s="470"/>
      <c r="H95" s="468"/>
      <c r="V95" s="496"/>
    </row>
    <row r="96" spans="1:23" ht="15.75" customHeight="1" x14ac:dyDescent="0.2">
      <c r="A96" s="468"/>
      <c r="B96" s="808" t="s">
        <v>251</v>
      </c>
      <c r="C96" s="808"/>
      <c r="D96" s="470">
        <v>35174.620000000003</v>
      </c>
      <c r="E96" s="654"/>
      <c r="F96" s="654">
        <f>-D96-E96+G96</f>
        <v>-35174.620000000003</v>
      </c>
      <c r="G96" s="470">
        <f>'August''19 Revenues &amp; Expenses'!K11</f>
        <v>0</v>
      </c>
      <c r="H96" s="468"/>
      <c r="V96" s="496"/>
    </row>
    <row r="97" spans="1:22" ht="7.5" customHeight="1" x14ac:dyDescent="0.2">
      <c r="A97" s="468"/>
      <c r="B97" s="812"/>
      <c r="C97" s="812"/>
      <c r="D97" s="470"/>
      <c r="E97" s="470"/>
      <c r="F97" s="470"/>
      <c r="G97" s="470"/>
      <c r="H97" s="468"/>
      <c r="V97" s="496"/>
    </row>
    <row r="98" spans="1:22" ht="15.75" customHeight="1" thickBot="1" x14ac:dyDescent="0.25">
      <c r="A98" s="468"/>
      <c r="B98" s="809" t="s">
        <v>252</v>
      </c>
      <c r="C98" s="809"/>
      <c r="D98" s="463">
        <f>SUM(D89:D97)</f>
        <v>45765.83</v>
      </c>
      <c r="E98" s="463">
        <f>SUM(E89:E97)</f>
        <v>80000</v>
      </c>
      <c r="F98" s="463">
        <f>SUM(F89:F97)</f>
        <v>-72933.119999999995</v>
      </c>
      <c r="G98" s="463">
        <f>SUM(G89:G97)</f>
        <v>52832.710000000006</v>
      </c>
      <c r="H98" s="468"/>
      <c r="V98" s="496"/>
    </row>
    <row r="99" spans="1:22" ht="11.25" customHeight="1" thickTop="1" x14ac:dyDescent="0.2">
      <c r="A99" s="468"/>
      <c r="B99" s="493"/>
      <c r="C99" s="493"/>
      <c r="D99" s="494"/>
      <c r="E99" s="494"/>
      <c r="F99" s="494"/>
      <c r="G99" s="494"/>
      <c r="H99" s="468"/>
      <c r="V99" s="496"/>
    </row>
    <row r="100" spans="1:22" ht="67.5" customHeight="1" x14ac:dyDescent="0.2">
      <c r="A100" s="796" t="s">
        <v>496</v>
      </c>
      <c r="B100" s="796"/>
      <c r="C100" s="796"/>
      <c r="D100" s="796"/>
      <c r="E100" s="796"/>
      <c r="F100" s="796"/>
      <c r="G100" s="796"/>
      <c r="H100" s="796"/>
    </row>
    <row r="101" spans="1:22" ht="47.25" x14ac:dyDescent="0.2">
      <c r="A101" s="468"/>
      <c r="B101" s="811" t="s">
        <v>214</v>
      </c>
      <c r="C101" s="811"/>
      <c r="D101" s="471" t="s">
        <v>215</v>
      </c>
      <c r="E101" s="462" t="s">
        <v>216</v>
      </c>
      <c r="F101" s="471" t="s">
        <v>217</v>
      </c>
      <c r="G101" s="732" t="s">
        <v>489</v>
      </c>
      <c r="H101" s="468"/>
    </row>
    <row r="102" spans="1:22" ht="15.75" customHeight="1" x14ac:dyDescent="0.2">
      <c r="A102" s="468"/>
      <c r="B102" s="806" t="s">
        <v>218</v>
      </c>
      <c r="C102" s="806"/>
      <c r="D102" s="470">
        <v>0</v>
      </c>
      <c r="E102" s="470">
        <v>51000</v>
      </c>
      <c r="F102" s="470">
        <f>-'August''19 Revenues &amp; Expenses'!J49</f>
        <v>-34000</v>
      </c>
      <c r="G102" s="470">
        <f t="shared" ref="G102:G108" si="4">D102+E102+F102</f>
        <v>17000</v>
      </c>
      <c r="H102" s="468"/>
    </row>
    <row r="103" spans="1:22" ht="15.75" customHeight="1" x14ac:dyDescent="0.2">
      <c r="A103" s="468"/>
      <c r="B103" s="806" t="s">
        <v>271</v>
      </c>
      <c r="C103" s="806"/>
      <c r="D103" s="470">
        <v>0</v>
      </c>
      <c r="E103" s="470">
        <v>19000</v>
      </c>
      <c r="F103" s="470">
        <f>-'August''19 Revenues &amp; Expenses'!J50</f>
        <v>-12666.666666666666</v>
      </c>
      <c r="G103" s="470">
        <f t="shared" si="4"/>
        <v>6333.3333333333339</v>
      </c>
      <c r="H103" s="468"/>
    </row>
    <row r="104" spans="1:22" ht="15.75" customHeight="1" x14ac:dyDescent="0.2">
      <c r="A104" s="468"/>
      <c r="B104" s="806" t="s">
        <v>219</v>
      </c>
      <c r="C104" s="806"/>
      <c r="D104" s="470">
        <v>19828.46</v>
      </c>
      <c r="E104" s="470">
        <f>'August''19 Revenues &amp; Expenses'!H54</f>
        <v>5030</v>
      </c>
      <c r="F104" s="470">
        <f>-'August''19 Revenues &amp; Expenses'!J54</f>
        <v>-10037.459999999999</v>
      </c>
      <c r="G104" s="470">
        <f t="shared" si="4"/>
        <v>14821</v>
      </c>
      <c r="H104" s="468"/>
    </row>
    <row r="105" spans="1:22" ht="15.75" customHeight="1" x14ac:dyDescent="0.2">
      <c r="A105" s="468"/>
      <c r="B105" s="806" t="s">
        <v>220</v>
      </c>
      <c r="C105" s="806"/>
      <c r="D105" s="470">
        <v>6830.65</v>
      </c>
      <c r="E105" s="470">
        <f>'August''19 Revenues &amp; Expenses'!H55</f>
        <v>2720</v>
      </c>
      <c r="F105" s="470">
        <f>-'August''19 Revenues &amp; Expenses'!J55</f>
        <v>-83.02</v>
      </c>
      <c r="G105" s="470">
        <f t="shared" si="4"/>
        <v>9467.6299999999992</v>
      </c>
      <c r="H105" s="468"/>
    </row>
    <row r="106" spans="1:22" ht="15.75" customHeight="1" x14ac:dyDescent="0.2">
      <c r="A106" s="468"/>
      <c r="B106" s="806" t="s">
        <v>327</v>
      </c>
      <c r="C106" s="806"/>
      <c r="D106" s="470">
        <v>4223.7</v>
      </c>
      <c r="E106" s="470"/>
      <c r="F106" s="470">
        <f>-'August''19 Revenues &amp; Expenses'!H39</f>
        <v>-1325</v>
      </c>
      <c r="G106" s="470">
        <f t="shared" si="4"/>
        <v>2898.7</v>
      </c>
      <c r="H106" s="468"/>
    </row>
    <row r="107" spans="1:22" ht="15.75" x14ac:dyDescent="0.2">
      <c r="A107" s="468"/>
      <c r="B107" s="806" t="s">
        <v>221</v>
      </c>
      <c r="C107" s="806"/>
      <c r="D107" s="470">
        <v>1100.82</v>
      </c>
      <c r="E107" s="470"/>
      <c r="F107" s="470">
        <f>-'August''19 Revenues &amp; Expenses'!J53</f>
        <v>-293.64</v>
      </c>
      <c r="G107" s="470">
        <f t="shared" si="4"/>
        <v>807.18</v>
      </c>
      <c r="H107" s="468"/>
      <c r="K107" s="780"/>
    </row>
    <row r="108" spans="1:22" ht="18.75" customHeight="1" x14ac:dyDescent="0.2">
      <c r="A108" s="468"/>
      <c r="B108" s="806" t="s">
        <v>447</v>
      </c>
      <c r="C108" s="806"/>
      <c r="D108" s="470">
        <v>0</v>
      </c>
      <c r="E108" s="470">
        <v>1000</v>
      </c>
      <c r="F108" s="470">
        <v>0</v>
      </c>
      <c r="G108" s="470">
        <f t="shared" si="4"/>
        <v>1000</v>
      </c>
      <c r="H108" s="468"/>
      <c r="K108" s="780"/>
    </row>
    <row r="109" spans="1:22" ht="15.75" customHeight="1" thickBot="1" x14ac:dyDescent="0.25">
      <c r="A109" s="468"/>
      <c r="B109" s="805" t="s">
        <v>222</v>
      </c>
      <c r="C109" s="805"/>
      <c r="D109" s="463">
        <f>SUM(D102:D108)</f>
        <v>31983.63</v>
      </c>
      <c r="E109" s="463">
        <f>SUM(E102:E108)</f>
        <v>78750</v>
      </c>
      <c r="F109" s="463">
        <f>SUM(F102:F108)</f>
        <v>-58405.78666666666</v>
      </c>
      <c r="G109" s="463">
        <f>SUM(G102:G108)</f>
        <v>52327.843333333331</v>
      </c>
      <c r="H109" s="468"/>
    </row>
    <row r="110" spans="1:22" ht="16.5" thickTop="1" x14ac:dyDescent="0.2">
      <c r="A110" s="461"/>
      <c r="B110" s="469"/>
      <c r="C110" s="469"/>
      <c r="D110" s="469"/>
      <c r="E110" s="469"/>
      <c r="F110" s="469"/>
      <c r="G110" s="469"/>
      <c r="H110" s="461"/>
    </row>
    <row r="111" spans="1:22" ht="15.75" customHeight="1" x14ac:dyDescent="0.2"/>
    <row r="112" spans="1:22" ht="6.75" customHeight="1" x14ac:dyDescent="0.2"/>
  </sheetData>
  <mergeCells count="74">
    <mergeCell ref="B48:E48"/>
    <mergeCell ref="B94:C94"/>
    <mergeCell ref="A1:H1"/>
    <mergeCell ref="A2:H2"/>
    <mergeCell ref="A3:H3"/>
    <mergeCell ref="C11:D11"/>
    <mergeCell ref="C12:D12"/>
    <mergeCell ref="B10:C10"/>
    <mergeCell ref="A4:H4"/>
    <mergeCell ref="A5:H5"/>
    <mergeCell ref="A9:H9"/>
    <mergeCell ref="A83:H83"/>
    <mergeCell ref="A23:H23"/>
    <mergeCell ref="A25:H25"/>
    <mergeCell ref="B54:G54"/>
    <mergeCell ref="B53:G53"/>
    <mergeCell ref="B105:C105"/>
    <mergeCell ref="B106:C106"/>
    <mergeCell ref="B108:C108"/>
    <mergeCell ref="B97:C97"/>
    <mergeCell ref="B92:C92"/>
    <mergeCell ref="B93:C93"/>
    <mergeCell ref="B109:C109"/>
    <mergeCell ref="B107:C107"/>
    <mergeCell ref="B102:C102"/>
    <mergeCell ref="B103:C103"/>
    <mergeCell ref="C81:D81"/>
    <mergeCell ref="B104:C104"/>
    <mergeCell ref="B96:C96"/>
    <mergeCell ref="B98:C98"/>
    <mergeCell ref="B95:C95"/>
    <mergeCell ref="A87:H87"/>
    <mergeCell ref="B88:C88"/>
    <mergeCell ref="B90:C90"/>
    <mergeCell ref="B91:C91"/>
    <mergeCell ref="B101:C101"/>
    <mergeCell ref="B89:D89"/>
    <mergeCell ref="A100:H100"/>
    <mergeCell ref="B52:G52"/>
    <mergeCell ref="B51:G51"/>
    <mergeCell ref="C80:D80"/>
    <mergeCell ref="F80:G80"/>
    <mergeCell ref="C78:D78"/>
    <mergeCell ref="F78:G78"/>
    <mergeCell ref="C79:D79"/>
    <mergeCell ref="F79:G79"/>
    <mergeCell ref="E73:F73"/>
    <mergeCell ref="A58:H58"/>
    <mergeCell ref="B70:G70"/>
    <mergeCell ref="B55:G55"/>
    <mergeCell ref="B56:G56"/>
    <mergeCell ref="B57:G57"/>
    <mergeCell ref="B50:G50"/>
    <mergeCell ref="B49:G49"/>
    <mergeCell ref="A85:H85"/>
    <mergeCell ref="E71:F71"/>
    <mergeCell ref="E67:F67"/>
    <mergeCell ref="E63:F63"/>
    <mergeCell ref="E61:F61"/>
    <mergeCell ref="E60:F60"/>
    <mergeCell ref="E62:F62"/>
    <mergeCell ref="E64:F64"/>
    <mergeCell ref="E65:F65"/>
    <mergeCell ref="E66:F66"/>
    <mergeCell ref="A76:H76"/>
    <mergeCell ref="C77:D77"/>
    <mergeCell ref="F77:G77"/>
    <mergeCell ref="E72:F72"/>
    <mergeCell ref="C13:D13"/>
    <mergeCell ref="C14:D14"/>
    <mergeCell ref="C15:D15"/>
    <mergeCell ref="C17:D17"/>
    <mergeCell ref="B18:D18"/>
    <mergeCell ref="C16:D16"/>
  </mergeCells>
  <pageMargins left="0.75" right="0.25" top="0.75" bottom="0.75" header="0.3" footer="0.3"/>
  <pageSetup scale="68" fitToHeight="4" orientation="portrait" r:id="rId1"/>
  <headerFooter>
    <oddFooter>&amp;CPage #&amp;P of &amp;N</oddFooter>
  </headerFooter>
  <rowBreaks count="2" manualBreakCount="2">
    <brk id="23" max="7" man="1"/>
    <brk id="5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79"/>
  <sheetViews>
    <sheetView topLeftCell="A528" workbookViewId="0">
      <selection activeCell="N526" sqref="N526"/>
    </sheetView>
  </sheetViews>
  <sheetFormatPr defaultRowHeight="14.25" x14ac:dyDescent="0.2"/>
  <cols>
    <col min="1" max="1" width="22.875" style="546" customWidth="1"/>
    <col min="2" max="2" width="9" style="517"/>
    <col min="7" max="7" width="15" bestFit="1" customWidth="1"/>
    <col min="8" max="8" width="9.75" bestFit="1" customWidth="1"/>
    <col min="11" max="11" width="11" bestFit="1" customWidth="1"/>
    <col min="13" max="13" width="15.125" bestFit="1" customWidth="1"/>
    <col min="14" max="14" width="17.375" bestFit="1" customWidth="1"/>
  </cols>
  <sheetData>
    <row r="3" spans="1:2" ht="15" thickBot="1" x14ac:dyDescent="0.25">
      <c r="A3" s="543" t="s">
        <v>278</v>
      </c>
      <c r="B3" s="513" t="s">
        <v>279</v>
      </c>
    </row>
    <row r="4" spans="1:2" ht="15" thickTop="1" x14ac:dyDescent="0.2">
      <c r="A4" s="544">
        <v>42370</v>
      </c>
      <c r="B4" s="514">
        <v>316020.78000000003</v>
      </c>
    </row>
    <row r="5" spans="1:2" x14ac:dyDescent="0.2">
      <c r="A5" s="545">
        <v>42373</v>
      </c>
      <c r="B5" s="515">
        <v>315970.78000000003</v>
      </c>
    </row>
    <row r="6" spans="1:2" x14ac:dyDescent="0.2">
      <c r="A6" s="545">
        <v>42374</v>
      </c>
      <c r="B6" s="515">
        <v>320557.63</v>
      </c>
    </row>
    <row r="7" spans="1:2" x14ac:dyDescent="0.2">
      <c r="A7" s="545">
        <v>42375</v>
      </c>
      <c r="B7" s="515">
        <f>B6</f>
        <v>320557.63</v>
      </c>
    </row>
    <row r="8" spans="1:2" x14ac:dyDescent="0.2">
      <c r="A8" s="545">
        <v>42376</v>
      </c>
      <c r="B8" s="515">
        <v>323108.86</v>
      </c>
    </row>
    <row r="9" spans="1:2" x14ac:dyDescent="0.2">
      <c r="A9" s="545">
        <v>42377</v>
      </c>
      <c r="B9" s="515">
        <f>B8</f>
        <v>323108.86</v>
      </c>
    </row>
    <row r="10" spans="1:2" x14ac:dyDescent="0.2">
      <c r="A10" s="545">
        <v>42380</v>
      </c>
      <c r="B10" s="515">
        <v>323239.86</v>
      </c>
    </row>
    <row r="11" spans="1:2" x14ac:dyDescent="0.2">
      <c r="A11" s="545">
        <v>42381</v>
      </c>
      <c r="B11" s="515">
        <v>288792.71999999997</v>
      </c>
    </row>
    <row r="12" spans="1:2" x14ac:dyDescent="0.2">
      <c r="A12" s="545">
        <v>42382</v>
      </c>
      <c r="B12" s="515">
        <f>B11</f>
        <v>288792.71999999997</v>
      </c>
    </row>
    <row r="13" spans="1:2" x14ac:dyDescent="0.2">
      <c r="A13" s="545">
        <v>42383</v>
      </c>
      <c r="B13" s="515">
        <v>277881.3</v>
      </c>
    </row>
    <row r="14" spans="1:2" x14ac:dyDescent="0.2">
      <c r="A14" s="545">
        <v>42384</v>
      </c>
      <c r="B14" s="515">
        <v>293922.15000000002</v>
      </c>
    </row>
    <row r="15" spans="1:2" x14ac:dyDescent="0.2">
      <c r="A15" s="545">
        <v>42387</v>
      </c>
      <c r="B15" s="515">
        <f>B14</f>
        <v>293922.15000000002</v>
      </c>
    </row>
    <row r="16" spans="1:2" x14ac:dyDescent="0.2">
      <c r="A16" s="545">
        <v>42388</v>
      </c>
      <c r="B16" s="515">
        <f>B14</f>
        <v>293922.15000000002</v>
      </c>
    </row>
    <row r="17" spans="1:2" x14ac:dyDescent="0.2">
      <c r="A17" s="545">
        <v>42389</v>
      </c>
      <c r="B17" s="515">
        <v>294002.2</v>
      </c>
    </row>
    <row r="18" spans="1:2" x14ac:dyDescent="0.2">
      <c r="A18" s="545">
        <v>42390</v>
      </c>
      <c r="B18" s="515">
        <v>285645.33</v>
      </c>
    </row>
    <row r="19" spans="1:2" x14ac:dyDescent="0.2">
      <c r="A19" s="545">
        <v>42391</v>
      </c>
      <c r="B19" s="515">
        <f>B18</f>
        <v>285645.33</v>
      </c>
    </row>
    <row r="20" spans="1:2" x14ac:dyDescent="0.2">
      <c r="A20" s="545">
        <v>42394</v>
      </c>
      <c r="B20" s="515">
        <v>310939.57</v>
      </c>
    </row>
    <row r="21" spans="1:2" x14ac:dyDescent="0.2">
      <c r="A21" s="545">
        <v>42395</v>
      </c>
      <c r="B21" s="515">
        <v>285520.28000000003</v>
      </c>
    </row>
    <row r="22" spans="1:2" x14ac:dyDescent="0.2">
      <c r="A22" s="545">
        <v>42396</v>
      </c>
      <c r="B22" s="515">
        <f>B21</f>
        <v>285520.28000000003</v>
      </c>
    </row>
    <row r="23" spans="1:2" x14ac:dyDescent="0.2">
      <c r="A23" s="545">
        <v>42397</v>
      </c>
      <c r="B23" s="515">
        <v>282022.58</v>
      </c>
    </row>
    <row r="24" spans="1:2" x14ac:dyDescent="0.2">
      <c r="A24" s="545">
        <v>42398</v>
      </c>
      <c r="B24" s="515">
        <v>294848.15999999997</v>
      </c>
    </row>
    <row r="25" spans="1:2" x14ac:dyDescent="0.2">
      <c r="A25" s="545">
        <v>42401</v>
      </c>
      <c r="B25" s="515">
        <v>295971.7</v>
      </c>
    </row>
    <row r="26" spans="1:2" x14ac:dyDescent="0.2">
      <c r="A26" s="545">
        <v>42402</v>
      </c>
      <c r="B26" s="515">
        <v>342700.41</v>
      </c>
    </row>
    <row r="27" spans="1:2" x14ac:dyDescent="0.2">
      <c r="A27" s="545">
        <v>42403</v>
      </c>
      <c r="B27" s="515">
        <f>B26</f>
        <v>342700.41</v>
      </c>
    </row>
    <row r="28" spans="1:2" x14ac:dyDescent="0.2">
      <c r="A28" s="545">
        <v>42404</v>
      </c>
      <c r="B28" s="515">
        <v>337638.63</v>
      </c>
    </row>
    <row r="29" spans="1:2" x14ac:dyDescent="0.2">
      <c r="A29" s="545">
        <v>42405</v>
      </c>
      <c r="B29" s="515">
        <v>367843.39</v>
      </c>
    </row>
    <row r="30" spans="1:2" x14ac:dyDescent="0.2">
      <c r="A30" s="545">
        <v>42408</v>
      </c>
      <c r="B30" s="515">
        <v>367773.39</v>
      </c>
    </row>
    <row r="31" spans="1:2" x14ac:dyDescent="0.2">
      <c r="A31" s="545">
        <v>42409</v>
      </c>
      <c r="B31" s="515">
        <v>339527.33</v>
      </c>
    </row>
    <row r="32" spans="1:2" x14ac:dyDescent="0.2">
      <c r="A32" s="545">
        <v>42410</v>
      </c>
      <c r="B32" s="515">
        <f>B31</f>
        <v>339527.33</v>
      </c>
    </row>
    <row r="33" spans="1:2" x14ac:dyDescent="0.2">
      <c r="A33" s="545">
        <v>42411</v>
      </c>
      <c r="B33" s="515">
        <v>336968.79</v>
      </c>
    </row>
    <row r="34" spans="1:2" x14ac:dyDescent="0.2">
      <c r="A34" s="545">
        <v>42412</v>
      </c>
      <c r="B34" s="515">
        <v>337055.76</v>
      </c>
    </row>
    <row r="35" spans="1:2" x14ac:dyDescent="0.2">
      <c r="A35" s="545">
        <v>42415</v>
      </c>
      <c r="B35" s="515">
        <f>B34</f>
        <v>337055.76</v>
      </c>
    </row>
    <row r="36" spans="1:2" x14ac:dyDescent="0.2">
      <c r="A36" s="545">
        <v>42416</v>
      </c>
      <c r="B36" s="515">
        <f>B35</f>
        <v>337055.76</v>
      </c>
    </row>
    <row r="37" spans="1:2" x14ac:dyDescent="0.2">
      <c r="A37" s="545">
        <v>42417</v>
      </c>
      <c r="B37" s="515">
        <v>365266.06</v>
      </c>
    </row>
    <row r="38" spans="1:2" x14ac:dyDescent="0.2">
      <c r="A38" s="545">
        <v>42418</v>
      </c>
      <c r="B38" s="515">
        <v>360871.98</v>
      </c>
    </row>
    <row r="39" spans="1:2" x14ac:dyDescent="0.2">
      <c r="A39" s="545">
        <v>42419</v>
      </c>
      <c r="B39" s="515">
        <f>B38</f>
        <v>360871.98</v>
      </c>
    </row>
    <row r="40" spans="1:2" x14ac:dyDescent="0.2">
      <c r="A40" s="545">
        <v>42421</v>
      </c>
      <c r="B40" s="515">
        <f>B39</f>
        <v>360871.98</v>
      </c>
    </row>
    <row r="41" spans="1:2" x14ac:dyDescent="0.2">
      <c r="A41" s="545">
        <v>42423</v>
      </c>
      <c r="B41" s="515">
        <v>355845.62</v>
      </c>
    </row>
    <row r="42" spans="1:2" x14ac:dyDescent="0.2">
      <c r="A42" s="545">
        <v>42424</v>
      </c>
      <c r="B42" s="515">
        <f>B41</f>
        <v>355845.62</v>
      </c>
    </row>
    <row r="43" spans="1:2" x14ac:dyDescent="0.2">
      <c r="A43" s="545">
        <v>42425</v>
      </c>
      <c r="B43" s="515">
        <v>345399.7</v>
      </c>
    </row>
    <row r="44" spans="1:2" x14ac:dyDescent="0.2">
      <c r="A44" s="545">
        <v>42426</v>
      </c>
      <c r="B44" s="515">
        <v>370500.69</v>
      </c>
    </row>
    <row r="45" spans="1:2" x14ac:dyDescent="0.2">
      <c r="A45" s="545">
        <v>42429</v>
      </c>
      <c r="B45" s="515">
        <v>389846.49</v>
      </c>
    </row>
    <row r="46" spans="1:2" x14ac:dyDescent="0.2">
      <c r="A46" s="545">
        <v>42430</v>
      </c>
      <c r="B46" s="515">
        <f>B45</f>
        <v>389846.49</v>
      </c>
    </row>
    <row r="47" spans="1:2" x14ac:dyDescent="0.2">
      <c r="A47" s="545">
        <v>42431</v>
      </c>
      <c r="B47" s="515">
        <f>B46</f>
        <v>389846.49</v>
      </c>
    </row>
    <row r="48" spans="1:2" x14ac:dyDescent="0.2">
      <c r="A48" s="545">
        <v>42432</v>
      </c>
      <c r="B48" s="515">
        <v>378391.97</v>
      </c>
    </row>
    <row r="49" spans="1:2" x14ac:dyDescent="0.2">
      <c r="A49" s="545">
        <v>42433</v>
      </c>
      <c r="B49" s="515">
        <v>424034.23</v>
      </c>
    </row>
    <row r="50" spans="1:2" x14ac:dyDescent="0.2">
      <c r="A50" s="545">
        <v>42436</v>
      </c>
      <c r="B50" s="515">
        <f>B49</f>
        <v>424034.23</v>
      </c>
    </row>
    <row r="51" spans="1:2" x14ac:dyDescent="0.2">
      <c r="A51" s="545">
        <v>42437</v>
      </c>
      <c r="B51" s="515">
        <v>386665.73</v>
      </c>
    </row>
    <row r="52" spans="1:2" x14ac:dyDescent="0.2">
      <c r="A52" s="545">
        <v>42438</v>
      </c>
      <c r="B52" s="515">
        <f>B51</f>
        <v>386665.73</v>
      </c>
    </row>
    <row r="53" spans="1:2" x14ac:dyDescent="0.2">
      <c r="A53" s="545">
        <v>42439</v>
      </c>
      <c r="B53" s="515">
        <v>389219.85</v>
      </c>
    </row>
    <row r="54" spans="1:2" x14ac:dyDescent="0.2">
      <c r="A54" s="545">
        <v>42440</v>
      </c>
      <c r="B54" s="515">
        <v>406100.98</v>
      </c>
    </row>
    <row r="55" spans="1:2" x14ac:dyDescent="0.2">
      <c r="A55" s="545">
        <v>42443</v>
      </c>
      <c r="B55" s="515">
        <v>407873.33</v>
      </c>
    </row>
    <row r="56" spans="1:2" x14ac:dyDescent="0.2">
      <c r="A56" s="545">
        <v>42444</v>
      </c>
      <c r="B56" s="515">
        <v>407992.23</v>
      </c>
    </row>
    <row r="57" spans="1:2" x14ac:dyDescent="0.2">
      <c r="A57" s="545">
        <v>42445</v>
      </c>
      <c r="B57" s="515">
        <v>433808.81</v>
      </c>
    </row>
    <row r="58" spans="1:2" x14ac:dyDescent="0.2">
      <c r="A58" s="545">
        <v>42446</v>
      </c>
      <c r="B58" s="515">
        <v>422290.94</v>
      </c>
    </row>
    <row r="59" spans="1:2" x14ac:dyDescent="0.2">
      <c r="A59" s="545">
        <v>42447</v>
      </c>
      <c r="B59" s="515">
        <v>468026.54</v>
      </c>
    </row>
    <row r="60" spans="1:2" x14ac:dyDescent="0.2">
      <c r="A60" s="545">
        <v>42450</v>
      </c>
      <c r="B60" s="515">
        <v>348026.54</v>
      </c>
    </row>
    <row r="61" spans="1:2" x14ac:dyDescent="0.2">
      <c r="A61" s="545">
        <v>42451</v>
      </c>
      <c r="B61" s="515">
        <v>312876.71000000002</v>
      </c>
    </row>
    <row r="62" spans="1:2" x14ac:dyDescent="0.2">
      <c r="A62" s="545">
        <v>42452</v>
      </c>
      <c r="B62" s="515">
        <v>314939.26</v>
      </c>
    </row>
    <row r="63" spans="1:2" x14ac:dyDescent="0.2">
      <c r="A63" s="545">
        <v>42453</v>
      </c>
      <c r="B63" s="515">
        <v>309254.23</v>
      </c>
    </row>
    <row r="64" spans="1:2" x14ac:dyDescent="0.2">
      <c r="A64" s="545">
        <v>42454</v>
      </c>
      <c r="B64" s="515">
        <v>308314.94</v>
      </c>
    </row>
    <row r="65" spans="1:2" x14ac:dyDescent="0.2">
      <c r="A65" s="545">
        <v>42457</v>
      </c>
      <c r="B65" s="515">
        <f>B64</f>
        <v>308314.94</v>
      </c>
    </row>
    <row r="66" spans="1:2" x14ac:dyDescent="0.2">
      <c r="A66" s="545">
        <v>42458</v>
      </c>
      <c r="B66" s="515">
        <v>308501.75</v>
      </c>
    </row>
    <row r="67" spans="1:2" x14ac:dyDescent="0.2">
      <c r="A67" s="545">
        <v>42459</v>
      </c>
      <c r="B67" s="515">
        <f>B66</f>
        <v>308501.75</v>
      </c>
    </row>
    <row r="68" spans="1:2" x14ac:dyDescent="0.2">
      <c r="A68" s="545">
        <v>42460</v>
      </c>
      <c r="B68" s="515">
        <v>309191.53000000003</v>
      </c>
    </row>
    <row r="69" spans="1:2" x14ac:dyDescent="0.2">
      <c r="A69" s="545">
        <v>42461</v>
      </c>
      <c r="B69" s="515">
        <f>B68</f>
        <v>309191.53000000003</v>
      </c>
    </row>
    <row r="70" spans="1:2" x14ac:dyDescent="0.2">
      <c r="A70" s="545">
        <v>42464</v>
      </c>
      <c r="B70" s="515">
        <v>273521.59999999998</v>
      </c>
    </row>
    <row r="71" spans="1:2" x14ac:dyDescent="0.2">
      <c r="A71" s="545">
        <v>42465</v>
      </c>
      <c r="B71" s="515">
        <f>B70</f>
        <v>273521.59999999998</v>
      </c>
    </row>
    <row r="72" spans="1:2" x14ac:dyDescent="0.2">
      <c r="A72" s="545">
        <v>42466</v>
      </c>
      <c r="B72" s="515">
        <v>272690.59999999998</v>
      </c>
    </row>
    <row r="73" spans="1:2" x14ac:dyDescent="0.2">
      <c r="A73" s="545">
        <v>42467</v>
      </c>
      <c r="B73" s="515">
        <v>269582.73</v>
      </c>
    </row>
    <row r="74" spans="1:2" x14ac:dyDescent="0.2">
      <c r="A74" s="545">
        <v>42468</v>
      </c>
      <c r="B74" s="515">
        <f>B73</f>
        <v>269582.73</v>
      </c>
    </row>
    <row r="75" spans="1:2" x14ac:dyDescent="0.2">
      <c r="A75" s="545">
        <v>42471</v>
      </c>
      <c r="B75" s="515">
        <v>269763.98</v>
      </c>
    </row>
    <row r="76" spans="1:2" x14ac:dyDescent="0.2">
      <c r="A76" s="545">
        <v>42472</v>
      </c>
      <c r="B76" s="515">
        <f>B75</f>
        <v>269763.98</v>
      </c>
    </row>
    <row r="77" spans="1:2" x14ac:dyDescent="0.2">
      <c r="A77" s="545">
        <v>42473</v>
      </c>
      <c r="B77" s="515">
        <v>269925.98</v>
      </c>
    </row>
    <row r="78" spans="1:2" x14ac:dyDescent="0.2">
      <c r="A78" s="545">
        <v>42474</v>
      </c>
      <c r="B78" s="515">
        <v>262853.87</v>
      </c>
    </row>
    <row r="79" spans="1:2" x14ac:dyDescent="0.2">
      <c r="A79" s="545">
        <v>42475</v>
      </c>
      <c r="B79" s="515">
        <v>285492.90999999997</v>
      </c>
    </row>
    <row r="80" spans="1:2" x14ac:dyDescent="0.2">
      <c r="A80" s="545">
        <v>42478</v>
      </c>
      <c r="B80" s="515">
        <v>248936.49</v>
      </c>
    </row>
    <row r="81" spans="1:2" x14ac:dyDescent="0.2">
      <c r="A81" s="545">
        <v>42479</v>
      </c>
      <c r="B81" s="515">
        <v>299276.93</v>
      </c>
    </row>
    <row r="82" spans="1:2" x14ac:dyDescent="0.2">
      <c r="A82" s="545">
        <v>42480</v>
      </c>
      <c r="B82" s="515">
        <v>298671.93</v>
      </c>
    </row>
    <row r="83" spans="1:2" x14ac:dyDescent="0.2">
      <c r="A83" s="545">
        <v>42481</v>
      </c>
      <c r="B83" s="515">
        <v>300188.76</v>
      </c>
    </row>
    <row r="84" spans="1:2" x14ac:dyDescent="0.2">
      <c r="A84" s="545">
        <v>42482</v>
      </c>
      <c r="B84" s="515">
        <v>320014.86</v>
      </c>
    </row>
    <row r="85" spans="1:2" x14ac:dyDescent="0.2">
      <c r="A85" s="545">
        <v>42485</v>
      </c>
      <c r="B85" s="515">
        <v>316702.44</v>
      </c>
    </row>
    <row r="86" spans="1:2" x14ac:dyDescent="0.2">
      <c r="A86" s="545">
        <v>42486</v>
      </c>
      <c r="B86" s="515">
        <f>B85</f>
        <v>316702.44</v>
      </c>
    </row>
    <row r="87" spans="1:2" x14ac:dyDescent="0.2">
      <c r="A87" s="545">
        <v>42487</v>
      </c>
      <c r="B87" s="515">
        <v>316945.44</v>
      </c>
    </row>
    <row r="88" spans="1:2" x14ac:dyDescent="0.2">
      <c r="A88" s="545">
        <v>42488</v>
      </c>
      <c r="B88" s="515">
        <v>320979.96999999997</v>
      </c>
    </row>
    <row r="89" spans="1:2" x14ac:dyDescent="0.2">
      <c r="A89" s="545">
        <v>42489</v>
      </c>
      <c r="B89" s="515">
        <f>B88</f>
        <v>320979.96999999997</v>
      </c>
    </row>
    <row r="90" spans="1:2" x14ac:dyDescent="0.2">
      <c r="A90" s="545">
        <v>42492</v>
      </c>
      <c r="B90" s="515">
        <v>285992.84000000003</v>
      </c>
    </row>
    <row r="91" spans="1:2" x14ac:dyDescent="0.2">
      <c r="A91" s="545">
        <v>42493</v>
      </c>
      <c r="B91" s="515">
        <v>286063.08</v>
      </c>
    </row>
    <row r="92" spans="1:2" x14ac:dyDescent="0.2">
      <c r="A92" s="545">
        <v>42494</v>
      </c>
      <c r="B92" s="515">
        <v>314586.46000000002</v>
      </c>
    </row>
    <row r="93" spans="1:2" x14ac:dyDescent="0.2">
      <c r="A93" s="545">
        <v>42495</v>
      </c>
      <c r="B93" s="515">
        <v>317747.52</v>
      </c>
    </row>
    <row r="94" spans="1:2" x14ac:dyDescent="0.2">
      <c r="A94" s="545">
        <v>42496</v>
      </c>
      <c r="B94" s="515">
        <f>B93</f>
        <v>317747.52</v>
      </c>
    </row>
    <row r="95" spans="1:2" x14ac:dyDescent="0.2">
      <c r="A95" s="545">
        <v>42499</v>
      </c>
      <c r="B95" s="515">
        <v>317647.52</v>
      </c>
    </row>
    <row r="96" spans="1:2" x14ac:dyDescent="0.2">
      <c r="A96" s="545">
        <v>42500</v>
      </c>
      <c r="B96" s="515">
        <v>354645.16</v>
      </c>
    </row>
    <row r="97" spans="1:2" x14ac:dyDescent="0.2">
      <c r="A97" s="545">
        <v>42501</v>
      </c>
      <c r="B97" s="515">
        <f>B96</f>
        <v>354645.16</v>
      </c>
    </row>
    <row r="98" spans="1:2" x14ac:dyDescent="0.2">
      <c r="A98" s="545">
        <v>42502</v>
      </c>
      <c r="B98" s="515">
        <v>334676.08</v>
      </c>
    </row>
    <row r="99" spans="1:2" x14ac:dyDescent="0.2">
      <c r="A99" s="545">
        <v>42503</v>
      </c>
      <c r="B99" s="515">
        <v>335053.34999999998</v>
      </c>
    </row>
    <row r="100" spans="1:2" x14ac:dyDescent="0.2">
      <c r="A100" s="545">
        <v>42506</v>
      </c>
      <c r="B100" s="515">
        <v>299641.7</v>
      </c>
    </row>
    <row r="101" spans="1:2" x14ac:dyDescent="0.2">
      <c r="A101" s="545">
        <v>42507</v>
      </c>
      <c r="B101" s="515">
        <f>B100</f>
        <v>299641.7</v>
      </c>
    </row>
    <row r="102" spans="1:2" x14ac:dyDescent="0.2">
      <c r="A102" s="545">
        <v>42508</v>
      </c>
      <c r="B102" s="515">
        <v>316034.81</v>
      </c>
    </row>
    <row r="103" spans="1:2" x14ac:dyDescent="0.2">
      <c r="A103" s="545">
        <v>42509</v>
      </c>
      <c r="B103" s="515">
        <v>320069.11</v>
      </c>
    </row>
    <row r="104" spans="1:2" x14ac:dyDescent="0.2">
      <c r="A104" s="545">
        <v>42510</v>
      </c>
      <c r="B104" s="515">
        <v>328514.03000000003</v>
      </c>
    </row>
    <row r="105" spans="1:2" x14ac:dyDescent="0.2">
      <c r="A105" s="545">
        <v>42513</v>
      </c>
      <c r="B105" s="515">
        <f>B104</f>
        <v>328514.03000000003</v>
      </c>
    </row>
    <row r="106" spans="1:2" x14ac:dyDescent="0.2">
      <c r="A106" s="545">
        <v>42514</v>
      </c>
      <c r="B106" s="515">
        <v>334541.26</v>
      </c>
    </row>
    <row r="107" spans="1:2" x14ac:dyDescent="0.2">
      <c r="A107" s="545">
        <v>42515</v>
      </c>
      <c r="B107" s="516">
        <v>329880.45</v>
      </c>
    </row>
    <row r="108" spans="1:2" x14ac:dyDescent="0.2">
      <c r="A108" s="545">
        <v>42516</v>
      </c>
      <c r="B108" s="517">
        <v>337992.17</v>
      </c>
    </row>
    <row r="109" spans="1:2" x14ac:dyDescent="0.2">
      <c r="A109" s="545">
        <v>42517</v>
      </c>
      <c r="B109" s="517">
        <v>347755.4</v>
      </c>
    </row>
    <row r="110" spans="1:2" x14ac:dyDescent="0.2">
      <c r="A110" s="545">
        <v>42520</v>
      </c>
      <c r="B110" s="517">
        <v>347755.4</v>
      </c>
    </row>
    <row r="111" spans="1:2" x14ac:dyDescent="0.2">
      <c r="A111" s="545">
        <v>42521</v>
      </c>
      <c r="B111" s="517">
        <v>312817.88</v>
      </c>
    </row>
    <row r="112" spans="1:2" x14ac:dyDescent="0.2">
      <c r="A112" s="545">
        <v>42522</v>
      </c>
      <c r="B112" s="517">
        <v>314571.3</v>
      </c>
    </row>
    <row r="113" spans="1:2" x14ac:dyDescent="0.2">
      <c r="A113" s="545">
        <v>42523</v>
      </c>
      <c r="B113" s="517">
        <v>302515.78000000003</v>
      </c>
    </row>
    <row r="114" spans="1:2" x14ac:dyDescent="0.2">
      <c r="A114" s="545">
        <v>42524</v>
      </c>
      <c r="B114" s="517">
        <v>302516</v>
      </c>
    </row>
    <row r="115" spans="1:2" x14ac:dyDescent="0.2">
      <c r="A115" s="545">
        <v>42527</v>
      </c>
      <c r="B115" s="517">
        <v>302516</v>
      </c>
    </row>
    <row r="116" spans="1:2" x14ac:dyDescent="0.2">
      <c r="A116" s="545">
        <v>42528</v>
      </c>
      <c r="B116" s="517">
        <v>302516</v>
      </c>
    </row>
    <row r="117" spans="1:2" x14ac:dyDescent="0.2">
      <c r="A117" s="545">
        <v>42529</v>
      </c>
      <c r="B117" s="517">
        <v>279865.95</v>
      </c>
    </row>
    <row r="118" spans="1:2" x14ac:dyDescent="0.2">
      <c r="A118" s="545">
        <v>42530</v>
      </c>
      <c r="B118" s="517">
        <v>279866</v>
      </c>
    </row>
    <row r="119" spans="1:2" x14ac:dyDescent="0.2">
      <c r="A119" s="545">
        <v>42531</v>
      </c>
      <c r="B119" s="517">
        <v>279866</v>
      </c>
    </row>
    <row r="120" spans="1:2" x14ac:dyDescent="0.2">
      <c r="A120" s="545">
        <v>42534</v>
      </c>
      <c r="B120" s="517">
        <v>279866</v>
      </c>
    </row>
    <row r="121" spans="1:2" x14ac:dyDescent="0.2">
      <c r="A121" s="545">
        <v>42535</v>
      </c>
      <c r="B121" s="517">
        <v>279866</v>
      </c>
    </row>
    <row r="122" spans="1:2" x14ac:dyDescent="0.2">
      <c r="A122" s="545">
        <v>42536</v>
      </c>
      <c r="B122" s="517">
        <v>290096.01</v>
      </c>
    </row>
    <row r="123" spans="1:2" x14ac:dyDescent="0.2">
      <c r="A123" s="545">
        <v>42537</v>
      </c>
      <c r="B123" s="517">
        <v>247423.5</v>
      </c>
    </row>
    <row r="124" spans="1:2" x14ac:dyDescent="0.2">
      <c r="A124" s="545">
        <v>42538</v>
      </c>
      <c r="B124" s="517">
        <v>247424</v>
      </c>
    </row>
    <row r="125" spans="1:2" x14ac:dyDescent="0.2">
      <c r="A125" s="545">
        <v>42541</v>
      </c>
      <c r="B125" s="517">
        <v>247424</v>
      </c>
    </row>
    <row r="126" spans="1:2" x14ac:dyDescent="0.2">
      <c r="A126" s="545">
        <v>42542</v>
      </c>
      <c r="B126" s="517">
        <v>255459.85</v>
      </c>
    </row>
    <row r="127" spans="1:2" x14ac:dyDescent="0.2">
      <c r="A127" s="545">
        <v>42543</v>
      </c>
      <c r="B127" s="517">
        <v>255460</v>
      </c>
    </row>
    <row r="128" spans="1:2" x14ac:dyDescent="0.2">
      <c r="A128" s="518">
        <f>A127+1</f>
        <v>42544</v>
      </c>
      <c r="B128" s="517">
        <v>240780.4</v>
      </c>
    </row>
    <row r="129" spans="1:2" x14ac:dyDescent="0.2">
      <c r="A129" s="518">
        <f>A128+1</f>
        <v>42545</v>
      </c>
      <c r="B129" s="517">
        <v>240780</v>
      </c>
    </row>
    <row r="130" spans="1:2" x14ac:dyDescent="0.2">
      <c r="A130" s="518">
        <f>A125+7</f>
        <v>42548</v>
      </c>
      <c r="B130" s="517">
        <v>205735.12</v>
      </c>
    </row>
    <row r="131" spans="1:2" x14ac:dyDescent="0.2">
      <c r="A131" s="518">
        <f>A126+7</f>
        <v>42549</v>
      </c>
      <c r="B131" s="517">
        <v>207489.37</v>
      </c>
    </row>
    <row r="132" spans="1:2" x14ac:dyDescent="0.2">
      <c r="A132" s="518">
        <f t="shared" ref="A132:A195" si="0">A127+7</f>
        <v>42550</v>
      </c>
      <c r="B132" s="517">
        <v>213757.9</v>
      </c>
    </row>
    <row r="133" spans="1:2" x14ac:dyDescent="0.2">
      <c r="A133" s="518">
        <f t="shared" si="0"/>
        <v>42551</v>
      </c>
      <c r="B133" s="517">
        <v>220332.56</v>
      </c>
    </row>
    <row r="134" spans="1:2" x14ac:dyDescent="0.2">
      <c r="A134" s="518">
        <f t="shared" si="0"/>
        <v>42552</v>
      </c>
      <c r="B134" s="517">
        <v>212813.84</v>
      </c>
    </row>
    <row r="135" spans="1:2" x14ac:dyDescent="0.2">
      <c r="A135" s="518">
        <f t="shared" si="0"/>
        <v>42555</v>
      </c>
      <c r="B135" s="517">
        <v>212814</v>
      </c>
    </row>
    <row r="136" spans="1:2" x14ac:dyDescent="0.2">
      <c r="A136" s="518">
        <f t="shared" si="0"/>
        <v>42556</v>
      </c>
      <c r="B136" s="517">
        <v>236539.45</v>
      </c>
    </row>
    <row r="137" spans="1:2" x14ac:dyDescent="0.2">
      <c r="A137" s="518">
        <f t="shared" si="0"/>
        <v>42557</v>
      </c>
      <c r="B137" s="517">
        <v>234224.42</v>
      </c>
    </row>
    <row r="138" spans="1:2" x14ac:dyDescent="0.2">
      <c r="A138" s="518">
        <f t="shared" si="0"/>
        <v>42558</v>
      </c>
      <c r="B138" s="517">
        <v>234132.08</v>
      </c>
    </row>
    <row r="139" spans="1:2" x14ac:dyDescent="0.2">
      <c r="A139" s="518">
        <f t="shared" si="0"/>
        <v>42559</v>
      </c>
      <c r="B139" s="517">
        <v>234132.08</v>
      </c>
    </row>
    <row r="140" spans="1:2" x14ac:dyDescent="0.2">
      <c r="A140" s="518">
        <f t="shared" si="0"/>
        <v>42562</v>
      </c>
      <c r="B140" s="517">
        <v>199890.85</v>
      </c>
    </row>
    <row r="141" spans="1:2" x14ac:dyDescent="0.2">
      <c r="A141" s="518">
        <f t="shared" si="0"/>
        <v>42563</v>
      </c>
      <c r="B141" s="517">
        <v>221114.27</v>
      </c>
    </row>
    <row r="142" spans="1:2" x14ac:dyDescent="0.2">
      <c r="A142" s="518">
        <f t="shared" si="0"/>
        <v>42564</v>
      </c>
      <c r="B142" s="517">
        <v>221114</v>
      </c>
    </row>
    <row r="143" spans="1:2" x14ac:dyDescent="0.2">
      <c r="A143" s="518">
        <f t="shared" si="0"/>
        <v>42565</v>
      </c>
      <c r="B143" s="517">
        <v>214752.25</v>
      </c>
    </row>
    <row r="144" spans="1:2" x14ac:dyDescent="0.2">
      <c r="A144" s="518">
        <f t="shared" si="0"/>
        <v>42566</v>
      </c>
      <c r="B144" s="517">
        <v>294578.96999999997</v>
      </c>
    </row>
    <row r="145" spans="1:2" x14ac:dyDescent="0.2">
      <c r="A145" s="518">
        <f t="shared" si="0"/>
        <v>42569</v>
      </c>
      <c r="B145" s="517">
        <v>294579</v>
      </c>
    </row>
    <row r="146" spans="1:2" x14ac:dyDescent="0.2">
      <c r="A146" s="518">
        <f t="shared" si="0"/>
        <v>42570</v>
      </c>
      <c r="B146" s="517">
        <v>294579</v>
      </c>
    </row>
    <row r="147" spans="1:2" x14ac:dyDescent="0.2">
      <c r="A147" s="518">
        <f t="shared" si="0"/>
        <v>42571</v>
      </c>
      <c r="B147" s="517">
        <v>328195.42</v>
      </c>
    </row>
    <row r="148" spans="1:2" x14ac:dyDescent="0.2">
      <c r="A148" s="518">
        <f t="shared" si="0"/>
        <v>42572</v>
      </c>
      <c r="B148" s="517">
        <v>407865.86</v>
      </c>
    </row>
    <row r="149" spans="1:2" x14ac:dyDescent="0.2">
      <c r="A149" s="518">
        <f t="shared" si="0"/>
        <v>42573</v>
      </c>
      <c r="B149" s="517">
        <v>409053.93</v>
      </c>
    </row>
    <row r="150" spans="1:2" x14ac:dyDescent="0.2">
      <c r="A150" s="518">
        <f t="shared" si="0"/>
        <v>42576</v>
      </c>
      <c r="B150" s="517">
        <v>372421.56</v>
      </c>
    </row>
    <row r="151" spans="1:2" x14ac:dyDescent="0.2">
      <c r="A151" s="518">
        <f t="shared" si="0"/>
        <v>42577</v>
      </c>
      <c r="B151" s="517">
        <v>375562.78</v>
      </c>
    </row>
    <row r="152" spans="1:2" x14ac:dyDescent="0.2">
      <c r="A152" s="518">
        <f t="shared" si="0"/>
        <v>42578</v>
      </c>
      <c r="B152" s="517">
        <v>375563</v>
      </c>
    </row>
    <row r="153" spans="1:2" x14ac:dyDescent="0.2">
      <c r="A153" s="518">
        <f t="shared" si="0"/>
        <v>42579</v>
      </c>
      <c r="B153" s="517">
        <v>366510.98</v>
      </c>
    </row>
    <row r="154" spans="1:2" x14ac:dyDescent="0.2">
      <c r="A154" s="518">
        <f t="shared" si="0"/>
        <v>42580</v>
      </c>
      <c r="B154" s="517">
        <v>366609.48</v>
      </c>
    </row>
    <row r="155" spans="1:2" x14ac:dyDescent="0.2">
      <c r="A155" s="518">
        <f t="shared" si="0"/>
        <v>42583</v>
      </c>
      <c r="B155" s="517">
        <v>382689.69</v>
      </c>
    </row>
    <row r="156" spans="1:2" x14ac:dyDescent="0.2">
      <c r="A156" s="518">
        <f t="shared" si="0"/>
        <v>42584</v>
      </c>
      <c r="B156" s="517">
        <v>382690</v>
      </c>
    </row>
    <row r="157" spans="1:2" x14ac:dyDescent="0.2">
      <c r="A157" s="518">
        <f t="shared" si="0"/>
        <v>42585</v>
      </c>
      <c r="B157" s="517">
        <v>387013.59</v>
      </c>
    </row>
    <row r="158" spans="1:2" x14ac:dyDescent="0.2">
      <c r="A158" s="518">
        <f t="shared" si="0"/>
        <v>42586</v>
      </c>
      <c r="B158" s="517">
        <v>382543.7</v>
      </c>
    </row>
    <row r="159" spans="1:2" x14ac:dyDescent="0.2">
      <c r="A159" s="518">
        <f t="shared" si="0"/>
        <v>42587</v>
      </c>
      <c r="B159" s="517">
        <v>382544</v>
      </c>
    </row>
    <row r="160" spans="1:2" x14ac:dyDescent="0.2">
      <c r="A160" s="518">
        <f t="shared" si="0"/>
        <v>42590</v>
      </c>
      <c r="B160" s="517">
        <v>344510.17</v>
      </c>
    </row>
    <row r="161" spans="1:2" x14ac:dyDescent="0.2">
      <c r="A161" s="518">
        <f t="shared" si="0"/>
        <v>42591</v>
      </c>
      <c r="B161" s="517">
        <v>350095.94</v>
      </c>
    </row>
    <row r="162" spans="1:2" x14ac:dyDescent="0.2">
      <c r="A162" s="518">
        <f t="shared" si="0"/>
        <v>42592</v>
      </c>
      <c r="B162" s="517">
        <v>350096</v>
      </c>
    </row>
    <row r="163" spans="1:2" x14ac:dyDescent="0.2">
      <c r="A163" s="518">
        <f t="shared" si="0"/>
        <v>42593</v>
      </c>
      <c r="B163" s="517">
        <v>355079.15</v>
      </c>
    </row>
    <row r="164" spans="1:2" x14ac:dyDescent="0.2">
      <c r="A164" s="518">
        <f t="shared" si="0"/>
        <v>42594</v>
      </c>
      <c r="B164" s="517">
        <v>356502.11</v>
      </c>
    </row>
    <row r="165" spans="1:2" x14ac:dyDescent="0.2">
      <c r="A165" s="518">
        <f t="shared" si="0"/>
        <v>42597</v>
      </c>
      <c r="B165" s="517">
        <v>408622.46</v>
      </c>
    </row>
    <row r="166" spans="1:2" x14ac:dyDescent="0.2">
      <c r="A166" s="518">
        <f t="shared" si="0"/>
        <v>42598</v>
      </c>
      <c r="B166" s="517">
        <v>408622</v>
      </c>
    </row>
    <row r="167" spans="1:2" x14ac:dyDescent="0.2">
      <c r="A167" s="518">
        <f t="shared" si="0"/>
        <v>42599</v>
      </c>
      <c r="B167" s="517">
        <v>408622</v>
      </c>
    </row>
    <row r="168" spans="1:2" x14ac:dyDescent="0.2">
      <c r="A168" s="518">
        <f t="shared" si="0"/>
        <v>42600</v>
      </c>
      <c r="B168" s="517">
        <v>409931.67</v>
      </c>
    </row>
    <row r="169" spans="1:2" x14ac:dyDescent="0.2">
      <c r="A169" s="518">
        <f t="shared" si="0"/>
        <v>42601</v>
      </c>
      <c r="B169" s="517">
        <v>410189.3</v>
      </c>
    </row>
    <row r="170" spans="1:2" x14ac:dyDescent="0.2">
      <c r="A170" s="518">
        <f t="shared" si="0"/>
        <v>42604</v>
      </c>
      <c r="B170" s="517">
        <v>370399.56</v>
      </c>
    </row>
    <row r="171" spans="1:2" x14ac:dyDescent="0.2">
      <c r="A171" s="518">
        <f t="shared" si="0"/>
        <v>42605</v>
      </c>
      <c r="B171" s="517">
        <v>370399.56</v>
      </c>
    </row>
    <row r="172" spans="1:2" x14ac:dyDescent="0.2">
      <c r="A172" s="518">
        <f t="shared" si="0"/>
        <v>42606</v>
      </c>
      <c r="B172" s="517">
        <v>370400</v>
      </c>
    </row>
    <row r="173" spans="1:2" x14ac:dyDescent="0.2">
      <c r="A173" s="518">
        <f t="shared" si="0"/>
        <v>42607</v>
      </c>
      <c r="B173" s="517">
        <v>359591.19</v>
      </c>
    </row>
    <row r="174" spans="1:2" x14ac:dyDescent="0.2">
      <c r="A174" s="518">
        <f t="shared" si="0"/>
        <v>42608</v>
      </c>
      <c r="B174" s="517">
        <v>399163.14</v>
      </c>
    </row>
    <row r="175" spans="1:2" x14ac:dyDescent="0.2">
      <c r="A175" s="518">
        <f t="shared" si="0"/>
        <v>42611</v>
      </c>
      <c r="B175" s="517">
        <v>407196.62</v>
      </c>
    </row>
    <row r="176" spans="1:2" x14ac:dyDescent="0.2">
      <c r="A176" s="518">
        <f t="shared" si="0"/>
        <v>42612</v>
      </c>
      <c r="B176" s="517">
        <v>422526.97</v>
      </c>
    </row>
    <row r="177" spans="1:5" x14ac:dyDescent="0.2">
      <c r="A177" s="518">
        <f t="shared" si="0"/>
        <v>42613</v>
      </c>
      <c r="B177" s="517">
        <v>479216.05</v>
      </c>
    </row>
    <row r="178" spans="1:5" x14ac:dyDescent="0.2">
      <c r="A178" s="518">
        <f t="shared" si="0"/>
        <v>42614</v>
      </c>
      <c r="B178" s="517">
        <v>479216</v>
      </c>
    </row>
    <row r="179" spans="1:5" x14ac:dyDescent="0.2">
      <c r="A179" s="518">
        <f t="shared" si="0"/>
        <v>42615</v>
      </c>
      <c r="B179" s="517">
        <v>479216</v>
      </c>
    </row>
    <row r="180" spans="1:5" x14ac:dyDescent="0.2">
      <c r="A180" s="518">
        <f t="shared" si="0"/>
        <v>42618</v>
      </c>
      <c r="B180" s="517">
        <v>479216</v>
      </c>
    </row>
    <row r="181" spans="1:5" x14ac:dyDescent="0.2">
      <c r="A181" s="518">
        <f t="shared" si="0"/>
        <v>42619</v>
      </c>
      <c r="B181" s="517">
        <v>440784.82</v>
      </c>
    </row>
    <row r="182" spans="1:5" x14ac:dyDescent="0.2">
      <c r="A182" s="518">
        <f t="shared" si="0"/>
        <v>42620</v>
      </c>
      <c r="B182" s="517">
        <v>440785</v>
      </c>
      <c r="D182" s="519"/>
      <c r="E182" s="520"/>
    </row>
    <row r="183" spans="1:5" x14ac:dyDescent="0.2">
      <c r="A183" s="518">
        <f t="shared" si="0"/>
        <v>42621</v>
      </c>
      <c r="B183" s="517">
        <v>445373.31</v>
      </c>
    </row>
    <row r="184" spans="1:5" x14ac:dyDescent="0.2">
      <c r="A184" s="518">
        <f t="shared" si="0"/>
        <v>42622</v>
      </c>
      <c r="B184" s="517">
        <v>463896.46</v>
      </c>
      <c r="D184" s="519"/>
      <c r="E184" s="520"/>
    </row>
    <row r="185" spans="1:5" x14ac:dyDescent="0.2">
      <c r="A185" s="518">
        <f t="shared" si="0"/>
        <v>42625</v>
      </c>
      <c r="B185" s="517">
        <v>463296.46</v>
      </c>
      <c r="D185" s="519"/>
      <c r="E185" s="520"/>
    </row>
    <row r="186" spans="1:5" x14ac:dyDescent="0.2">
      <c r="A186" s="518">
        <f t="shared" si="0"/>
        <v>42626</v>
      </c>
      <c r="B186" s="517">
        <v>465024.54</v>
      </c>
      <c r="D186" s="519"/>
      <c r="E186" s="520"/>
    </row>
    <row r="187" spans="1:5" x14ac:dyDescent="0.2">
      <c r="A187" s="518">
        <f t="shared" si="0"/>
        <v>42627</v>
      </c>
      <c r="B187" s="517">
        <v>465025</v>
      </c>
      <c r="D187" s="519"/>
      <c r="E187" s="520"/>
    </row>
    <row r="188" spans="1:5" x14ac:dyDescent="0.2">
      <c r="A188" s="518">
        <f t="shared" si="0"/>
        <v>42628</v>
      </c>
      <c r="B188" s="517">
        <v>447444.34</v>
      </c>
      <c r="D188" s="519"/>
      <c r="E188" s="520"/>
    </row>
    <row r="189" spans="1:5" x14ac:dyDescent="0.2">
      <c r="A189" s="518">
        <f t="shared" si="0"/>
        <v>42629</v>
      </c>
      <c r="B189" s="517">
        <v>451135.42</v>
      </c>
      <c r="D189" s="519"/>
      <c r="E189" s="520"/>
    </row>
    <row r="190" spans="1:5" x14ac:dyDescent="0.2">
      <c r="A190" s="518">
        <f t="shared" si="0"/>
        <v>42632</v>
      </c>
      <c r="B190" s="517">
        <v>413924.51</v>
      </c>
      <c r="D190" s="519"/>
      <c r="E190" s="520"/>
    </row>
    <row r="191" spans="1:5" x14ac:dyDescent="0.2">
      <c r="A191" s="518">
        <f t="shared" si="0"/>
        <v>42633</v>
      </c>
      <c r="B191" s="517">
        <v>395080.96000000002</v>
      </c>
      <c r="D191" s="519"/>
      <c r="E191" s="520"/>
    </row>
    <row r="192" spans="1:5" x14ac:dyDescent="0.2">
      <c r="A192" s="518">
        <f t="shared" si="0"/>
        <v>42634</v>
      </c>
      <c r="B192" s="517">
        <v>393852.1</v>
      </c>
      <c r="D192" s="519"/>
      <c r="E192" s="520"/>
    </row>
    <row r="193" spans="1:5" x14ac:dyDescent="0.2">
      <c r="A193" s="518">
        <f t="shared" si="0"/>
        <v>42635</v>
      </c>
      <c r="B193" s="517">
        <v>397757.18</v>
      </c>
      <c r="D193" s="519"/>
      <c r="E193" s="520"/>
    </row>
    <row r="194" spans="1:5" x14ac:dyDescent="0.2">
      <c r="A194" s="518">
        <f t="shared" si="0"/>
        <v>42636</v>
      </c>
      <c r="B194" s="517">
        <v>397757</v>
      </c>
      <c r="D194" s="519"/>
      <c r="E194" s="520"/>
    </row>
    <row r="195" spans="1:5" x14ac:dyDescent="0.2">
      <c r="A195" s="518">
        <f t="shared" si="0"/>
        <v>42639</v>
      </c>
      <c r="B195" s="517">
        <v>397757</v>
      </c>
      <c r="D195" s="519"/>
      <c r="E195" s="520"/>
    </row>
    <row r="196" spans="1:5" x14ac:dyDescent="0.2">
      <c r="A196" s="518">
        <f t="shared" ref="A196:A259" si="1">A191+7</f>
        <v>42640</v>
      </c>
      <c r="B196" s="517">
        <v>403105.59</v>
      </c>
      <c r="D196" s="519"/>
      <c r="E196" s="520"/>
    </row>
    <row r="197" spans="1:5" x14ac:dyDescent="0.2">
      <c r="A197" s="518">
        <f t="shared" si="1"/>
        <v>42641</v>
      </c>
      <c r="B197" s="517">
        <v>394170.51</v>
      </c>
      <c r="D197" s="519"/>
      <c r="E197" s="520"/>
    </row>
    <row r="198" spans="1:5" x14ac:dyDescent="0.2">
      <c r="A198" s="518">
        <f t="shared" si="1"/>
        <v>42642</v>
      </c>
      <c r="B198" s="517">
        <v>397917.56</v>
      </c>
      <c r="D198" s="519"/>
      <c r="E198" s="520"/>
    </row>
    <row r="199" spans="1:5" x14ac:dyDescent="0.2">
      <c r="A199" s="518">
        <f t="shared" si="1"/>
        <v>42643</v>
      </c>
      <c r="B199" s="517">
        <v>397918</v>
      </c>
      <c r="D199" s="519"/>
      <c r="E199" s="520"/>
    </row>
    <row r="200" spans="1:5" x14ac:dyDescent="0.2">
      <c r="A200" s="518">
        <f t="shared" si="1"/>
        <v>42646</v>
      </c>
      <c r="B200" s="517">
        <v>361701.8</v>
      </c>
      <c r="D200" s="519"/>
      <c r="E200" s="520"/>
    </row>
    <row r="201" spans="1:5" x14ac:dyDescent="0.2">
      <c r="A201" s="518">
        <f t="shared" si="1"/>
        <v>42647</v>
      </c>
      <c r="B201" s="517">
        <v>362031.95</v>
      </c>
      <c r="D201" s="519"/>
      <c r="E201" s="520"/>
    </row>
    <row r="202" spans="1:5" x14ac:dyDescent="0.2">
      <c r="A202" s="518">
        <f t="shared" si="1"/>
        <v>42648</v>
      </c>
      <c r="B202" s="517">
        <v>362032</v>
      </c>
    </row>
    <row r="203" spans="1:5" x14ac:dyDescent="0.2">
      <c r="A203" s="518">
        <f t="shared" si="1"/>
        <v>42649</v>
      </c>
      <c r="B203" s="517">
        <v>360433.13</v>
      </c>
    </row>
    <row r="204" spans="1:5" x14ac:dyDescent="0.2">
      <c r="A204" s="518">
        <f t="shared" si="1"/>
        <v>42650</v>
      </c>
      <c r="B204" s="517">
        <v>361754.66</v>
      </c>
    </row>
    <row r="205" spans="1:5" x14ac:dyDescent="0.2">
      <c r="A205" s="518">
        <f t="shared" si="1"/>
        <v>42653</v>
      </c>
      <c r="B205" s="517">
        <v>361755</v>
      </c>
    </row>
    <row r="206" spans="1:5" x14ac:dyDescent="0.2">
      <c r="A206" s="518">
        <f t="shared" si="1"/>
        <v>42654</v>
      </c>
      <c r="B206" s="517">
        <v>361755</v>
      </c>
    </row>
    <row r="207" spans="1:5" x14ac:dyDescent="0.2">
      <c r="A207" s="518">
        <f t="shared" si="1"/>
        <v>42655</v>
      </c>
      <c r="B207" s="517">
        <v>365429.62</v>
      </c>
    </row>
    <row r="208" spans="1:5" x14ac:dyDescent="0.2">
      <c r="A208" s="518">
        <f t="shared" si="1"/>
        <v>42656</v>
      </c>
      <c r="B208" s="517">
        <v>375400.83</v>
      </c>
    </row>
    <row r="209" spans="1:2" x14ac:dyDescent="0.2">
      <c r="A209" s="518">
        <f t="shared" si="1"/>
        <v>42657</v>
      </c>
      <c r="B209" s="517">
        <v>375484.03</v>
      </c>
    </row>
    <row r="210" spans="1:2" x14ac:dyDescent="0.2">
      <c r="A210" s="518">
        <f t="shared" si="1"/>
        <v>42660</v>
      </c>
      <c r="B210" s="517">
        <v>339702.96</v>
      </c>
    </row>
    <row r="211" spans="1:2" x14ac:dyDescent="0.2">
      <c r="A211" s="518">
        <f t="shared" si="1"/>
        <v>42661</v>
      </c>
      <c r="B211" s="517">
        <v>343741.39</v>
      </c>
    </row>
    <row r="212" spans="1:2" x14ac:dyDescent="0.2">
      <c r="A212" s="518">
        <f t="shared" si="1"/>
        <v>42662</v>
      </c>
      <c r="B212" s="517">
        <v>343741</v>
      </c>
    </row>
    <row r="213" spans="1:2" x14ac:dyDescent="0.2">
      <c r="A213" s="518">
        <f t="shared" si="1"/>
        <v>42663</v>
      </c>
      <c r="B213" s="517">
        <v>332267.31</v>
      </c>
    </row>
    <row r="214" spans="1:2" x14ac:dyDescent="0.2">
      <c r="A214" s="518">
        <f t="shared" si="1"/>
        <v>42664</v>
      </c>
      <c r="B214" s="517">
        <v>332482.06</v>
      </c>
    </row>
    <row r="215" spans="1:2" x14ac:dyDescent="0.2">
      <c r="A215" s="518">
        <f t="shared" si="1"/>
        <v>42667</v>
      </c>
      <c r="B215" s="517">
        <v>332482</v>
      </c>
    </row>
    <row r="216" spans="1:2" x14ac:dyDescent="0.2">
      <c r="A216" s="518">
        <f t="shared" si="1"/>
        <v>42668</v>
      </c>
      <c r="B216" s="517">
        <v>337085.39</v>
      </c>
    </row>
    <row r="217" spans="1:2" x14ac:dyDescent="0.2">
      <c r="A217" s="518">
        <f t="shared" si="1"/>
        <v>42669</v>
      </c>
      <c r="B217" s="517">
        <v>337085</v>
      </c>
    </row>
    <row r="218" spans="1:2" x14ac:dyDescent="0.2">
      <c r="A218" s="518">
        <f t="shared" si="1"/>
        <v>42670</v>
      </c>
      <c r="B218" s="517">
        <v>333113.26</v>
      </c>
    </row>
    <row r="219" spans="1:2" x14ac:dyDescent="0.2">
      <c r="A219" s="518">
        <f t="shared" si="1"/>
        <v>42671</v>
      </c>
      <c r="B219" s="517">
        <v>360993.03</v>
      </c>
    </row>
    <row r="220" spans="1:2" x14ac:dyDescent="0.2">
      <c r="A220" s="518">
        <f t="shared" si="1"/>
        <v>42674</v>
      </c>
      <c r="B220" s="517">
        <v>350567.25</v>
      </c>
    </row>
    <row r="221" spans="1:2" x14ac:dyDescent="0.2">
      <c r="A221" s="518">
        <f t="shared" si="1"/>
        <v>42675</v>
      </c>
      <c r="B221" s="517">
        <v>350939.21</v>
      </c>
    </row>
    <row r="222" spans="1:2" x14ac:dyDescent="0.2">
      <c r="A222" s="518">
        <f t="shared" si="1"/>
        <v>42676</v>
      </c>
      <c r="B222" s="517">
        <v>350939</v>
      </c>
    </row>
    <row r="223" spans="1:2" x14ac:dyDescent="0.2">
      <c r="A223" s="518">
        <f t="shared" si="1"/>
        <v>42677</v>
      </c>
      <c r="B223" s="517">
        <v>344148.64</v>
      </c>
    </row>
    <row r="224" spans="1:2" x14ac:dyDescent="0.2">
      <c r="A224" s="518">
        <f t="shared" si="1"/>
        <v>42678</v>
      </c>
      <c r="B224" s="517">
        <v>399084.27</v>
      </c>
    </row>
    <row r="225" spans="1:2" x14ac:dyDescent="0.2">
      <c r="A225" s="518">
        <f t="shared" si="1"/>
        <v>42681</v>
      </c>
      <c r="B225" s="517">
        <v>399084</v>
      </c>
    </row>
    <row r="226" spans="1:2" x14ac:dyDescent="0.2">
      <c r="A226" s="518">
        <f t="shared" si="1"/>
        <v>42682</v>
      </c>
      <c r="B226" s="517">
        <v>403667.29</v>
      </c>
    </row>
    <row r="227" spans="1:2" x14ac:dyDescent="0.2">
      <c r="A227" s="518">
        <f t="shared" si="1"/>
        <v>42683</v>
      </c>
      <c r="B227" s="517">
        <v>403667</v>
      </c>
    </row>
    <row r="228" spans="1:2" x14ac:dyDescent="0.2">
      <c r="A228" s="518">
        <f t="shared" si="1"/>
        <v>42684</v>
      </c>
      <c r="B228" s="517">
        <v>383477.25</v>
      </c>
    </row>
    <row r="229" spans="1:2" x14ac:dyDescent="0.2">
      <c r="A229" s="518">
        <f t="shared" si="1"/>
        <v>42685</v>
      </c>
      <c r="B229" s="517">
        <v>383477</v>
      </c>
    </row>
    <row r="230" spans="1:2" x14ac:dyDescent="0.2">
      <c r="A230" s="518">
        <f t="shared" si="1"/>
        <v>42688</v>
      </c>
      <c r="B230" s="517">
        <v>347717.6</v>
      </c>
    </row>
    <row r="231" spans="1:2" x14ac:dyDescent="0.2">
      <c r="A231" s="518">
        <f t="shared" si="1"/>
        <v>42689</v>
      </c>
      <c r="B231" s="517">
        <v>347836.75</v>
      </c>
    </row>
    <row r="232" spans="1:2" x14ac:dyDescent="0.2">
      <c r="A232" s="518">
        <f t="shared" si="1"/>
        <v>42690</v>
      </c>
      <c r="B232" s="517">
        <v>347836.75</v>
      </c>
    </row>
    <row r="233" spans="1:2" x14ac:dyDescent="0.2">
      <c r="A233" s="518">
        <f t="shared" si="1"/>
        <v>42691</v>
      </c>
      <c r="B233" s="517">
        <v>350935.56</v>
      </c>
    </row>
    <row r="234" spans="1:2" x14ac:dyDescent="0.2">
      <c r="A234" s="518">
        <f t="shared" si="1"/>
        <v>42692</v>
      </c>
      <c r="B234" s="517">
        <v>350936</v>
      </c>
    </row>
    <row r="235" spans="1:2" x14ac:dyDescent="0.2">
      <c r="A235" s="518">
        <f t="shared" si="1"/>
        <v>42695</v>
      </c>
      <c r="B235" s="517">
        <v>350936</v>
      </c>
    </row>
    <row r="236" spans="1:2" x14ac:dyDescent="0.2">
      <c r="A236" s="518">
        <f t="shared" si="1"/>
        <v>42696</v>
      </c>
      <c r="B236" s="517">
        <v>351588.06</v>
      </c>
    </row>
    <row r="237" spans="1:2" x14ac:dyDescent="0.2">
      <c r="A237" s="518">
        <f t="shared" si="1"/>
        <v>42697</v>
      </c>
      <c r="B237" s="517">
        <v>349477.96</v>
      </c>
    </row>
    <row r="238" spans="1:2" x14ac:dyDescent="0.2">
      <c r="A238" s="518">
        <f t="shared" si="1"/>
        <v>42698</v>
      </c>
      <c r="B238" s="517">
        <v>349478</v>
      </c>
    </row>
    <row r="239" spans="1:2" x14ac:dyDescent="0.2">
      <c r="A239" s="518">
        <f t="shared" si="1"/>
        <v>42699</v>
      </c>
      <c r="B239" s="517">
        <v>368170.66</v>
      </c>
    </row>
    <row r="240" spans="1:2" x14ac:dyDescent="0.2">
      <c r="A240" s="518">
        <f t="shared" si="1"/>
        <v>42702</v>
      </c>
      <c r="B240" s="517">
        <v>368170.66</v>
      </c>
    </row>
    <row r="241" spans="1:2" x14ac:dyDescent="0.2">
      <c r="A241" s="518">
        <f t="shared" si="1"/>
        <v>42703</v>
      </c>
      <c r="B241" s="517">
        <v>328902.64</v>
      </c>
    </row>
    <row r="242" spans="1:2" x14ac:dyDescent="0.2">
      <c r="A242" s="518">
        <f t="shared" si="1"/>
        <v>42704</v>
      </c>
      <c r="B242" s="517">
        <v>338455.85</v>
      </c>
    </row>
    <row r="243" spans="1:2" x14ac:dyDescent="0.2">
      <c r="A243" s="518">
        <f t="shared" si="1"/>
        <v>42705</v>
      </c>
      <c r="B243" s="517">
        <v>336997.18</v>
      </c>
    </row>
    <row r="244" spans="1:2" x14ac:dyDescent="0.2">
      <c r="A244" s="518">
        <f t="shared" si="1"/>
        <v>42706</v>
      </c>
      <c r="B244" s="517">
        <v>342825.59</v>
      </c>
    </row>
    <row r="245" spans="1:2" x14ac:dyDescent="0.2">
      <c r="A245" s="518">
        <f t="shared" si="1"/>
        <v>42709</v>
      </c>
      <c r="B245" s="517">
        <v>342826</v>
      </c>
    </row>
    <row r="246" spans="1:2" x14ac:dyDescent="0.2">
      <c r="A246" s="518">
        <f t="shared" si="1"/>
        <v>42710</v>
      </c>
      <c r="B246" s="517">
        <v>344457.81</v>
      </c>
    </row>
    <row r="247" spans="1:2" x14ac:dyDescent="0.2">
      <c r="A247" s="518">
        <f t="shared" si="1"/>
        <v>42711</v>
      </c>
      <c r="B247" s="517">
        <v>366772.64</v>
      </c>
    </row>
    <row r="248" spans="1:2" x14ac:dyDescent="0.2">
      <c r="A248" s="518">
        <f t="shared" si="1"/>
        <v>42712</v>
      </c>
      <c r="B248" s="517">
        <v>366772.6</v>
      </c>
    </row>
    <row r="249" spans="1:2" x14ac:dyDescent="0.2">
      <c r="A249" s="518">
        <f t="shared" si="1"/>
        <v>42713</v>
      </c>
      <c r="B249" s="517">
        <v>366773</v>
      </c>
    </row>
    <row r="250" spans="1:2" x14ac:dyDescent="0.2">
      <c r="A250" s="518">
        <f t="shared" si="1"/>
        <v>42716</v>
      </c>
      <c r="B250" s="517">
        <v>366773</v>
      </c>
    </row>
    <row r="251" spans="1:2" x14ac:dyDescent="0.2">
      <c r="A251" s="518">
        <f t="shared" si="1"/>
        <v>42717</v>
      </c>
      <c r="B251" s="517">
        <v>346535.44</v>
      </c>
    </row>
    <row r="252" spans="1:2" x14ac:dyDescent="0.2">
      <c r="A252" s="518">
        <f t="shared" si="1"/>
        <v>42718</v>
      </c>
      <c r="B252" s="517">
        <v>346535</v>
      </c>
    </row>
    <row r="253" spans="1:2" x14ac:dyDescent="0.2">
      <c r="A253" s="518">
        <f t="shared" si="1"/>
        <v>42719</v>
      </c>
      <c r="B253" s="517">
        <v>335522.11</v>
      </c>
    </row>
    <row r="254" spans="1:2" x14ac:dyDescent="0.2">
      <c r="A254" s="518">
        <f t="shared" si="1"/>
        <v>42720</v>
      </c>
      <c r="B254" s="517">
        <v>335675.99</v>
      </c>
    </row>
    <row r="255" spans="1:2" x14ac:dyDescent="0.2">
      <c r="A255" s="518">
        <f t="shared" si="1"/>
        <v>42723</v>
      </c>
      <c r="B255" s="517">
        <v>357268.43</v>
      </c>
    </row>
    <row r="256" spans="1:2" x14ac:dyDescent="0.2">
      <c r="A256" s="518">
        <f t="shared" si="1"/>
        <v>42724</v>
      </c>
      <c r="B256" s="517">
        <v>357268</v>
      </c>
    </row>
    <row r="257" spans="1:2" x14ac:dyDescent="0.2">
      <c r="A257" s="518">
        <f t="shared" si="1"/>
        <v>42725</v>
      </c>
      <c r="B257" s="517">
        <v>366192.91</v>
      </c>
    </row>
    <row r="258" spans="1:2" x14ac:dyDescent="0.2">
      <c r="A258" s="518">
        <f t="shared" si="1"/>
        <v>42726</v>
      </c>
      <c r="B258" s="517">
        <v>377001.67</v>
      </c>
    </row>
    <row r="259" spans="1:2" x14ac:dyDescent="0.2">
      <c r="A259" s="518">
        <f t="shared" si="1"/>
        <v>42727</v>
      </c>
      <c r="B259" s="517">
        <v>377329.67</v>
      </c>
    </row>
    <row r="260" spans="1:2" x14ac:dyDescent="0.2">
      <c r="A260" s="518">
        <f t="shared" ref="A260:A264" si="2">A255+7</f>
        <v>42730</v>
      </c>
      <c r="B260" s="517">
        <v>377330</v>
      </c>
    </row>
    <row r="261" spans="1:2" x14ac:dyDescent="0.2">
      <c r="A261" s="518">
        <f t="shared" si="2"/>
        <v>42731</v>
      </c>
      <c r="B261" s="517">
        <v>339782.53</v>
      </c>
    </row>
    <row r="262" spans="1:2" x14ac:dyDescent="0.2">
      <c r="A262" s="518">
        <f t="shared" si="2"/>
        <v>42732</v>
      </c>
      <c r="B262" s="517">
        <v>339783</v>
      </c>
    </row>
    <row r="263" spans="1:2" x14ac:dyDescent="0.2">
      <c r="A263" s="518">
        <f t="shared" si="2"/>
        <v>42733</v>
      </c>
      <c r="B263" s="517">
        <v>337987.77</v>
      </c>
    </row>
    <row r="264" spans="1:2" x14ac:dyDescent="0.2">
      <c r="A264" s="518">
        <f t="shared" si="2"/>
        <v>42734</v>
      </c>
      <c r="B264" s="517">
        <v>354814.33</v>
      </c>
    </row>
    <row r="265" spans="1:2" x14ac:dyDescent="0.2">
      <c r="A265" s="541">
        <v>42737</v>
      </c>
      <c r="B265" s="542">
        <v>354814</v>
      </c>
    </row>
    <row r="266" spans="1:2" x14ac:dyDescent="0.2">
      <c r="A266" s="541">
        <v>42738</v>
      </c>
      <c r="B266" s="542">
        <v>361866.86</v>
      </c>
    </row>
    <row r="267" spans="1:2" x14ac:dyDescent="0.2">
      <c r="A267" s="541">
        <v>42739</v>
      </c>
      <c r="B267" s="542">
        <v>363519.32</v>
      </c>
    </row>
    <row r="268" spans="1:2" x14ac:dyDescent="0.2">
      <c r="A268" s="541">
        <v>42740</v>
      </c>
      <c r="B268" s="542">
        <v>361866.66</v>
      </c>
    </row>
    <row r="269" spans="1:2" x14ac:dyDescent="0.2">
      <c r="A269" s="541">
        <v>42741</v>
      </c>
      <c r="B269" s="542">
        <v>363519</v>
      </c>
    </row>
    <row r="270" spans="1:2" x14ac:dyDescent="0.2">
      <c r="A270" s="541">
        <v>42744</v>
      </c>
      <c r="B270" s="542">
        <v>363543.47</v>
      </c>
    </row>
    <row r="271" spans="1:2" x14ac:dyDescent="0.2">
      <c r="A271" s="541">
        <v>42745</v>
      </c>
      <c r="B271" s="542">
        <v>328707.83</v>
      </c>
    </row>
    <row r="272" spans="1:2" x14ac:dyDescent="0.2">
      <c r="A272" s="541">
        <v>42746</v>
      </c>
      <c r="B272" s="542">
        <v>328708</v>
      </c>
    </row>
    <row r="273" spans="1:2" x14ac:dyDescent="0.2">
      <c r="A273" s="541">
        <v>42747</v>
      </c>
      <c r="B273" s="542">
        <v>321086.01</v>
      </c>
    </row>
    <row r="274" spans="1:2" x14ac:dyDescent="0.2">
      <c r="A274" s="541">
        <v>42748</v>
      </c>
      <c r="B274" s="542">
        <v>334097.28000000003</v>
      </c>
    </row>
    <row r="275" spans="1:2" x14ac:dyDescent="0.2">
      <c r="A275" s="541">
        <v>42751</v>
      </c>
      <c r="B275" s="542">
        <v>334097</v>
      </c>
    </row>
    <row r="276" spans="1:2" x14ac:dyDescent="0.2">
      <c r="A276" s="541">
        <v>42752</v>
      </c>
      <c r="B276" s="542">
        <v>268850.96000000002</v>
      </c>
    </row>
    <row r="277" spans="1:2" x14ac:dyDescent="0.2">
      <c r="A277" s="541">
        <v>42753</v>
      </c>
      <c r="B277" s="542">
        <v>268851</v>
      </c>
    </row>
    <row r="278" spans="1:2" x14ac:dyDescent="0.2">
      <c r="A278" s="541">
        <v>42754</v>
      </c>
      <c r="B278" s="542">
        <v>269075.21000000002</v>
      </c>
    </row>
    <row r="279" spans="1:2" x14ac:dyDescent="0.2">
      <c r="A279" s="541">
        <v>42755</v>
      </c>
      <c r="B279" s="542">
        <v>270983.21000000002</v>
      </c>
    </row>
    <row r="280" spans="1:2" x14ac:dyDescent="0.2">
      <c r="A280" s="541">
        <v>42758</v>
      </c>
      <c r="B280" s="542">
        <v>270983</v>
      </c>
    </row>
    <row r="281" spans="1:2" x14ac:dyDescent="0.2">
      <c r="A281" s="541">
        <v>42759</v>
      </c>
      <c r="B281" s="542">
        <v>270723.98</v>
      </c>
    </row>
    <row r="282" spans="1:2" x14ac:dyDescent="0.2">
      <c r="A282" s="541">
        <v>42760</v>
      </c>
      <c r="B282" s="542">
        <v>281353.09999999998</v>
      </c>
    </row>
    <row r="283" spans="1:2" x14ac:dyDescent="0.2">
      <c r="A283" s="541">
        <v>42761</v>
      </c>
      <c r="B283" s="542">
        <v>274313.84999999998</v>
      </c>
    </row>
    <row r="284" spans="1:2" x14ac:dyDescent="0.2">
      <c r="A284" s="541">
        <v>42762</v>
      </c>
      <c r="B284" s="542">
        <v>296447.59999999998</v>
      </c>
    </row>
    <row r="285" spans="1:2" x14ac:dyDescent="0.2">
      <c r="A285" s="541">
        <v>42765</v>
      </c>
      <c r="B285" s="542">
        <v>295107.96000000002</v>
      </c>
    </row>
    <row r="286" spans="1:2" x14ac:dyDescent="0.2">
      <c r="A286" s="541">
        <v>42766</v>
      </c>
      <c r="B286" s="542">
        <v>314030.53000000003</v>
      </c>
    </row>
    <row r="287" spans="1:2" x14ac:dyDescent="0.2">
      <c r="A287" s="541">
        <v>42767</v>
      </c>
      <c r="B287" s="542">
        <v>314031</v>
      </c>
    </row>
    <row r="288" spans="1:2" x14ac:dyDescent="0.2">
      <c r="A288" s="541">
        <v>42768</v>
      </c>
      <c r="B288" s="542">
        <v>312808.53999999998</v>
      </c>
    </row>
    <row r="289" spans="1:2" x14ac:dyDescent="0.2">
      <c r="A289" s="541">
        <v>42769</v>
      </c>
      <c r="B289" s="542">
        <v>316461.53999999998</v>
      </c>
    </row>
    <row r="290" spans="1:2" x14ac:dyDescent="0.2">
      <c r="A290" s="541">
        <v>42772</v>
      </c>
      <c r="B290" s="542">
        <v>316462</v>
      </c>
    </row>
    <row r="291" spans="1:2" x14ac:dyDescent="0.2">
      <c r="A291" s="541">
        <v>42773</v>
      </c>
      <c r="B291" s="542">
        <v>289560.21999999997</v>
      </c>
    </row>
    <row r="292" spans="1:2" x14ac:dyDescent="0.2">
      <c r="A292" s="541">
        <v>42774</v>
      </c>
      <c r="B292" s="542">
        <v>297310.21999999997</v>
      </c>
    </row>
    <row r="293" spans="1:2" x14ac:dyDescent="0.2">
      <c r="A293" s="541">
        <v>42775</v>
      </c>
      <c r="B293" s="542">
        <v>352433.91</v>
      </c>
    </row>
    <row r="294" spans="1:2" x14ac:dyDescent="0.2">
      <c r="A294" s="541">
        <v>42776</v>
      </c>
      <c r="B294" s="542">
        <v>352434</v>
      </c>
    </row>
    <row r="295" spans="1:2" x14ac:dyDescent="0.2">
      <c r="A295" s="541">
        <v>42779</v>
      </c>
      <c r="B295" s="542">
        <v>352434</v>
      </c>
    </row>
    <row r="296" spans="1:2" x14ac:dyDescent="0.2">
      <c r="A296" s="541">
        <v>42780</v>
      </c>
      <c r="B296" s="542">
        <v>352434</v>
      </c>
    </row>
    <row r="297" spans="1:2" x14ac:dyDescent="0.2">
      <c r="A297" s="541">
        <v>42781</v>
      </c>
      <c r="B297" s="542">
        <v>352542.46</v>
      </c>
    </row>
    <row r="298" spans="1:2" x14ac:dyDescent="0.2">
      <c r="A298" s="541">
        <v>42782</v>
      </c>
      <c r="B298" s="542">
        <v>383231.99</v>
      </c>
    </row>
    <row r="299" spans="1:2" x14ac:dyDescent="0.2">
      <c r="A299" s="541">
        <v>42783</v>
      </c>
      <c r="B299" s="578">
        <v>404679.36</v>
      </c>
    </row>
    <row r="300" spans="1:2" x14ac:dyDescent="0.2">
      <c r="A300" s="541">
        <v>42785</v>
      </c>
      <c r="B300" s="542">
        <v>404679</v>
      </c>
    </row>
    <row r="301" spans="1:2" x14ac:dyDescent="0.2">
      <c r="A301" s="541">
        <v>42787</v>
      </c>
      <c r="B301" s="542">
        <v>368703.72</v>
      </c>
    </row>
    <row r="302" spans="1:2" x14ac:dyDescent="0.2">
      <c r="A302" s="541">
        <v>42788</v>
      </c>
      <c r="B302" s="542">
        <v>368203.72</v>
      </c>
    </row>
    <row r="303" spans="1:2" x14ac:dyDescent="0.2">
      <c r="A303" s="541">
        <v>42789</v>
      </c>
      <c r="B303" s="542">
        <v>349211.92</v>
      </c>
    </row>
    <row r="304" spans="1:2" x14ac:dyDescent="0.2">
      <c r="A304" s="541">
        <v>42790</v>
      </c>
      <c r="B304" s="542">
        <v>384176.45</v>
      </c>
    </row>
    <row r="305" spans="1:2" x14ac:dyDescent="0.2">
      <c r="A305" s="541">
        <v>42793</v>
      </c>
      <c r="B305" s="542">
        <v>384176</v>
      </c>
    </row>
    <row r="306" spans="1:2" x14ac:dyDescent="0.2">
      <c r="A306" s="541">
        <v>42794</v>
      </c>
      <c r="B306" s="542">
        <v>384176</v>
      </c>
    </row>
    <row r="307" spans="1:2" x14ac:dyDescent="0.2">
      <c r="A307" s="541">
        <v>42795</v>
      </c>
      <c r="B307" s="542">
        <v>384176</v>
      </c>
    </row>
    <row r="308" spans="1:2" x14ac:dyDescent="0.2">
      <c r="A308" s="541">
        <v>42796</v>
      </c>
      <c r="B308" s="542">
        <v>395396.43</v>
      </c>
    </row>
    <row r="309" spans="1:2" x14ac:dyDescent="0.2">
      <c r="A309" s="541">
        <v>42797</v>
      </c>
      <c r="B309" s="542">
        <v>395396</v>
      </c>
    </row>
    <row r="310" spans="1:2" x14ac:dyDescent="0.2">
      <c r="A310" s="541">
        <v>42800</v>
      </c>
      <c r="B310" s="542">
        <v>395396</v>
      </c>
    </row>
    <row r="311" spans="1:2" x14ac:dyDescent="0.2">
      <c r="A311" s="541">
        <v>42801</v>
      </c>
      <c r="B311" s="542">
        <v>361856.47</v>
      </c>
    </row>
    <row r="312" spans="1:2" x14ac:dyDescent="0.2">
      <c r="A312" s="541">
        <v>42802</v>
      </c>
      <c r="B312" s="542">
        <v>361856</v>
      </c>
    </row>
    <row r="313" spans="1:2" x14ac:dyDescent="0.2">
      <c r="A313" s="541">
        <v>42803</v>
      </c>
      <c r="B313" s="542">
        <v>349877.16</v>
      </c>
    </row>
    <row r="314" spans="1:2" x14ac:dyDescent="0.2">
      <c r="A314" s="541">
        <v>42804</v>
      </c>
      <c r="B314" s="542">
        <v>359297.81</v>
      </c>
    </row>
    <row r="315" spans="1:2" x14ac:dyDescent="0.2">
      <c r="A315" s="541">
        <v>42807</v>
      </c>
      <c r="B315" s="542">
        <v>361678.91</v>
      </c>
    </row>
    <row r="316" spans="1:2" x14ac:dyDescent="0.2">
      <c r="A316" s="541">
        <v>42808</v>
      </c>
      <c r="B316" s="542">
        <v>361679</v>
      </c>
    </row>
    <row r="317" spans="1:2" x14ac:dyDescent="0.2">
      <c r="A317" s="541">
        <v>42809</v>
      </c>
      <c r="B317" s="542">
        <v>370843.37</v>
      </c>
    </row>
    <row r="318" spans="1:2" x14ac:dyDescent="0.2">
      <c r="A318" s="541">
        <v>42810</v>
      </c>
      <c r="B318" s="542">
        <v>377566.07</v>
      </c>
    </row>
    <row r="319" spans="1:2" x14ac:dyDescent="0.2">
      <c r="A319" s="541">
        <v>42811</v>
      </c>
      <c r="B319" s="542">
        <v>370373.97</v>
      </c>
    </row>
    <row r="320" spans="1:2" x14ac:dyDescent="0.2">
      <c r="A320" s="541">
        <v>42814</v>
      </c>
      <c r="B320" s="542">
        <v>338340.3</v>
      </c>
    </row>
    <row r="321" spans="1:2" x14ac:dyDescent="0.2">
      <c r="A321" s="541">
        <v>42815</v>
      </c>
      <c r="B321" s="542">
        <v>338340</v>
      </c>
    </row>
    <row r="322" spans="1:2" x14ac:dyDescent="0.2">
      <c r="A322" s="541">
        <v>42816</v>
      </c>
      <c r="B322" s="542">
        <v>338340</v>
      </c>
    </row>
    <row r="323" spans="1:2" x14ac:dyDescent="0.2">
      <c r="A323" s="541">
        <v>42817</v>
      </c>
      <c r="B323" s="542">
        <f>25944.71+322493.66</f>
        <v>348438.37</v>
      </c>
    </row>
    <row r="324" spans="1:2" x14ac:dyDescent="0.2">
      <c r="A324" s="541">
        <v>42818</v>
      </c>
      <c r="B324" s="542">
        <v>348438</v>
      </c>
    </row>
    <row r="325" spans="1:2" x14ac:dyDescent="0.2">
      <c r="A325" s="541">
        <v>42821</v>
      </c>
      <c r="B325" s="542">
        <v>348360.51</v>
      </c>
    </row>
    <row r="326" spans="1:2" x14ac:dyDescent="0.2">
      <c r="A326" s="541">
        <v>42822</v>
      </c>
      <c r="B326" s="517">
        <v>348440.48</v>
      </c>
    </row>
    <row r="327" spans="1:2" x14ac:dyDescent="0.2">
      <c r="A327" s="541">
        <v>42823</v>
      </c>
      <c r="B327" s="517">
        <v>348440</v>
      </c>
    </row>
    <row r="328" spans="1:2" x14ac:dyDescent="0.2">
      <c r="A328" s="541">
        <v>42824</v>
      </c>
      <c r="B328" s="517">
        <v>350305.92</v>
      </c>
    </row>
    <row r="329" spans="1:2" x14ac:dyDescent="0.2">
      <c r="A329" s="541">
        <v>42825</v>
      </c>
      <c r="B329" s="517">
        <v>350306</v>
      </c>
    </row>
    <row r="330" spans="1:2" x14ac:dyDescent="0.2">
      <c r="A330" s="541">
        <v>42828</v>
      </c>
      <c r="B330" s="517">
        <v>350306</v>
      </c>
    </row>
    <row r="331" spans="1:2" x14ac:dyDescent="0.2">
      <c r="A331" s="541">
        <v>42829</v>
      </c>
      <c r="B331" s="517">
        <v>320389.65000000002</v>
      </c>
    </row>
    <row r="332" spans="1:2" x14ac:dyDescent="0.2">
      <c r="A332" s="541">
        <v>42830</v>
      </c>
      <c r="B332" s="517">
        <v>320390</v>
      </c>
    </row>
    <row r="333" spans="1:2" x14ac:dyDescent="0.2">
      <c r="A333" s="541">
        <v>42831</v>
      </c>
      <c r="B333" s="517">
        <v>313344</v>
      </c>
    </row>
    <row r="334" spans="1:2" x14ac:dyDescent="0.2">
      <c r="A334" s="541">
        <v>42832</v>
      </c>
      <c r="B334" s="517">
        <v>313344</v>
      </c>
    </row>
    <row r="335" spans="1:2" x14ac:dyDescent="0.2">
      <c r="A335" s="541">
        <v>42835</v>
      </c>
      <c r="B335" s="517">
        <v>306132.78000000003</v>
      </c>
    </row>
    <row r="336" spans="1:2" x14ac:dyDescent="0.2">
      <c r="A336" s="541">
        <v>42836</v>
      </c>
      <c r="B336" s="517">
        <v>286047.34999999998</v>
      </c>
    </row>
    <row r="337" spans="1:2" x14ac:dyDescent="0.2">
      <c r="A337" s="541">
        <v>42837</v>
      </c>
      <c r="B337" s="517">
        <v>286047</v>
      </c>
    </row>
    <row r="338" spans="1:2" x14ac:dyDescent="0.2">
      <c r="A338" s="541">
        <v>42838</v>
      </c>
      <c r="B338" s="517">
        <v>272128.99</v>
      </c>
    </row>
    <row r="339" spans="1:2" x14ac:dyDescent="0.2">
      <c r="A339" s="541">
        <v>42839</v>
      </c>
      <c r="B339" s="517">
        <v>272229.71000000002</v>
      </c>
    </row>
    <row r="340" spans="1:2" x14ac:dyDescent="0.2">
      <c r="A340" s="541">
        <v>42842</v>
      </c>
      <c r="B340" s="517">
        <v>236683.56</v>
      </c>
    </row>
    <row r="341" spans="1:2" x14ac:dyDescent="0.2">
      <c r="A341" s="541">
        <v>42843</v>
      </c>
      <c r="B341" s="517">
        <v>244114.64</v>
      </c>
    </row>
    <row r="342" spans="1:2" x14ac:dyDescent="0.2">
      <c r="A342" s="541">
        <v>42844</v>
      </c>
      <c r="B342" s="517">
        <v>244115</v>
      </c>
    </row>
    <row r="343" spans="1:2" x14ac:dyDescent="0.2">
      <c r="A343" s="541">
        <v>42845</v>
      </c>
      <c r="B343" s="517">
        <v>241798.76</v>
      </c>
    </row>
    <row r="344" spans="1:2" x14ac:dyDescent="0.2">
      <c r="A344" s="541">
        <v>42846</v>
      </c>
      <c r="B344" s="517">
        <v>241799</v>
      </c>
    </row>
    <row r="345" spans="1:2" x14ac:dyDescent="0.2">
      <c r="A345" s="541">
        <v>42849</v>
      </c>
      <c r="B345" s="517">
        <v>241973.76000000001</v>
      </c>
    </row>
    <row r="346" spans="1:2" x14ac:dyDescent="0.2">
      <c r="A346" s="541">
        <v>42850</v>
      </c>
      <c r="B346" s="517">
        <v>243364.2</v>
      </c>
    </row>
    <row r="347" spans="1:2" x14ac:dyDescent="0.2">
      <c r="A347" s="541">
        <v>42851</v>
      </c>
      <c r="B347" s="517">
        <v>243364</v>
      </c>
    </row>
    <row r="348" spans="1:2" x14ac:dyDescent="0.2">
      <c r="A348" s="541">
        <v>42852</v>
      </c>
      <c r="B348" s="517">
        <v>259265.45</v>
      </c>
    </row>
    <row r="349" spans="1:2" x14ac:dyDescent="0.2">
      <c r="A349" s="541">
        <v>42853</v>
      </c>
      <c r="B349" s="517">
        <v>290731.18</v>
      </c>
    </row>
    <row r="350" spans="1:2" x14ac:dyDescent="0.2">
      <c r="A350" s="541">
        <v>42856</v>
      </c>
      <c r="B350" s="517">
        <v>251486.17</v>
      </c>
    </row>
    <row r="351" spans="1:2" x14ac:dyDescent="0.2">
      <c r="A351" s="541">
        <v>42857</v>
      </c>
      <c r="B351" s="517">
        <v>253188.17</v>
      </c>
    </row>
    <row r="352" spans="1:2" x14ac:dyDescent="0.2">
      <c r="A352" s="541">
        <v>42858</v>
      </c>
      <c r="B352" s="517">
        <v>253188</v>
      </c>
    </row>
    <row r="353" spans="1:2" x14ac:dyDescent="0.2">
      <c r="A353" s="541">
        <v>42859</v>
      </c>
      <c r="B353" s="517">
        <v>232739.33</v>
      </c>
    </row>
    <row r="354" spans="1:2" x14ac:dyDescent="0.2">
      <c r="A354" s="541">
        <v>42860</v>
      </c>
      <c r="B354" s="517">
        <v>234049.33</v>
      </c>
    </row>
    <row r="355" spans="1:2" x14ac:dyDescent="0.2">
      <c r="A355" s="541">
        <v>42863</v>
      </c>
      <c r="B355" s="517">
        <v>314317.77</v>
      </c>
    </row>
    <row r="356" spans="1:2" x14ac:dyDescent="0.2">
      <c r="A356" s="541">
        <v>42864</v>
      </c>
      <c r="B356" s="517">
        <v>314318</v>
      </c>
    </row>
    <row r="357" spans="1:2" x14ac:dyDescent="0.2">
      <c r="A357" s="541">
        <v>42865</v>
      </c>
      <c r="B357" s="517">
        <v>314318</v>
      </c>
    </row>
    <row r="358" spans="1:2" x14ac:dyDescent="0.2">
      <c r="A358" s="541">
        <v>42866</v>
      </c>
      <c r="B358" s="517">
        <v>313971.28000000003</v>
      </c>
    </row>
    <row r="359" spans="1:2" x14ac:dyDescent="0.2">
      <c r="A359" s="541">
        <v>42867</v>
      </c>
      <c r="B359" s="517">
        <v>313971</v>
      </c>
    </row>
    <row r="360" spans="1:2" x14ac:dyDescent="0.2">
      <c r="A360" s="541">
        <v>42870</v>
      </c>
      <c r="B360" s="517">
        <v>271063.69</v>
      </c>
    </row>
    <row r="361" spans="1:2" x14ac:dyDescent="0.2">
      <c r="A361" s="541">
        <v>42871</v>
      </c>
      <c r="B361" s="517">
        <v>271064</v>
      </c>
    </row>
    <row r="362" spans="1:2" x14ac:dyDescent="0.2">
      <c r="A362" s="541">
        <v>42872</v>
      </c>
      <c r="B362" s="517">
        <v>271064</v>
      </c>
    </row>
    <row r="363" spans="1:2" x14ac:dyDescent="0.2">
      <c r="A363" s="541">
        <v>42873</v>
      </c>
      <c r="B363" s="517">
        <v>261497.73</v>
      </c>
    </row>
    <row r="364" spans="1:2" x14ac:dyDescent="0.2">
      <c r="A364" s="541">
        <v>42874</v>
      </c>
      <c r="B364" s="517">
        <v>311507.92</v>
      </c>
    </row>
    <row r="365" spans="1:2" x14ac:dyDescent="0.2">
      <c r="A365" s="541">
        <v>42877</v>
      </c>
      <c r="B365" s="517">
        <v>290080.52</v>
      </c>
    </row>
    <row r="366" spans="1:2" x14ac:dyDescent="0.2">
      <c r="A366" s="541">
        <v>42878</v>
      </c>
      <c r="B366" s="517">
        <v>290081</v>
      </c>
    </row>
    <row r="367" spans="1:2" x14ac:dyDescent="0.2">
      <c r="A367" s="541">
        <v>42879</v>
      </c>
      <c r="B367" s="517">
        <v>327080.46000000002</v>
      </c>
    </row>
    <row r="368" spans="1:2" x14ac:dyDescent="0.2">
      <c r="A368" s="541">
        <v>42880</v>
      </c>
      <c r="B368" s="517">
        <v>327080</v>
      </c>
    </row>
    <row r="369" spans="1:2" x14ac:dyDescent="0.2">
      <c r="A369" s="541">
        <v>42881</v>
      </c>
      <c r="B369" s="517">
        <v>336844.12</v>
      </c>
    </row>
    <row r="370" spans="1:2" x14ac:dyDescent="0.2">
      <c r="A370" s="541">
        <v>42884</v>
      </c>
      <c r="B370" s="517">
        <v>336844</v>
      </c>
    </row>
    <row r="371" spans="1:2" x14ac:dyDescent="0.2">
      <c r="A371" s="541">
        <v>42885</v>
      </c>
      <c r="B371" s="517">
        <v>300553.48</v>
      </c>
    </row>
    <row r="372" spans="1:2" x14ac:dyDescent="0.2">
      <c r="A372" s="541">
        <v>42886</v>
      </c>
      <c r="B372" s="517">
        <v>296887.5</v>
      </c>
    </row>
    <row r="373" spans="1:2" x14ac:dyDescent="0.2">
      <c r="A373" s="541">
        <v>42887</v>
      </c>
      <c r="B373" s="517">
        <v>297355.68</v>
      </c>
    </row>
    <row r="374" spans="1:2" x14ac:dyDescent="0.2">
      <c r="A374" s="541">
        <v>42888</v>
      </c>
      <c r="B374" s="517">
        <v>298760.68</v>
      </c>
    </row>
    <row r="375" spans="1:2" x14ac:dyDescent="0.2">
      <c r="A375" s="541">
        <v>42891</v>
      </c>
      <c r="B375" s="517">
        <v>279006.82</v>
      </c>
    </row>
    <row r="376" spans="1:2" x14ac:dyDescent="0.2">
      <c r="A376" s="541">
        <v>42892</v>
      </c>
      <c r="B376" s="517">
        <v>279007</v>
      </c>
    </row>
    <row r="377" spans="1:2" x14ac:dyDescent="0.2">
      <c r="A377" s="541">
        <v>42893</v>
      </c>
      <c r="B377" s="517">
        <v>279007</v>
      </c>
    </row>
    <row r="378" spans="1:2" x14ac:dyDescent="0.2">
      <c r="A378" s="541">
        <v>42894</v>
      </c>
      <c r="B378" s="517">
        <v>279112.07</v>
      </c>
    </row>
    <row r="379" spans="1:2" x14ac:dyDescent="0.2">
      <c r="A379" s="541">
        <v>42895</v>
      </c>
      <c r="B379" s="517">
        <v>279112</v>
      </c>
    </row>
    <row r="380" spans="1:2" x14ac:dyDescent="0.2">
      <c r="A380" s="541">
        <v>42898</v>
      </c>
      <c r="B380" s="517">
        <v>244072.02</v>
      </c>
    </row>
    <row r="381" spans="1:2" x14ac:dyDescent="0.2">
      <c r="A381" s="541">
        <v>42899</v>
      </c>
      <c r="B381" s="517">
        <v>249325.41</v>
      </c>
    </row>
    <row r="382" spans="1:2" x14ac:dyDescent="0.2">
      <c r="A382" s="541">
        <v>42900</v>
      </c>
      <c r="B382" s="517">
        <v>249325</v>
      </c>
    </row>
    <row r="383" spans="1:2" x14ac:dyDescent="0.2">
      <c r="A383" s="541">
        <v>42901</v>
      </c>
      <c r="B383" s="517">
        <v>252874.48</v>
      </c>
    </row>
    <row r="384" spans="1:2" x14ac:dyDescent="0.2">
      <c r="A384" s="541">
        <v>42902</v>
      </c>
      <c r="B384" s="517">
        <v>253128.65</v>
      </c>
    </row>
    <row r="385" spans="1:2" x14ac:dyDescent="0.2">
      <c r="A385" s="541">
        <v>42905</v>
      </c>
      <c r="B385" s="517">
        <v>255098.96</v>
      </c>
    </row>
    <row r="386" spans="1:2" x14ac:dyDescent="0.2">
      <c r="A386" s="541">
        <v>42906</v>
      </c>
      <c r="B386" s="517">
        <v>253521.42</v>
      </c>
    </row>
    <row r="387" spans="1:2" x14ac:dyDescent="0.2">
      <c r="A387" s="541">
        <v>42907</v>
      </c>
      <c r="B387" s="517">
        <v>253521</v>
      </c>
    </row>
    <row r="388" spans="1:2" x14ac:dyDescent="0.2">
      <c r="A388" s="541">
        <v>42908</v>
      </c>
      <c r="B388" s="517">
        <v>235912.36</v>
      </c>
    </row>
    <row r="389" spans="1:2" x14ac:dyDescent="0.2">
      <c r="A389" s="541">
        <v>42909</v>
      </c>
      <c r="B389" s="517">
        <v>235912</v>
      </c>
    </row>
    <row r="390" spans="1:2" x14ac:dyDescent="0.2">
      <c r="A390" s="541">
        <v>42912</v>
      </c>
      <c r="B390" s="579">
        <v>198879.76</v>
      </c>
    </row>
    <row r="391" spans="1:2" x14ac:dyDescent="0.2">
      <c r="A391" s="541">
        <v>42913</v>
      </c>
      <c r="B391" s="517">
        <v>199009.76</v>
      </c>
    </row>
    <row r="392" spans="1:2" x14ac:dyDescent="0.2">
      <c r="A392" s="541">
        <v>42914</v>
      </c>
      <c r="B392" s="517">
        <v>199010</v>
      </c>
    </row>
    <row r="393" spans="1:2" x14ac:dyDescent="0.2">
      <c r="A393" s="541">
        <v>42915</v>
      </c>
      <c r="B393" s="517">
        <v>210354</v>
      </c>
    </row>
    <row r="394" spans="1:2" x14ac:dyDescent="0.2">
      <c r="A394" s="541">
        <v>42916</v>
      </c>
      <c r="B394" s="517">
        <v>260779.62</v>
      </c>
    </row>
    <row r="395" spans="1:2" x14ac:dyDescent="0.2">
      <c r="A395" s="541">
        <v>42919</v>
      </c>
      <c r="B395" s="517">
        <v>260780</v>
      </c>
    </row>
    <row r="396" spans="1:2" x14ac:dyDescent="0.2">
      <c r="A396" s="541">
        <v>42920</v>
      </c>
      <c r="B396" s="517">
        <v>260780</v>
      </c>
    </row>
    <row r="397" spans="1:2" x14ac:dyDescent="0.2">
      <c r="A397" s="541">
        <v>42921</v>
      </c>
      <c r="B397" s="517">
        <v>260780</v>
      </c>
    </row>
    <row r="398" spans="1:2" x14ac:dyDescent="0.2">
      <c r="A398" s="541">
        <v>42922</v>
      </c>
      <c r="B398" s="517">
        <v>261774.11</v>
      </c>
    </row>
    <row r="399" spans="1:2" x14ac:dyDescent="0.2">
      <c r="A399" s="541">
        <v>42923</v>
      </c>
      <c r="B399" s="517">
        <v>261774</v>
      </c>
    </row>
    <row r="400" spans="1:2" x14ac:dyDescent="0.2">
      <c r="A400" s="541">
        <v>42926</v>
      </c>
      <c r="B400" s="517">
        <v>226950.89</v>
      </c>
    </row>
    <row r="401" spans="1:2" x14ac:dyDescent="0.2">
      <c r="A401" s="541">
        <v>42927</v>
      </c>
      <c r="B401" s="517">
        <v>226951</v>
      </c>
    </row>
    <row r="402" spans="1:2" x14ac:dyDescent="0.2">
      <c r="A402" s="541">
        <v>42928</v>
      </c>
      <c r="B402" s="517">
        <v>248711.94</v>
      </c>
    </row>
    <row r="403" spans="1:2" x14ac:dyDescent="0.2">
      <c r="A403" s="541">
        <v>42929</v>
      </c>
      <c r="B403" s="517">
        <v>256201.58</v>
      </c>
    </row>
    <row r="404" spans="1:2" x14ac:dyDescent="0.2">
      <c r="A404" s="541">
        <v>42930</v>
      </c>
      <c r="B404" s="517">
        <v>256272.97</v>
      </c>
    </row>
    <row r="405" spans="1:2" x14ac:dyDescent="0.2">
      <c r="A405" s="541">
        <v>42933</v>
      </c>
      <c r="B405" s="517">
        <v>256056.42</v>
      </c>
    </row>
    <row r="406" spans="1:2" x14ac:dyDescent="0.2">
      <c r="A406" s="541">
        <v>42934</v>
      </c>
      <c r="B406" s="517">
        <v>257213.96</v>
      </c>
    </row>
    <row r="407" spans="1:2" x14ac:dyDescent="0.2">
      <c r="A407" s="541">
        <v>42935</v>
      </c>
      <c r="B407" s="517">
        <v>257214</v>
      </c>
    </row>
    <row r="408" spans="1:2" x14ac:dyDescent="0.2">
      <c r="A408" s="541">
        <v>42936</v>
      </c>
      <c r="B408" s="517">
        <v>260075.5</v>
      </c>
    </row>
    <row r="409" spans="1:2" x14ac:dyDescent="0.2">
      <c r="A409" s="541">
        <v>42937</v>
      </c>
      <c r="B409" s="517">
        <v>339825.5</v>
      </c>
    </row>
    <row r="410" spans="1:2" x14ac:dyDescent="0.2">
      <c r="A410" s="541">
        <v>42940</v>
      </c>
      <c r="B410" s="517">
        <v>303182.65000000002</v>
      </c>
    </row>
    <row r="411" spans="1:2" x14ac:dyDescent="0.2">
      <c r="A411" s="541">
        <v>42941</v>
      </c>
      <c r="B411" s="517">
        <v>322340.12</v>
      </c>
    </row>
    <row r="412" spans="1:2" x14ac:dyDescent="0.2">
      <c r="A412" s="541">
        <v>42942</v>
      </c>
      <c r="B412" s="517">
        <v>322340</v>
      </c>
    </row>
    <row r="413" spans="1:2" x14ac:dyDescent="0.2">
      <c r="A413" s="541">
        <v>42943</v>
      </c>
      <c r="B413" s="517">
        <v>308772.78999999998</v>
      </c>
    </row>
    <row r="414" spans="1:2" x14ac:dyDescent="0.2">
      <c r="A414" s="541">
        <v>42944</v>
      </c>
      <c r="B414" s="517">
        <v>317343.40999999997</v>
      </c>
    </row>
    <row r="415" spans="1:2" x14ac:dyDescent="0.2">
      <c r="A415" s="541">
        <v>42947</v>
      </c>
      <c r="B415" s="517">
        <v>317343</v>
      </c>
    </row>
    <row r="416" spans="1:2" x14ac:dyDescent="0.2">
      <c r="A416" s="541">
        <v>42948</v>
      </c>
      <c r="B416" s="517">
        <v>369152.35</v>
      </c>
    </row>
    <row r="417" spans="1:2" x14ac:dyDescent="0.2">
      <c r="A417" s="541">
        <v>42949</v>
      </c>
      <c r="B417" s="517">
        <v>371061.94</v>
      </c>
    </row>
    <row r="418" spans="1:2" x14ac:dyDescent="0.2">
      <c r="A418" s="541">
        <v>42950</v>
      </c>
      <c r="B418" s="517">
        <v>372080.87</v>
      </c>
    </row>
    <row r="419" spans="1:2" x14ac:dyDescent="0.2">
      <c r="A419" s="541">
        <v>42951</v>
      </c>
      <c r="B419" s="517">
        <v>372080.87</v>
      </c>
    </row>
    <row r="420" spans="1:2" x14ac:dyDescent="0.2">
      <c r="A420" s="541">
        <v>42954</v>
      </c>
      <c r="B420" s="517">
        <v>336189.47</v>
      </c>
    </row>
    <row r="421" spans="1:2" x14ac:dyDescent="0.2">
      <c r="A421" s="541">
        <v>42955</v>
      </c>
      <c r="B421" s="517">
        <v>340998.07</v>
      </c>
    </row>
    <row r="422" spans="1:2" x14ac:dyDescent="0.2">
      <c r="A422" s="541">
        <v>42956</v>
      </c>
      <c r="B422" s="517">
        <v>332763.65000000002</v>
      </c>
    </row>
    <row r="423" spans="1:2" x14ac:dyDescent="0.2">
      <c r="A423" s="541">
        <v>42957</v>
      </c>
      <c r="B423" s="517">
        <v>375651.45</v>
      </c>
    </row>
    <row r="424" spans="1:2" x14ac:dyDescent="0.2">
      <c r="A424" s="541">
        <v>42958</v>
      </c>
      <c r="B424" s="517">
        <v>378293.21</v>
      </c>
    </row>
    <row r="425" spans="1:2" x14ac:dyDescent="0.2">
      <c r="A425" s="541">
        <v>42961</v>
      </c>
      <c r="B425" s="517">
        <v>378293</v>
      </c>
    </row>
    <row r="426" spans="1:2" x14ac:dyDescent="0.2">
      <c r="A426" s="541">
        <v>42962</v>
      </c>
      <c r="B426" s="517">
        <v>401190.06</v>
      </c>
    </row>
    <row r="427" spans="1:2" x14ac:dyDescent="0.2">
      <c r="A427" s="541">
        <v>42963</v>
      </c>
      <c r="B427" s="517">
        <v>401190</v>
      </c>
    </row>
    <row r="428" spans="1:2" x14ac:dyDescent="0.2">
      <c r="A428" s="541">
        <v>42964</v>
      </c>
      <c r="B428" s="517">
        <v>401569.72</v>
      </c>
    </row>
    <row r="429" spans="1:2" x14ac:dyDescent="0.2">
      <c r="A429" s="541">
        <v>42965</v>
      </c>
      <c r="B429" s="517">
        <v>403837.72</v>
      </c>
    </row>
    <row r="430" spans="1:2" x14ac:dyDescent="0.2">
      <c r="A430" s="541">
        <v>42968</v>
      </c>
      <c r="B430" s="517">
        <v>369495.17</v>
      </c>
    </row>
    <row r="431" spans="1:2" x14ac:dyDescent="0.2">
      <c r="A431" s="541">
        <v>42969</v>
      </c>
      <c r="B431" s="517">
        <v>379169.06</v>
      </c>
    </row>
    <row r="432" spans="1:2" x14ac:dyDescent="0.2">
      <c r="A432" s="541">
        <v>42970</v>
      </c>
      <c r="B432" s="517">
        <v>379169</v>
      </c>
    </row>
    <row r="433" spans="1:2" x14ac:dyDescent="0.2">
      <c r="A433" s="541">
        <v>42971</v>
      </c>
      <c r="B433" s="517">
        <v>372540.41</v>
      </c>
    </row>
    <row r="434" spans="1:2" x14ac:dyDescent="0.2">
      <c r="A434" s="541">
        <v>42972</v>
      </c>
      <c r="B434" s="517">
        <v>372540</v>
      </c>
    </row>
    <row r="435" spans="1:2" x14ac:dyDescent="0.2">
      <c r="A435" s="541">
        <v>42975</v>
      </c>
      <c r="B435" s="517">
        <v>372540</v>
      </c>
    </row>
    <row r="436" spans="1:2" x14ac:dyDescent="0.2">
      <c r="A436" s="541">
        <v>42976</v>
      </c>
      <c r="B436" s="517">
        <v>374625.25</v>
      </c>
    </row>
    <row r="437" spans="1:2" x14ac:dyDescent="0.2">
      <c r="A437" s="541">
        <v>42977</v>
      </c>
      <c r="B437" s="517">
        <v>382658.46</v>
      </c>
    </row>
    <row r="438" spans="1:2" x14ac:dyDescent="0.2">
      <c r="A438" s="541">
        <v>42978</v>
      </c>
      <c r="B438" s="517">
        <v>389160.26</v>
      </c>
    </row>
    <row r="439" spans="1:2" x14ac:dyDescent="0.2">
      <c r="A439" s="541">
        <v>42979</v>
      </c>
      <c r="B439" s="517">
        <v>389160</v>
      </c>
    </row>
    <row r="440" spans="1:2" x14ac:dyDescent="0.2">
      <c r="A440" s="541">
        <v>42982</v>
      </c>
      <c r="B440" s="517">
        <v>389160</v>
      </c>
    </row>
    <row r="441" spans="1:2" x14ac:dyDescent="0.2">
      <c r="A441" s="541">
        <v>42983</v>
      </c>
      <c r="B441" s="517">
        <v>352908.42</v>
      </c>
    </row>
    <row r="442" spans="1:2" x14ac:dyDescent="0.2">
      <c r="A442" s="541">
        <v>42984</v>
      </c>
      <c r="B442" s="517">
        <v>383959.41</v>
      </c>
    </row>
    <row r="443" spans="1:2" x14ac:dyDescent="0.2">
      <c r="A443" s="541">
        <v>42985</v>
      </c>
      <c r="B443" s="517">
        <v>403148.81</v>
      </c>
    </row>
    <row r="444" spans="1:2" x14ac:dyDescent="0.2">
      <c r="A444" s="541">
        <v>42986</v>
      </c>
      <c r="B444" s="517">
        <v>403344.11</v>
      </c>
    </row>
    <row r="445" spans="1:2" x14ac:dyDescent="0.2">
      <c r="A445" s="541">
        <v>42989</v>
      </c>
      <c r="B445" s="517">
        <v>403344</v>
      </c>
    </row>
    <row r="446" spans="1:2" x14ac:dyDescent="0.2">
      <c r="A446" s="541">
        <v>42990</v>
      </c>
      <c r="B446" s="517">
        <v>403344</v>
      </c>
    </row>
    <row r="447" spans="1:2" x14ac:dyDescent="0.2">
      <c r="A447" s="541">
        <v>42991</v>
      </c>
      <c r="B447" s="517">
        <v>403344</v>
      </c>
    </row>
    <row r="448" spans="1:2" x14ac:dyDescent="0.2">
      <c r="A448" s="541">
        <v>42992</v>
      </c>
      <c r="B448" s="517">
        <v>400016.8</v>
      </c>
    </row>
    <row r="449" spans="1:2" x14ac:dyDescent="0.2">
      <c r="A449" s="541">
        <v>42993</v>
      </c>
      <c r="B449" s="517">
        <v>400134.96</v>
      </c>
    </row>
    <row r="450" spans="1:2" x14ac:dyDescent="0.2">
      <c r="A450" s="541">
        <v>42996</v>
      </c>
      <c r="B450" s="517">
        <v>364805.11</v>
      </c>
    </row>
    <row r="451" spans="1:2" x14ac:dyDescent="0.2">
      <c r="A451" s="541">
        <v>42997</v>
      </c>
      <c r="B451" s="517">
        <v>364805</v>
      </c>
    </row>
    <row r="452" spans="1:2" x14ac:dyDescent="0.2">
      <c r="A452" s="541">
        <v>42998</v>
      </c>
      <c r="B452" s="517">
        <v>371804.33</v>
      </c>
    </row>
    <row r="453" spans="1:2" x14ac:dyDescent="0.2">
      <c r="A453" s="541">
        <v>42999</v>
      </c>
      <c r="B453" s="517">
        <v>370759.85</v>
      </c>
    </row>
    <row r="454" spans="1:2" x14ac:dyDescent="0.2">
      <c r="A454" s="541">
        <v>43000</v>
      </c>
      <c r="B454" s="517">
        <v>389878.66</v>
      </c>
    </row>
    <row r="455" spans="1:2" x14ac:dyDescent="0.2">
      <c r="A455" s="541">
        <v>43003</v>
      </c>
      <c r="B455" s="517">
        <v>393013.02</v>
      </c>
    </row>
    <row r="456" spans="1:2" x14ac:dyDescent="0.2">
      <c r="A456" s="541">
        <v>43004</v>
      </c>
      <c r="B456" s="517">
        <v>393593.22</v>
      </c>
    </row>
    <row r="457" spans="1:2" x14ac:dyDescent="0.2">
      <c r="A457" s="541">
        <v>43005</v>
      </c>
      <c r="B457" s="517">
        <v>393593</v>
      </c>
    </row>
    <row r="458" spans="1:2" x14ac:dyDescent="0.2">
      <c r="A458" s="541">
        <v>43006</v>
      </c>
      <c r="B458" s="517">
        <v>385433.95</v>
      </c>
    </row>
    <row r="459" spans="1:2" x14ac:dyDescent="0.2">
      <c r="A459" s="541">
        <v>43007</v>
      </c>
      <c r="B459" s="517">
        <v>385678.15</v>
      </c>
    </row>
    <row r="460" spans="1:2" x14ac:dyDescent="0.2">
      <c r="A460" s="541">
        <v>43010</v>
      </c>
      <c r="B460" s="517">
        <v>350949.28</v>
      </c>
    </row>
    <row r="461" spans="1:2" x14ac:dyDescent="0.2">
      <c r="A461" s="541">
        <v>43011</v>
      </c>
      <c r="B461" s="517">
        <v>352010.98</v>
      </c>
    </row>
    <row r="462" spans="1:2" x14ac:dyDescent="0.2">
      <c r="A462" s="541">
        <v>43012</v>
      </c>
      <c r="B462" s="517">
        <v>352011</v>
      </c>
    </row>
    <row r="463" spans="1:2" x14ac:dyDescent="0.2">
      <c r="A463" s="541">
        <v>43013</v>
      </c>
      <c r="B463" s="517">
        <v>348679</v>
      </c>
    </row>
    <row r="464" spans="1:2" x14ac:dyDescent="0.2">
      <c r="A464" s="541">
        <v>43014</v>
      </c>
      <c r="B464" s="517">
        <v>348679</v>
      </c>
    </row>
    <row r="465" spans="1:2" x14ac:dyDescent="0.2">
      <c r="A465" s="541">
        <v>43017</v>
      </c>
      <c r="B465" s="517">
        <v>348679</v>
      </c>
    </row>
    <row r="466" spans="1:2" x14ac:dyDescent="0.2">
      <c r="A466" s="541">
        <v>43018</v>
      </c>
      <c r="B466" s="517">
        <v>348679</v>
      </c>
    </row>
    <row r="467" spans="1:2" x14ac:dyDescent="0.2">
      <c r="A467" s="541">
        <v>43019</v>
      </c>
      <c r="B467" s="517">
        <v>348761.24</v>
      </c>
    </row>
    <row r="468" spans="1:2" x14ac:dyDescent="0.2">
      <c r="A468" s="541">
        <v>43020</v>
      </c>
      <c r="B468" s="517">
        <v>349998.26</v>
      </c>
    </row>
    <row r="469" spans="1:2" x14ac:dyDescent="0.2">
      <c r="A469" s="541">
        <v>43021</v>
      </c>
      <c r="B469" s="517">
        <v>370561.14</v>
      </c>
    </row>
    <row r="470" spans="1:2" x14ac:dyDescent="0.2">
      <c r="A470" s="541">
        <v>43024</v>
      </c>
      <c r="B470" s="517">
        <v>336220.14</v>
      </c>
    </row>
    <row r="471" spans="1:2" x14ac:dyDescent="0.2">
      <c r="A471" s="541">
        <v>43025</v>
      </c>
      <c r="B471" s="517">
        <v>336332.14</v>
      </c>
    </row>
    <row r="472" spans="1:2" x14ac:dyDescent="0.2">
      <c r="A472" s="541">
        <v>43026</v>
      </c>
      <c r="B472" s="517">
        <v>336332</v>
      </c>
    </row>
    <row r="473" spans="1:2" x14ac:dyDescent="0.2">
      <c r="A473" s="541">
        <v>43027</v>
      </c>
      <c r="B473" s="517">
        <v>339185.02</v>
      </c>
    </row>
    <row r="474" spans="1:2" x14ac:dyDescent="0.2">
      <c r="A474" s="541">
        <v>43028</v>
      </c>
      <c r="B474" s="517">
        <v>344936.35</v>
      </c>
    </row>
    <row r="475" spans="1:2" x14ac:dyDescent="0.2">
      <c r="A475" s="541">
        <v>43031</v>
      </c>
      <c r="B475" s="517">
        <v>344564.68</v>
      </c>
    </row>
    <row r="476" spans="1:2" x14ac:dyDescent="0.2">
      <c r="A476" s="541">
        <v>43032</v>
      </c>
      <c r="B476" s="517">
        <v>344565</v>
      </c>
    </row>
    <row r="477" spans="1:2" x14ac:dyDescent="0.2">
      <c r="A477" s="541">
        <v>43033</v>
      </c>
      <c r="B477" s="517">
        <v>344829.18</v>
      </c>
    </row>
    <row r="478" spans="1:2" x14ac:dyDescent="0.2">
      <c r="A478" s="541">
        <v>43034</v>
      </c>
      <c r="B478" s="517">
        <v>339942.05</v>
      </c>
    </row>
    <row r="479" spans="1:2" x14ac:dyDescent="0.2">
      <c r="A479" s="541">
        <v>43035</v>
      </c>
      <c r="B479" s="517">
        <v>360185.72</v>
      </c>
    </row>
    <row r="480" spans="1:2" x14ac:dyDescent="0.2">
      <c r="A480" s="541">
        <v>43038</v>
      </c>
      <c r="B480" s="517">
        <v>323067.73</v>
      </c>
    </row>
    <row r="481" spans="1:2" x14ac:dyDescent="0.2">
      <c r="A481" s="541">
        <v>43039</v>
      </c>
      <c r="B481" s="517">
        <v>323197.73</v>
      </c>
    </row>
    <row r="482" spans="1:2" x14ac:dyDescent="0.2">
      <c r="A482" s="541">
        <v>43040</v>
      </c>
      <c r="B482" s="517">
        <v>323198</v>
      </c>
    </row>
    <row r="483" spans="1:2" x14ac:dyDescent="0.2">
      <c r="A483" s="541">
        <v>43041</v>
      </c>
      <c r="B483" s="517">
        <v>341044.7</v>
      </c>
    </row>
    <row r="484" spans="1:2" x14ac:dyDescent="0.2">
      <c r="A484" s="541">
        <v>43042</v>
      </c>
      <c r="B484" s="517">
        <v>341676.17</v>
      </c>
    </row>
    <row r="485" spans="1:2" x14ac:dyDescent="0.2">
      <c r="A485" s="541">
        <v>43045</v>
      </c>
      <c r="B485" s="517">
        <v>341676</v>
      </c>
    </row>
    <row r="486" spans="1:2" x14ac:dyDescent="0.2">
      <c r="A486" s="541">
        <v>43046</v>
      </c>
      <c r="B486" s="517">
        <v>341676</v>
      </c>
    </row>
    <row r="487" spans="1:2" x14ac:dyDescent="0.2">
      <c r="A487" s="541">
        <v>43047</v>
      </c>
      <c r="B487" s="517">
        <v>379863.97</v>
      </c>
    </row>
    <row r="488" spans="1:2" x14ac:dyDescent="0.2">
      <c r="A488" s="541">
        <v>43048</v>
      </c>
      <c r="B488" s="517">
        <v>378842.06</v>
      </c>
    </row>
    <row r="489" spans="1:2" x14ac:dyDescent="0.2">
      <c r="A489" s="541">
        <v>43049</v>
      </c>
      <c r="B489" s="517">
        <v>378842</v>
      </c>
    </row>
    <row r="490" spans="1:2" x14ac:dyDescent="0.2">
      <c r="A490" s="541">
        <v>43052</v>
      </c>
      <c r="B490" s="517">
        <v>340784.14</v>
      </c>
    </row>
    <row r="491" spans="1:2" x14ac:dyDescent="0.2">
      <c r="A491" s="541">
        <v>43053</v>
      </c>
      <c r="B491" s="517">
        <v>340784</v>
      </c>
    </row>
    <row r="492" spans="1:2" x14ac:dyDescent="0.2">
      <c r="A492" s="541">
        <v>43054</v>
      </c>
      <c r="B492" s="517">
        <v>340895.76</v>
      </c>
    </row>
    <row r="493" spans="1:2" x14ac:dyDescent="0.2">
      <c r="A493" s="541">
        <v>43055</v>
      </c>
      <c r="B493" s="517">
        <v>354246.44</v>
      </c>
    </row>
    <row r="494" spans="1:2" x14ac:dyDescent="0.2">
      <c r="A494" s="541">
        <v>43056</v>
      </c>
      <c r="B494" s="517">
        <v>354246.44</v>
      </c>
    </row>
    <row r="495" spans="1:2" x14ac:dyDescent="0.2">
      <c r="A495" s="541">
        <v>43059</v>
      </c>
      <c r="B495" s="517">
        <v>354264.44</v>
      </c>
    </row>
    <row r="496" spans="1:2" x14ac:dyDescent="0.2">
      <c r="A496" s="541">
        <v>43060</v>
      </c>
      <c r="B496" s="517">
        <v>354264</v>
      </c>
    </row>
    <row r="497" spans="1:2" x14ac:dyDescent="0.2">
      <c r="A497" s="541">
        <v>43061</v>
      </c>
      <c r="B497" s="517">
        <v>357804.55</v>
      </c>
    </row>
    <row r="498" spans="1:2" x14ac:dyDescent="0.2">
      <c r="A498" s="541">
        <v>43062</v>
      </c>
      <c r="B498" s="517">
        <v>357805</v>
      </c>
    </row>
    <row r="499" spans="1:2" x14ac:dyDescent="0.2">
      <c r="A499" s="541">
        <v>43063</v>
      </c>
      <c r="B499" s="517">
        <v>361119.05</v>
      </c>
    </row>
    <row r="500" spans="1:2" x14ac:dyDescent="0.2">
      <c r="A500" s="541">
        <v>43066</v>
      </c>
      <c r="B500" s="517">
        <v>318415.71000000002</v>
      </c>
    </row>
    <row r="501" spans="1:2" x14ac:dyDescent="0.2">
      <c r="A501" s="541">
        <v>43067</v>
      </c>
      <c r="B501" s="517">
        <v>320237.53999999998</v>
      </c>
    </row>
    <row r="502" spans="1:2" x14ac:dyDescent="0.2">
      <c r="A502" s="541">
        <v>43068</v>
      </c>
      <c r="B502" s="517">
        <v>320237.53999999998</v>
      </c>
    </row>
    <row r="503" spans="1:2" x14ac:dyDescent="0.2">
      <c r="A503" s="541">
        <v>43069</v>
      </c>
      <c r="B503" s="517">
        <v>325286.46999999997</v>
      </c>
    </row>
    <row r="504" spans="1:2" x14ac:dyDescent="0.2">
      <c r="A504" s="541">
        <v>43070</v>
      </c>
      <c r="B504" s="517">
        <v>334247.03000000003</v>
      </c>
    </row>
    <row r="505" spans="1:2" x14ac:dyDescent="0.2">
      <c r="A505" s="541">
        <v>43073</v>
      </c>
      <c r="B505" s="517">
        <v>334247</v>
      </c>
    </row>
    <row r="506" spans="1:2" x14ac:dyDescent="0.2">
      <c r="A506" s="541">
        <v>43074</v>
      </c>
      <c r="B506" s="517">
        <v>334247.03000000003</v>
      </c>
    </row>
    <row r="507" spans="1:2" x14ac:dyDescent="0.2">
      <c r="A507" s="541">
        <v>43075</v>
      </c>
      <c r="B507" s="517">
        <v>334247</v>
      </c>
    </row>
    <row r="508" spans="1:2" x14ac:dyDescent="0.2">
      <c r="A508" s="541">
        <v>43076</v>
      </c>
      <c r="B508" s="517">
        <v>323171.46000000002</v>
      </c>
    </row>
    <row r="509" spans="1:2" x14ac:dyDescent="0.2">
      <c r="A509" s="541">
        <v>43077</v>
      </c>
      <c r="B509" s="517">
        <v>324229.90999999997</v>
      </c>
    </row>
    <row r="510" spans="1:2" x14ac:dyDescent="0.2">
      <c r="A510" s="541">
        <v>43080</v>
      </c>
      <c r="B510" s="517">
        <v>324230</v>
      </c>
    </row>
    <row r="511" spans="1:2" x14ac:dyDescent="0.2">
      <c r="A511" s="541">
        <v>43081</v>
      </c>
      <c r="B511" s="517">
        <v>286030.39</v>
      </c>
    </row>
    <row r="512" spans="1:2" x14ac:dyDescent="0.2">
      <c r="A512" s="541">
        <v>43082</v>
      </c>
      <c r="B512" s="517">
        <v>286197.44</v>
      </c>
    </row>
    <row r="513" spans="1:14" x14ac:dyDescent="0.2">
      <c r="A513" s="541">
        <v>43083</v>
      </c>
      <c r="B513" s="517">
        <v>280065.2</v>
      </c>
    </row>
    <row r="514" spans="1:14" x14ac:dyDescent="0.2">
      <c r="A514" s="541">
        <v>43084</v>
      </c>
      <c r="B514" s="517">
        <v>284409.09999999998</v>
      </c>
    </row>
    <row r="515" spans="1:14" x14ac:dyDescent="0.2">
      <c r="A515" s="541">
        <v>43087</v>
      </c>
      <c r="B515" s="517">
        <v>285119.09999999998</v>
      </c>
    </row>
    <row r="516" spans="1:14" x14ac:dyDescent="0.2">
      <c r="A516" s="541">
        <v>43088</v>
      </c>
      <c r="B516" s="517">
        <v>285395.49</v>
      </c>
    </row>
    <row r="517" spans="1:14" x14ac:dyDescent="0.2">
      <c r="A517" s="541">
        <v>43089</v>
      </c>
      <c r="B517" s="517">
        <v>285395</v>
      </c>
    </row>
    <row r="518" spans="1:14" x14ac:dyDescent="0.2">
      <c r="A518" s="541">
        <v>43090</v>
      </c>
      <c r="B518" s="517">
        <v>285542.49</v>
      </c>
    </row>
    <row r="519" spans="1:14" x14ac:dyDescent="0.2">
      <c r="A519" s="541">
        <v>43091</v>
      </c>
      <c r="B519" s="517">
        <v>285542</v>
      </c>
    </row>
    <row r="520" spans="1:14" x14ac:dyDescent="0.2">
      <c r="A520" s="541">
        <v>43094</v>
      </c>
      <c r="B520" s="517">
        <v>285542</v>
      </c>
    </row>
    <row r="521" spans="1:14" x14ac:dyDescent="0.2">
      <c r="A521" s="541">
        <v>43095</v>
      </c>
      <c r="B521" s="517">
        <v>248584.72</v>
      </c>
    </row>
    <row r="522" spans="1:14" x14ac:dyDescent="0.2">
      <c r="A522" s="541">
        <v>43096</v>
      </c>
      <c r="B522" s="517">
        <v>248585</v>
      </c>
    </row>
    <row r="523" spans="1:14" x14ac:dyDescent="0.2">
      <c r="A523" s="541">
        <v>43097</v>
      </c>
      <c r="B523" s="517">
        <v>270685.83</v>
      </c>
    </row>
    <row r="524" spans="1:14" x14ac:dyDescent="0.2">
      <c r="A524" s="541">
        <v>43098</v>
      </c>
      <c r="B524" s="517">
        <v>282558.58</v>
      </c>
    </row>
    <row r="525" spans="1:14" x14ac:dyDescent="0.2">
      <c r="A525" s="541">
        <v>43101</v>
      </c>
      <c r="B525" s="517">
        <v>282559</v>
      </c>
      <c r="F525" s="519"/>
      <c r="G525" t="s">
        <v>196</v>
      </c>
      <c r="H525" t="s">
        <v>226</v>
      </c>
      <c r="J525" t="s">
        <v>437</v>
      </c>
      <c r="K525" t="s">
        <v>226</v>
      </c>
      <c r="N525">
        <f>0.0425</f>
        <v>4.2500000000000003E-2</v>
      </c>
    </row>
    <row r="526" spans="1:14" x14ac:dyDescent="0.2">
      <c r="A526" s="541">
        <v>43102</v>
      </c>
      <c r="B526" s="517">
        <v>282508.58</v>
      </c>
      <c r="F526" s="519">
        <v>42370</v>
      </c>
      <c r="G526" s="520">
        <v>369484</v>
      </c>
      <c r="H526" s="643">
        <v>31036</v>
      </c>
      <c r="J526" s="519">
        <v>42461</v>
      </c>
      <c r="K526" s="643">
        <v>151036</v>
      </c>
      <c r="N526" s="774">
        <f>K526*N525/12 +K526</f>
        <v>151570.91916666666</v>
      </c>
    </row>
    <row r="527" spans="1:14" x14ac:dyDescent="0.2">
      <c r="A527" s="541">
        <v>43103</v>
      </c>
      <c r="B527" s="517">
        <v>282509</v>
      </c>
      <c r="F527" s="519">
        <v>42401</v>
      </c>
      <c r="G527" s="520">
        <v>295493.53000000003</v>
      </c>
      <c r="H527" s="643">
        <v>31035.72</v>
      </c>
      <c r="J527" s="519">
        <v>42491</v>
      </c>
      <c r="K527" s="643">
        <v>151087.09</v>
      </c>
      <c r="N527" s="774">
        <f>N$525*N526/12 +N526</f>
        <v>152107.73283871528</v>
      </c>
    </row>
    <row r="528" spans="1:14" x14ac:dyDescent="0.2">
      <c r="A528" s="541">
        <v>43104</v>
      </c>
      <c r="B528" s="517">
        <v>283213.14</v>
      </c>
      <c r="F528" s="519">
        <v>42430</v>
      </c>
      <c r="G528" s="520">
        <v>255865.07</v>
      </c>
      <c r="H528" s="643">
        <v>151035.72</v>
      </c>
      <c r="J528" s="519">
        <v>42551</v>
      </c>
      <c r="K528" s="643">
        <v>151336.84</v>
      </c>
      <c r="N528" s="774">
        <f t="shared" ref="N528:N566" si="3">N$525*N527/12 +N527</f>
        <v>152646.4477258524</v>
      </c>
    </row>
    <row r="529" spans="1:14" x14ac:dyDescent="0.2">
      <c r="A529" s="541">
        <v>43105</v>
      </c>
      <c r="B529" s="517">
        <v>297779.06</v>
      </c>
      <c r="F529" s="519">
        <v>42461</v>
      </c>
      <c r="G529" s="520">
        <v>294098.96000000002</v>
      </c>
      <c r="H529" s="643">
        <v>151036</v>
      </c>
      <c r="J529" s="519">
        <v>42582</v>
      </c>
      <c r="K529" s="643">
        <v>151611.29999999999</v>
      </c>
      <c r="N529" s="774">
        <f t="shared" si="3"/>
        <v>153187.07056154811</v>
      </c>
    </row>
    <row r="530" spans="1:14" x14ac:dyDescent="0.2">
      <c r="A530" s="541">
        <v>43108</v>
      </c>
      <c r="B530" s="517">
        <v>263886.2</v>
      </c>
      <c r="F530" s="519">
        <v>42491</v>
      </c>
      <c r="G530" s="520">
        <v>333922.02</v>
      </c>
      <c r="H530" s="643">
        <v>151087.09</v>
      </c>
      <c r="J530" s="519">
        <v>42583</v>
      </c>
      <c r="K530" s="643">
        <v>151776.70000000001</v>
      </c>
      <c r="N530" s="774">
        <f t="shared" si="3"/>
        <v>153729.60810312026</v>
      </c>
    </row>
    <row r="531" spans="1:14" x14ac:dyDescent="0.2">
      <c r="A531" s="541">
        <v>43109</v>
      </c>
      <c r="B531" s="517">
        <v>277030.96999999997</v>
      </c>
      <c r="F531" s="519">
        <v>42551</v>
      </c>
      <c r="G531" s="520">
        <v>384005.8</v>
      </c>
      <c r="H531" s="643">
        <v>151336.84</v>
      </c>
      <c r="J531" s="519">
        <v>42614</v>
      </c>
      <c r="K531" s="643">
        <v>151844.44</v>
      </c>
      <c r="N531" s="774">
        <f t="shared" si="3"/>
        <v>154274.06713181883</v>
      </c>
    </row>
    <row r="532" spans="1:14" x14ac:dyDescent="0.2">
      <c r="A532" s="541">
        <v>43110</v>
      </c>
      <c r="B532" s="517">
        <v>277031</v>
      </c>
      <c r="F532" s="519">
        <v>42582</v>
      </c>
      <c r="G532" s="520">
        <v>292004.15999999997</v>
      </c>
      <c r="H532" s="643">
        <v>151611.29999999999</v>
      </c>
      <c r="J532" s="519">
        <v>42644</v>
      </c>
      <c r="K532" s="643">
        <v>152036.04</v>
      </c>
      <c r="N532" s="774">
        <f t="shared" si="3"/>
        <v>154820.45445291069</v>
      </c>
    </row>
    <row r="533" spans="1:14" x14ac:dyDescent="0.2">
      <c r="A533" s="541">
        <v>43111</v>
      </c>
      <c r="B533" s="517">
        <v>281394.14</v>
      </c>
      <c r="F533" s="519">
        <v>42583</v>
      </c>
      <c r="G533" s="520">
        <v>182562.29</v>
      </c>
      <c r="H533" s="643">
        <v>151776.70000000001</v>
      </c>
      <c r="J533" s="519">
        <v>42675</v>
      </c>
      <c r="K533" s="643">
        <v>152464.91</v>
      </c>
      <c r="N533" s="774">
        <f t="shared" si="3"/>
        <v>155368.77689576475</v>
      </c>
    </row>
    <row r="534" spans="1:14" x14ac:dyDescent="0.2">
      <c r="A534" s="541">
        <v>43112</v>
      </c>
      <c r="B534" s="517">
        <v>281470.18</v>
      </c>
      <c r="F534" s="519">
        <v>42614</v>
      </c>
      <c r="G534" s="520">
        <v>242442.87</v>
      </c>
      <c r="H534" s="643">
        <v>151844.44</v>
      </c>
      <c r="J534" s="519">
        <v>42705</v>
      </c>
      <c r="K534" s="643">
        <v>154533.13</v>
      </c>
      <c r="N534" s="774">
        <f t="shared" si="3"/>
        <v>155919.04131393725</v>
      </c>
    </row>
    <row r="535" spans="1:14" x14ac:dyDescent="0.2">
      <c r="A535" s="541">
        <v>43115</v>
      </c>
      <c r="B535" s="517">
        <v>281470</v>
      </c>
      <c r="F535" s="519">
        <v>42644</v>
      </c>
      <c r="G535" s="520">
        <v>247104.37</v>
      </c>
      <c r="H535" s="643">
        <v>152036.04</v>
      </c>
      <c r="J535" s="519">
        <v>42736</v>
      </c>
      <c r="K535" s="643">
        <v>155633.59</v>
      </c>
      <c r="N535" s="774">
        <f t="shared" si="3"/>
        <v>156471.25458525744</v>
      </c>
    </row>
    <row r="536" spans="1:14" x14ac:dyDescent="0.2">
      <c r="A536" s="541">
        <v>43116</v>
      </c>
      <c r="B536" s="517">
        <v>284325.94</v>
      </c>
      <c r="F536" s="519">
        <v>42675</v>
      </c>
      <c r="G536" s="520">
        <v>246462.95</v>
      </c>
      <c r="H536" s="643">
        <v>152464.91</v>
      </c>
      <c r="J536" s="519">
        <v>42767</v>
      </c>
      <c r="K536" s="643">
        <v>158448.25</v>
      </c>
      <c r="N536" s="774">
        <f t="shared" si="3"/>
        <v>157025.42361191357</v>
      </c>
    </row>
    <row r="537" spans="1:14" x14ac:dyDescent="0.2">
      <c r="A537" s="541">
        <v>43117</v>
      </c>
      <c r="B537" s="517">
        <v>305911.78000000003</v>
      </c>
      <c r="F537" s="519">
        <v>42705</v>
      </c>
      <c r="G537" s="520">
        <v>249839.51</v>
      </c>
      <c r="H537" s="643">
        <v>154533.13</v>
      </c>
      <c r="J537" s="519">
        <v>42795</v>
      </c>
      <c r="K537" s="643">
        <v>159113.29</v>
      </c>
      <c r="N537" s="774">
        <f t="shared" si="3"/>
        <v>157581.5553205391</v>
      </c>
    </row>
    <row r="538" spans="1:14" x14ac:dyDescent="0.2">
      <c r="A538" s="541">
        <v>43118</v>
      </c>
      <c r="B538" s="517">
        <v>305752.93</v>
      </c>
      <c r="F538" s="519">
        <v>42736</v>
      </c>
      <c r="G538" s="520">
        <v>351420</v>
      </c>
      <c r="H538" s="643">
        <v>155633.59</v>
      </c>
      <c r="J538" s="519">
        <v>42826</v>
      </c>
      <c r="K538" s="643">
        <v>159614.53</v>
      </c>
      <c r="N538" s="774">
        <f t="shared" si="3"/>
        <v>158139.65666229936</v>
      </c>
    </row>
    <row r="539" spans="1:14" x14ac:dyDescent="0.2">
      <c r="A539" s="541">
        <v>43119</v>
      </c>
      <c r="B539" s="517">
        <v>332730.14</v>
      </c>
      <c r="F539" s="519">
        <v>42767</v>
      </c>
      <c r="G539" s="520">
        <v>253330</v>
      </c>
      <c r="H539" s="643">
        <v>158448.25</v>
      </c>
      <c r="J539" s="519">
        <v>42856</v>
      </c>
      <c r="K539" s="643">
        <v>160436.21</v>
      </c>
      <c r="N539" s="774">
        <f t="shared" si="3"/>
        <v>158699.73461297833</v>
      </c>
    </row>
    <row r="540" spans="1:14" x14ac:dyDescent="0.2">
      <c r="A540" s="541">
        <v>43122</v>
      </c>
      <c r="B540" s="517">
        <v>291419.49</v>
      </c>
      <c r="F540" s="519">
        <v>42795</v>
      </c>
      <c r="G540" s="520">
        <v>280744</v>
      </c>
      <c r="H540" s="643">
        <v>159113.29</v>
      </c>
      <c r="J540" s="519">
        <v>42887</v>
      </c>
      <c r="K540" s="643">
        <v>160443.22</v>
      </c>
      <c r="N540" s="774">
        <f t="shared" si="3"/>
        <v>159261.79617306596</v>
      </c>
    </row>
    <row r="541" spans="1:14" x14ac:dyDescent="0.2">
      <c r="A541" s="541">
        <v>43123</v>
      </c>
      <c r="B541" s="517">
        <v>293419.65000000002</v>
      </c>
      <c r="F541" s="519">
        <v>42826</v>
      </c>
      <c r="G541" s="520">
        <v>319478.15999999997</v>
      </c>
      <c r="H541" s="643">
        <v>159614.53</v>
      </c>
      <c r="J541" s="519">
        <v>42917</v>
      </c>
      <c r="K541" s="643">
        <v>161526.35999999999</v>
      </c>
      <c r="N541" s="774">
        <f t="shared" si="3"/>
        <v>159825.84836784558</v>
      </c>
    </row>
    <row r="542" spans="1:14" x14ac:dyDescent="0.2">
      <c r="A542" s="541">
        <v>43124</v>
      </c>
      <c r="B542" s="517">
        <v>293420</v>
      </c>
      <c r="F542" s="519">
        <v>42856</v>
      </c>
      <c r="G542" s="520">
        <v>241828.1</v>
      </c>
      <c r="H542" s="643">
        <v>160436.21</v>
      </c>
      <c r="J542" s="519">
        <v>42948</v>
      </c>
      <c r="K542" s="643">
        <v>162013.01</v>
      </c>
      <c r="L542" t="s">
        <v>361</v>
      </c>
      <c r="N542" s="774">
        <f t="shared" si="3"/>
        <v>160391.8982474817</v>
      </c>
    </row>
    <row r="543" spans="1:14" x14ac:dyDescent="0.2">
      <c r="A543" s="541">
        <v>43125</v>
      </c>
      <c r="B543" s="517">
        <v>301331.82</v>
      </c>
      <c r="F543" s="519">
        <v>42887</v>
      </c>
      <c r="G543" s="520">
        <v>248981.18</v>
      </c>
      <c r="H543" s="643">
        <v>160443.22</v>
      </c>
      <c r="J543" s="519">
        <v>42979</v>
      </c>
      <c r="K543" s="643">
        <v>163493.49</v>
      </c>
      <c r="L543" t="s">
        <v>362</v>
      </c>
      <c r="M543" s="643">
        <f>'August''19 State of Activities'!G9</f>
        <v>546444.32999999996</v>
      </c>
      <c r="N543" s="774">
        <f t="shared" si="3"/>
        <v>160959.9528871082</v>
      </c>
    </row>
    <row r="544" spans="1:14" x14ac:dyDescent="0.2">
      <c r="A544" s="541">
        <v>43126</v>
      </c>
      <c r="B544" s="517">
        <v>327084.28999999998</v>
      </c>
      <c r="F544" s="519">
        <v>42917</v>
      </c>
      <c r="G544" s="520">
        <v>268937.63</v>
      </c>
      <c r="H544" s="643">
        <v>161526.35999999999</v>
      </c>
      <c r="J544" s="519">
        <v>43009</v>
      </c>
      <c r="K544" s="643">
        <v>164090.28</v>
      </c>
      <c r="L544" t="s">
        <v>363</v>
      </c>
      <c r="M544" s="247">
        <f>'August''19 State of Activities'!G11</f>
        <v>108480.31</v>
      </c>
      <c r="N544" s="774">
        <f t="shared" si="3"/>
        <v>161530.01938691671</v>
      </c>
    </row>
    <row r="545" spans="1:14" x14ac:dyDescent="0.2">
      <c r="A545" s="541">
        <v>43129</v>
      </c>
      <c r="B545" s="517">
        <v>327084</v>
      </c>
      <c r="F545" s="519">
        <v>42948</v>
      </c>
      <c r="G545" s="520">
        <v>198251.6</v>
      </c>
      <c r="H545" s="643">
        <v>162013.01</v>
      </c>
      <c r="J545" s="519">
        <v>43040</v>
      </c>
      <c r="K545" s="643">
        <v>164908.01</v>
      </c>
      <c r="L545" t="s">
        <v>364</v>
      </c>
      <c r="M545" s="247">
        <f>'August''19 State of Activities'!G10</f>
        <v>0</v>
      </c>
      <c r="N545" s="774">
        <f t="shared" si="3"/>
        <v>162102.10487224537</v>
      </c>
    </row>
    <row r="546" spans="1:14" x14ac:dyDescent="0.2">
      <c r="A546" s="541">
        <v>43130</v>
      </c>
      <c r="B546" s="517">
        <v>327084</v>
      </c>
      <c r="F546" s="519">
        <v>42979</v>
      </c>
      <c r="G546" s="520">
        <v>178964.63</v>
      </c>
      <c r="H546" s="643">
        <v>163493.49</v>
      </c>
      <c r="J546" s="519">
        <v>43070</v>
      </c>
      <c r="K546" s="643">
        <v>164937.87</v>
      </c>
      <c r="L546" t="s">
        <v>365</v>
      </c>
      <c r="M546" s="247">
        <f>'August''19 State of Activities'!G13</f>
        <v>25250.01</v>
      </c>
      <c r="N546" s="774">
        <f t="shared" si="3"/>
        <v>162676.21649366792</v>
      </c>
    </row>
    <row r="547" spans="1:14" x14ac:dyDescent="0.2">
      <c r="A547" s="541">
        <v>43131</v>
      </c>
      <c r="B547" s="517">
        <v>337130.63</v>
      </c>
      <c r="F547" s="519">
        <v>43009</v>
      </c>
      <c r="G547" s="520">
        <v>199171.39</v>
      </c>
      <c r="H547" s="643">
        <v>164090.28</v>
      </c>
      <c r="J547" s="519">
        <v>43101</v>
      </c>
      <c r="K547" s="643">
        <v>167966.33</v>
      </c>
      <c r="L547" t="s">
        <v>366</v>
      </c>
      <c r="M547" s="247">
        <f>'August''19 State of Activities'!G15</f>
        <v>134943.75</v>
      </c>
      <c r="N547" s="774">
        <f t="shared" si="3"/>
        <v>163252.361427083</v>
      </c>
    </row>
    <row r="548" spans="1:14" x14ac:dyDescent="0.2">
      <c r="A548" s="541">
        <v>43132</v>
      </c>
      <c r="B548" s="517">
        <v>334292.59999999998</v>
      </c>
      <c r="F548" s="519">
        <v>43040</v>
      </c>
      <c r="G548" s="520">
        <v>180584.58</v>
      </c>
      <c r="H548" s="643">
        <v>164908.01</v>
      </c>
      <c r="J548" s="519">
        <v>43132</v>
      </c>
      <c r="K548" s="643">
        <v>164746.72</v>
      </c>
      <c r="L548" t="s">
        <v>367</v>
      </c>
      <c r="M548" s="247">
        <f>'August''19 State of Activities'!G16</f>
        <v>8666.66</v>
      </c>
      <c r="N548" s="774">
        <f t="shared" si="3"/>
        <v>163830.54687380392</v>
      </c>
    </row>
    <row r="549" spans="1:14" x14ac:dyDescent="0.2">
      <c r="A549" s="541">
        <v>43133</v>
      </c>
      <c r="B549" s="517">
        <v>335977.23</v>
      </c>
      <c r="F549" s="519">
        <v>43070</v>
      </c>
      <c r="G549" s="520">
        <v>258260.86</v>
      </c>
      <c r="H549" s="643">
        <v>164937.87</v>
      </c>
      <c r="J549" s="519">
        <v>43160</v>
      </c>
      <c r="K549" s="643">
        <v>163400.39000000001</v>
      </c>
      <c r="L549" t="s">
        <v>368</v>
      </c>
      <c r="M549">
        <v>50000</v>
      </c>
      <c r="N549" s="774">
        <f t="shared" si="3"/>
        <v>164410.78006064866</v>
      </c>
    </row>
    <row r="550" spans="1:14" x14ac:dyDescent="0.2">
      <c r="A550" s="541">
        <v>43136</v>
      </c>
      <c r="B550" s="517">
        <v>300614.99</v>
      </c>
      <c r="F550" s="519">
        <v>43101</v>
      </c>
      <c r="G550" s="520">
        <v>297556.56</v>
      </c>
      <c r="H550" s="643">
        <v>167966.33</v>
      </c>
      <c r="J550" s="519">
        <v>43191</v>
      </c>
      <c r="K550" s="643">
        <v>163874.63</v>
      </c>
      <c r="L550" t="s">
        <v>369</v>
      </c>
      <c r="M550">
        <v>19000</v>
      </c>
      <c r="N550" s="774">
        <f t="shared" si="3"/>
        <v>164993.06824003012</v>
      </c>
    </row>
    <row r="551" spans="1:14" x14ac:dyDescent="0.2">
      <c r="A551" s="541">
        <v>43137</v>
      </c>
      <c r="B551" s="517">
        <v>295509.53999999998</v>
      </c>
      <c r="F551" s="519">
        <v>43132</v>
      </c>
      <c r="G551" s="520">
        <v>287550</v>
      </c>
      <c r="H551" s="643">
        <v>164746.72</v>
      </c>
      <c r="J551" s="519">
        <v>43221</v>
      </c>
      <c r="K551" s="643">
        <v>165109.67000000001</v>
      </c>
      <c r="N551" s="774">
        <f t="shared" si="3"/>
        <v>165577.41869004688</v>
      </c>
    </row>
    <row r="552" spans="1:14" x14ac:dyDescent="0.2">
      <c r="A552" s="541">
        <v>43138</v>
      </c>
      <c r="B552" s="517">
        <v>295510</v>
      </c>
      <c r="F552" s="519">
        <v>43160</v>
      </c>
      <c r="G552" s="520">
        <v>277699.34999999998</v>
      </c>
      <c r="H552" s="643">
        <v>163400.39000000001</v>
      </c>
      <c r="J552" s="519">
        <v>43252</v>
      </c>
      <c r="K552" s="643">
        <v>164894.5</v>
      </c>
      <c r="L552" t="s">
        <v>371</v>
      </c>
      <c r="M552" s="643">
        <f>SUM(M543:M551)</f>
        <v>892785.05999999994</v>
      </c>
      <c r="N552" s="774">
        <f t="shared" si="3"/>
        <v>166163.83871457411</v>
      </c>
    </row>
    <row r="553" spans="1:14" x14ac:dyDescent="0.2">
      <c r="A553" s="541">
        <v>43139</v>
      </c>
      <c r="B553" s="517">
        <v>295623.09999999998</v>
      </c>
      <c r="F553" s="519">
        <v>43191</v>
      </c>
      <c r="G553" s="520">
        <v>310068.02</v>
      </c>
      <c r="H553" s="643">
        <v>163874.63</v>
      </c>
      <c r="J553" s="519">
        <v>43282</v>
      </c>
      <c r="K553" s="643">
        <v>168308.43</v>
      </c>
      <c r="N553" s="774">
        <f t="shared" si="3"/>
        <v>166752.33564335489</v>
      </c>
    </row>
    <row r="554" spans="1:14" x14ac:dyDescent="0.2">
      <c r="A554" s="541">
        <v>43140</v>
      </c>
      <c r="B554" s="517">
        <v>295623</v>
      </c>
      <c r="F554" s="519">
        <v>43221</v>
      </c>
      <c r="G554" s="520">
        <v>338828.68</v>
      </c>
      <c r="H554" s="643">
        <v>165109.67000000001</v>
      </c>
      <c r="J554" s="519">
        <v>43313</v>
      </c>
      <c r="K554" s="643">
        <v>169314.31</v>
      </c>
      <c r="L554" t="s">
        <v>370</v>
      </c>
      <c r="M554" s="520">
        <f>AVERAGE(G550:G561)</f>
        <v>280859.70666666667</v>
      </c>
      <c r="N554" s="774">
        <f t="shared" si="3"/>
        <v>167342.91683209178</v>
      </c>
    </row>
    <row r="555" spans="1:14" x14ac:dyDescent="0.2">
      <c r="A555" s="541">
        <v>43143</v>
      </c>
      <c r="B555" s="517">
        <v>299232.09999999998</v>
      </c>
      <c r="F555" s="519">
        <v>43252</v>
      </c>
      <c r="G555" s="520">
        <v>316601.96000000002</v>
      </c>
      <c r="H555" s="643">
        <v>164894.5</v>
      </c>
      <c r="J555" s="519">
        <v>43344</v>
      </c>
      <c r="K555" s="643">
        <v>170138.99</v>
      </c>
      <c r="N555" s="774">
        <f t="shared" si="3"/>
        <v>167935.58966253878</v>
      </c>
    </row>
    <row r="556" spans="1:14" x14ac:dyDescent="0.2">
      <c r="A556" s="541">
        <v>43144</v>
      </c>
      <c r="B556" s="517">
        <v>304422.01</v>
      </c>
      <c r="F556" s="519">
        <v>43282</v>
      </c>
      <c r="G556" s="520">
        <v>282196.90999999997</v>
      </c>
      <c r="H556" s="643">
        <v>168308.43</v>
      </c>
      <c r="J556" s="519">
        <v>43374</v>
      </c>
      <c r="K556" s="643">
        <v>164332.01</v>
      </c>
      <c r="M556" s="680">
        <f>365*M554</f>
        <v>102513792.93333334</v>
      </c>
      <c r="N556" s="774">
        <f t="shared" si="3"/>
        <v>168530.3615425936</v>
      </c>
    </row>
    <row r="557" spans="1:14" x14ac:dyDescent="0.2">
      <c r="A557" s="541">
        <v>43145</v>
      </c>
      <c r="B557" s="517">
        <v>330191.24</v>
      </c>
      <c r="F557" s="519">
        <v>43313</v>
      </c>
      <c r="G557" s="520">
        <v>287391.71999999997</v>
      </c>
      <c r="H557" s="643">
        <v>169314.31</v>
      </c>
      <c r="J557" s="519">
        <v>43405</v>
      </c>
      <c r="K557" s="643">
        <v>166031.76999999999</v>
      </c>
      <c r="M557">
        <f>M556/M552</f>
        <v>114.82471820634335</v>
      </c>
      <c r="N557" s="774">
        <f t="shared" si="3"/>
        <v>169127.23990639028</v>
      </c>
    </row>
    <row r="558" spans="1:14" x14ac:dyDescent="0.2">
      <c r="A558" s="541">
        <v>43146</v>
      </c>
      <c r="B558" s="517">
        <v>313471.64</v>
      </c>
      <c r="F558" s="519">
        <v>43344</v>
      </c>
      <c r="G558" s="520">
        <v>327095.84000000003</v>
      </c>
      <c r="H558" s="643">
        <v>170138.99</v>
      </c>
      <c r="J558" s="519">
        <v>43435</v>
      </c>
      <c r="K558" s="643">
        <v>159621.23000000001</v>
      </c>
      <c r="N558" s="774">
        <f t="shared" si="3"/>
        <v>169726.23221439208</v>
      </c>
    </row>
    <row r="559" spans="1:14" x14ac:dyDescent="0.2">
      <c r="A559" s="541">
        <v>43147</v>
      </c>
      <c r="B559" s="517">
        <v>313472</v>
      </c>
      <c r="F559" s="519">
        <v>43374</v>
      </c>
      <c r="G559" s="520">
        <v>233504.28</v>
      </c>
      <c r="H559" s="643">
        <v>164332.01</v>
      </c>
      <c r="J559" s="519">
        <v>43466</v>
      </c>
      <c r="K559" s="643">
        <v>166873.93</v>
      </c>
      <c r="N559" s="774">
        <f t="shared" si="3"/>
        <v>170327.34595348471</v>
      </c>
    </row>
    <row r="560" spans="1:14" x14ac:dyDescent="0.2">
      <c r="A560" s="541">
        <v>43150</v>
      </c>
      <c r="B560" s="517">
        <v>313472</v>
      </c>
      <c r="F560" s="519">
        <v>43405</v>
      </c>
      <c r="G560" s="520">
        <v>166530.44</v>
      </c>
      <c r="H560" s="643">
        <v>166031.76999999999</v>
      </c>
      <c r="J560" s="519">
        <v>43497</v>
      </c>
      <c r="K560" s="643">
        <v>170486.28</v>
      </c>
      <c r="N560" s="774">
        <f t="shared" si="3"/>
        <v>170930.58863706997</v>
      </c>
    </row>
    <row r="561" spans="1:14" x14ac:dyDescent="0.2">
      <c r="A561" s="541">
        <v>43151</v>
      </c>
      <c r="B561" s="517">
        <v>277471.58</v>
      </c>
      <c r="F561" s="519">
        <v>43435</v>
      </c>
      <c r="G561" s="520">
        <v>245292.72</v>
      </c>
      <c r="H561" s="643">
        <v>159621.23000000001</v>
      </c>
      <c r="J561" s="519">
        <v>43525</v>
      </c>
      <c r="K561" s="643">
        <v>171537.16</v>
      </c>
      <c r="N561" s="774">
        <f t="shared" si="3"/>
        <v>171535.9678051596</v>
      </c>
    </row>
    <row r="562" spans="1:14" x14ac:dyDescent="0.2">
      <c r="A562" s="541">
        <v>43152</v>
      </c>
      <c r="B562" s="517">
        <v>287526.92</v>
      </c>
      <c r="F562" s="519">
        <v>43466</v>
      </c>
      <c r="G562" s="520">
        <v>322895</v>
      </c>
      <c r="H562" s="643">
        <v>166873.93</v>
      </c>
      <c r="J562" s="519">
        <v>43556</v>
      </c>
      <c r="K562" s="643">
        <v>174601.21</v>
      </c>
      <c r="N562" s="774">
        <f t="shared" si="3"/>
        <v>172143.49102446955</v>
      </c>
    </row>
    <row r="563" spans="1:14" x14ac:dyDescent="0.2">
      <c r="A563" s="541">
        <v>43153</v>
      </c>
      <c r="B563" s="517">
        <v>296486.64</v>
      </c>
      <c r="F563" s="519">
        <v>43497</v>
      </c>
      <c r="G563" s="520">
        <v>388590.24</v>
      </c>
      <c r="H563" s="643">
        <v>170486.28</v>
      </c>
      <c r="J563" s="519">
        <v>43586</v>
      </c>
      <c r="K563" s="643">
        <v>169831.32</v>
      </c>
      <c r="N563" s="774">
        <f t="shared" si="3"/>
        <v>172753.16588851454</v>
      </c>
    </row>
    <row r="564" spans="1:14" x14ac:dyDescent="0.2">
      <c r="A564" s="541">
        <v>43154</v>
      </c>
      <c r="B564" s="517">
        <v>296487</v>
      </c>
      <c r="F564" s="519">
        <v>43525</v>
      </c>
      <c r="G564" s="520">
        <v>244069.19</v>
      </c>
      <c r="H564" s="643">
        <v>171537.16</v>
      </c>
      <c r="J564" s="519">
        <v>43617</v>
      </c>
      <c r="K564" s="643">
        <v>175962.43</v>
      </c>
      <c r="N564" s="774">
        <f t="shared" si="3"/>
        <v>173365.00001770305</v>
      </c>
    </row>
    <row r="565" spans="1:14" x14ac:dyDescent="0.2">
      <c r="A565" s="541">
        <v>43157</v>
      </c>
      <c r="B565" s="517">
        <v>296487</v>
      </c>
      <c r="F565" s="519">
        <v>43556</v>
      </c>
      <c r="G565" s="520">
        <v>265093.77</v>
      </c>
      <c r="H565" s="643">
        <v>174601.21</v>
      </c>
      <c r="J565" s="519">
        <v>43647</v>
      </c>
      <c r="K565" s="643">
        <v>176392.07</v>
      </c>
      <c r="N565" s="774">
        <f t="shared" si="3"/>
        <v>173979.0010594324</v>
      </c>
    </row>
    <row r="566" spans="1:14" x14ac:dyDescent="0.2">
      <c r="A566" s="541">
        <v>43158</v>
      </c>
      <c r="B566" s="517">
        <v>335911.5</v>
      </c>
      <c r="F566" s="519">
        <v>43586</v>
      </c>
      <c r="G566" s="520">
        <v>218979.44</v>
      </c>
      <c r="H566" s="643">
        <v>169831.32</v>
      </c>
      <c r="J566" s="519">
        <v>43678</v>
      </c>
      <c r="K566" s="643">
        <v>174581</v>
      </c>
      <c r="N566" s="774">
        <f t="shared" si="3"/>
        <v>174595.17668818455</v>
      </c>
    </row>
    <row r="567" spans="1:14" x14ac:dyDescent="0.2">
      <c r="A567" s="541">
        <v>43159</v>
      </c>
      <c r="B567" s="517">
        <v>335912</v>
      </c>
      <c r="F567" s="519">
        <v>43617</v>
      </c>
      <c r="G567" s="520">
        <v>271502.03999999998</v>
      </c>
      <c r="H567" s="643">
        <v>175962.43</v>
      </c>
      <c r="J567" s="519">
        <v>43709</v>
      </c>
    </row>
    <row r="568" spans="1:14" x14ac:dyDescent="0.2">
      <c r="A568" s="541">
        <v>43160</v>
      </c>
      <c r="B568" s="517">
        <v>330042.21999999997</v>
      </c>
      <c r="F568" s="519">
        <v>43647</v>
      </c>
      <c r="G568" s="520">
        <v>272449.37</v>
      </c>
      <c r="H568" s="643">
        <v>176392.07</v>
      </c>
      <c r="J568" s="519">
        <v>43739</v>
      </c>
    </row>
    <row r="569" spans="1:14" x14ac:dyDescent="0.2">
      <c r="A569" s="541">
        <v>43161</v>
      </c>
      <c r="B569" s="579">
        <v>367034.5</v>
      </c>
      <c r="F569" s="519">
        <v>43678</v>
      </c>
      <c r="G569" s="520">
        <v>248965.4</v>
      </c>
      <c r="H569" s="643">
        <v>174581.16</v>
      </c>
      <c r="J569" s="519">
        <v>43770</v>
      </c>
    </row>
    <row r="570" spans="1:14" x14ac:dyDescent="0.2">
      <c r="A570" s="541">
        <v>43164</v>
      </c>
      <c r="B570" s="517">
        <v>330990.42</v>
      </c>
      <c r="F570" s="519">
        <v>43709</v>
      </c>
      <c r="J570" s="519">
        <v>43800</v>
      </c>
    </row>
    <row r="571" spans="1:14" x14ac:dyDescent="0.2">
      <c r="A571" s="541">
        <v>43165</v>
      </c>
      <c r="B571" s="517">
        <v>333065.89</v>
      </c>
      <c r="F571" s="519">
        <v>43739</v>
      </c>
      <c r="J571" s="519">
        <v>43831</v>
      </c>
    </row>
    <row r="572" spans="1:14" x14ac:dyDescent="0.2">
      <c r="A572" s="541">
        <v>43166</v>
      </c>
      <c r="B572" s="517">
        <v>331065.89</v>
      </c>
      <c r="F572" s="519">
        <v>43770</v>
      </c>
      <c r="J572" s="519">
        <v>43862</v>
      </c>
    </row>
    <row r="573" spans="1:14" x14ac:dyDescent="0.2">
      <c r="A573" s="541">
        <v>43167</v>
      </c>
      <c r="B573" s="517">
        <v>331092.17</v>
      </c>
    </row>
    <row r="574" spans="1:14" x14ac:dyDescent="0.2">
      <c r="A574" s="541">
        <v>43168</v>
      </c>
      <c r="B574" s="517">
        <v>311733.17</v>
      </c>
    </row>
    <row r="575" spans="1:14" x14ac:dyDescent="0.2">
      <c r="A575" s="541">
        <v>43171</v>
      </c>
      <c r="B575" s="517">
        <v>317116.19</v>
      </c>
    </row>
    <row r="576" spans="1:14" x14ac:dyDescent="0.2">
      <c r="A576" s="541">
        <v>43172</v>
      </c>
      <c r="B576" s="517">
        <v>317116</v>
      </c>
    </row>
    <row r="577" spans="1:18" x14ac:dyDescent="0.2">
      <c r="A577" s="541">
        <v>43173</v>
      </c>
      <c r="B577" s="517">
        <v>317496.19</v>
      </c>
      <c r="F577" t="s">
        <v>428</v>
      </c>
      <c r="G577">
        <v>50000</v>
      </c>
      <c r="K577" s="764"/>
      <c r="L577" s="247"/>
      <c r="O577" s="247"/>
      <c r="P577" s="247"/>
      <c r="Q577" s="247"/>
      <c r="R577" s="247"/>
    </row>
    <row r="578" spans="1:18" x14ac:dyDescent="0.2">
      <c r="A578" s="541">
        <v>43174</v>
      </c>
      <c r="B578" s="517">
        <v>317772.45</v>
      </c>
      <c r="F578" t="s">
        <v>76</v>
      </c>
      <c r="G578" s="583">
        <v>160864.26999999999</v>
      </c>
      <c r="K578" s="764"/>
      <c r="L578" s="247"/>
      <c r="P578" s="247"/>
      <c r="Q578" s="247"/>
      <c r="R578" s="247"/>
    </row>
    <row r="579" spans="1:18" x14ac:dyDescent="0.2">
      <c r="A579" s="541">
        <v>43175</v>
      </c>
      <c r="B579" s="517">
        <v>317772</v>
      </c>
      <c r="C579" s="541"/>
      <c r="D579" s="517"/>
      <c r="F579" t="s">
        <v>418</v>
      </c>
      <c r="G579" s="583">
        <v>837968.95</v>
      </c>
      <c r="K579" s="764"/>
      <c r="L579" s="247"/>
      <c r="P579" s="247"/>
      <c r="Q579" s="247"/>
      <c r="R579" s="247"/>
    </row>
    <row r="580" spans="1:18" x14ac:dyDescent="0.2">
      <c r="A580" s="541">
        <v>43178</v>
      </c>
      <c r="B580" s="517">
        <v>279446.55</v>
      </c>
      <c r="C580" s="541"/>
      <c r="D580" s="517"/>
      <c r="F580" t="s">
        <v>364</v>
      </c>
      <c r="G580" s="583">
        <v>313.61</v>
      </c>
      <c r="K580" s="764"/>
      <c r="L580" s="247"/>
      <c r="P580" s="247"/>
      <c r="Q580" s="247"/>
      <c r="R580" s="247"/>
    </row>
    <row r="581" spans="1:18" x14ac:dyDescent="0.2">
      <c r="A581" s="541">
        <v>43179</v>
      </c>
      <c r="B581" s="517">
        <v>272785.62</v>
      </c>
      <c r="C581" s="541"/>
      <c r="D581" s="517"/>
      <c r="F581" t="s">
        <v>419</v>
      </c>
      <c r="G581" s="583">
        <v>255046.22</v>
      </c>
      <c r="K581" s="764"/>
      <c r="L581" s="247"/>
      <c r="P581" s="247"/>
      <c r="Q581" s="247"/>
      <c r="R581" s="247"/>
    </row>
    <row r="582" spans="1:18" x14ac:dyDescent="0.2">
      <c r="A582" s="541">
        <v>43180</v>
      </c>
      <c r="B582" s="517">
        <v>288240.15999999997</v>
      </c>
      <c r="C582" s="541"/>
      <c r="D582" s="517"/>
      <c r="F582" t="s">
        <v>420</v>
      </c>
      <c r="G582" s="583">
        <v>2000</v>
      </c>
      <c r="H582" t="s">
        <v>421</v>
      </c>
      <c r="K582" s="764"/>
      <c r="L582" s="247"/>
      <c r="O582" s="247"/>
      <c r="P582" s="247"/>
      <c r="Q582" s="247"/>
      <c r="R582" s="247"/>
    </row>
    <row r="583" spans="1:18" x14ac:dyDescent="0.2">
      <c r="A583" s="541">
        <v>43181</v>
      </c>
      <c r="B583" s="517">
        <v>278742.74</v>
      </c>
      <c r="C583" s="541"/>
      <c r="D583" s="517"/>
      <c r="F583" t="s">
        <v>426</v>
      </c>
      <c r="G583" s="583">
        <f>51000+19000</f>
        <v>70000</v>
      </c>
      <c r="K583" s="764"/>
      <c r="L583" s="247"/>
      <c r="O583" s="247"/>
      <c r="P583" s="247"/>
      <c r="Q583" s="247"/>
      <c r="R583" s="247"/>
    </row>
    <row r="584" spans="1:18" x14ac:dyDescent="0.2">
      <c r="A584" s="541">
        <v>43182</v>
      </c>
      <c r="B584" s="517">
        <v>278840.24</v>
      </c>
      <c r="C584" s="541"/>
      <c r="D584" s="517"/>
      <c r="E584" t="s">
        <v>422</v>
      </c>
      <c r="G584" s="583">
        <f>SUM(G577:G583)</f>
        <v>1376193.05</v>
      </c>
      <c r="K584" s="764"/>
      <c r="L584" s="247"/>
      <c r="O584" s="247"/>
      <c r="P584" s="247"/>
      <c r="Q584" s="247"/>
      <c r="R584" s="247"/>
    </row>
    <row r="585" spans="1:18" x14ac:dyDescent="0.2">
      <c r="A585" s="541">
        <v>43185</v>
      </c>
      <c r="B585" s="517">
        <v>278942.24</v>
      </c>
      <c r="C585" s="541"/>
      <c r="D585" s="517"/>
      <c r="G585" s="583"/>
      <c r="K585" s="764"/>
      <c r="L585" s="247"/>
      <c r="O585" s="247"/>
      <c r="P585" s="247"/>
      <c r="Q585" s="247"/>
      <c r="R585" s="247"/>
    </row>
    <row r="586" spans="1:18" x14ac:dyDescent="0.2">
      <c r="A586" s="541">
        <v>43186</v>
      </c>
      <c r="B586" s="517">
        <v>257048.49</v>
      </c>
      <c r="C586" s="541"/>
      <c r="D586" s="517"/>
      <c r="E586" t="s">
        <v>423</v>
      </c>
      <c r="G586" s="583">
        <f>AVERAGE(G557:G569)</f>
        <v>268643.03461538465</v>
      </c>
      <c r="K586" s="764"/>
      <c r="L586" s="247"/>
      <c r="O586" s="247"/>
      <c r="P586" s="247"/>
      <c r="Q586" s="247"/>
      <c r="R586" s="247"/>
    </row>
    <row r="587" spans="1:18" x14ac:dyDescent="0.2">
      <c r="A587" s="541">
        <v>43187</v>
      </c>
      <c r="B587" s="517">
        <v>252662.47</v>
      </c>
      <c r="C587" s="541"/>
      <c r="D587" s="517"/>
      <c r="G587" s="583"/>
      <c r="K587" s="764"/>
      <c r="L587" s="247"/>
      <c r="O587" s="247"/>
      <c r="P587" s="247"/>
      <c r="Q587" s="247"/>
      <c r="R587" s="247"/>
    </row>
    <row r="588" spans="1:18" x14ac:dyDescent="0.2">
      <c r="A588" s="541">
        <v>43188</v>
      </c>
      <c r="B588" s="517">
        <v>254708.73</v>
      </c>
      <c r="C588" s="541"/>
      <c r="D588" s="517"/>
      <c r="E588" t="s">
        <v>424</v>
      </c>
      <c r="G588" s="584">
        <f>G584/G586</f>
        <v>5.1227572379469697</v>
      </c>
      <c r="K588" s="764"/>
      <c r="L588" s="247"/>
      <c r="O588" s="247"/>
      <c r="P588" s="247"/>
      <c r="Q588" s="247"/>
      <c r="R588" s="247"/>
    </row>
    <row r="589" spans="1:18" x14ac:dyDescent="0.2">
      <c r="A589" s="541">
        <v>43189</v>
      </c>
      <c r="B589" s="517">
        <v>281702.86</v>
      </c>
      <c r="C589" s="541"/>
      <c r="D589" s="517"/>
      <c r="G589" s="583"/>
      <c r="K589" s="764"/>
      <c r="L589" s="247"/>
      <c r="O589" s="247"/>
      <c r="P589" s="247"/>
      <c r="Q589" s="247"/>
      <c r="R589" s="247"/>
    </row>
    <row r="590" spans="1:18" x14ac:dyDescent="0.2">
      <c r="A590" s="541">
        <v>43192</v>
      </c>
      <c r="B590" s="517">
        <v>244220.77</v>
      </c>
      <c r="C590" s="541"/>
      <c r="D590" s="517"/>
      <c r="E590" t="s">
        <v>425</v>
      </c>
      <c r="G590" s="583">
        <v>365</v>
      </c>
      <c r="K590" s="764"/>
      <c r="L590" s="247"/>
    </row>
    <row r="591" spans="1:18" x14ac:dyDescent="0.2">
      <c r="A591" s="541">
        <v>43193</v>
      </c>
      <c r="B591" s="517">
        <v>244221</v>
      </c>
      <c r="C591" s="541"/>
      <c r="D591" s="517"/>
      <c r="G591" s="583">
        <f>G590/G588</f>
        <v>71.250692360795895</v>
      </c>
      <c r="K591" s="764"/>
      <c r="L591" s="247"/>
    </row>
    <row r="592" spans="1:18" x14ac:dyDescent="0.2">
      <c r="A592" s="541">
        <v>43194</v>
      </c>
      <c r="B592" s="517">
        <v>244221</v>
      </c>
      <c r="C592" s="541"/>
      <c r="D592" s="517"/>
      <c r="K592" s="764"/>
      <c r="L592" s="247"/>
    </row>
    <row r="593" spans="1:12" x14ac:dyDescent="0.2">
      <c r="A593" s="541">
        <v>43195</v>
      </c>
      <c r="B593" s="517">
        <v>225503.87</v>
      </c>
      <c r="C593" s="541"/>
      <c r="D593" s="517"/>
      <c r="K593" s="764"/>
      <c r="L593" s="247"/>
    </row>
    <row r="594" spans="1:12" x14ac:dyDescent="0.2">
      <c r="A594" s="541">
        <v>43196</v>
      </c>
      <c r="B594" s="517">
        <v>225504</v>
      </c>
      <c r="C594" s="541"/>
      <c r="D594" s="517"/>
      <c r="K594" s="764"/>
      <c r="L594" s="247"/>
    </row>
    <row r="595" spans="1:12" x14ac:dyDescent="0.2">
      <c r="A595" s="541">
        <v>43199</v>
      </c>
      <c r="B595" s="517">
        <v>225503.8</v>
      </c>
      <c r="C595" s="541"/>
      <c r="D595" s="517"/>
      <c r="K595" s="764"/>
      <c r="L595" s="247"/>
    </row>
    <row r="596" spans="1:12" x14ac:dyDescent="0.2">
      <c r="A596" s="541">
        <v>43200</v>
      </c>
      <c r="B596" s="517">
        <v>227389.96</v>
      </c>
      <c r="C596" s="541"/>
      <c r="D596" s="517"/>
      <c r="K596" s="764"/>
      <c r="L596" s="247"/>
    </row>
    <row r="597" spans="1:12" x14ac:dyDescent="0.2">
      <c r="A597" s="541">
        <v>43201</v>
      </c>
      <c r="B597" s="517">
        <v>235472.53</v>
      </c>
      <c r="C597" s="541"/>
      <c r="D597" s="517"/>
      <c r="K597" s="764"/>
      <c r="L597" s="247"/>
    </row>
    <row r="598" spans="1:12" x14ac:dyDescent="0.2">
      <c r="A598" s="541">
        <v>43202</v>
      </c>
      <c r="B598" s="517">
        <v>222207.84</v>
      </c>
      <c r="C598" s="541"/>
      <c r="D598" s="517"/>
      <c r="K598" s="764"/>
      <c r="L598" s="247"/>
    </row>
    <row r="599" spans="1:12" x14ac:dyDescent="0.2">
      <c r="A599" s="541">
        <v>43203</v>
      </c>
      <c r="B599" s="517">
        <v>222287.93</v>
      </c>
      <c r="C599" s="541"/>
      <c r="D599" s="517"/>
      <c r="K599" s="764"/>
      <c r="L599" s="247"/>
    </row>
    <row r="600" spans="1:12" x14ac:dyDescent="0.2">
      <c r="A600" s="541">
        <v>43206</v>
      </c>
      <c r="B600" s="517">
        <v>186664.28</v>
      </c>
      <c r="C600" s="541"/>
      <c r="D600" s="517"/>
      <c r="K600" s="764"/>
      <c r="L600" s="247"/>
    </row>
    <row r="601" spans="1:12" x14ac:dyDescent="0.2">
      <c r="A601" s="541">
        <v>43207</v>
      </c>
      <c r="B601" s="517">
        <v>188484.95</v>
      </c>
      <c r="C601" s="541"/>
      <c r="D601" s="517"/>
      <c r="K601" s="764"/>
      <c r="L601" s="247"/>
    </row>
    <row r="602" spans="1:12" x14ac:dyDescent="0.2">
      <c r="A602" s="541">
        <v>43208</v>
      </c>
      <c r="B602" s="517">
        <v>188485</v>
      </c>
      <c r="C602" s="541"/>
      <c r="D602" s="517"/>
      <c r="K602" s="764"/>
      <c r="L602" s="247"/>
    </row>
    <row r="603" spans="1:12" x14ac:dyDescent="0.2">
      <c r="A603" s="541">
        <v>43209</v>
      </c>
      <c r="B603" s="517">
        <v>180474.73</v>
      </c>
      <c r="C603" s="541"/>
      <c r="D603" s="517"/>
      <c r="K603" s="764"/>
      <c r="L603" s="247"/>
    </row>
    <row r="604" spans="1:12" x14ac:dyDescent="0.2">
      <c r="A604" s="541">
        <v>43210</v>
      </c>
      <c r="B604" s="517">
        <v>188207.38</v>
      </c>
      <c r="C604" s="541"/>
      <c r="D604" s="517"/>
      <c r="K604" s="764"/>
      <c r="L604" s="247"/>
    </row>
    <row r="605" spans="1:12" x14ac:dyDescent="0.2">
      <c r="A605" s="541">
        <v>43213</v>
      </c>
      <c r="B605" s="517">
        <v>198618.83</v>
      </c>
      <c r="C605" s="541"/>
      <c r="D605" s="517"/>
      <c r="K605" s="764"/>
      <c r="L605" s="247"/>
    </row>
    <row r="606" spans="1:12" x14ac:dyDescent="0.2">
      <c r="A606" s="541">
        <v>43214</v>
      </c>
      <c r="B606" s="517">
        <v>198619</v>
      </c>
      <c r="C606" s="541"/>
      <c r="D606" s="517"/>
      <c r="K606" s="764"/>
      <c r="L606" s="247"/>
    </row>
    <row r="607" spans="1:12" x14ac:dyDescent="0.2">
      <c r="A607" s="541">
        <v>43215</v>
      </c>
      <c r="B607" s="517">
        <v>198619</v>
      </c>
      <c r="C607" s="541"/>
      <c r="D607" s="517"/>
      <c r="K607" s="764"/>
      <c r="L607" s="247"/>
    </row>
    <row r="608" spans="1:12" x14ac:dyDescent="0.2">
      <c r="A608" s="541">
        <v>43216</v>
      </c>
      <c r="B608" s="517">
        <v>189089.55</v>
      </c>
      <c r="C608" s="541"/>
      <c r="D608" s="517"/>
      <c r="K608" s="764"/>
      <c r="L608" s="247"/>
    </row>
    <row r="609" spans="1:12" x14ac:dyDescent="0.2">
      <c r="A609" s="541">
        <v>43217</v>
      </c>
      <c r="B609" s="517">
        <v>216053.77</v>
      </c>
      <c r="C609" s="541"/>
      <c r="D609" s="517"/>
      <c r="K609" s="764"/>
      <c r="L609" s="247"/>
    </row>
    <row r="610" spans="1:12" x14ac:dyDescent="0.2">
      <c r="A610" s="541">
        <v>43220</v>
      </c>
      <c r="B610" s="517">
        <v>179849.52</v>
      </c>
      <c r="C610" s="541"/>
      <c r="D610" s="517"/>
      <c r="K610" s="764"/>
      <c r="L610" s="247"/>
    </row>
    <row r="611" spans="1:12" x14ac:dyDescent="0.2">
      <c r="A611" s="541">
        <v>43221</v>
      </c>
      <c r="B611" s="517">
        <v>179850</v>
      </c>
      <c r="C611" s="541"/>
      <c r="D611" s="517"/>
      <c r="K611" s="764"/>
      <c r="L611" s="247"/>
    </row>
    <row r="612" spans="1:12" x14ac:dyDescent="0.2">
      <c r="A612" s="541">
        <v>43222</v>
      </c>
      <c r="B612" s="517">
        <v>173749.01</v>
      </c>
      <c r="C612" s="541"/>
      <c r="D612" s="517"/>
      <c r="K612" s="764"/>
      <c r="L612" s="247"/>
    </row>
    <row r="613" spans="1:12" x14ac:dyDescent="0.2">
      <c r="A613" s="541">
        <v>43223</v>
      </c>
      <c r="B613" s="517">
        <v>200792.85</v>
      </c>
      <c r="C613" s="541"/>
      <c r="D613" s="517"/>
      <c r="K613" s="764"/>
      <c r="L613" s="247"/>
    </row>
    <row r="614" spans="1:12" x14ac:dyDescent="0.2">
      <c r="A614" s="541">
        <v>43224</v>
      </c>
      <c r="B614" s="517">
        <v>202331.91</v>
      </c>
      <c r="C614" s="541"/>
      <c r="D614" s="517"/>
      <c r="K614" s="764"/>
      <c r="L614" s="247"/>
    </row>
    <row r="615" spans="1:12" x14ac:dyDescent="0.2">
      <c r="A615" s="541">
        <v>43227</v>
      </c>
      <c r="B615" s="517">
        <v>203517.87</v>
      </c>
      <c r="C615" s="541"/>
      <c r="D615" s="517"/>
      <c r="K615" s="764"/>
      <c r="L615" s="247"/>
    </row>
    <row r="616" spans="1:12" x14ac:dyDescent="0.2">
      <c r="A616" s="541">
        <v>43228</v>
      </c>
      <c r="B616" s="517">
        <v>203518</v>
      </c>
      <c r="C616" s="541"/>
      <c r="D616" s="517"/>
      <c r="L616" s="247"/>
    </row>
    <row r="617" spans="1:12" x14ac:dyDescent="0.2">
      <c r="A617" s="541">
        <v>43229</v>
      </c>
      <c r="B617" s="517">
        <v>203518</v>
      </c>
      <c r="C617" s="541"/>
      <c r="D617" s="517"/>
      <c r="L617" s="247"/>
    </row>
    <row r="618" spans="1:12" x14ac:dyDescent="0.2">
      <c r="A618" s="541">
        <v>43230</v>
      </c>
      <c r="B618" s="517">
        <v>191114.58</v>
      </c>
      <c r="C618" s="541"/>
      <c r="D618" s="517"/>
      <c r="L618" s="247"/>
    </row>
    <row r="619" spans="1:12" x14ac:dyDescent="0.2">
      <c r="A619" s="541">
        <v>43231</v>
      </c>
      <c r="B619" s="579">
        <v>153114.57999999999</v>
      </c>
      <c r="C619" s="541"/>
      <c r="D619" s="517"/>
      <c r="L619" s="247"/>
    </row>
    <row r="620" spans="1:12" x14ac:dyDescent="0.2">
      <c r="A620" s="541">
        <v>43234</v>
      </c>
      <c r="B620" s="579">
        <v>153115</v>
      </c>
      <c r="C620" s="541"/>
      <c r="D620" s="517"/>
      <c r="L620" s="247"/>
    </row>
    <row r="621" spans="1:12" x14ac:dyDescent="0.2">
      <c r="A621" s="541">
        <v>43235</v>
      </c>
      <c r="B621" s="517">
        <v>182792.08</v>
      </c>
      <c r="C621" s="541"/>
      <c r="D621" s="517"/>
      <c r="L621" s="247"/>
    </row>
    <row r="622" spans="1:12" x14ac:dyDescent="0.2">
      <c r="A622" s="541">
        <v>43236</v>
      </c>
      <c r="B622" s="517">
        <v>182792</v>
      </c>
      <c r="C622" s="541"/>
      <c r="D622" s="517"/>
      <c r="L622" s="247"/>
    </row>
    <row r="623" spans="1:12" x14ac:dyDescent="0.2">
      <c r="A623" s="541">
        <v>43237</v>
      </c>
      <c r="B623" s="517">
        <v>222152.66</v>
      </c>
      <c r="C623" s="541"/>
      <c r="D623" s="517"/>
      <c r="L623" s="247"/>
    </row>
    <row r="624" spans="1:12" x14ac:dyDescent="0.2">
      <c r="A624" s="541">
        <v>43238</v>
      </c>
      <c r="B624" s="517">
        <v>222153</v>
      </c>
      <c r="C624" s="541"/>
      <c r="D624" s="517"/>
      <c r="L624" s="247"/>
    </row>
    <row r="625" spans="1:12" x14ac:dyDescent="0.2">
      <c r="A625" s="541">
        <v>43241</v>
      </c>
      <c r="B625" s="517">
        <v>222153</v>
      </c>
      <c r="C625" s="541"/>
      <c r="D625" s="517"/>
      <c r="L625" s="247"/>
    </row>
    <row r="626" spans="1:12" x14ac:dyDescent="0.2">
      <c r="A626" s="541">
        <v>43242</v>
      </c>
      <c r="B626" s="517">
        <v>222153</v>
      </c>
      <c r="C626" s="541"/>
      <c r="D626" s="517"/>
      <c r="L626" s="247"/>
    </row>
    <row r="627" spans="1:12" x14ac:dyDescent="0.2">
      <c r="A627" s="541">
        <v>43243</v>
      </c>
      <c r="B627" s="517">
        <v>222152</v>
      </c>
      <c r="C627" s="541"/>
      <c r="D627" s="517"/>
      <c r="L627" s="247"/>
    </row>
    <row r="628" spans="1:12" x14ac:dyDescent="0.2">
      <c r="A628" s="541">
        <v>43244</v>
      </c>
      <c r="B628" s="517">
        <v>211720.43</v>
      </c>
      <c r="C628" s="541"/>
      <c r="D628" s="517"/>
    </row>
    <row r="629" spans="1:12" x14ac:dyDescent="0.2">
      <c r="A629" s="541">
        <v>43245</v>
      </c>
      <c r="B629" s="517">
        <v>211720</v>
      </c>
      <c r="C629" s="541"/>
      <c r="D629" s="517"/>
    </row>
    <row r="630" spans="1:12" x14ac:dyDescent="0.2">
      <c r="A630" s="541">
        <v>43248</v>
      </c>
      <c r="B630" s="517">
        <v>211720</v>
      </c>
      <c r="C630" s="541"/>
      <c r="D630" s="517"/>
    </row>
    <row r="631" spans="1:12" x14ac:dyDescent="0.2">
      <c r="A631" s="541">
        <v>43249</v>
      </c>
      <c r="B631" s="517">
        <v>176327.95</v>
      </c>
      <c r="C631" s="541"/>
      <c r="D631" s="517"/>
    </row>
    <row r="632" spans="1:12" x14ac:dyDescent="0.2">
      <c r="A632" s="541">
        <v>43250</v>
      </c>
      <c r="B632" s="517">
        <v>176328</v>
      </c>
      <c r="C632" s="541"/>
      <c r="D632" s="517"/>
    </row>
    <row r="633" spans="1:12" x14ac:dyDescent="0.2">
      <c r="A633" s="541">
        <v>43251</v>
      </c>
      <c r="B633" s="517">
        <v>169004.5</v>
      </c>
      <c r="C633" s="541"/>
      <c r="D633" s="517"/>
    </row>
    <row r="634" spans="1:12" x14ac:dyDescent="0.2">
      <c r="A634" s="541">
        <v>43252</v>
      </c>
      <c r="B634" s="517">
        <v>261992.26</v>
      </c>
      <c r="C634" s="541"/>
      <c r="D634" s="517"/>
    </row>
    <row r="635" spans="1:12" x14ac:dyDescent="0.2">
      <c r="A635" s="541">
        <v>43255</v>
      </c>
      <c r="B635" s="517">
        <v>270521.09000000003</v>
      </c>
      <c r="C635" s="541"/>
      <c r="D635" s="517"/>
    </row>
    <row r="636" spans="1:12" x14ac:dyDescent="0.2">
      <c r="A636" s="541">
        <v>43256</v>
      </c>
      <c r="B636" s="517">
        <v>285365.09000000003</v>
      </c>
      <c r="C636" s="541"/>
      <c r="D636" s="517"/>
    </row>
    <row r="637" spans="1:12" x14ac:dyDescent="0.2">
      <c r="A637" s="541">
        <v>43257</v>
      </c>
      <c r="B637" s="517">
        <v>285365</v>
      </c>
      <c r="C637" s="541"/>
      <c r="D637" s="517"/>
    </row>
    <row r="638" spans="1:12" x14ac:dyDescent="0.2">
      <c r="A638" s="541">
        <v>43258</v>
      </c>
      <c r="B638" s="517">
        <v>287246.65999999997</v>
      </c>
      <c r="C638" s="541"/>
      <c r="D638" s="517"/>
    </row>
    <row r="639" spans="1:12" x14ac:dyDescent="0.2">
      <c r="A639" s="541">
        <v>43259</v>
      </c>
      <c r="B639" s="517">
        <v>287247</v>
      </c>
      <c r="C639" s="541"/>
      <c r="D639" s="517"/>
    </row>
    <row r="640" spans="1:12" x14ac:dyDescent="0.2">
      <c r="A640" s="541">
        <v>43262</v>
      </c>
      <c r="B640" s="517">
        <v>287247</v>
      </c>
      <c r="C640" s="541"/>
      <c r="D640" s="517"/>
    </row>
    <row r="641" spans="1:4" x14ac:dyDescent="0.2">
      <c r="A641" s="541">
        <v>43263</v>
      </c>
      <c r="B641" s="517">
        <v>253042.79</v>
      </c>
      <c r="C641" s="541"/>
      <c r="D641" s="517"/>
    </row>
    <row r="642" spans="1:4" x14ac:dyDescent="0.2">
      <c r="A642" s="541">
        <v>43264</v>
      </c>
      <c r="B642" s="517">
        <v>253043</v>
      </c>
      <c r="C642" s="541"/>
      <c r="D642" s="517"/>
    </row>
    <row r="643" spans="1:4" x14ac:dyDescent="0.2">
      <c r="A643" s="541">
        <v>43265</v>
      </c>
      <c r="B643" s="517">
        <v>246521.36</v>
      </c>
      <c r="C643" s="541"/>
      <c r="D643" s="517"/>
    </row>
    <row r="644" spans="1:4" x14ac:dyDescent="0.2">
      <c r="A644" s="541">
        <v>43266</v>
      </c>
      <c r="B644" s="517">
        <v>246593.56</v>
      </c>
      <c r="C644" s="541"/>
      <c r="D644" s="517"/>
    </row>
    <row r="645" spans="1:4" x14ac:dyDescent="0.2">
      <c r="A645" s="541">
        <v>43269</v>
      </c>
      <c r="B645" s="517">
        <v>246594</v>
      </c>
      <c r="C645" s="541"/>
      <c r="D645" s="517"/>
    </row>
    <row r="646" spans="1:4" x14ac:dyDescent="0.2">
      <c r="A646" s="541">
        <v>43270</v>
      </c>
      <c r="B646" s="517">
        <v>246594</v>
      </c>
      <c r="C646" s="541"/>
      <c r="D646" s="517"/>
    </row>
    <row r="647" spans="1:4" x14ac:dyDescent="0.2">
      <c r="A647" s="541">
        <v>43271</v>
      </c>
      <c r="B647" s="517">
        <v>246594</v>
      </c>
      <c r="C647" s="541"/>
      <c r="D647" s="517"/>
    </row>
    <row r="648" spans="1:4" x14ac:dyDescent="0.2">
      <c r="A648" s="541">
        <v>43272</v>
      </c>
      <c r="B648" s="517">
        <v>228395.48</v>
      </c>
      <c r="C648" s="541"/>
      <c r="D648" s="517"/>
    </row>
    <row r="649" spans="1:4" x14ac:dyDescent="0.2">
      <c r="A649" s="541">
        <v>43273</v>
      </c>
      <c r="B649" s="517">
        <v>228395</v>
      </c>
      <c r="C649" s="541"/>
      <c r="D649" s="517"/>
    </row>
    <row r="650" spans="1:4" x14ac:dyDescent="0.2">
      <c r="A650" s="541">
        <v>43276</v>
      </c>
      <c r="B650" s="517">
        <v>192627.9</v>
      </c>
      <c r="C650" s="541"/>
      <c r="D650" s="517"/>
    </row>
    <row r="651" spans="1:4" x14ac:dyDescent="0.2">
      <c r="A651" s="541">
        <v>43277</v>
      </c>
      <c r="B651" s="517">
        <v>192628</v>
      </c>
      <c r="C651" s="541"/>
      <c r="D651" s="517"/>
    </row>
    <row r="652" spans="1:4" x14ac:dyDescent="0.2">
      <c r="A652" s="541">
        <v>43278</v>
      </c>
      <c r="B652" s="517">
        <v>192628</v>
      </c>
      <c r="C652" s="541"/>
      <c r="D652" s="517"/>
    </row>
    <row r="653" spans="1:4" x14ac:dyDescent="0.2">
      <c r="A653" s="541">
        <v>43279</v>
      </c>
      <c r="B653" s="517">
        <v>193904.61</v>
      </c>
      <c r="C653" s="541"/>
      <c r="D653" s="517"/>
    </row>
    <row r="654" spans="1:4" x14ac:dyDescent="0.2">
      <c r="A654" s="541">
        <v>43280</v>
      </c>
      <c r="B654" s="517">
        <v>195328.48</v>
      </c>
      <c r="C654" s="541"/>
      <c r="D654" s="517"/>
    </row>
    <row r="655" spans="1:4" x14ac:dyDescent="0.2">
      <c r="A655" s="541">
        <v>43283</v>
      </c>
      <c r="B655" s="517">
        <v>199304.09</v>
      </c>
      <c r="C655" s="541"/>
      <c r="D655" s="517"/>
    </row>
    <row r="656" spans="1:4" x14ac:dyDescent="0.2">
      <c r="A656" s="541">
        <v>43284</v>
      </c>
      <c r="B656" s="517">
        <v>201071.11</v>
      </c>
      <c r="C656" s="541"/>
      <c r="D656" s="517"/>
    </row>
    <row r="657" spans="1:4" x14ac:dyDescent="0.2">
      <c r="A657" s="541">
        <v>43285</v>
      </c>
      <c r="B657" s="517">
        <v>201071</v>
      </c>
      <c r="C657" s="541"/>
      <c r="D657" s="517"/>
    </row>
    <row r="658" spans="1:4" x14ac:dyDescent="0.2">
      <c r="A658" s="541">
        <v>43286</v>
      </c>
      <c r="B658" s="517">
        <v>223298.16</v>
      </c>
      <c r="C658" s="541"/>
      <c r="D658" s="517"/>
    </row>
    <row r="659" spans="1:4" x14ac:dyDescent="0.2">
      <c r="A659" s="541">
        <v>43287</v>
      </c>
      <c r="B659" s="517">
        <v>238962.66</v>
      </c>
      <c r="C659" s="541"/>
      <c r="D659" s="517"/>
    </row>
    <row r="660" spans="1:4" x14ac:dyDescent="0.2">
      <c r="A660" s="541">
        <v>43290</v>
      </c>
      <c r="B660" s="517">
        <v>203086.22</v>
      </c>
      <c r="C660" s="541"/>
      <c r="D660" s="517"/>
    </row>
    <row r="661" spans="1:4" x14ac:dyDescent="0.2">
      <c r="A661" s="541">
        <v>43291</v>
      </c>
      <c r="B661" s="517">
        <v>226930.31</v>
      </c>
      <c r="C661" s="541"/>
      <c r="D661" s="517"/>
    </row>
    <row r="662" spans="1:4" x14ac:dyDescent="0.2">
      <c r="A662" s="541">
        <v>43292</v>
      </c>
      <c r="B662" s="517">
        <v>226930</v>
      </c>
      <c r="C662" s="541"/>
      <c r="D662" s="517"/>
    </row>
    <row r="663" spans="1:4" x14ac:dyDescent="0.2">
      <c r="A663" s="541">
        <v>43293</v>
      </c>
      <c r="B663" s="517">
        <v>220822.05</v>
      </c>
      <c r="C663" s="541"/>
      <c r="D663" s="517"/>
    </row>
    <row r="664" spans="1:4" x14ac:dyDescent="0.2">
      <c r="A664" s="541">
        <v>43294</v>
      </c>
      <c r="B664" s="517">
        <v>220986.35</v>
      </c>
      <c r="C664" s="541"/>
      <c r="D664" s="517"/>
    </row>
    <row r="665" spans="1:4" x14ac:dyDescent="0.2">
      <c r="A665" s="541">
        <v>43297</v>
      </c>
      <c r="B665" s="517">
        <v>220986</v>
      </c>
      <c r="C665" s="541"/>
      <c r="D665" s="517"/>
    </row>
    <row r="666" spans="1:4" x14ac:dyDescent="0.2">
      <c r="A666" s="541">
        <v>43298</v>
      </c>
      <c r="B666" s="517">
        <v>220986</v>
      </c>
      <c r="C666" s="541"/>
      <c r="D666" s="517"/>
    </row>
    <row r="667" spans="1:4" x14ac:dyDescent="0.2">
      <c r="A667" s="541">
        <v>43299</v>
      </c>
      <c r="B667" s="517">
        <v>197995.27</v>
      </c>
      <c r="C667" s="541"/>
      <c r="D667" s="517"/>
    </row>
    <row r="668" spans="1:4" x14ac:dyDescent="0.2">
      <c r="A668" s="541">
        <v>43300</v>
      </c>
      <c r="B668" s="517">
        <v>202931.61</v>
      </c>
      <c r="C668" s="541"/>
      <c r="D668" s="517"/>
    </row>
    <row r="669" spans="1:4" x14ac:dyDescent="0.2">
      <c r="A669" s="541">
        <v>43301</v>
      </c>
      <c r="B669" s="517">
        <v>202932</v>
      </c>
      <c r="C669" s="541"/>
      <c r="D669" s="517"/>
    </row>
    <row r="670" spans="1:4" x14ac:dyDescent="0.2">
      <c r="A670" s="541">
        <v>43304</v>
      </c>
      <c r="B670" s="517">
        <v>167839.6</v>
      </c>
      <c r="C670" s="541"/>
      <c r="D670" s="517"/>
    </row>
    <row r="671" spans="1:4" x14ac:dyDescent="0.2">
      <c r="A671" s="541">
        <v>43305</v>
      </c>
      <c r="B671" s="517">
        <v>167840</v>
      </c>
      <c r="C671" s="541"/>
      <c r="D671" s="517"/>
    </row>
    <row r="672" spans="1:4" x14ac:dyDescent="0.2">
      <c r="A672" s="541">
        <v>43306</v>
      </c>
      <c r="B672" s="517">
        <v>167840</v>
      </c>
      <c r="C672" s="541"/>
      <c r="D672" s="517"/>
    </row>
    <row r="673" spans="1:4" x14ac:dyDescent="0.2">
      <c r="A673" s="541">
        <v>43307</v>
      </c>
      <c r="B673" s="517">
        <v>180485.58</v>
      </c>
      <c r="C673" s="541"/>
      <c r="D673" s="517"/>
    </row>
    <row r="674" spans="1:4" x14ac:dyDescent="0.2">
      <c r="A674" s="541">
        <v>43308</v>
      </c>
      <c r="B674" s="517">
        <v>205676.09</v>
      </c>
      <c r="C674" s="541"/>
      <c r="D674" s="517"/>
    </row>
    <row r="675" spans="1:4" x14ac:dyDescent="0.2">
      <c r="A675" s="541">
        <v>43311</v>
      </c>
      <c r="B675" s="517">
        <v>199229.46</v>
      </c>
      <c r="C675" s="541"/>
      <c r="D675" s="517"/>
    </row>
    <row r="676" spans="1:4" x14ac:dyDescent="0.2">
      <c r="A676" s="541">
        <v>43312</v>
      </c>
      <c r="B676" s="517">
        <v>199612.46</v>
      </c>
      <c r="C676" s="541"/>
      <c r="D676" s="517"/>
    </row>
    <row r="677" spans="1:4" x14ac:dyDescent="0.2">
      <c r="A677" s="541">
        <v>43313</v>
      </c>
      <c r="B677" s="517">
        <v>327321.84000000003</v>
      </c>
      <c r="C677" s="541"/>
      <c r="D677" s="517"/>
    </row>
    <row r="678" spans="1:4" x14ac:dyDescent="0.2">
      <c r="A678" s="541">
        <v>43314</v>
      </c>
      <c r="B678" s="517">
        <v>328551.67</v>
      </c>
      <c r="C678" s="541"/>
      <c r="D678" s="517"/>
    </row>
    <row r="679" spans="1:4" x14ac:dyDescent="0.2">
      <c r="A679" s="541">
        <v>43315</v>
      </c>
      <c r="B679" s="517">
        <v>328552</v>
      </c>
      <c r="C679" s="541"/>
      <c r="D679" s="517"/>
    </row>
    <row r="680" spans="1:4" x14ac:dyDescent="0.2">
      <c r="A680" s="541">
        <v>43318</v>
      </c>
      <c r="B680" s="517">
        <v>293600.95</v>
      </c>
      <c r="C680" s="541"/>
      <c r="D680" s="517"/>
    </row>
    <row r="681" spans="1:4" x14ac:dyDescent="0.2">
      <c r="A681" s="541">
        <v>43319</v>
      </c>
      <c r="B681" s="517">
        <v>298153.56</v>
      </c>
      <c r="C681" s="541"/>
      <c r="D681" s="517"/>
    </row>
    <row r="682" spans="1:4" x14ac:dyDescent="0.2">
      <c r="A682" s="541">
        <v>43320</v>
      </c>
      <c r="B682" s="517">
        <v>298154</v>
      </c>
      <c r="C682" s="541"/>
      <c r="D682" s="517"/>
    </row>
    <row r="683" spans="1:4" x14ac:dyDescent="0.2">
      <c r="A683" s="541">
        <v>43321</v>
      </c>
      <c r="B683" s="517">
        <v>294180.65999999997</v>
      </c>
      <c r="C683" s="541"/>
      <c r="D683" s="517"/>
    </row>
    <row r="684" spans="1:4" x14ac:dyDescent="0.2">
      <c r="A684" s="541">
        <v>43322</v>
      </c>
      <c r="B684" s="517">
        <v>294181</v>
      </c>
      <c r="C684" s="541"/>
      <c r="D684" s="517"/>
    </row>
    <row r="685" spans="1:4" x14ac:dyDescent="0.2">
      <c r="A685" s="541">
        <v>43325</v>
      </c>
      <c r="B685" s="517">
        <v>294679.65999999997</v>
      </c>
      <c r="C685" s="541"/>
      <c r="D685" s="517"/>
    </row>
    <row r="686" spans="1:4" x14ac:dyDescent="0.2">
      <c r="A686" s="541">
        <v>43326</v>
      </c>
      <c r="B686" s="517">
        <v>294680</v>
      </c>
      <c r="C686" s="541"/>
      <c r="D686" s="517"/>
    </row>
    <row r="687" spans="1:4" x14ac:dyDescent="0.2">
      <c r="A687" s="541">
        <v>43327</v>
      </c>
      <c r="B687" s="517">
        <v>294761.65000000002</v>
      </c>
      <c r="C687" s="541"/>
      <c r="D687" s="517"/>
    </row>
    <row r="688" spans="1:4" x14ac:dyDescent="0.2">
      <c r="A688" s="541">
        <v>43328</v>
      </c>
      <c r="B688" s="517">
        <v>290632.52</v>
      </c>
      <c r="C688" s="541"/>
      <c r="D688" s="517"/>
    </row>
    <row r="689" spans="1:4" x14ac:dyDescent="0.2">
      <c r="A689" s="541">
        <v>43329</v>
      </c>
      <c r="B689" s="517">
        <v>290633</v>
      </c>
      <c r="C689" s="541"/>
      <c r="D689" s="517"/>
    </row>
    <row r="690" spans="1:4" x14ac:dyDescent="0.2">
      <c r="A690" s="541">
        <v>43332</v>
      </c>
      <c r="B690" s="517">
        <v>254427.11</v>
      </c>
      <c r="C690" s="541"/>
      <c r="D690" s="517"/>
    </row>
    <row r="691" spans="1:4" x14ac:dyDescent="0.2">
      <c r="A691" s="541">
        <v>43333</v>
      </c>
      <c r="B691" s="517">
        <v>255823.93</v>
      </c>
      <c r="C691" s="541"/>
      <c r="D691" s="517"/>
    </row>
    <row r="692" spans="1:4" x14ac:dyDescent="0.2">
      <c r="A692" s="541">
        <v>43334</v>
      </c>
      <c r="B692" s="517">
        <v>255419.13</v>
      </c>
      <c r="C692" s="541"/>
      <c r="D692" s="517"/>
    </row>
    <row r="693" spans="1:4" x14ac:dyDescent="0.2">
      <c r="A693" s="541">
        <v>43335</v>
      </c>
      <c r="B693" s="517">
        <v>272759.37</v>
      </c>
      <c r="C693" s="541"/>
      <c r="D693" s="517"/>
    </row>
    <row r="694" spans="1:4" x14ac:dyDescent="0.2">
      <c r="A694" s="541">
        <v>43336</v>
      </c>
      <c r="B694" s="517">
        <v>272846.37</v>
      </c>
      <c r="C694" s="541"/>
      <c r="D694" s="517"/>
    </row>
    <row r="695" spans="1:4" x14ac:dyDescent="0.2">
      <c r="A695" s="541">
        <v>43339</v>
      </c>
      <c r="B695" s="517">
        <v>272846</v>
      </c>
      <c r="C695" s="541"/>
      <c r="D695" s="517"/>
    </row>
    <row r="696" spans="1:4" x14ac:dyDescent="0.2">
      <c r="A696" s="541">
        <v>43340</v>
      </c>
      <c r="B696" s="517">
        <v>272846</v>
      </c>
      <c r="C696" s="541"/>
      <c r="D696" s="517"/>
    </row>
    <row r="697" spans="1:4" x14ac:dyDescent="0.2">
      <c r="A697" s="541">
        <v>43341</v>
      </c>
      <c r="B697" s="517">
        <v>276622.58</v>
      </c>
      <c r="C697" s="541"/>
      <c r="D697" s="517"/>
    </row>
    <row r="698" spans="1:4" x14ac:dyDescent="0.2">
      <c r="A698" s="541">
        <v>43342</v>
      </c>
      <c r="B698" s="517">
        <v>276623</v>
      </c>
      <c r="C698" s="541"/>
      <c r="D698" s="517"/>
    </row>
    <row r="699" spans="1:4" x14ac:dyDescent="0.2">
      <c r="A699" s="541">
        <v>43343</v>
      </c>
      <c r="B699" s="517">
        <v>276773.33</v>
      </c>
      <c r="C699" s="541"/>
      <c r="D699" s="517"/>
    </row>
    <row r="700" spans="1:4" x14ac:dyDescent="0.2">
      <c r="A700" s="541">
        <v>43346</v>
      </c>
      <c r="B700" s="517">
        <v>276773</v>
      </c>
      <c r="C700" s="541"/>
      <c r="D700" s="517"/>
    </row>
    <row r="701" spans="1:4" x14ac:dyDescent="0.2">
      <c r="A701" s="541">
        <v>43347</v>
      </c>
      <c r="B701" s="517">
        <v>240090.56</v>
      </c>
      <c r="C701" s="541"/>
      <c r="D701" s="517"/>
    </row>
    <row r="702" spans="1:4" x14ac:dyDescent="0.2">
      <c r="A702" s="541">
        <v>43348</v>
      </c>
      <c r="B702" s="517">
        <v>240091</v>
      </c>
      <c r="C702" s="541"/>
      <c r="D702" s="517"/>
    </row>
    <row r="703" spans="1:4" x14ac:dyDescent="0.2">
      <c r="A703" s="541">
        <v>43349</v>
      </c>
      <c r="B703" s="517">
        <v>237779.31</v>
      </c>
      <c r="C703" s="541"/>
      <c r="D703" s="517"/>
    </row>
    <row r="704" spans="1:4" x14ac:dyDescent="0.2">
      <c r="A704" s="541">
        <v>43350</v>
      </c>
      <c r="B704" s="517">
        <v>237779</v>
      </c>
      <c r="C704" s="541"/>
      <c r="D704" s="517"/>
    </row>
    <row r="705" spans="1:4" x14ac:dyDescent="0.2">
      <c r="A705" s="541">
        <v>43353</v>
      </c>
      <c r="B705" s="517">
        <v>243552.34</v>
      </c>
      <c r="C705" s="541"/>
      <c r="D705" s="517"/>
    </row>
    <row r="706" spans="1:4" x14ac:dyDescent="0.2">
      <c r="A706" s="541">
        <v>43354</v>
      </c>
      <c r="B706" s="517">
        <v>243552</v>
      </c>
      <c r="C706" s="541"/>
      <c r="D706" s="517"/>
    </row>
    <row r="707" spans="1:4" x14ac:dyDescent="0.2">
      <c r="A707" s="541">
        <v>43355</v>
      </c>
      <c r="B707" s="517">
        <v>243552</v>
      </c>
      <c r="C707" s="541"/>
      <c r="D707" s="517"/>
    </row>
    <row r="708" spans="1:4" x14ac:dyDescent="0.2">
      <c r="A708" s="541">
        <v>43356</v>
      </c>
      <c r="B708" s="517">
        <v>266009.96000000002</v>
      </c>
      <c r="C708" s="541"/>
      <c r="D708" s="517"/>
    </row>
    <row r="709" spans="1:4" x14ac:dyDescent="0.2">
      <c r="A709" s="541">
        <v>43357</v>
      </c>
      <c r="B709" s="517">
        <v>266087.59999999998</v>
      </c>
      <c r="C709" s="541"/>
      <c r="D709" s="517"/>
    </row>
    <row r="710" spans="1:4" x14ac:dyDescent="0.2">
      <c r="A710" s="541">
        <v>43360</v>
      </c>
      <c r="B710" s="517">
        <v>229939.6</v>
      </c>
      <c r="C710" s="541"/>
      <c r="D710" s="517"/>
    </row>
    <row r="711" spans="1:4" x14ac:dyDescent="0.2">
      <c r="A711" s="541">
        <v>43361</v>
      </c>
      <c r="B711" s="517">
        <v>229940</v>
      </c>
      <c r="C711" s="541"/>
      <c r="D711" s="517"/>
    </row>
    <row r="712" spans="1:4" x14ac:dyDescent="0.2">
      <c r="A712" s="541">
        <v>43362</v>
      </c>
      <c r="B712" s="517">
        <v>229940</v>
      </c>
      <c r="C712" s="541"/>
      <c r="D712" s="517"/>
    </row>
    <row r="713" spans="1:4" x14ac:dyDescent="0.2">
      <c r="A713" s="541">
        <v>43363</v>
      </c>
      <c r="B713" s="517">
        <v>226983.82</v>
      </c>
      <c r="C713" s="541"/>
      <c r="D713" s="517"/>
    </row>
    <row r="714" spans="1:4" x14ac:dyDescent="0.2">
      <c r="A714" s="541">
        <v>43364</v>
      </c>
      <c r="B714" s="517">
        <v>226983.82</v>
      </c>
      <c r="C714" s="541"/>
      <c r="D714" s="517"/>
    </row>
    <row r="715" spans="1:4" x14ac:dyDescent="0.2">
      <c r="A715" s="541">
        <v>43367</v>
      </c>
      <c r="B715" s="517">
        <v>231167.41</v>
      </c>
      <c r="C715" s="541"/>
      <c r="D715" s="517"/>
    </row>
    <row r="716" spans="1:4" x14ac:dyDescent="0.2">
      <c r="A716" s="541">
        <v>43368</v>
      </c>
      <c r="B716" s="517">
        <v>231298.26</v>
      </c>
      <c r="C716" s="541"/>
      <c r="D716" s="517"/>
    </row>
    <row r="717" spans="1:4" x14ac:dyDescent="0.2">
      <c r="A717" s="541">
        <v>43369</v>
      </c>
      <c r="B717" s="517">
        <v>231298</v>
      </c>
      <c r="C717" s="541"/>
      <c r="D717" s="517"/>
    </row>
    <row r="718" spans="1:4" x14ac:dyDescent="0.2">
      <c r="A718" s="541">
        <v>43370</v>
      </c>
      <c r="B718" s="517">
        <v>218195.44</v>
      </c>
      <c r="C718" s="541"/>
      <c r="D718" s="517"/>
    </row>
    <row r="719" spans="1:4" x14ac:dyDescent="0.2">
      <c r="A719" s="541">
        <v>43371</v>
      </c>
      <c r="B719" s="517">
        <v>218195</v>
      </c>
      <c r="C719" s="541"/>
      <c r="D719" s="517"/>
    </row>
    <row r="720" spans="1:4" x14ac:dyDescent="0.2">
      <c r="A720" s="541">
        <v>43374</v>
      </c>
      <c r="B720" s="517">
        <v>181738.47</v>
      </c>
      <c r="C720" s="541"/>
      <c r="D720" s="517"/>
    </row>
    <row r="721" spans="1:4" x14ac:dyDescent="0.2">
      <c r="A721" s="541">
        <v>43375</v>
      </c>
      <c r="B721" s="517">
        <v>175674.86</v>
      </c>
      <c r="C721" s="541"/>
      <c r="D721" s="517"/>
    </row>
    <row r="722" spans="1:4" x14ac:dyDescent="0.2">
      <c r="A722" s="541">
        <v>43376</v>
      </c>
      <c r="B722" s="517">
        <v>175890.11</v>
      </c>
      <c r="C722" s="541"/>
      <c r="D722" s="517"/>
    </row>
    <row r="723" spans="1:4" x14ac:dyDescent="0.2">
      <c r="A723" s="541">
        <v>43377</v>
      </c>
      <c r="B723" s="517">
        <v>176908.84</v>
      </c>
      <c r="C723" s="541"/>
      <c r="D723" s="517"/>
    </row>
    <row r="724" spans="1:4" x14ac:dyDescent="0.2">
      <c r="A724" s="541">
        <v>43378</v>
      </c>
      <c r="B724" s="517">
        <v>176909</v>
      </c>
      <c r="C724" s="541"/>
      <c r="D724" s="517"/>
    </row>
    <row r="725" spans="1:4" x14ac:dyDescent="0.2">
      <c r="A725" s="541">
        <v>43381</v>
      </c>
      <c r="B725" s="517">
        <v>176909</v>
      </c>
      <c r="C725" s="541"/>
      <c r="D725" s="517"/>
    </row>
    <row r="726" spans="1:4" x14ac:dyDescent="0.2">
      <c r="A726" s="541">
        <v>43382</v>
      </c>
      <c r="B726" s="517">
        <v>226038.22</v>
      </c>
      <c r="C726" s="541"/>
      <c r="D726" s="517"/>
    </row>
    <row r="727" spans="1:4" x14ac:dyDescent="0.2">
      <c r="A727" s="541">
        <v>43383</v>
      </c>
      <c r="B727" s="517">
        <v>226038</v>
      </c>
      <c r="C727" s="541"/>
      <c r="D727" s="517"/>
    </row>
    <row r="728" spans="1:4" x14ac:dyDescent="0.2">
      <c r="A728" s="541">
        <v>43384</v>
      </c>
      <c r="B728" s="517">
        <v>223293.31</v>
      </c>
      <c r="C728" s="541"/>
      <c r="D728" s="517"/>
    </row>
    <row r="729" spans="1:4" x14ac:dyDescent="0.2">
      <c r="A729" s="541">
        <v>43385</v>
      </c>
      <c r="B729" s="517">
        <v>272327.27</v>
      </c>
      <c r="C729" s="541"/>
      <c r="D729" s="517"/>
    </row>
    <row r="730" spans="1:4" x14ac:dyDescent="0.2">
      <c r="A730" s="541">
        <v>43388</v>
      </c>
      <c r="B730" s="517">
        <v>236397.34</v>
      </c>
      <c r="C730" s="541"/>
      <c r="D730" s="517"/>
    </row>
    <row r="731" spans="1:4" x14ac:dyDescent="0.2">
      <c r="A731" s="541">
        <v>43389</v>
      </c>
      <c r="B731" s="517">
        <v>236553.84</v>
      </c>
      <c r="C731" s="541"/>
      <c r="D731" s="517"/>
    </row>
    <row r="732" spans="1:4" x14ac:dyDescent="0.2">
      <c r="A732" s="541">
        <v>43390</v>
      </c>
      <c r="B732" s="517">
        <v>249133.92</v>
      </c>
      <c r="C732" s="541"/>
      <c r="D732" s="517"/>
    </row>
    <row r="733" spans="1:4" x14ac:dyDescent="0.2">
      <c r="A733" s="541">
        <v>43391</v>
      </c>
      <c r="B733" s="517">
        <v>254043.68</v>
      </c>
      <c r="C733" s="541"/>
      <c r="D733" s="517"/>
    </row>
    <row r="734" spans="1:4" x14ac:dyDescent="0.2">
      <c r="A734" s="541">
        <v>43392</v>
      </c>
      <c r="B734" s="517">
        <v>254064.5</v>
      </c>
      <c r="C734" s="541"/>
      <c r="D734" s="517"/>
    </row>
    <row r="735" spans="1:4" x14ac:dyDescent="0.2">
      <c r="A735" s="541">
        <v>43395</v>
      </c>
      <c r="B735" s="517">
        <v>290142.09999999998</v>
      </c>
      <c r="C735" s="541"/>
      <c r="D735" s="517"/>
    </row>
    <row r="736" spans="1:4" x14ac:dyDescent="0.2">
      <c r="A736" s="541">
        <v>43396</v>
      </c>
      <c r="B736" s="517">
        <v>290142</v>
      </c>
      <c r="C736" s="541"/>
      <c r="D736" s="517"/>
    </row>
    <row r="737" spans="1:4" x14ac:dyDescent="0.2">
      <c r="A737" s="541">
        <v>43397</v>
      </c>
      <c r="B737" s="517">
        <v>290034.38</v>
      </c>
      <c r="C737" s="541"/>
      <c r="D737" s="517"/>
    </row>
    <row r="738" spans="1:4" x14ac:dyDescent="0.2">
      <c r="A738" s="541">
        <v>43398</v>
      </c>
      <c r="B738" s="517">
        <v>291747.36</v>
      </c>
      <c r="C738" s="541"/>
      <c r="D738" s="517"/>
    </row>
    <row r="739" spans="1:4" x14ac:dyDescent="0.2">
      <c r="A739" s="541">
        <v>43399</v>
      </c>
      <c r="B739" s="517">
        <v>306637.48</v>
      </c>
      <c r="C739" s="541"/>
      <c r="D739" s="517"/>
    </row>
    <row r="740" spans="1:4" x14ac:dyDescent="0.2">
      <c r="A740" s="541">
        <v>43402</v>
      </c>
      <c r="B740" s="517">
        <v>270401.28999999998</v>
      </c>
      <c r="C740" s="541"/>
      <c r="D740" s="517"/>
    </row>
    <row r="741" spans="1:4" x14ac:dyDescent="0.2">
      <c r="A741" s="541">
        <v>43403</v>
      </c>
      <c r="B741" s="517">
        <v>278028.58</v>
      </c>
      <c r="C741" s="541"/>
      <c r="D741" s="517"/>
    </row>
    <row r="742" spans="1:4" x14ac:dyDescent="0.2">
      <c r="A742" s="541">
        <v>43404</v>
      </c>
      <c r="B742" s="517">
        <v>278029</v>
      </c>
      <c r="C742" s="541"/>
      <c r="D742" s="517"/>
    </row>
    <row r="743" spans="1:4" x14ac:dyDescent="0.2">
      <c r="A743" s="541">
        <v>43405</v>
      </c>
      <c r="B743" s="517">
        <v>279523.53000000003</v>
      </c>
      <c r="C743" s="541"/>
      <c r="D743" s="517"/>
    </row>
    <row r="744" spans="1:4" x14ac:dyDescent="0.2">
      <c r="A744" s="541">
        <v>43406</v>
      </c>
      <c r="B744" s="517">
        <v>303100.06</v>
      </c>
      <c r="C744" s="541"/>
      <c r="D744" s="517"/>
    </row>
    <row r="745" spans="1:4" x14ac:dyDescent="0.2">
      <c r="A745" s="541">
        <v>43409</v>
      </c>
      <c r="B745" s="517">
        <v>303100.06</v>
      </c>
      <c r="C745" s="541"/>
      <c r="D745" s="517"/>
    </row>
    <row r="746" spans="1:4" x14ac:dyDescent="0.2">
      <c r="A746" s="541">
        <v>43410</v>
      </c>
      <c r="B746" s="517">
        <v>303100.06</v>
      </c>
      <c r="C746" s="541"/>
      <c r="D746" s="517"/>
    </row>
    <row r="747" spans="1:4" x14ac:dyDescent="0.2">
      <c r="A747" s="541">
        <v>43411</v>
      </c>
      <c r="B747" s="517">
        <v>303954.14</v>
      </c>
      <c r="C747" s="541"/>
      <c r="D747" s="517"/>
    </row>
    <row r="748" spans="1:4" x14ac:dyDescent="0.2">
      <c r="A748" s="541">
        <v>43412</v>
      </c>
      <c r="B748" s="517">
        <v>294843.14</v>
      </c>
      <c r="C748" s="541"/>
      <c r="D748" s="517"/>
    </row>
    <row r="749" spans="1:4" x14ac:dyDescent="0.2">
      <c r="A749" s="541">
        <v>43413</v>
      </c>
      <c r="B749" s="517">
        <v>294843</v>
      </c>
      <c r="C749" s="541"/>
      <c r="D749" s="517"/>
    </row>
    <row r="750" spans="1:4" x14ac:dyDescent="0.2">
      <c r="A750" s="541">
        <v>43416</v>
      </c>
      <c r="B750" s="517">
        <v>294843</v>
      </c>
      <c r="C750" s="541"/>
      <c r="D750" s="517"/>
    </row>
    <row r="751" spans="1:4" x14ac:dyDescent="0.2">
      <c r="A751" s="541">
        <v>43417</v>
      </c>
      <c r="B751" s="517">
        <v>294843</v>
      </c>
      <c r="C751" s="541"/>
      <c r="D751" s="517"/>
    </row>
    <row r="752" spans="1:4" x14ac:dyDescent="0.2">
      <c r="A752" s="541">
        <v>43418</v>
      </c>
      <c r="B752" s="517">
        <v>259514.47</v>
      </c>
      <c r="C752" s="541"/>
      <c r="D752" s="517"/>
    </row>
    <row r="753" spans="1:4" x14ac:dyDescent="0.2">
      <c r="A753" s="541">
        <v>43419</v>
      </c>
      <c r="B753" s="517">
        <v>255987.45</v>
      </c>
      <c r="C753" s="541"/>
      <c r="D753" s="517"/>
    </row>
    <row r="754" spans="1:4" x14ac:dyDescent="0.2">
      <c r="A754" s="541">
        <v>43420</v>
      </c>
      <c r="B754" s="517">
        <v>255987.45</v>
      </c>
      <c r="C754" s="541"/>
      <c r="D754" s="517"/>
    </row>
    <row r="755" spans="1:4" x14ac:dyDescent="0.2">
      <c r="A755" s="541">
        <v>43423</v>
      </c>
      <c r="B755" s="517">
        <v>255987.45</v>
      </c>
      <c r="C755" s="541"/>
      <c r="D755" s="517"/>
    </row>
    <row r="756" spans="1:4" x14ac:dyDescent="0.2">
      <c r="A756" s="541">
        <v>43424</v>
      </c>
      <c r="B756" s="517">
        <v>254650.75</v>
      </c>
      <c r="C756" s="541"/>
      <c r="D756" s="517"/>
    </row>
    <row r="757" spans="1:4" x14ac:dyDescent="0.2">
      <c r="A757" s="541">
        <v>43425</v>
      </c>
      <c r="B757" s="517">
        <v>298403.21000000002</v>
      </c>
      <c r="C757" s="541"/>
      <c r="D757" s="517"/>
    </row>
    <row r="758" spans="1:4" x14ac:dyDescent="0.2">
      <c r="A758" s="541">
        <v>43426</v>
      </c>
      <c r="B758" s="517">
        <v>300529.64</v>
      </c>
      <c r="C758" s="541"/>
      <c r="D758" s="517"/>
    </row>
    <row r="759" spans="1:4" x14ac:dyDescent="0.2">
      <c r="A759" s="541">
        <v>43427</v>
      </c>
      <c r="B759" s="517">
        <v>300229.64</v>
      </c>
      <c r="C759" s="541"/>
      <c r="D759" s="517"/>
    </row>
    <row r="760" spans="1:4" x14ac:dyDescent="0.2">
      <c r="A760" s="541">
        <v>43430</v>
      </c>
      <c r="B760" s="517">
        <v>300230</v>
      </c>
      <c r="C760" s="541"/>
      <c r="D760" s="517"/>
    </row>
    <row r="761" spans="1:4" x14ac:dyDescent="0.2">
      <c r="A761" s="541">
        <v>43431</v>
      </c>
      <c r="B761" s="517">
        <v>267674.82</v>
      </c>
      <c r="C761" s="541"/>
      <c r="D761" s="517"/>
    </row>
    <row r="762" spans="1:4" x14ac:dyDescent="0.2">
      <c r="A762" s="541">
        <v>43432</v>
      </c>
      <c r="B762" s="517">
        <v>273448.82</v>
      </c>
      <c r="C762" s="541"/>
      <c r="D762" s="517"/>
    </row>
    <row r="763" spans="1:4" x14ac:dyDescent="0.2">
      <c r="A763" s="541">
        <v>43433</v>
      </c>
      <c r="B763" s="517">
        <v>252527.09</v>
      </c>
      <c r="C763" s="541"/>
      <c r="D763" s="517"/>
    </row>
    <row r="764" spans="1:4" x14ac:dyDescent="0.2">
      <c r="A764" s="541">
        <v>43434</v>
      </c>
      <c r="B764" s="517">
        <v>321968.59000000003</v>
      </c>
      <c r="C764" s="541"/>
      <c r="D764" s="517"/>
    </row>
    <row r="765" spans="1:4" x14ac:dyDescent="0.2">
      <c r="A765" s="541">
        <v>43437</v>
      </c>
      <c r="B765" s="517">
        <v>321969</v>
      </c>
      <c r="C765" s="541"/>
      <c r="D765" s="517"/>
    </row>
    <row r="766" spans="1:4" x14ac:dyDescent="0.2">
      <c r="A766" s="541">
        <v>43438</v>
      </c>
      <c r="B766" s="517">
        <v>321969</v>
      </c>
      <c r="C766" s="541"/>
      <c r="D766" s="517"/>
    </row>
    <row r="767" spans="1:4" x14ac:dyDescent="0.2">
      <c r="A767" s="541">
        <v>43439</v>
      </c>
      <c r="B767" s="517">
        <v>321969</v>
      </c>
      <c r="C767" s="541"/>
      <c r="D767" s="517"/>
    </row>
    <row r="768" spans="1:4" x14ac:dyDescent="0.2">
      <c r="A768" s="541">
        <v>43440</v>
      </c>
      <c r="B768" s="517">
        <v>314251.55</v>
      </c>
      <c r="C768" s="541"/>
      <c r="D768" s="517"/>
    </row>
    <row r="769" spans="1:4" x14ac:dyDescent="0.2">
      <c r="A769" s="541">
        <v>43441</v>
      </c>
      <c r="B769" s="517">
        <v>315739.42</v>
      </c>
      <c r="C769" s="541"/>
      <c r="D769" s="517"/>
    </row>
    <row r="770" spans="1:4" x14ac:dyDescent="0.2">
      <c r="A770" s="541">
        <v>43444</v>
      </c>
      <c r="B770" s="517">
        <v>315739</v>
      </c>
      <c r="C770" s="541"/>
      <c r="D770" s="517"/>
    </row>
    <row r="771" spans="1:4" x14ac:dyDescent="0.2">
      <c r="A771" s="541">
        <v>43445</v>
      </c>
      <c r="B771" s="517">
        <v>275506.94</v>
      </c>
      <c r="C771" s="541"/>
      <c r="D771" s="517"/>
    </row>
    <row r="772" spans="1:4" x14ac:dyDescent="0.2">
      <c r="A772" s="541">
        <v>43446</v>
      </c>
      <c r="B772" s="517">
        <v>275507</v>
      </c>
      <c r="C772" s="541"/>
      <c r="D772" s="517"/>
    </row>
    <row r="773" spans="1:4" x14ac:dyDescent="0.2">
      <c r="A773" s="541">
        <v>43447</v>
      </c>
      <c r="B773" s="517">
        <v>289896.89</v>
      </c>
      <c r="C773" s="541"/>
      <c r="D773" s="517"/>
    </row>
    <row r="774" spans="1:4" x14ac:dyDescent="0.2">
      <c r="A774" s="541">
        <v>43448</v>
      </c>
      <c r="B774" s="517">
        <v>313281.34999999998</v>
      </c>
      <c r="C774" s="541"/>
      <c r="D774" s="517"/>
    </row>
    <row r="775" spans="1:4" x14ac:dyDescent="0.2">
      <c r="A775" s="541">
        <v>43451</v>
      </c>
      <c r="B775" s="517">
        <v>313281</v>
      </c>
      <c r="C775" s="541"/>
      <c r="D775" s="517"/>
    </row>
    <row r="776" spans="1:4" x14ac:dyDescent="0.2">
      <c r="A776" s="541">
        <v>43452</v>
      </c>
      <c r="B776" s="517">
        <v>317556.84999999998</v>
      </c>
      <c r="C776" s="541"/>
      <c r="D776" s="517"/>
    </row>
    <row r="777" spans="1:4" x14ac:dyDescent="0.2">
      <c r="A777" s="541">
        <v>43453</v>
      </c>
      <c r="B777" s="517">
        <v>317557</v>
      </c>
      <c r="C777" s="541"/>
      <c r="D777" s="517"/>
    </row>
    <row r="778" spans="1:4" x14ac:dyDescent="0.2">
      <c r="A778" s="541">
        <v>43454</v>
      </c>
      <c r="B778" s="517">
        <v>297159.33</v>
      </c>
      <c r="C778" s="541"/>
      <c r="D778" s="517"/>
    </row>
    <row r="779" spans="1:4" x14ac:dyDescent="0.2">
      <c r="A779" s="541">
        <v>43455</v>
      </c>
      <c r="B779" s="517">
        <v>297159</v>
      </c>
      <c r="C779" s="541"/>
      <c r="D779" s="517"/>
    </row>
    <row r="780" spans="1:4" x14ac:dyDescent="0.2">
      <c r="A780" s="541">
        <v>43458</v>
      </c>
      <c r="B780" s="517">
        <v>260233.37</v>
      </c>
      <c r="C780" s="541"/>
      <c r="D780" s="517"/>
    </row>
    <row r="781" spans="1:4" x14ac:dyDescent="0.2">
      <c r="A781" s="541">
        <v>43459</v>
      </c>
      <c r="B781" s="517">
        <v>260233</v>
      </c>
      <c r="C781" s="541"/>
      <c r="D781" s="517"/>
    </row>
    <row r="782" spans="1:4" x14ac:dyDescent="0.2">
      <c r="A782" s="541">
        <v>43460</v>
      </c>
      <c r="B782" s="517">
        <v>261845.78</v>
      </c>
      <c r="C782" s="541"/>
      <c r="D782" s="517"/>
    </row>
    <row r="783" spans="1:4" x14ac:dyDescent="0.2">
      <c r="A783" s="541">
        <v>43461</v>
      </c>
      <c r="B783" s="517">
        <v>261846</v>
      </c>
      <c r="C783" s="541"/>
      <c r="D783" s="517"/>
    </row>
    <row r="784" spans="1:4" x14ac:dyDescent="0.2">
      <c r="A784" s="541">
        <v>43462</v>
      </c>
      <c r="B784" s="517">
        <v>273805.40000000002</v>
      </c>
      <c r="C784" s="541"/>
      <c r="D784" s="517"/>
    </row>
    <row r="785" spans="1:4" x14ac:dyDescent="0.2">
      <c r="A785" s="541">
        <v>43465</v>
      </c>
      <c r="B785" s="517">
        <v>274101.40000000002</v>
      </c>
      <c r="C785" s="541"/>
      <c r="D785" s="517"/>
    </row>
    <row r="786" spans="1:4" x14ac:dyDescent="0.2">
      <c r="A786" s="541">
        <v>43466</v>
      </c>
      <c r="B786" s="517">
        <v>274101</v>
      </c>
      <c r="C786" s="541"/>
      <c r="D786" s="517"/>
    </row>
    <row r="787" spans="1:4" x14ac:dyDescent="0.2">
      <c r="A787" s="541">
        <v>43467</v>
      </c>
      <c r="B787" s="517">
        <v>299108.40000000002</v>
      </c>
      <c r="C787" s="541"/>
      <c r="D787" s="517"/>
    </row>
    <row r="788" spans="1:4" x14ac:dyDescent="0.2">
      <c r="A788" s="541">
        <v>43468</v>
      </c>
      <c r="B788" s="517">
        <v>298070.78000000003</v>
      </c>
      <c r="C788" s="541"/>
      <c r="D788" s="517"/>
    </row>
    <row r="789" spans="1:4" x14ac:dyDescent="0.2">
      <c r="A789" s="541">
        <v>43469</v>
      </c>
      <c r="B789" s="517">
        <v>298071</v>
      </c>
      <c r="C789" s="541"/>
      <c r="D789" s="517"/>
    </row>
    <row r="790" spans="1:4" x14ac:dyDescent="0.2">
      <c r="A790" s="541">
        <v>43472</v>
      </c>
      <c r="B790" s="517">
        <v>298430.78000000003</v>
      </c>
      <c r="C790" s="541"/>
      <c r="D790" s="517"/>
    </row>
    <row r="791" spans="1:4" x14ac:dyDescent="0.2">
      <c r="A791" s="541">
        <v>43473</v>
      </c>
      <c r="B791" s="517">
        <v>264835.63</v>
      </c>
      <c r="C791" s="541"/>
      <c r="D791" s="517"/>
    </row>
    <row r="792" spans="1:4" x14ac:dyDescent="0.2">
      <c r="A792" s="541">
        <v>43474</v>
      </c>
      <c r="B792" s="517">
        <v>303664.65999999997</v>
      </c>
      <c r="C792" s="541"/>
      <c r="D792" s="517"/>
    </row>
    <row r="793" spans="1:4" x14ac:dyDescent="0.2">
      <c r="A793" s="541">
        <v>43475</v>
      </c>
      <c r="B793" s="517">
        <v>299790.71999999997</v>
      </c>
      <c r="C793" s="541"/>
      <c r="D793" s="517"/>
    </row>
    <row r="794" spans="1:4" x14ac:dyDescent="0.2">
      <c r="A794" s="541">
        <v>43476</v>
      </c>
      <c r="B794" s="579">
        <v>309881.71999999997</v>
      </c>
      <c r="C794" s="541"/>
      <c r="D794" s="517"/>
    </row>
    <row r="795" spans="1:4" x14ac:dyDescent="0.2">
      <c r="A795" s="541">
        <v>43479</v>
      </c>
      <c r="B795" s="517">
        <v>284374.78999999998</v>
      </c>
      <c r="C795" s="541"/>
      <c r="D795" s="517"/>
    </row>
    <row r="796" spans="1:4" x14ac:dyDescent="0.2">
      <c r="A796" s="541">
        <v>43480</v>
      </c>
      <c r="B796" s="517">
        <v>284494.75</v>
      </c>
      <c r="C796" s="541"/>
      <c r="D796" s="517"/>
    </row>
    <row r="797" spans="1:4" x14ac:dyDescent="0.2">
      <c r="A797" s="541">
        <v>43481</v>
      </c>
      <c r="B797" s="517">
        <v>277370.03000000003</v>
      </c>
      <c r="C797" s="541"/>
      <c r="D797" s="517"/>
    </row>
    <row r="798" spans="1:4" x14ac:dyDescent="0.2">
      <c r="A798" s="541">
        <v>43482</v>
      </c>
      <c r="B798" s="517">
        <v>266103.65999999997</v>
      </c>
      <c r="C798" s="541"/>
      <c r="D798" s="517"/>
    </row>
    <row r="799" spans="1:4" x14ac:dyDescent="0.2">
      <c r="A799" s="541">
        <v>43483</v>
      </c>
      <c r="B799" s="517">
        <v>266189.65999999997</v>
      </c>
      <c r="C799" s="541"/>
      <c r="D799" s="517"/>
    </row>
    <row r="800" spans="1:4" x14ac:dyDescent="0.2">
      <c r="A800" s="541">
        <v>43486</v>
      </c>
      <c r="B800" s="517">
        <v>266190</v>
      </c>
      <c r="C800" s="541"/>
      <c r="D800" s="517"/>
    </row>
    <row r="801" spans="1:4" x14ac:dyDescent="0.2">
      <c r="A801" s="541">
        <v>43487</v>
      </c>
      <c r="B801" s="517">
        <v>228832.05</v>
      </c>
      <c r="C801" s="541"/>
      <c r="D801" s="517"/>
    </row>
    <row r="802" spans="1:4" x14ac:dyDescent="0.2">
      <c r="A802" s="541">
        <v>43488</v>
      </c>
      <c r="B802" s="517">
        <v>229285.41</v>
      </c>
      <c r="C802" s="541"/>
      <c r="D802" s="517"/>
    </row>
    <row r="803" spans="1:4" x14ac:dyDescent="0.2">
      <c r="A803" s="541">
        <v>43489</v>
      </c>
      <c r="B803" s="517">
        <v>236709.42</v>
      </c>
      <c r="C803" s="541"/>
      <c r="D803" s="517"/>
    </row>
    <row r="804" spans="1:4" x14ac:dyDescent="0.2">
      <c r="A804" s="541">
        <v>43490</v>
      </c>
      <c r="B804" s="517">
        <v>236709</v>
      </c>
      <c r="C804" s="541"/>
      <c r="D804" s="517"/>
    </row>
    <row r="805" spans="1:4" x14ac:dyDescent="0.2">
      <c r="A805" s="541">
        <v>43493</v>
      </c>
      <c r="B805" s="517">
        <v>236400.88</v>
      </c>
      <c r="C805" s="541"/>
      <c r="D805" s="517"/>
    </row>
    <row r="806" spans="1:4" x14ac:dyDescent="0.2">
      <c r="A806" s="541">
        <v>43494</v>
      </c>
      <c r="B806" s="517">
        <v>236401</v>
      </c>
      <c r="C806" s="541"/>
      <c r="D806" s="517"/>
    </row>
    <row r="807" spans="1:4" x14ac:dyDescent="0.2">
      <c r="A807" s="541">
        <v>43495</v>
      </c>
      <c r="B807" s="517">
        <v>236401</v>
      </c>
      <c r="C807" s="541"/>
      <c r="D807" s="517"/>
    </row>
    <row r="808" spans="1:4" x14ac:dyDescent="0.2">
      <c r="A808" s="541">
        <v>43496</v>
      </c>
      <c r="B808" s="517">
        <v>237605.71</v>
      </c>
      <c r="C808" s="541"/>
      <c r="D808" s="517"/>
    </row>
    <row r="809" spans="1:4" x14ac:dyDescent="0.2">
      <c r="A809" s="541">
        <v>43497</v>
      </c>
      <c r="B809" s="517">
        <v>237728.71</v>
      </c>
      <c r="C809" s="541"/>
      <c r="D809" s="517"/>
    </row>
    <row r="810" spans="1:4" x14ac:dyDescent="0.2">
      <c r="A810" s="541">
        <v>43500</v>
      </c>
      <c r="B810" s="517">
        <v>201980</v>
      </c>
      <c r="C810" s="541"/>
      <c r="D810" s="517"/>
    </row>
    <row r="811" spans="1:4" x14ac:dyDescent="0.2">
      <c r="A811" s="541">
        <v>43501</v>
      </c>
      <c r="B811" s="517">
        <v>225615.34</v>
      </c>
      <c r="C811" s="541"/>
      <c r="D811" s="517"/>
    </row>
    <row r="812" spans="1:4" x14ac:dyDescent="0.2">
      <c r="A812" s="541">
        <v>43502</v>
      </c>
      <c r="B812" s="517">
        <v>225615</v>
      </c>
      <c r="C812" s="541"/>
      <c r="D812" s="517"/>
    </row>
    <row r="813" spans="1:4" x14ac:dyDescent="0.2">
      <c r="A813" s="541">
        <v>43503</v>
      </c>
      <c r="B813" s="517">
        <v>219151.3</v>
      </c>
      <c r="C813" s="541"/>
      <c r="D813" s="517"/>
    </row>
    <row r="814" spans="1:4" x14ac:dyDescent="0.2">
      <c r="A814" s="541">
        <v>43504</v>
      </c>
      <c r="B814" s="517">
        <v>219351.3</v>
      </c>
      <c r="C814" s="541"/>
      <c r="D814" s="517"/>
    </row>
    <row r="815" spans="1:4" x14ac:dyDescent="0.2">
      <c r="A815" s="541">
        <v>43507</v>
      </c>
      <c r="B815" s="517">
        <v>219351</v>
      </c>
      <c r="C815" s="541"/>
      <c r="D815" s="517"/>
    </row>
    <row r="816" spans="1:4" x14ac:dyDescent="0.2">
      <c r="A816" s="541">
        <v>43508</v>
      </c>
      <c r="B816" s="517">
        <v>219351</v>
      </c>
      <c r="C816" s="541"/>
      <c r="D816" s="517"/>
    </row>
    <row r="817" spans="1:4" x14ac:dyDescent="0.2">
      <c r="A817" s="541">
        <v>43509</v>
      </c>
      <c r="B817" s="517">
        <v>219351</v>
      </c>
      <c r="C817" s="541"/>
      <c r="D817" s="517"/>
    </row>
    <row r="818" spans="1:4" x14ac:dyDescent="0.2">
      <c r="A818" s="541">
        <v>43510</v>
      </c>
      <c r="B818" s="517">
        <v>206758.66</v>
      </c>
      <c r="C818" s="541"/>
      <c r="D818" s="517"/>
    </row>
    <row r="819" spans="1:4" x14ac:dyDescent="0.2">
      <c r="A819" s="541">
        <v>43511</v>
      </c>
      <c r="B819" s="517">
        <v>234837.55</v>
      </c>
      <c r="C819" s="541"/>
      <c r="D819" s="517"/>
    </row>
    <row r="820" spans="1:4" x14ac:dyDescent="0.2">
      <c r="A820" s="541">
        <v>43514</v>
      </c>
      <c r="B820" s="517">
        <v>234838</v>
      </c>
      <c r="C820" s="541"/>
      <c r="D820" s="517"/>
    </row>
    <row r="821" spans="1:4" x14ac:dyDescent="0.2">
      <c r="A821" s="541">
        <v>43515</v>
      </c>
      <c r="B821" s="517">
        <v>199113.26</v>
      </c>
      <c r="C821" s="541"/>
      <c r="D821" s="517"/>
    </row>
    <row r="822" spans="1:4" x14ac:dyDescent="0.2">
      <c r="A822" s="541">
        <v>43516</v>
      </c>
      <c r="B822" s="779">
        <v>199113</v>
      </c>
      <c r="C822" s="541"/>
      <c r="D822" s="517"/>
    </row>
    <row r="823" spans="1:4" x14ac:dyDescent="0.2">
      <c r="A823" s="541">
        <v>43517</v>
      </c>
      <c r="B823" s="517">
        <v>205400.17</v>
      </c>
      <c r="C823" s="541"/>
      <c r="D823" s="517"/>
    </row>
    <row r="824" spans="1:4" x14ac:dyDescent="0.2">
      <c r="A824" s="541">
        <v>43518</v>
      </c>
      <c r="B824" s="517">
        <v>220161.91</v>
      </c>
      <c r="C824" s="541"/>
      <c r="D824" s="517"/>
    </row>
    <row r="825" spans="1:4" x14ac:dyDescent="0.2">
      <c r="A825" s="541">
        <v>43521</v>
      </c>
      <c r="B825" s="517">
        <v>220161.91</v>
      </c>
      <c r="C825" s="541"/>
      <c r="D825" s="517"/>
    </row>
    <row r="826" spans="1:4" x14ac:dyDescent="0.2">
      <c r="A826" s="541">
        <v>43522</v>
      </c>
      <c r="B826" s="517">
        <v>220161.91</v>
      </c>
      <c r="C826" s="541"/>
      <c r="D826" s="517"/>
    </row>
    <row r="827" spans="1:4" x14ac:dyDescent="0.2">
      <c r="A827" s="541">
        <v>43523</v>
      </c>
      <c r="B827" s="517">
        <v>220161.91</v>
      </c>
      <c r="C827" s="541"/>
      <c r="D827" s="517"/>
    </row>
    <row r="828" spans="1:4" x14ac:dyDescent="0.2">
      <c r="A828" s="541">
        <v>43524</v>
      </c>
      <c r="B828" s="517">
        <v>224635.26</v>
      </c>
      <c r="C828" s="541"/>
      <c r="D828" s="517"/>
    </row>
    <row r="829" spans="1:4" x14ac:dyDescent="0.2">
      <c r="A829" s="541">
        <v>43525</v>
      </c>
      <c r="B829" s="517">
        <v>298900.61</v>
      </c>
      <c r="C829" s="541"/>
      <c r="D829" s="517"/>
    </row>
    <row r="830" spans="1:4" x14ac:dyDescent="0.2">
      <c r="A830" s="541">
        <v>43528</v>
      </c>
      <c r="B830" s="517">
        <v>262246.8</v>
      </c>
      <c r="C830" s="541"/>
      <c r="D830" s="517"/>
    </row>
    <row r="831" spans="1:4" x14ac:dyDescent="0.2">
      <c r="A831" s="541">
        <v>43529</v>
      </c>
      <c r="B831" s="517">
        <v>262247</v>
      </c>
      <c r="C831" s="541"/>
      <c r="D831" s="517"/>
    </row>
    <row r="832" spans="1:4" x14ac:dyDescent="0.2">
      <c r="A832" s="541">
        <v>43530</v>
      </c>
      <c r="B832" s="517">
        <v>262247</v>
      </c>
      <c r="C832" s="541"/>
      <c r="D832" s="517"/>
    </row>
    <row r="833" spans="1:4" x14ac:dyDescent="0.2">
      <c r="A833" s="541">
        <v>43531</v>
      </c>
      <c r="B833" s="517">
        <v>275395.15000000002</v>
      </c>
      <c r="C833" s="541"/>
      <c r="D833" s="517"/>
    </row>
    <row r="834" spans="1:4" x14ac:dyDescent="0.2">
      <c r="A834" s="541">
        <v>43532</v>
      </c>
      <c r="B834" s="517">
        <v>275395</v>
      </c>
      <c r="C834" s="541"/>
      <c r="D834" s="517"/>
    </row>
    <row r="835" spans="1:4" x14ac:dyDescent="0.2">
      <c r="A835" s="541">
        <v>43535</v>
      </c>
      <c r="B835" s="517">
        <v>275395</v>
      </c>
      <c r="C835" s="541"/>
      <c r="D835" s="517"/>
    </row>
    <row r="836" spans="1:4" x14ac:dyDescent="0.2">
      <c r="A836" s="541">
        <v>43536</v>
      </c>
      <c r="B836" s="517">
        <v>275395</v>
      </c>
      <c r="C836" s="541"/>
      <c r="D836" s="517"/>
    </row>
    <row r="837" spans="1:4" x14ac:dyDescent="0.2">
      <c r="A837" s="541">
        <v>43537</v>
      </c>
      <c r="B837" s="517">
        <v>316802.46999999997</v>
      </c>
      <c r="C837" s="541"/>
      <c r="D837" s="517"/>
    </row>
    <row r="838" spans="1:4" x14ac:dyDescent="0.2">
      <c r="A838" s="541">
        <v>43538</v>
      </c>
      <c r="B838" s="517">
        <v>297067.40000000002</v>
      </c>
      <c r="C838" s="541"/>
      <c r="D838" s="517"/>
    </row>
    <row r="839" spans="1:4" x14ac:dyDescent="0.2">
      <c r="A839" s="541">
        <v>43539</v>
      </c>
      <c r="B839" s="517">
        <v>300574.83</v>
      </c>
      <c r="C839" s="541"/>
      <c r="D839" s="517"/>
    </row>
    <row r="840" spans="1:4" x14ac:dyDescent="0.2">
      <c r="A840" s="541">
        <v>43542</v>
      </c>
      <c r="B840" s="517">
        <v>264695.24</v>
      </c>
      <c r="C840" s="541"/>
      <c r="D840" s="517"/>
    </row>
    <row r="841" spans="1:4" x14ac:dyDescent="0.2">
      <c r="A841" s="541">
        <v>43543</v>
      </c>
      <c r="B841" s="517">
        <v>264695</v>
      </c>
      <c r="C841" s="541"/>
      <c r="D841" s="517"/>
    </row>
    <row r="842" spans="1:4" x14ac:dyDescent="0.2">
      <c r="A842" s="541">
        <v>43544</v>
      </c>
      <c r="B842" s="517">
        <v>264695</v>
      </c>
      <c r="C842" s="541"/>
      <c r="D842" s="517"/>
    </row>
    <row r="843" spans="1:4" x14ac:dyDescent="0.2">
      <c r="A843" s="541">
        <v>43545</v>
      </c>
      <c r="B843" s="517">
        <v>282838.67</v>
      </c>
      <c r="C843" s="541"/>
      <c r="D843" s="517"/>
    </row>
    <row r="844" spans="1:4" x14ac:dyDescent="0.2">
      <c r="A844" s="541">
        <v>43546</v>
      </c>
      <c r="B844" s="517">
        <v>282839</v>
      </c>
      <c r="C844" s="541"/>
      <c r="D844" s="517"/>
    </row>
    <row r="845" spans="1:4" x14ac:dyDescent="0.2">
      <c r="A845" s="541">
        <v>43549</v>
      </c>
      <c r="B845" s="579">
        <v>333807.26</v>
      </c>
      <c r="C845" s="541"/>
      <c r="D845" s="517"/>
    </row>
    <row r="846" spans="1:4" x14ac:dyDescent="0.2">
      <c r="A846" s="541">
        <v>43550</v>
      </c>
      <c r="B846" s="517">
        <v>332295.96000000002</v>
      </c>
      <c r="C846" s="541"/>
      <c r="D846" s="517"/>
    </row>
    <row r="847" spans="1:4" x14ac:dyDescent="0.2">
      <c r="A847" s="541">
        <v>43551</v>
      </c>
      <c r="B847" s="517">
        <v>325401.01</v>
      </c>
      <c r="C847" s="541"/>
      <c r="D847" s="517"/>
    </row>
    <row r="848" spans="1:4" x14ac:dyDescent="0.2">
      <c r="A848" s="541">
        <v>43552</v>
      </c>
      <c r="B848" s="517">
        <v>328793.55</v>
      </c>
      <c r="C848" s="541"/>
      <c r="D848" s="517"/>
    </row>
    <row r="849" spans="1:4" x14ac:dyDescent="0.2">
      <c r="A849" s="541">
        <v>43553</v>
      </c>
      <c r="B849" s="517">
        <v>329088.55</v>
      </c>
      <c r="C849" s="541"/>
      <c r="D849" s="517"/>
    </row>
    <row r="850" spans="1:4" x14ac:dyDescent="0.2">
      <c r="A850" s="541">
        <v>43556</v>
      </c>
      <c r="B850" s="517">
        <v>328488.55</v>
      </c>
      <c r="C850" s="541"/>
      <c r="D850" s="517"/>
    </row>
    <row r="851" spans="1:4" x14ac:dyDescent="0.2">
      <c r="A851" s="541">
        <v>43557</v>
      </c>
      <c r="B851" s="517">
        <v>292528.71999999997</v>
      </c>
      <c r="C851" s="541"/>
      <c r="D851" s="517"/>
    </row>
    <row r="852" spans="1:4" x14ac:dyDescent="0.2">
      <c r="A852" s="541">
        <v>43558</v>
      </c>
      <c r="B852" s="517">
        <v>294672.43</v>
      </c>
      <c r="C852" s="541"/>
      <c r="D852" s="517"/>
    </row>
    <row r="853" spans="1:4" x14ac:dyDescent="0.2">
      <c r="A853" s="541">
        <v>43559</v>
      </c>
      <c r="B853" s="517">
        <v>292850.33</v>
      </c>
      <c r="C853" s="541"/>
      <c r="D853" s="517"/>
    </row>
    <row r="854" spans="1:4" x14ac:dyDescent="0.2">
      <c r="A854" s="541">
        <v>43560</v>
      </c>
      <c r="B854" s="517">
        <v>284702.78999999998</v>
      </c>
      <c r="C854" s="541"/>
      <c r="D854" s="517"/>
    </row>
    <row r="855" spans="1:4" x14ac:dyDescent="0.2">
      <c r="A855" s="541">
        <v>43563</v>
      </c>
      <c r="B855" s="517">
        <v>284703</v>
      </c>
      <c r="C855" s="541"/>
      <c r="D855" s="517"/>
    </row>
    <row r="856" spans="1:4" x14ac:dyDescent="0.2">
      <c r="A856" s="541">
        <v>43564</v>
      </c>
      <c r="B856" s="517">
        <v>284775.52</v>
      </c>
      <c r="C856" s="541"/>
      <c r="D856" s="517"/>
    </row>
    <row r="857" spans="1:4" x14ac:dyDescent="0.2">
      <c r="A857" s="541">
        <v>43565</v>
      </c>
      <c r="B857" s="517">
        <v>284776</v>
      </c>
      <c r="C857" s="541"/>
      <c r="D857" s="517"/>
    </row>
    <row r="858" spans="1:4" x14ac:dyDescent="0.2">
      <c r="A858" s="541">
        <v>43566</v>
      </c>
      <c r="B858" s="517">
        <v>277335.02</v>
      </c>
      <c r="C858" s="541"/>
      <c r="D858" s="517"/>
    </row>
    <row r="859" spans="1:4" x14ac:dyDescent="0.2">
      <c r="A859" s="541">
        <v>43567</v>
      </c>
      <c r="B859" s="517">
        <v>277335</v>
      </c>
      <c r="C859" s="541"/>
      <c r="D859" s="517"/>
    </row>
    <row r="860" spans="1:4" x14ac:dyDescent="0.2">
      <c r="A860" s="541">
        <v>43570</v>
      </c>
      <c r="B860" s="517">
        <v>277462.90999999997</v>
      </c>
      <c r="C860" s="541"/>
      <c r="D860" s="517"/>
    </row>
    <row r="861" spans="1:4" x14ac:dyDescent="0.2">
      <c r="A861" s="541">
        <v>43571</v>
      </c>
      <c r="B861" s="517">
        <v>241180.07</v>
      </c>
      <c r="C861" s="541"/>
      <c r="D861" s="517"/>
    </row>
    <row r="862" spans="1:4" x14ac:dyDescent="0.2">
      <c r="A862" s="541">
        <v>43572</v>
      </c>
      <c r="B862" s="517">
        <v>257634.61</v>
      </c>
      <c r="C862" s="541"/>
      <c r="D862" s="517"/>
    </row>
    <row r="863" spans="1:4" x14ac:dyDescent="0.2">
      <c r="A863" s="541">
        <v>43573</v>
      </c>
      <c r="B863" s="517">
        <v>241154.55</v>
      </c>
      <c r="C863" s="541"/>
      <c r="D863" s="517"/>
    </row>
    <row r="864" spans="1:4" x14ac:dyDescent="0.2">
      <c r="A864" s="541">
        <v>43574</v>
      </c>
      <c r="B864" s="517">
        <v>243162.78</v>
      </c>
      <c r="C864" s="541"/>
      <c r="D864" s="517"/>
    </row>
    <row r="865" spans="1:4" x14ac:dyDescent="0.2">
      <c r="A865" s="541">
        <v>43577</v>
      </c>
      <c r="B865" s="517">
        <v>243003.93</v>
      </c>
      <c r="C865" s="541"/>
      <c r="D865" s="517"/>
    </row>
    <row r="866" spans="1:4" x14ac:dyDescent="0.2">
      <c r="A866" s="541">
        <v>43578</v>
      </c>
      <c r="B866" s="517">
        <v>243004</v>
      </c>
      <c r="C866" s="541"/>
      <c r="D866" s="517"/>
    </row>
    <row r="867" spans="1:4" x14ac:dyDescent="0.2">
      <c r="A867" s="541">
        <v>43579</v>
      </c>
      <c r="B867" s="517">
        <v>243060.55</v>
      </c>
      <c r="C867" s="541"/>
      <c r="D867" s="517"/>
    </row>
    <row r="868" spans="1:4" x14ac:dyDescent="0.2">
      <c r="A868" s="541">
        <v>43580</v>
      </c>
      <c r="B868" s="517">
        <v>245074.5</v>
      </c>
      <c r="C868" s="541"/>
      <c r="D868" s="517"/>
    </row>
    <row r="869" spans="1:4" x14ac:dyDescent="0.2">
      <c r="A869" s="541">
        <v>43581</v>
      </c>
      <c r="B869" s="517">
        <v>274493.84000000003</v>
      </c>
      <c r="C869" s="541"/>
      <c r="D869" s="517"/>
    </row>
    <row r="870" spans="1:4" x14ac:dyDescent="0.2">
      <c r="A870" s="541">
        <v>43584</v>
      </c>
      <c r="B870" s="517">
        <v>274494</v>
      </c>
      <c r="C870" s="541"/>
      <c r="D870" s="517"/>
    </row>
    <row r="871" spans="1:4" x14ac:dyDescent="0.2">
      <c r="A871" s="541">
        <v>43585</v>
      </c>
      <c r="B871" s="517">
        <v>268536.75</v>
      </c>
      <c r="C871" s="541"/>
      <c r="D871" s="517"/>
    </row>
    <row r="872" spans="1:4" x14ac:dyDescent="0.2">
      <c r="A872" s="541">
        <v>43586</v>
      </c>
      <c r="B872" s="517">
        <v>249086.1</v>
      </c>
      <c r="C872" s="541"/>
      <c r="D872" s="517"/>
    </row>
    <row r="873" spans="1:4" x14ac:dyDescent="0.2">
      <c r="A873" s="541">
        <v>43587</v>
      </c>
      <c r="B873" s="517">
        <v>253347.36</v>
      </c>
      <c r="C873" s="541"/>
      <c r="D873" s="517"/>
    </row>
    <row r="874" spans="1:4" x14ac:dyDescent="0.2">
      <c r="A874" s="541">
        <v>43588</v>
      </c>
      <c r="B874" s="517">
        <v>253347</v>
      </c>
      <c r="C874" s="541"/>
      <c r="D874" s="517"/>
    </row>
    <row r="875" spans="1:4" x14ac:dyDescent="0.2">
      <c r="A875" s="541">
        <v>43591</v>
      </c>
      <c r="B875" s="517">
        <v>253347</v>
      </c>
      <c r="C875" s="541"/>
      <c r="D875" s="517"/>
    </row>
    <row r="876" spans="1:4" x14ac:dyDescent="0.2">
      <c r="A876" s="541">
        <v>43592</v>
      </c>
      <c r="B876" s="517">
        <v>253347</v>
      </c>
      <c r="C876" s="541"/>
      <c r="D876" s="517"/>
    </row>
    <row r="877" spans="1:4" x14ac:dyDescent="0.2">
      <c r="A877" s="541">
        <v>43593</v>
      </c>
      <c r="B877" s="517">
        <v>253347</v>
      </c>
      <c r="C877" s="541"/>
      <c r="D877" s="517"/>
    </row>
    <row r="878" spans="1:4" x14ac:dyDescent="0.2">
      <c r="A878" s="541">
        <v>43594</v>
      </c>
      <c r="B878" s="517">
        <v>256363.47</v>
      </c>
      <c r="C878" s="541"/>
      <c r="D878" s="517"/>
    </row>
    <row r="879" spans="1:4" x14ac:dyDescent="0.2">
      <c r="A879" s="541">
        <v>43595</v>
      </c>
      <c r="B879" s="517">
        <v>256363</v>
      </c>
      <c r="C879" s="541"/>
      <c r="D879" s="517"/>
    </row>
    <row r="880" spans="1:4" x14ac:dyDescent="0.2">
      <c r="A880" s="541">
        <v>43598</v>
      </c>
      <c r="B880" s="517">
        <v>256363</v>
      </c>
      <c r="C880" s="541"/>
      <c r="D880" s="517"/>
    </row>
    <row r="881" spans="1:4" x14ac:dyDescent="0.2">
      <c r="A881" s="541">
        <v>43599</v>
      </c>
      <c r="B881" s="517">
        <v>220671.47</v>
      </c>
      <c r="C881" s="541"/>
      <c r="D881" s="517"/>
    </row>
    <row r="882" spans="1:4" x14ac:dyDescent="0.2">
      <c r="A882" s="541">
        <v>43600</v>
      </c>
      <c r="B882" s="517">
        <v>248680.89</v>
      </c>
      <c r="C882" s="541"/>
      <c r="D882" s="517"/>
    </row>
    <row r="883" spans="1:4" x14ac:dyDescent="0.2">
      <c r="A883" s="541">
        <v>43601</v>
      </c>
      <c r="B883" s="517">
        <v>254567.98</v>
      </c>
      <c r="C883" s="541"/>
      <c r="D883" s="517"/>
    </row>
    <row r="884" spans="1:4" x14ac:dyDescent="0.2">
      <c r="A884" s="541">
        <v>43602</v>
      </c>
      <c r="B884" s="517">
        <v>310563.12</v>
      </c>
      <c r="C884" s="541"/>
      <c r="D884" s="517"/>
    </row>
    <row r="885" spans="1:4" x14ac:dyDescent="0.2">
      <c r="A885" s="541">
        <v>43605</v>
      </c>
      <c r="B885" s="517">
        <v>310000.12</v>
      </c>
      <c r="C885" s="541"/>
      <c r="D885" s="517"/>
    </row>
    <row r="886" spans="1:4" x14ac:dyDescent="0.2">
      <c r="A886" s="541">
        <v>43606</v>
      </c>
      <c r="B886" s="517">
        <v>310000.12</v>
      </c>
      <c r="C886" s="541"/>
      <c r="D886" s="517"/>
    </row>
    <row r="887" spans="1:4" x14ac:dyDescent="0.2">
      <c r="A887" s="541">
        <v>43607</v>
      </c>
      <c r="B887" s="517">
        <v>310000.12</v>
      </c>
      <c r="C887" s="541"/>
      <c r="D887" s="517"/>
    </row>
    <row r="888" spans="1:4" x14ac:dyDescent="0.2">
      <c r="A888" s="541">
        <v>43608</v>
      </c>
      <c r="B888" s="517">
        <v>300109.28999999998</v>
      </c>
      <c r="C888" s="541"/>
      <c r="D888" s="517"/>
    </row>
    <row r="889" spans="1:4" x14ac:dyDescent="0.2">
      <c r="A889" s="541">
        <v>43609</v>
      </c>
      <c r="B889" s="517">
        <v>297396.90999999997</v>
      </c>
      <c r="C889" s="541"/>
      <c r="D889" s="517"/>
    </row>
    <row r="890" spans="1:4" x14ac:dyDescent="0.2">
      <c r="A890" s="541">
        <v>43612</v>
      </c>
      <c r="B890" s="517">
        <v>297397</v>
      </c>
      <c r="C890" s="541"/>
      <c r="D890" s="517"/>
    </row>
    <row r="891" spans="1:4" x14ac:dyDescent="0.2">
      <c r="A891" s="541">
        <v>43613</v>
      </c>
      <c r="B891" s="517">
        <v>309520.18</v>
      </c>
      <c r="C891" s="541"/>
      <c r="D891" s="517"/>
    </row>
    <row r="892" spans="1:4" x14ac:dyDescent="0.2">
      <c r="A892" s="541">
        <v>43614</v>
      </c>
      <c r="B892" s="517">
        <v>309520</v>
      </c>
      <c r="C892" s="541"/>
      <c r="D892" s="517"/>
    </row>
    <row r="893" spans="1:4" x14ac:dyDescent="0.2">
      <c r="A893" s="541">
        <v>43615</v>
      </c>
      <c r="B893" s="517">
        <v>306153.90000000002</v>
      </c>
      <c r="C893" s="541"/>
      <c r="D893" s="517"/>
    </row>
    <row r="894" spans="1:4" x14ac:dyDescent="0.2">
      <c r="A894" s="541">
        <v>43616</v>
      </c>
      <c r="B894" s="517">
        <v>307621.78000000003</v>
      </c>
      <c r="C894" s="541"/>
      <c r="D894" s="517"/>
    </row>
    <row r="895" spans="1:4" x14ac:dyDescent="0.2">
      <c r="A895" s="541">
        <v>43619</v>
      </c>
      <c r="B895" s="517">
        <v>307288.12</v>
      </c>
      <c r="C895" s="541"/>
      <c r="D895" s="517"/>
    </row>
    <row r="896" spans="1:4" x14ac:dyDescent="0.2">
      <c r="A896" s="541">
        <v>43620</v>
      </c>
      <c r="B896" s="517">
        <v>307288</v>
      </c>
      <c r="C896" s="541"/>
      <c r="D896" s="517"/>
    </row>
    <row r="897" spans="1:4" x14ac:dyDescent="0.2">
      <c r="A897" s="541">
        <v>43621</v>
      </c>
      <c r="B897" s="517">
        <v>307288</v>
      </c>
      <c r="C897" s="541"/>
      <c r="D897" s="517"/>
    </row>
    <row r="898" spans="1:4" x14ac:dyDescent="0.2">
      <c r="A898" s="541">
        <v>43622</v>
      </c>
      <c r="B898" s="517">
        <v>296580.19</v>
      </c>
      <c r="C898" s="541"/>
      <c r="D898" s="517"/>
    </row>
    <row r="899" spans="1:4" x14ac:dyDescent="0.2">
      <c r="A899" s="541">
        <v>43623</v>
      </c>
      <c r="B899" s="517">
        <v>295981.95</v>
      </c>
      <c r="C899" s="541"/>
      <c r="D899" s="517"/>
    </row>
    <row r="900" spans="1:4" x14ac:dyDescent="0.2">
      <c r="A900" s="541">
        <v>43626</v>
      </c>
      <c r="B900" s="517">
        <v>260513.06</v>
      </c>
      <c r="C900" s="541"/>
      <c r="D900" s="517"/>
    </row>
    <row r="901" spans="1:4" x14ac:dyDescent="0.2">
      <c r="A901" s="541">
        <v>43627</v>
      </c>
      <c r="B901" s="517">
        <v>260513</v>
      </c>
      <c r="C901" s="541"/>
      <c r="D901" s="517"/>
    </row>
    <row r="902" spans="1:4" x14ac:dyDescent="0.2">
      <c r="A902" s="541">
        <v>43628</v>
      </c>
      <c r="B902" s="517">
        <v>260513</v>
      </c>
      <c r="C902" s="541"/>
      <c r="D902" s="517"/>
    </row>
    <row r="903" spans="1:4" x14ac:dyDescent="0.2">
      <c r="A903" s="541">
        <v>43629</v>
      </c>
      <c r="B903" s="517">
        <v>255966.98</v>
      </c>
      <c r="C903" s="541"/>
      <c r="D903" s="517"/>
    </row>
    <row r="904" spans="1:4" x14ac:dyDescent="0.2">
      <c r="A904" s="541">
        <v>43630</v>
      </c>
      <c r="B904" s="517">
        <v>257507.94</v>
      </c>
      <c r="C904" s="541"/>
      <c r="D904" s="517"/>
    </row>
    <row r="905" spans="1:4" x14ac:dyDescent="0.2">
      <c r="A905" s="541">
        <v>43633</v>
      </c>
      <c r="B905" s="517">
        <v>257508</v>
      </c>
      <c r="C905" s="541"/>
      <c r="D905" s="517"/>
    </row>
    <row r="906" spans="1:4" x14ac:dyDescent="0.2">
      <c r="A906" s="541">
        <v>43634</v>
      </c>
      <c r="B906" s="517">
        <v>257508</v>
      </c>
      <c r="C906" s="541"/>
      <c r="D906" s="517"/>
    </row>
    <row r="907" spans="1:4" x14ac:dyDescent="0.2">
      <c r="A907" s="541">
        <v>43635</v>
      </c>
      <c r="B907" s="517">
        <v>257508</v>
      </c>
      <c r="C907" s="541"/>
      <c r="D907" s="517"/>
    </row>
    <row r="908" spans="1:4" x14ac:dyDescent="0.2">
      <c r="A908" s="541">
        <v>43636</v>
      </c>
      <c r="B908" s="517">
        <v>245601.94</v>
      </c>
      <c r="C908" s="541"/>
      <c r="D908" s="517"/>
    </row>
    <row r="909" spans="1:4" x14ac:dyDescent="0.2">
      <c r="A909" s="541">
        <v>43637</v>
      </c>
      <c r="B909" s="517">
        <v>245768.94</v>
      </c>
      <c r="C909" s="541"/>
      <c r="D909" s="517"/>
    </row>
    <row r="910" spans="1:4" x14ac:dyDescent="0.2">
      <c r="A910" s="541">
        <v>43640</v>
      </c>
      <c r="B910" s="517">
        <v>245769</v>
      </c>
      <c r="C910" s="541"/>
      <c r="D910" s="517"/>
    </row>
    <row r="911" spans="1:4" x14ac:dyDescent="0.2">
      <c r="A911" s="541">
        <v>43641</v>
      </c>
      <c r="B911" s="517">
        <v>209143.06</v>
      </c>
      <c r="C911" s="541"/>
      <c r="D911" s="517"/>
    </row>
    <row r="912" spans="1:4" x14ac:dyDescent="0.2">
      <c r="A912" s="541">
        <v>43642</v>
      </c>
      <c r="B912" s="517">
        <v>216087.16</v>
      </c>
      <c r="C912" s="541"/>
      <c r="D912" s="517"/>
    </row>
    <row r="913" spans="1:4" x14ac:dyDescent="0.2">
      <c r="A913" s="541">
        <v>43643</v>
      </c>
      <c r="B913" s="517">
        <v>218399.34</v>
      </c>
      <c r="C913" s="541"/>
      <c r="D913" s="517"/>
    </row>
    <row r="914" spans="1:4" x14ac:dyDescent="0.2">
      <c r="A914" s="541">
        <v>43644</v>
      </c>
      <c r="B914" s="517">
        <v>246675.15</v>
      </c>
      <c r="C914" s="541"/>
      <c r="D914" s="517"/>
    </row>
    <row r="915" spans="1:4" x14ac:dyDescent="0.2">
      <c r="A915" s="541">
        <v>43647</v>
      </c>
      <c r="B915" s="517">
        <v>246675</v>
      </c>
      <c r="C915" s="541"/>
      <c r="D915" s="517"/>
    </row>
    <row r="916" spans="1:4" x14ac:dyDescent="0.2">
      <c r="A916" s="541">
        <v>43648</v>
      </c>
      <c r="B916" s="517">
        <v>248377.32</v>
      </c>
      <c r="C916" s="541"/>
      <c r="D916" s="517"/>
    </row>
    <row r="917" spans="1:4" x14ac:dyDescent="0.2">
      <c r="A917" s="541">
        <v>43649</v>
      </c>
      <c r="B917" s="517">
        <v>277944.71000000002</v>
      </c>
      <c r="C917" s="541"/>
      <c r="D917" s="517"/>
    </row>
    <row r="918" spans="1:4" x14ac:dyDescent="0.2">
      <c r="A918" s="541">
        <v>43650</v>
      </c>
      <c r="B918" s="517">
        <v>277945</v>
      </c>
      <c r="C918" s="541"/>
      <c r="D918" s="517"/>
    </row>
    <row r="919" spans="1:4" x14ac:dyDescent="0.2">
      <c r="A919" s="541">
        <v>43651</v>
      </c>
      <c r="B919" s="517">
        <v>278046.71000000002</v>
      </c>
      <c r="C919" s="541"/>
      <c r="D919" s="517"/>
    </row>
    <row r="920" spans="1:4" x14ac:dyDescent="0.2">
      <c r="A920" s="541">
        <v>43654</v>
      </c>
      <c r="B920" s="517">
        <v>282590.19</v>
      </c>
      <c r="C920" s="541"/>
      <c r="D920" s="517"/>
    </row>
    <row r="921" spans="1:4" x14ac:dyDescent="0.2">
      <c r="A921" s="541">
        <v>43655</v>
      </c>
      <c r="B921" s="517">
        <v>247195.73</v>
      </c>
      <c r="C921" s="541"/>
      <c r="D921" s="517"/>
    </row>
    <row r="922" spans="1:4" x14ac:dyDescent="0.2">
      <c r="A922" s="541">
        <v>43656</v>
      </c>
      <c r="B922" s="517">
        <v>247195.73</v>
      </c>
      <c r="C922" s="541"/>
      <c r="D922" s="517"/>
    </row>
    <row r="923" spans="1:4" x14ac:dyDescent="0.2">
      <c r="A923" s="541">
        <v>43657</v>
      </c>
      <c r="B923" s="517">
        <v>235813.1</v>
      </c>
      <c r="C923" s="541"/>
      <c r="D923" s="517"/>
    </row>
    <row r="924" spans="1:4" x14ac:dyDescent="0.2">
      <c r="A924" s="541">
        <v>43658</v>
      </c>
      <c r="B924" s="517">
        <v>237210.07</v>
      </c>
      <c r="C924" s="541"/>
      <c r="D924" s="517"/>
    </row>
    <row r="925" spans="1:4" x14ac:dyDescent="0.2">
      <c r="A925" s="541">
        <v>43661</v>
      </c>
      <c r="B925" s="517">
        <v>237490.39</v>
      </c>
      <c r="C925" s="541"/>
      <c r="D925" s="517"/>
    </row>
    <row r="926" spans="1:4" x14ac:dyDescent="0.2">
      <c r="A926" s="541">
        <v>43662</v>
      </c>
      <c r="B926" s="517">
        <v>237490</v>
      </c>
      <c r="C926" s="541"/>
      <c r="D926" s="517"/>
    </row>
    <row r="927" spans="1:4" x14ac:dyDescent="0.2">
      <c r="A927" s="541">
        <v>43663</v>
      </c>
      <c r="B927" s="517">
        <v>237490.39</v>
      </c>
      <c r="C927" s="541"/>
      <c r="D927" s="517"/>
    </row>
    <row r="928" spans="1:4" x14ac:dyDescent="0.2">
      <c r="A928" s="541">
        <v>43664</v>
      </c>
      <c r="B928" s="517">
        <v>232593.57</v>
      </c>
      <c r="C928" s="541"/>
      <c r="D928" s="517"/>
    </row>
    <row r="929" spans="1:4" x14ac:dyDescent="0.2">
      <c r="A929" s="541">
        <v>43665</v>
      </c>
      <c r="B929" s="517">
        <v>232923.06</v>
      </c>
      <c r="C929" s="541"/>
      <c r="D929" s="517"/>
    </row>
    <row r="930" spans="1:4" x14ac:dyDescent="0.2">
      <c r="A930" s="541">
        <v>43668</v>
      </c>
      <c r="B930" s="517">
        <v>196798.51</v>
      </c>
      <c r="C930" s="541"/>
      <c r="D930" s="517"/>
    </row>
    <row r="931" spans="1:4" x14ac:dyDescent="0.2">
      <c r="A931" s="541">
        <v>43669</v>
      </c>
      <c r="B931" s="517">
        <v>199629.38</v>
      </c>
      <c r="C931" s="541"/>
      <c r="D931" s="517"/>
    </row>
    <row r="932" spans="1:4" x14ac:dyDescent="0.2">
      <c r="A932" s="541">
        <v>43670</v>
      </c>
      <c r="B932" s="517">
        <v>199629</v>
      </c>
      <c r="C932" s="541"/>
      <c r="D932" s="517"/>
    </row>
    <row r="933" spans="1:4" x14ac:dyDescent="0.2">
      <c r="A933" s="541">
        <v>43671</v>
      </c>
      <c r="B933" s="517">
        <v>195151.45</v>
      </c>
      <c r="C933" s="541"/>
      <c r="D933" s="517"/>
    </row>
    <row r="934" spans="1:4" x14ac:dyDescent="0.2">
      <c r="A934" s="541">
        <v>43672</v>
      </c>
      <c r="B934" s="517">
        <v>228843.78</v>
      </c>
      <c r="C934" s="541"/>
      <c r="D934" s="517"/>
    </row>
    <row r="935" spans="1:4" x14ac:dyDescent="0.2">
      <c r="A935" s="541">
        <v>43675</v>
      </c>
      <c r="B935" s="517">
        <v>228844</v>
      </c>
      <c r="C935" s="541"/>
      <c r="D935" s="517"/>
    </row>
    <row r="936" spans="1:4" x14ac:dyDescent="0.2">
      <c r="A936" s="541">
        <v>43676</v>
      </c>
      <c r="B936" s="517">
        <v>228844</v>
      </c>
      <c r="C936" s="541"/>
      <c r="D936" s="517"/>
    </row>
    <row r="937" spans="1:4" x14ac:dyDescent="0.2">
      <c r="A937" s="541">
        <v>43677</v>
      </c>
      <c r="B937" s="517">
        <v>229051.78</v>
      </c>
      <c r="C937" s="541"/>
      <c r="D937" s="517"/>
    </row>
    <row r="938" spans="1:4" x14ac:dyDescent="0.2">
      <c r="A938" s="541">
        <v>43678</v>
      </c>
      <c r="B938" s="517">
        <v>234767.17</v>
      </c>
      <c r="C938" s="541"/>
      <c r="D938" s="517"/>
    </row>
    <row r="939" spans="1:4" x14ac:dyDescent="0.2">
      <c r="A939" s="541">
        <v>43679</v>
      </c>
      <c r="B939" s="517">
        <v>236117.76000000001</v>
      </c>
      <c r="C939" s="541"/>
      <c r="D939" s="517"/>
    </row>
    <row r="940" spans="1:4" x14ac:dyDescent="0.2">
      <c r="A940" s="541">
        <v>43682</v>
      </c>
      <c r="B940" s="517">
        <v>236118</v>
      </c>
      <c r="C940" s="541"/>
      <c r="D940" s="517"/>
    </row>
    <row r="941" spans="1:4" x14ac:dyDescent="0.2">
      <c r="A941" s="541">
        <v>43683</v>
      </c>
      <c r="B941" s="517">
        <v>208888.5</v>
      </c>
      <c r="C941" s="541"/>
      <c r="D941" s="517"/>
    </row>
    <row r="942" spans="1:4" x14ac:dyDescent="0.2">
      <c r="A942" s="541">
        <v>43684</v>
      </c>
      <c r="B942" s="517">
        <v>208792.5</v>
      </c>
      <c r="C942" s="541"/>
      <c r="D942" s="517"/>
    </row>
    <row r="943" spans="1:4" x14ac:dyDescent="0.2">
      <c r="A943" s="541">
        <v>43685</v>
      </c>
      <c r="B943" s="517">
        <v>203219.37</v>
      </c>
      <c r="C943" s="541"/>
      <c r="D943" s="517"/>
    </row>
    <row r="944" spans="1:4" x14ac:dyDescent="0.2">
      <c r="A944" s="541">
        <v>43686</v>
      </c>
      <c r="B944" s="517">
        <v>205639.37</v>
      </c>
      <c r="C944" s="541"/>
      <c r="D944" s="517"/>
    </row>
    <row r="945" spans="1:4" x14ac:dyDescent="0.2">
      <c r="A945" s="541">
        <v>43689</v>
      </c>
      <c r="B945" s="517">
        <v>205639.37</v>
      </c>
      <c r="C945" s="541"/>
      <c r="D945" s="517"/>
    </row>
    <row r="946" spans="1:4" x14ac:dyDescent="0.2">
      <c r="A946" s="541">
        <v>43690</v>
      </c>
      <c r="B946" s="517">
        <v>232145.73</v>
      </c>
      <c r="C946" s="541"/>
      <c r="D946" s="517"/>
    </row>
    <row r="947" spans="1:4" x14ac:dyDescent="0.2">
      <c r="A947" s="541">
        <v>43691</v>
      </c>
      <c r="B947" s="517">
        <v>233325.32</v>
      </c>
      <c r="C947" s="541"/>
      <c r="D947" s="517"/>
    </row>
    <row r="948" spans="1:4" x14ac:dyDescent="0.2">
      <c r="A948" s="541">
        <v>43692</v>
      </c>
      <c r="B948" s="517">
        <v>225375.98</v>
      </c>
      <c r="C948" s="541"/>
      <c r="D948" s="517"/>
    </row>
    <row r="949" spans="1:4" x14ac:dyDescent="0.2">
      <c r="A949" s="541">
        <v>43693</v>
      </c>
      <c r="B949" s="517">
        <v>225424.1</v>
      </c>
      <c r="C949" s="541"/>
      <c r="D949" s="517"/>
    </row>
    <row r="950" spans="1:4" x14ac:dyDescent="0.2">
      <c r="A950" s="541">
        <v>43696</v>
      </c>
      <c r="B950" s="517">
        <v>187365.06</v>
      </c>
      <c r="C950" s="541"/>
      <c r="D950" s="517"/>
    </row>
    <row r="951" spans="1:4" x14ac:dyDescent="0.2">
      <c r="A951" s="541">
        <v>43697</v>
      </c>
      <c r="B951" s="517">
        <v>187365</v>
      </c>
      <c r="C951" s="541"/>
      <c r="D951" s="517"/>
    </row>
    <row r="952" spans="1:4" x14ac:dyDescent="0.2">
      <c r="A952" s="541">
        <v>43698</v>
      </c>
      <c r="B952" s="517">
        <v>187365</v>
      </c>
      <c r="C952" s="541"/>
      <c r="D952" s="517"/>
    </row>
    <row r="953" spans="1:4" x14ac:dyDescent="0.2">
      <c r="A953" s="541">
        <v>43699</v>
      </c>
      <c r="B953" s="579">
        <v>172667.6</v>
      </c>
      <c r="C953" s="541"/>
      <c r="D953" s="517"/>
    </row>
    <row r="954" spans="1:4" x14ac:dyDescent="0.2">
      <c r="A954" s="541">
        <v>43700</v>
      </c>
      <c r="B954" s="517">
        <v>172668</v>
      </c>
      <c r="C954" s="541"/>
      <c r="D954" s="517"/>
    </row>
    <row r="955" spans="1:4" x14ac:dyDescent="0.2">
      <c r="A955" s="541">
        <v>43703</v>
      </c>
      <c r="B955" s="517">
        <v>236616.35</v>
      </c>
      <c r="C955" s="541"/>
      <c r="D955" s="517"/>
    </row>
    <row r="956" spans="1:4" x14ac:dyDescent="0.2">
      <c r="A956" s="541">
        <v>43704</v>
      </c>
      <c r="B956" s="517">
        <v>237913.62</v>
      </c>
      <c r="C956" s="541"/>
      <c r="D956" s="517"/>
    </row>
    <row r="957" spans="1:4" x14ac:dyDescent="0.2">
      <c r="A957" s="541">
        <v>43705</v>
      </c>
      <c r="B957" s="517">
        <v>237914</v>
      </c>
      <c r="C957" s="541"/>
      <c r="D957" s="517"/>
    </row>
    <row r="958" spans="1:4" x14ac:dyDescent="0.2">
      <c r="A958" s="541">
        <v>43706</v>
      </c>
      <c r="B958" s="517">
        <v>244708.19</v>
      </c>
      <c r="C958" s="541"/>
      <c r="D958" s="517"/>
    </row>
    <row r="959" spans="1:4" x14ac:dyDescent="0.2">
      <c r="A959" s="541">
        <v>43707</v>
      </c>
      <c r="B959" s="517">
        <v>249899.19</v>
      </c>
      <c r="C959" s="541"/>
      <c r="D959" s="517"/>
    </row>
    <row r="960" spans="1:4" x14ac:dyDescent="0.2">
      <c r="A960" s="541">
        <v>43710</v>
      </c>
      <c r="B960" s="517">
        <v>249899</v>
      </c>
      <c r="C960" s="541"/>
      <c r="D960" s="517"/>
    </row>
    <row r="961" spans="1:4" x14ac:dyDescent="0.2">
      <c r="A961" s="541">
        <v>43711</v>
      </c>
      <c r="B961" s="517">
        <v>215930.73</v>
      </c>
      <c r="C961" s="541"/>
      <c r="D961" s="517"/>
    </row>
    <row r="962" spans="1:4" x14ac:dyDescent="0.2">
      <c r="A962" s="541">
        <v>43712</v>
      </c>
      <c r="B962" s="517">
        <v>215931</v>
      </c>
      <c r="C962" s="541"/>
      <c r="D962" s="517"/>
    </row>
    <row r="963" spans="1:4" x14ac:dyDescent="0.2">
      <c r="A963" s="541">
        <v>43713</v>
      </c>
      <c r="B963" s="517">
        <v>205664.34</v>
      </c>
      <c r="C963" s="541"/>
      <c r="D963" s="517"/>
    </row>
    <row r="964" spans="1:4" x14ac:dyDescent="0.2">
      <c r="A964" s="541">
        <v>43714</v>
      </c>
      <c r="B964" s="517">
        <v>205830.34</v>
      </c>
      <c r="C964" s="541"/>
      <c r="D964" s="517"/>
    </row>
    <row r="965" spans="1:4" x14ac:dyDescent="0.2">
      <c r="A965" s="541">
        <v>43717</v>
      </c>
      <c r="B965" s="517">
        <v>205830</v>
      </c>
      <c r="C965" s="541"/>
      <c r="D965" s="517"/>
    </row>
    <row r="966" spans="1:4" x14ac:dyDescent="0.2">
      <c r="A966" s="541">
        <v>43718</v>
      </c>
      <c r="B966" s="517">
        <v>205830</v>
      </c>
      <c r="C966" s="541"/>
      <c r="D966" s="517"/>
    </row>
    <row r="967" spans="1:4" x14ac:dyDescent="0.2">
      <c r="A967" s="541">
        <v>43719</v>
      </c>
      <c r="B967" s="517">
        <v>205830</v>
      </c>
      <c r="C967" s="541"/>
      <c r="D967" s="517"/>
    </row>
    <row r="968" spans="1:4" x14ac:dyDescent="0.2">
      <c r="A968" s="541">
        <v>43720</v>
      </c>
      <c r="B968" s="517">
        <v>207654.61</v>
      </c>
      <c r="C968" s="541"/>
      <c r="D968" s="517"/>
    </row>
    <row r="969" spans="1:4" x14ac:dyDescent="0.2">
      <c r="A969" s="541">
        <v>43721</v>
      </c>
      <c r="B969" s="517">
        <v>207743.24</v>
      </c>
      <c r="C969" s="541"/>
      <c r="D969" s="517"/>
    </row>
    <row r="970" spans="1:4" x14ac:dyDescent="0.2">
      <c r="A970" s="541">
        <v>43724</v>
      </c>
      <c r="B970" s="517">
        <v>207845.42</v>
      </c>
      <c r="C970" s="541"/>
      <c r="D970" s="517"/>
    </row>
    <row r="971" spans="1:4" x14ac:dyDescent="0.2">
      <c r="A971" s="541">
        <v>43725</v>
      </c>
      <c r="B971" s="517">
        <v>173840.8</v>
      </c>
      <c r="C971" s="541"/>
      <c r="D971" s="517"/>
    </row>
    <row r="972" spans="1:4" x14ac:dyDescent="0.2">
      <c r="A972" s="541">
        <v>43726</v>
      </c>
      <c r="B972" s="517">
        <v>212383.95</v>
      </c>
      <c r="C972" s="541"/>
      <c r="D972" s="517"/>
    </row>
    <row r="973" spans="1:4" x14ac:dyDescent="0.2">
      <c r="A973" s="541">
        <v>43727</v>
      </c>
      <c r="B973" s="517">
        <v>205141.98</v>
      </c>
      <c r="C973" s="541"/>
      <c r="D973" s="517"/>
    </row>
    <row r="974" spans="1:4" x14ac:dyDescent="0.2">
      <c r="A974" s="541">
        <v>43728</v>
      </c>
      <c r="B974" s="517">
        <v>205834.98</v>
      </c>
      <c r="C974" s="541"/>
      <c r="D974" s="517"/>
    </row>
    <row r="975" spans="1:4" x14ac:dyDescent="0.2">
      <c r="A975" s="541">
        <v>43731</v>
      </c>
      <c r="C975" s="541"/>
      <c r="D975" s="517"/>
    </row>
    <row r="976" spans="1:4" x14ac:dyDescent="0.2">
      <c r="A976" s="541">
        <v>43732</v>
      </c>
      <c r="C976" s="541"/>
      <c r="D976" s="517"/>
    </row>
    <row r="978" spans="1:2" x14ac:dyDescent="0.2">
      <c r="A978" s="546" t="s">
        <v>287</v>
      </c>
      <c r="B978" s="517">
        <f>MAX(B786:B975)</f>
        <v>333807.26</v>
      </c>
    </row>
    <row r="979" spans="1:2" x14ac:dyDescent="0.2">
      <c r="A979" s="546" t="s">
        <v>288</v>
      </c>
      <c r="B979" s="517">
        <f>MIN(B786:B975)</f>
        <v>172667.6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9"/>
  <sheetViews>
    <sheetView zoomScaleNormal="100" workbookViewId="0">
      <selection activeCell="J54" sqref="J54"/>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478</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8" t="s">
        <v>166</v>
      </c>
      <c r="B5" s="259"/>
      <c r="C5" s="259"/>
      <c r="D5" s="259"/>
      <c r="E5" s="259"/>
      <c r="F5" s="259"/>
      <c r="G5" s="259"/>
      <c r="H5" s="259"/>
      <c r="I5" s="259"/>
      <c r="J5" s="259"/>
      <c r="K5" s="260"/>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39" t="s">
        <v>22</v>
      </c>
      <c r="B6" s="418" t="s">
        <v>12</v>
      </c>
      <c r="C6" s="617" t="s">
        <v>1</v>
      </c>
      <c r="D6" s="418" t="s">
        <v>2</v>
      </c>
      <c r="E6" s="617" t="s">
        <v>3</v>
      </c>
      <c r="F6" s="261" t="s">
        <v>9</v>
      </c>
      <c r="G6" s="620" t="s">
        <v>27</v>
      </c>
      <c r="H6" s="261" t="s">
        <v>209</v>
      </c>
      <c r="I6" s="620" t="s">
        <v>26</v>
      </c>
      <c r="J6" s="261" t="s">
        <v>19</v>
      </c>
      <c r="K6" s="261" t="s">
        <v>99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1" t="s">
        <v>325</v>
      </c>
      <c r="B7" s="670" t="s">
        <v>14</v>
      </c>
      <c r="C7" s="6" t="s">
        <v>162</v>
      </c>
      <c r="D7" s="296">
        <v>43191</v>
      </c>
      <c r="E7" s="7">
        <v>43465</v>
      </c>
      <c r="F7" s="318">
        <v>0</v>
      </c>
      <c r="G7" s="319">
        <f>+(+I7-H7)</f>
        <v>0</v>
      </c>
      <c r="H7" s="300">
        <f>'August''19 AR Aging '!G6</f>
        <v>0</v>
      </c>
      <c r="I7" s="319">
        <v>0</v>
      </c>
      <c r="J7" s="318">
        <f>F7-I7</f>
        <v>0</v>
      </c>
      <c r="K7" s="311"/>
      <c r="L7" s="46"/>
      <c r="M7" s="29"/>
      <c r="N7" s="29"/>
    </row>
    <row r="8" spans="1:48" x14ac:dyDescent="0.2">
      <c r="A8" s="667" t="s">
        <v>373</v>
      </c>
      <c r="B8" s="671" t="s">
        <v>14</v>
      </c>
      <c r="C8" s="673" t="s">
        <v>401</v>
      </c>
      <c r="D8" s="315">
        <v>43466</v>
      </c>
      <c r="E8" s="618">
        <v>43830</v>
      </c>
      <c r="F8" s="316">
        <v>190000</v>
      </c>
      <c r="G8" s="621">
        <f>I8-H8</f>
        <v>84778</v>
      </c>
      <c r="H8" s="317">
        <f>'August''19 AR Aging '!G7</f>
        <v>25131.73</v>
      </c>
      <c r="I8" s="621">
        <v>109909.73</v>
      </c>
      <c r="J8" s="316">
        <f>F8-I8</f>
        <v>80090.27</v>
      </c>
      <c r="K8" s="373"/>
      <c r="L8" s="252"/>
      <c r="M8" s="288"/>
      <c r="N8" s="29"/>
    </row>
    <row r="9" spans="1:48" hidden="1" x14ac:dyDescent="0.2">
      <c r="A9" s="668" t="s">
        <v>273</v>
      </c>
      <c r="B9" s="670" t="s">
        <v>13</v>
      </c>
      <c r="C9" s="6" t="s">
        <v>168</v>
      </c>
      <c r="D9" s="296">
        <v>42826</v>
      </c>
      <c r="E9" s="7">
        <v>43190</v>
      </c>
      <c r="F9" s="318"/>
      <c r="G9" s="319"/>
      <c r="H9" s="300"/>
      <c r="I9" s="319"/>
      <c r="J9" s="318"/>
      <c r="K9" s="300"/>
      <c r="L9" s="252"/>
      <c r="M9" s="288"/>
      <c r="N9" s="29"/>
    </row>
    <row r="10" spans="1:48" x14ac:dyDescent="0.2">
      <c r="A10" s="668" t="s">
        <v>335</v>
      </c>
      <c r="B10" s="670" t="s">
        <v>13</v>
      </c>
      <c r="C10" s="6" t="s">
        <v>168</v>
      </c>
      <c r="D10" s="296">
        <v>43282</v>
      </c>
      <c r="E10" s="7">
        <v>43646</v>
      </c>
      <c r="F10" s="318">
        <v>319000</v>
      </c>
      <c r="G10" s="319">
        <f>I10-H10</f>
        <v>281552.8</v>
      </c>
      <c r="H10" s="300">
        <f>'August''19 AR Aging '!G12</f>
        <v>33124.129999999997</v>
      </c>
      <c r="I10" s="319">
        <v>314676.93</v>
      </c>
      <c r="J10" s="318">
        <f>F10-I10</f>
        <v>4323.070000000007</v>
      </c>
      <c r="K10" s="311"/>
      <c r="L10" s="252"/>
      <c r="M10" s="288"/>
      <c r="N10" s="29"/>
    </row>
    <row r="11" spans="1:48" x14ac:dyDescent="0.2">
      <c r="A11" s="667" t="s">
        <v>399</v>
      </c>
      <c r="B11" s="671" t="s">
        <v>13</v>
      </c>
      <c r="C11" s="673" t="s">
        <v>400</v>
      </c>
      <c r="D11" s="315">
        <v>43647</v>
      </c>
      <c r="E11" s="618">
        <v>44012</v>
      </c>
      <c r="F11" s="316">
        <v>300000</v>
      </c>
      <c r="G11" s="621">
        <f>I11-H11</f>
        <v>0</v>
      </c>
      <c r="H11" s="317">
        <f>'August''19 AR Aging '!G13</f>
        <v>42252.2</v>
      </c>
      <c r="I11" s="621">
        <v>42252.2</v>
      </c>
      <c r="J11" s="316">
        <f>F11-I11</f>
        <v>257747.8</v>
      </c>
      <c r="K11" s="373"/>
      <c r="L11" s="252"/>
      <c r="M11" s="288"/>
      <c r="N11" s="29"/>
    </row>
    <row r="12" spans="1:48" hidden="1" x14ac:dyDescent="0.2">
      <c r="A12" s="668" t="s">
        <v>402</v>
      </c>
      <c r="B12" s="670" t="s">
        <v>13</v>
      </c>
      <c r="C12" s="6" t="s">
        <v>163</v>
      </c>
      <c r="D12" s="296">
        <v>43374</v>
      </c>
      <c r="E12" s="7">
        <v>43585</v>
      </c>
      <c r="F12" s="318"/>
      <c r="G12" s="319"/>
      <c r="H12" s="300"/>
      <c r="I12" s="319"/>
      <c r="J12" s="318"/>
      <c r="K12" s="311"/>
      <c r="L12" s="252"/>
      <c r="M12" s="288"/>
      <c r="N12" s="29"/>
    </row>
    <row r="13" spans="1:48" x14ac:dyDescent="0.2">
      <c r="A13" s="668" t="s">
        <v>403</v>
      </c>
      <c r="B13" s="670" t="s">
        <v>13</v>
      </c>
      <c r="C13" s="6" t="s">
        <v>163</v>
      </c>
      <c r="D13" s="296">
        <v>43586</v>
      </c>
      <c r="E13" s="7">
        <v>43676</v>
      </c>
      <c r="F13" s="318">
        <f>315000/12*3</f>
        <v>78750</v>
      </c>
      <c r="G13" s="319">
        <f>I13-H13</f>
        <v>48872.78</v>
      </c>
      <c r="H13" s="318">
        <f>'August''19 AR Aging '!G30</f>
        <v>25756.36</v>
      </c>
      <c r="I13" s="319">
        <v>74629.14</v>
      </c>
      <c r="J13" s="318">
        <f>F13-I13</f>
        <v>4120.8600000000006</v>
      </c>
      <c r="K13" s="300"/>
      <c r="L13" s="252"/>
      <c r="M13" s="288"/>
      <c r="N13" s="29"/>
    </row>
    <row r="14" spans="1:48" x14ac:dyDescent="0.2">
      <c r="A14" s="667" t="s">
        <v>377</v>
      </c>
      <c r="B14" s="671" t="s">
        <v>13</v>
      </c>
      <c r="C14" s="673" t="s">
        <v>445</v>
      </c>
      <c r="D14" s="315">
        <v>43678</v>
      </c>
      <c r="E14" s="618">
        <v>44042</v>
      </c>
      <c r="F14" s="316">
        <v>330000</v>
      </c>
      <c r="G14" s="621"/>
      <c r="H14" s="317">
        <f>'August''19 AR Aging '!G31</f>
        <v>25829.82</v>
      </c>
      <c r="I14" s="621"/>
      <c r="J14" s="316"/>
      <c r="K14" s="317"/>
      <c r="L14" s="252"/>
      <c r="M14" s="288"/>
      <c r="N14" s="29"/>
    </row>
    <row r="15" spans="1:48" s="3" customFormat="1" x14ac:dyDescent="0.2">
      <c r="A15" s="668" t="s">
        <v>355</v>
      </c>
      <c r="B15" s="670" t="s">
        <v>16</v>
      </c>
      <c r="C15" s="6" t="s">
        <v>5</v>
      </c>
      <c r="D15" s="296">
        <v>43466</v>
      </c>
      <c r="E15" s="7">
        <v>43830</v>
      </c>
      <c r="F15" s="318">
        <f>3708.33*12</f>
        <v>44499.96</v>
      </c>
      <c r="G15" s="319">
        <f>I15-H15</f>
        <v>22250.006666666668</v>
      </c>
      <c r="H15" s="300">
        <f>'August''19 AR Aging '!G39</f>
        <v>7416.66</v>
      </c>
      <c r="I15" s="319">
        <f>44500/12*8</f>
        <v>29666.666666666668</v>
      </c>
      <c r="J15" s="318">
        <f>F15-I15</f>
        <v>14833.293333333331</v>
      </c>
      <c r="K15" s="300"/>
      <c r="L15" s="252"/>
      <c r="M15" s="288"/>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3" customFormat="1" x14ac:dyDescent="0.2">
      <c r="A16" s="733" t="s">
        <v>383</v>
      </c>
      <c r="B16" s="670" t="s">
        <v>16</v>
      </c>
      <c r="C16" s="6" t="s">
        <v>21</v>
      </c>
      <c r="D16" s="296">
        <v>43556</v>
      </c>
      <c r="E16" s="7">
        <v>43737</v>
      </c>
      <c r="F16" s="318">
        <v>3753</v>
      </c>
      <c r="G16" s="319">
        <f>I16-H16</f>
        <v>1856.0200000000002</v>
      </c>
      <c r="H16" s="300">
        <f>'August''19 AR Aging '!G47</f>
        <v>1284.07</v>
      </c>
      <c r="I16" s="319">
        <v>3140.09</v>
      </c>
      <c r="J16" s="318">
        <f>F16-I16</f>
        <v>612.90999999999985</v>
      </c>
      <c r="K16" s="300"/>
      <c r="L16" s="252"/>
      <c r="M16" s="288"/>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idden="1" x14ac:dyDescent="0.2">
      <c r="A17" s="668"/>
      <c r="B17" s="670" t="s">
        <v>16</v>
      </c>
      <c r="C17" s="6" t="s">
        <v>21</v>
      </c>
      <c r="D17" s="296">
        <v>42644</v>
      </c>
      <c r="E17" s="7">
        <v>43008</v>
      </c>
      <c r="F17" s="318"/>
      <c r="G17" s="319"/>
      <c r="H17" s="318"/>
      <c r="I17" s="319"/>
      <c r="J17" s="318"/>
      <c r="K17" s="483"/>
      <c r="L17" s="252"/>
      <c r="M17" s="288"/>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hidden="1" x14ac:dyDescent="0.2">
      <c r="A18" s="668" t="s">
        <v>207</v>
      </c>
      <c r="B18" s="670" t="s">
        <v>16</v>
      </c>
      <c r="C18" s="6" t="s">
        <v>21</v>
      </c>
      <c r="D18" s="296">
        <v>43191</v>
      </c>
      <c r="E18" s="7">
        <v>43555</v>
      </c>
      <c r="F18" s="318"/>
      <c r="G18" s="319"/>
      <c r="H18" s="318"/>
      <c r="I18" s="319"/>
      <c r="J18" s="318"/>
      <c r="K18" s="483"/>
      <c r="L18" s="252"/>
      <c r="M18" s="288"/>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t="12.75" customHeight="1" x14ac:dyDescent="0.2">
      <c r="A19" s="667" t="s">
        <v>207</v>
      </c>
      <c r="B19" s="671" t="s">
        <v>16</v>
      </c>
      <c r="C19" s="673" t="s">
        <v>21</v>
      </c>
      <c r="D19" s="315">
        <v>43556</v>
      </c>
      <c r="E19" s="618">
        <v>43921</v>
      </c>
      <c r="F19" s="445">
        <v>147911</v>
      </c>
      <c r="G19" s="621">
        <f>I19-H19</f>
        <v>0</v>
      </c>
      <c r="H19" s="316">
        <f>'August''19 AR Aging '!G49</f>
        <v>57507.87</v>
      </c>
      <c r="I19" s="621">
        <f>H19</f>
        <v>57507.87</v>
      </c>
      <c r="J19" s="316">
        <f>F19-I19</f>
        <v>90403.13</v>
      </c>
      <c r="K19" s="317"/>
      <c r="L19" s="252"/>
      <c r="M19" s="288"/>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668" t="s">
        <v>173</v>
      </c>
      <c r="B20" s="670" t="s">
        <v>329</v>
      </c>
      <c r="C20" s="6" t="s">
        <v>21</v>
      </c>
      <c r="D20" s="296">
        <v>43101</v>
      </c>
      <c r="E20" s="7">
        <v>43465</v>
      </c>
      <c r="F20" s="318"/>
      <c r="G20" s="319"/>
      <c r="H20" s="318"/>
      <c r="I20" s="319"/>
      <c r="J20" s="318"/>
      <c r="K20" s="300"/>
      <c r="L20" s="252"/>
      <c r="M20" s="288"/>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x14ac:dyDescent="0.2">
      <c r="A21" s="667" t="s">
        <v>15</v>
      </c>
      <c r="B21" s="671" t="s">
        <v>329</v>
      </c>
      <c r="C21" s="673" t="s">
        <v>21</v>
      </c>
      <c r="D21" s="315">
        <v>43466</v>
      </c>
      <c r="E21" s="618">
        <v>43830</v>
      </c>
      <c r="F21" s="316">
        <v>13000</v>
      </c>
      <c r="G21" s="621">
        <f>I21-H21</f>
        <v>6500.0066666666662</v>
      </c>
      <c r="H21" s="316">
        <f>'August''19 AR Aging '!G40</f>
        <v>2166.66</v>
      </c>
      <c r="I21" s="621">
        <f>13000/12*8</f>
        <v>8666.6666666666661</v>
      </c>
      <c r="J21" s="316">
        <f>F21-I21</f>
        <v>4333.3333333333339</v>
      </c>
      <c r="K21" s="317"/>
      <c r="L21" s="252"/>
      <c r="M21" s="288"/>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3" customFormat="1" hidden="1" x14ac:dyDescent="0.2">
      <c r="A22" s="669"/>
      <c r="B22" s="672"/>
      <c r="C22" s="674"/>
      <c r="D22" s="648"/>
      <c r="E22" s="649"/>
      <c r="F22" s="651"/>
      <c r="G22" s="677"/>
      <c r="H22" s="651"/>
      <c r="I22" s="677"/>
      <c r="J22" s="651"/>
      <c r="K22" s="650"/>
      <c r="L22" s="252"/>
      <c r="M22" s="288"/>
      <c r="N22" s="29"/>
      <c r="O22" s="29"/>
      <c r="P22" s="29"/>
      <c r="Q22" s="29"/>
      <c r="R22" s="29"/>
      <c r="S22" s="29"/>
      <c r="T22" s="29"/>
      <c r="U22" s="29"/>
      <c r="V22" s="29"/>
      <c r="W22" s="29"/>
      <c r="X22" s="29"/>
      <c r="Y22" s="29"/>
      <c r="Z22" s="29"/>
      <c r="AA22" s="29"/>
      <c r="AB22" s="11"/>
      <c r="AC22" s="11"/>
      <c r="AD22" s="11"/>
      <c r="AE22" s="11"/>
      <c r="AF22" s="11"/>
      <c r="AG22" s="11"/>
      <c r="AH22" s="11"/>
      <c r="AI22" s="11"/>
      <c r="AJ22" s="11"/>
      <c r="AK22" s="11"/>
      <c r="AL22" s="11"/>
      <c r="AM22" s="1"/>
      <c r="AN22" s="1"/>
      <c r="AO22" s="1"/>
      <c r="AP22" s="1"/>
      <c r="AQ22" s="1"/>
      <c r="AR22" s="1"/>
      <c r="AS22" s="1"/>
      <c r="AT22" s="1"/>
      <c r="AU22" s="1"/>
      <c r="AV22" s="1"/>
    </row>
    <row r="23" spans="1:48" s="3" customFormat="1" x14ac:dyDescent="0.2">
      <c r="A23" s="653" t="s">
        <v>290</v>
      </c>
      <c r="B23" s="652" t="s">
        <v>190</v>
      </c>
      <c r="C23" s="6" t="s">
        <v>21</v>
      </c>
      <c r="D23" s="296">
        <v>43219</v>
      </c>
      <c r="E23" s="7">
        <v>43770</v>
      </c>
      <c r="F23" s="311">
        <v>16707</v>
      </c>
      <c r="G23" s="319">
        <f>I23-H23</f>
        <v>9177.2800000000007</v>
      </c>
      <c r="H23" s="318">
        <f>'August''19 AR Aging '!G60</f>
        <v>1017.81</v>
      </c>
      <c r="I23" s="319">
        <v>10195.09</v>
      </c>
      <c r="J23" s="318">
        <f>F23-I23</f>
        <v>6511.91</v>
      </c>
      <c r="K23" s="300"/>
      <c r="L23" s="252"/>
      <c r="M23" s="288"/>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ht="15" thickBot="1" x14ac:dyDescent="0.25">
      <c r="A24" s="640" t="s">
        <v>347</v>
      </c>
      <c r="B24" s="398" t="s">
        <v>190</v>
      </c>
      <c r="C24" s="675" t="s">
        <v>21</v>
      </c>
      <c r="D24" s="399">
        <v>43717</v>
      </c>
      <c r="E24" s="619">
        <v>43937</v>
      </c>
      <c r="F24" s="676">
        <v>38680</v>
      </c>
      <c r="G24" s="678"/>
      <c r="H24" s="312"/>
      <c r="I24" s="678"/>
      <c r="J24" s="312"/>
      <c r="K24" s="301"/>
      <c r="L24" s="252"/>
      <c r="M24" s="288"/>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17" customFormat="1" ht="16.5" thickBot="1" x14ac:dyDescent="0.3">
      <c r="A25" s="262" t="s">
        <v>37</v>
      </c>
      <c r="B25" s="263"/>
      <c r="C25" s="264"/>
      <c r="D25" s="265"/>
      <c r="E25" s="265"/>
      <c r="F25" s="290"/>
      <c r="G25" s="290">
        <f>SUM(G8:G24)</f>
        <v>454986.89333333331</v>
      </c>
      <c r="H25" s="290">
        <f>SUM(H7:H24)</f>
        <v>221487.31</v>
      </c>
      <c r="I25" s="290">
        <f>SUM(I8:I24)</f>
        <v>650644.38333333319</v>
      </c>
      <c r="J25" s="290">
        <f>SUM(J8:J24)</f>
        <v>462976.5766666666</v>
      </c>
      <c r="K25" s="290">
        <f>SUM(K8:K24)</f>
        <v>0</v>
      </c>
      <c r="L25" s="47"/>
      <c r="M25" s="37"/>
      <c r="N25" s="37"/>
      <c r="O25" s="37"/>
      <c r="P25" s="37"/>
      <c r="Q25" s="37"/>
      <c r="R25" s="37"/>
      <c r="S25" s="37"/>
      <c r="T25" s="37"/>
      <c r="U25" s="37"/>
      <c r="V25" s="37"/>
      <c r="W25" s="37"/>
      <c r="X25" s="37"/>
      <c r="Y25" s="37"/>
      <c r="Z25" s="37"/>
      <c r="AA25" s="37"/>
      <c r="AB25" s="38"/>
      <c r="AC25" s="38"/>
      <c r="AD25" s="38"/>
      <c r="AE25" s="38"/>
      <c r="AF25" s="38"/>
      <c r="AG25" s="38"/>
      <c r="AH25" s="38"/>
      <c r="AI25" s="38"/>
      <c r="AJ25" s="38"/>
      <c r="AK25" s="38"/>
      <c r="AL25" s="38"/>
      <c r="AM25" s="39"/>
      <c r="AN25" s="39"/>
      <c r="AO25" s="39"/>
      <c r="AP25" s="39"/>
      <c r="AQ25" s="39"/>
      <c r="AR25" s="39"/>
      <c r="AS25" s="39"/>
      <c r="AT25" s="39"/>
      <c r="AU25" s="39"/>
      <c r="AV25" s="39"/>
    </row>
    <row r="26" spans="1:48" s="18" customFormat="1" x14ac:dyDescent="0.2">
      <c r="A26" s="55"/>
      <c r="B26" s="55"/>
      <c r="C26" s="19"/>
      <c r="D26" s="55"/>
      <c r="E26" s="289"/>
      <c r="F26" s="29"/>
      <c r="G26" s="29"/>
      <c r="I26" s="29"/>
      <c r="J26" s="29"/>
      <c r="K26" s="29"/>
      <c r="L26" s="29"/>
      <c r="M26" s="2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18" customFormat="1" ht="10.5" customHeight="1" thickBot="1" x14ac:dyDescent="0.25">
      <c r="A27" s="1"/>
      <c r="B27" s="44"/>
      <c r="C27" s="6"/>
      <c r="D27" s="6"/>
      <c r="E27" s="6"/>
      <c r="F27" s="29"/>
      <c r="G27" s="29"/>
      <c r="H27" s="29"/>
      <c r="I27" s="29"/>
      <c r="J27" s="29"/>
      <c r="K27" s="29"/>
      <c r="L27" s="29"/>
      <c r="M27" s="2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22" customFormat="1" ht="16.5" thickBot="1" x14ac:dyDescent="0.3">
      <c r="A28" s="305" t="s">
        <v>39</v>
      </c>
      <c r="B28" s="157"/>
      <c r="C28" s="158"/>
      <c r="D28" s="158"/>
      <c r="E28" s="158"/>
      <c r="F28" s="159"/>
      <c r="G28" s="159"/>
      <c r="H28" s="159"/>
      <c r="I28" s="159"/>
      <c r="J28" s="159"/>
      <c r="K28" s="160"/>
      <c r="L28" s="29"/>
      <c r="M28" s="2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20" customFormat="1" ht="45.75" thickBot="1" x14ac:dyDescent="0.25">
      <c r="A29" s="327" t="s">
        <v>22</v>
      </c>
      <c r="B29" s="817" t="s">
        <v>12</v>
      </c>
      <c r="C29" s="818"/>
      <c r="D29" s="327" t="s">
        <v>2</v>
      </c>
      <c r="E29" s="327" t="s">
        <v>3</v>
      </c>
      <c r="F29" s="332" t="s">
        <v>23</v>
      </c>
      <c r="G29" s="332" t="s">
        <v>378</v>
      </c>
      <c r="H29" s="332" t="s">
        <v>172</v>
      </c>
      <c r="I29" s="332" t="s">
        <v>19</v>
      </c>
      <c r="J29" s="332" t="s">
        <v>384</v>
      </c>
      <c r="K29" s="332" t="s">
        <v>4</v>
      </c>
      <c r="L29" s="35"/>
      <c r="M29" s="35"/>
      <c r="N29" s="35"/>
      <c r="O29" s="35"/>
      <c r="P29" s="35"/>
      <c r="Q29" s="35"/>
      <c r="R29" s="35"/>
      <c r="S29" s="35"/>
      <c r="T29" s="35"/>
      <c r="U29" s="6"/>
      <c r="V29" s="35"/>
      <c r="W29" s="35"/>
      <c r="X29" s="35"/>
      <c r="Y29" s="35"/>
      <c r="Z29" s="35"/>
      <c r="AA29" s="35"/>
      <c r="AB29" s="36"/>
      <c r="AC29" s="36"/>
      <c r="AD29" s="36"/>
      <c r="AE29" s="36"/>
      <c r="AF29" s="36"/>
      <c r="AG29" s="36"/>
      <c r="AH29" s="36"/>
      <c r="AI29" s="36"/>
      <c r="AJ29" s="36"/>
      <c r="AK29" s="36"/>
      <c r="AL29" s="36"/>
      <c r="AM29" s="6"/>
      <c r="AN29" s="6"/>
      <c r="AO29" s="6"/>
      <c r="AP29" s="6"/>
      <c r="AQ29" s="6"/>
      <c r="AR29" s="6"/>
      <c r="AS29" s="6"/>
      <c r="AT29" s="6"/>
      <c r="AU29" s="6"/>
      <c r="AV29" s="6"/>
    </row>
    <row r="30" spans="1:48" hidden="1" x14ac:dyDescent="0.2">
      <c r="A30" s="292" t="s">
        <v>15</v>
      </c>
      <c r="B30" s="823" t="s">
        <v>11</v>
      </c>
      <c r="C30" s="824"/>
      <c r="D30" s="325">
        <v>41275</v>
      </c>
      <c r="E30" s="296">
        <v>41639</v>
      </c>
      <c r="F30" s="300"/>
      <c r="G30" s="300">
        <v>0</v>
      </c>
      <c r="H30" s="300"/>
      <c r="I30" s="300">
        <f>F30-H30</f>
        <v>0</v>
      </c>
      <c r="J30" s="300">
        <v>0</v>
      </c>
      <c r="K30" s="300">
        <f t="shared" ref="K30:K36" si="0">I30</f>
        <v>0</v>
      </c>
      <c r="L30" s="29"/>
      <c r="M30" s="29"/>
      <c r="N30" s="29"/>
    </row>
    <row r="31" spans="1:48" hidden="1" x14ac:dyDescent="0.2">
      <c r="A31" s="292" t="s">
        <v>280</v>
      </c>
      <c r="B31" s="823" t="s">
        <v>11</v>
      </c>
      <c r="C31" s="824"/>
      <c r="D31" s="325">
        <v>42736</v>
      </c>
      <c r="E31" s="296">
        <v>43100</v>
      </c>
      <c r="F31" s="300"/>
      <c r="G31" s="300">
        <v>0</v>
      </c>
      <c r="H31" s="300">
        <v>25000</v>
      </c>
      <c r="I31" s="300">
        <f>25000-H31</f>
        <v>0</v>
      </c>
      <c r="J31" s="300"/>
      <c r="K31" s="397">
        <f t="shared" ref="K31" si="1">I31</f>
        <v>0</v>
      </c>
      <c r="L31" s="29"/>
      <c r="M31" s="29"/>
      <c r="N31" s="29"/>
    </row>
    <row r="32" spans="1:48" x14ac:dyDescent="0.2">
      <c r="A32" s="292" t="s">
        <v>346</v>
      </c>
      <c r="B32" s="823" t="s">
        <v>11</v>
      </c>
      <c r="C32" s="824"/>
      <c r="D32" s="325">
        <v>43466</v>
      </c>
      <c r="E32" s="296">
        <v>43830</v>
      </c>
      <c r="F32" s="300">
        <v>25000</v>
      </c>
      <c r="G32" s="300"/>
      <c r="H32" s="300">
        <v>16321.39</v>
      </c>
      <c r="I32" s="300">
        <f>25000-H32</f>
        <v>8678.61</v>
      </c>
      <c r="J32" s="300"/>
      <c r="K32" s="734">
        <f>I32</f>
        <v>8678.61</v>
      </c>
      <c r="L32" s="29"/>
      <c r="M32" s="29"/>
      <c r="N32" s="29"/>
    </row>
    <row r="33" spans="1:48" hidden="1" x14ac:dyDescent="0.2">
      <c r="A33" s="292" t="s">
        <v>187</v>
      </c>
      <c r="B33" s="823" t="s">
        <v>11</v>
      </c>
      <c r="C33" s="824"/>
      <c r="D33" s="325">
        <v>42248</v>
      </c>
      <c r="E33" s="296">
        <v>43465</v>
      </c>
      <c r="F33" s="300"/>
      <c r="G33" s="300"/>
      <c r="H33" s="300"/>
      <c r="I33" s="300"/>
      <c r="J33" s="300"/>
      <c r="K33" s="318"/>
      <c r="L33" s="29"/>
      <c r="M33" s="29"/>
      <c r="N33" s="29"/>
    </row>
    <row r="34" spans="1:48" x14ac:dyDescent="0.2">
      <c r="A34" s="292" t="s">
        <v>213</v>
      </c>
      <c r="B34" s="823" t="s">
        <v>11</v>
      </c>
      <c r="C34" s="824"/>
      <c r="D34" s="325">
        <v>42370</v>
      </c>
      <c r="E34" s="296">
        <v>43830</v>
      </c>
      <c r="F34" s="300">
        <v>7125</v>
      </c>
      <c r="G34" s="300">
        <v>4818.43</v>
      </c>
      <c r="H34" s="300">
        <v>3660.49</v>
      </c>
      <c r="I34" s="300">
        <f t="shared" ref="I34" si="2">G34-H34</f>
        <v>1157.9400000000005</v>
      </c>
      <c r="J34" s="300"/>
      <c r="K34" s="318">
        <f t="shared" si="0"/>
        <v>1157.9400000000005</v>
      </c>
      <c r="L34" s="29"/>
      <c r="M34" s="29"/>
      <c r="N34" s="29"/>
    </row>
    <row r="35" spans="1:48" x14ac:dyDescent="0.2">
      <c r="A35" s="292" t="s">
        <v>479</v>
      </c>
      <c r="B35" s="823" t="s">
        <v>11</v>
      </c>
      <c r="C35" s="824"/>
      <c r="D35" s="325">
        <v>43497</v>
      </c>
      <c r="E35" s="296">
        <v>43861</v>
      </c>
      <c r="F35" s="300">
        <v>5000</v>
      </c>
      <c r="G35" s="300"/>
      <c r="H35" s="300"/>
      <c r="I35" s="300">
        <v>5000</v>
      </c>
      <c r="J35" s="300"/>
      <c r="K35" s="318">
        <f t="shared" ref="K35" si="3">I35</f>
        <v>5000</v>
      </c>
      <c r="L35" s="29"/>
      <c r="M35" s="29"/>
      <c r="N35" s="29"/>
    </row>
    <row r="36" spans="1:48" s="4" customFormat="1" x14ac:dyDescent="0.2">
      <c r="A36" s="292" t="s">
        <v>382</v>
      </c>
      <c r="B36" s="827" t="s">
        <v>17</v>
      </c>
      <c r="C36" s="828"/>
      <c r="D36" s="325">
        <v>42736</v>
      </c>
      <c r="E36" s="296">
        <v>43646</v>
      </c>
      <c r="F36" s="300">
        <v>40000</v>
      </c>
      <c r="G36" s="300">
        <v>5772.78</v>
      </c>
      <c r="H36" s="300">
        <f>G36</f>
        <v>5772.78</v>
      </c>
      <c r="I36" s="300">
        <f>G36-H36</f>
        <v>0</v>
      </c>
      <c r="J36" s="300"/>
      <c r="K36" s="318">
        <f t="shared" si="0"/>
        <v>0</v>
      </c>
      <c r="L36" s="29"/>
      <c r="M36" s="29"/>
      <c r="N36" s="29"/>
      <c r="O36" s="29"/>
      <c r="P36" s="29"/>
      <c r="Q36" s="29"/>
      <c r="R36" s="29"/>
      <c r="S36" s="29"/>
      <c r="T36" s="29"/>
      <c r="U36" s="1"/>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4" customFormat="1" x14ac:dyDescent="0.2">
      <c r="A37" s="292" t="s">
        <v>381</v>
      </c>
      <c r="B37" s="827" t="s">
        <v>17</v>
      </c>
      <c r="C37" s="828"/>
      <c r="D37" s="325">
        <v>43466</v>
      </c>
      <c r="E37" s="296">
        <v>43830</v>
      </c>
      <c r="F37" s="300">
        <v>50000</v>
      </c>
      <c r="G37" s="300"/>
      <c r="H37" s="300">
        <f>11428.84+575</f>
        <v>12003.84</v>
      </c>
      <c r="I37" s="300">
        <f>50000-H37</f>
        <v>37996.160000000003</v>
      </c>
      <c r="J37" s="300"/>
      <c r="K37" s="318">
        <f>I37</f>
        <v>37996.160000000003</v>
      </c>
      <c r="L37" s="29"/>
      <c r="M37" s="29"/>
      <c r="N37" s="29"/>
      <c r="O37" s="29"/>
      <c r="P37" s="29"/>
      <c r="Q37" s="29"/>
      <c r="R37" s="29"/>
      <c r="S37" s="29"/>
      <c r="T37" s="29"/>
      <c r="U37" s="1"/>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4" customFormat="1" x14ac:dyDescent="0.2">
      <c r="A38" s="292" t="s">
        <v>500</v>
      </c>
      <c r="B38" s="827" t="s">
        <v>17</v>
      </c>
      <c r="C38" s="828"/>
      <c r="D38" s="325">
        <v>43831</v>
      </c>
      <c r="E38" s="296">
        <v>44561</v>
      </c>
      <c r="F38" s="300">
        <v>98000</v>
      </c>
      <c r="G38" s="300"/>
      <c r="H38" s="300"/>
      <c r="I38" s="300"/>
      <c r="J38" s="300"/>
      <c r="K38" s="318"/>
      <c r="L38" s="29"/>
      <c r="M38" s="29"/>
      <c r="N38" s="29"/>
      <c r="O38" s="29"/>
      <c r="P38" s="29"/>
      <c r="Q38" s="29"/>
      <c r="R38" s="29"/>
      <c r="S38" s="29"/>
      <c r="T38" s="29"/>
      <c r="U38" s="1"/>
      <c r="V38" s="29"/>
      <c r="W38" s="29"/>
      <c r="X38" s="29"/>
      <c r="Y38" s="29"/>
      <c r="Z38" s="29"/>
      <c r="AA38" s="29"/>
      <c r="AB38" s="11"/>
      <c r="AC38" s="11"/>
      <c r="AD38" s="11"/>
      <c r="AE38" s="11"/>
      <c r="AF38" s="11"/>
      <c r="AG38" s="11"/>
      <c r="AH38" s="11"/>
      <c r="AI38" s="11"/>
      <c r="AJ38" s="11"/>
      <c r="AK38" s="11"/>
      <c r="AL38" s="11"/>
      <c r="AM38" s="1"/>
      <c r="AN38" s="1"/>
      <c r="AO38" s="1"/>
      <c r="AP38" s="1"/>
      <c r="AQ38" s="1"/>
      <c r="AR38" s="1"/>
      <c r="AS38" s="1"/>
      <c r="AT38" s="1"/>
      <c r="AU38" s="1"/>
      <c r="AV38" s="1"/>
    </row>
    <row r="39" spans="1:48" s="2" customFormat="1" ht="15" thickBot="1" x14ac:dyDescent="0.25">
      <c r="A39" s="292" t="s">
        <v>18</v>
      </c>
      <c r="B39" s="819" t="s">
        <v>43</v>
      </c>
      <c r="C39" s="821"/>
      <c r="D39" s="325">
        <v>40226</v>
      </c>
      <c r="E39" s="297" t="s">
        <v>25</v>
      </c>
      <c r="F39" s="300">
        <f>8007.78+5000+50</f>
        <v>13057.779999999999</v>
      </c>
      <c r="G39" s="300">
        <v>4223.7</v>
      </c>
      <c r="H39" s="300">
        <v>1325</v>
      </c>
      <c r="I39" s="300">
        <f>+G39-H39</f>
        <v>2898.7</v>
      </c>
      <c r="J39" s="300">
        <f>I39</f>
        <v>2898.7</v>
      </c>
      <c r="K39" s="318">
        <v>0</v>
      </c>
      <c r="L39" s="29"/>
      <c r="M39" s="29"/>
      <c r="N39" s="29"/>
      <c r="O39" s="29"/>
      <c r="P39" s="29"/>
      <c r="Q39" s="29"/>
      <c r="R39" s="29"/>
      <c r="S39" s="29"/>
      <c r="T39" s="29"/>
      <c r="U39" s="1"/>
      <c r="V39" s="29"/>
      <c r="W39" s="29"/>
      <c r="X39" s="29"/>
      <c r="Y39" s="29"/>
      <c r="Z39" s="29"/>
      <c r="AA39" s="29"/>
      <c r="AB39" s="11"/>
      <c r="AC39" s="11"/>
      <c r="AD39" s="11"/>
      <c r="AE39" s="11"/>
      <c r="AF39" s="11"/>
      <c r="AG39" s="11"/>
      <c r="AH39" s="11"/>
      <c r="AI39" s="11"/>
      <c r="AJ39" s="11"/>
      <c r="AK39" s="11"/>
      <c r="AL39" s="11"/>
      <c r="AM39" s="1"/>
      <c r="AN39" s="1"/>
      <c r="AO39" s="1"/>
      <c r="AP39" s="1"/>
      <c r="AQ39" s="1"/>
      <c r="AR39" s="1"/>
      <c r="AS39" s="1"/>
      <c r="AT39" s="1"/>
      <c r="AU39" s="1"/>
      <c r="AV39" s="1"/>
    </row>
    <row r="40" spans="1:48" s="2" customFormat="1" ht="15.75" thickBot="1" x14ac:dyDescent="0.3">
      <c r="A40" s="293"/>
      <c r="B40" s="825"/>
      <c r="C40" s="826"/>
      <c r="D40" s="326"/>
      <c r="E40" s="298"/>
      <c r="F40" s="301"/>
      <c r="G40" s="301"/>
      <c r="H40" s="301">
        <v>0</v>
      </c>
      <c r="I40" s="301"/>
      <c r="J40" s="301"/>
      <c r="K40" s="301">
        <v>0</v>
      </c>
      <c r="L40" s="257" t="s">
        <v>104</v>
      </c>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256" customFormat="1" ht="15.75" thickBot="1" x14ac:dyDescent="0.3">
      <c r="A41" s="291" t="s">
        <v>28</v>
      </c>
      <c r="B41" s="294"/>
      <c r="C41" s="294"/>
      <c r="D41" s="295"/>
      <c r="E41" s="295"/>
      <c r="F41" s="299">
        <f t="shared" ref="F41:K41" si="4">SUM(F30:F40)</f>
        <v>238182.78</v>
      </c>
      <c r="G41" s="302">
        <f t="shared" si="4"/>
        <v>14814.91</v>
      </c>
      <c r="H41" s="299">
        <f t="shared" si="4"/>
        <v>64083.5</v>
      </c>
      <c r="I41" s="299">
        <f t="shared" si="4"/>
        <v>55731.41</v>
      </c>
      <c r="J41" s="303">
        <f t="shared" si="4"/>
        <v>2898.7</v>
      </c>
      <c r="K41" s="304">
        <f t="shared" si="4"/>
        <v>52832.710000000006</v>
      </c>
      <c r="L41" s="455">
        <f>K25+K41</f>
        <v>52832.710000000006</v>
      </c>
      <c r="M41" s="254"/>
      <c r="N41" s="254"/>
      <c r="O41" s="254"/>
      <c r="P41" s="254"/>
      <c r="Q41" s="254"/>
      <c r="R41" s="254"/>
      <c r="S41" s="254"/>
      <c r="T41" s="254"/>
      <c r="U41" s="255"/>
      <c r="V41" s="254"/>
      <c r="W41" s="254"/>
      <c r="X41" s="254"/>
      <c r="Y41" s="254"/>
      <c r="Z41" s="254"/>
      <c r="AA41" s="254"/>
      <c r="AB41" s="254"/>
      <c r="AC41" s="254"/>
      <c r="AD41" s="254"/>
      <c r="AE41" s="254"/>
      <c r="AF41" s="254"/>
      <c r="AG41" s="254"/>
      <c r="AH41" s="254"/>
      <c r="AI41" s="254"/>
      <c r="AJ41" s="254"/>
      <c r="AK41" s="254"/>
      <c r="AL41" s="254"/>
      <c r="AM41" s="255"/>
      <c r="AN41" s="255"/>
      <c r="AO41" s="255"/>
      <c r="AP41" s="255"/>
      <c r="AQ41" s="255"/>
      <c r="AR41" s="255"/>
      <c r="AS41" s="255"/>
      <c r="AT41" s="255"/>
      <c r="AU41" s="255"/>
      <c r="AV41" s="255"/>
    </row>
    <row r="42" spans="1:48" s="18" customFormat="1" ht="15" thickBot="1" x14ac:dyDescent="0.25">
      <c r="B42" s="1"/>
      <c r="C42" s="6"/>
      <c r="D42" s="6"/>
      <c r="E42" s="6"/>
      <c r="F42" s="29"/>
      <c r="G42" s="29"/>
      <c r="H42" s="29"/>
      <c r="I42" s="29"/>
      <c r="J42" s="29"/>
      <c r="K42" s="29"/>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1" customFormat="1" ht="18.75" thickBot="1" x14ac:dyDescent="0.3">
      <c r="A43" s="305" t="s">
        <v>144</v>
      </c>
      <c r="B43" s="306"/>
      <c r="C43" s="307"/>
      <c r="D43" s="307"/>
      <c r="E43" s="307"/>
      <c r="F43" s="310"/>
      <c r="G43" s="310"/>
      <c r="H43" s="310"/>
      <c r="I43" s="310"/>
      <c r="J43" s="310"/>
      <c r="K43" s="313"/>
      <c r="L43" s="310"/>
      <c r="M43" s="314"/>
      <c r="N43" s="40"/>
      <c r="O43" s="40"/>
      <c r="P43" s="40"/>
      <c r="Q43" s="40"/>
      <c r="R43" s="40"/>
      <c r="S43" s="40"/>
      <c r="T43" s="40"/>
      <c r="U43" s="41"/>
      <c r="V43" s="40"/>
      <c r="W43" s="40"/>
      <c r="X43" s="40"/>
      <c r="Y43" s="40"/>
      <c r="Z43" s="40"/>
      <c r="AA43" s="40"/>
      <c r="AB43" s="42"/>
      <c r="AC43" s="42"/>
      <c r="AD43" s="42"/>
      <c r="AE43" s="42"/>
      <c r="AF43" s="42"/>
      <c r="AG43" s="42"/>
      <c r="AH43" s="42"/>
      <c r="AI43" s="42"/>
      <c r="AJ43" s="42"/>
      <c r="AK43" s="42"/>
      <c r="AL43" s="42"/>
      <c r="AM43" s="41"/>
      <c r="AN43" s="41"/>
      <c r="AO43" s="41"/>
      <c r="AP43" s="41"/>
      <c r="AQ43" s="41"/>
      <c r="AR43" s="41"/>
      <c r="AS43" s="41"/>
      <c r="AT43" s="41"/>
      <c r="AU43" s="41"/>
      <c r="AV43" s="41"/>
    </row>
    <row r="44" spans="1:48" s="23" customFormat="1" ht="33" customHeight="1" thickBot="1" x14ac:dyDescent="0.25">
      <c r="A44" s="327" t="s">
        <v>31</v>
      </c>
      <c r="B44" s="817" t="s">
        <v>24</v>
      </c>
      <c r="C44" s="822"/>
      <c r="D44" s="822"/>
      <c r="E44" s="818"/>
      <c r="F44" s="331" t="s">
        <v>40</v>
      </c>
      <c r="G44" s="261" t="s">
        <v>378</v>
      </c>
      <c r="H44" s="261" t="s">
        <v>171</v>
      </c>
      <c r="I44" s="261" t="s">
        <v>208</v>
      </c>
      <c r="J44" s="261" t="s">
        <v>44</v>
      </c>
      <c r="K44" s="261" t="s">
        <v>10</v>
      </c>
      <c r="L44" s="261" t="s">
        <v>380</v>
      </c>
      <c r="M44" s="261" t="s">
        <v>4</v>
      </c>
      <c r="N44" s="35"/>
      <c r="O44" s="35"/>
      <c r="P44" s="35"/>
      <c r="Q44" s="35"/>
      <c r="R44" s="35"/>
      <c r="S44" s="35"/>
      <c r="T44" s="35"/>
      <c r="U44" s="6"/>
      <c r="V44" s="35"/>
      <c r="W44" s="35"/>
      <c r="X44" s="35"/>
      <c r="Y44" s="35"/>
      <c r="Z44" s="35"/>
      <c r="AA44" s="35"/>
      <c r="AB44" s="36"/>
      <c r="AC44" s="36"/>
      <c r="AD44" s="36"/>
      <c r="AE44" s="36"/>
      <c r="AF44" s="36"/>
      <c r="AG44" s="36"/>
      <c r="AH44" s="36"/>
      <c r="AI44" s="36"/>
      <c r="AJ44" s="36"/>
      <c r="AK44" s="36"/>
      <c r="AL44" s="36"/>
      <c r="AM44" s="6"/>
      <c r="AN44" s="6"/>
      <c r="AO44" s="6"/>
      <c r="AP44" s="6"/>
      <c r="AQ44" s="6"/>
      <c r="AR44" s="6"/>
      <c r="AS44" s="6"/>
      <c r="AT44" s="6"/>
      <c r="AU44" s="6"/>
      <c r="AV44" s="6"/>
    </row>
    <row r="45" spans="1:48" s="18" customFormat="1" hidden="1" x14ac:dyDescent="0.2">
      <c r="A45" s="292" t="s">
        <v>32</v>
      </c>
      <c r="B45" s="819" t="s">
        <v>35</v>
      </c>
      <c r="C45" s="820"/>
      <c r="D45" s="820"/>
      <c r="E45" s="821"/>
      <c r="F45" s="300"/>
      <c r="G45" s="300"/>
      <c r="H45" s="300">
        <v>0</v>
      </c>
      <c r="I45" s="300"/>
      <c r="J45" s="300"/>
      <c r="K45" s="300"/>
      <c r="L45" s="300"/>
      <c r="M45" s="300">
        <v>0</v>
      </c>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hidden="1" x14ac:dyDescent="0.2">
      <c r="A46" s="292" t="s">
        <v>33</v>
      </c>
      <c r="B46" s="819" t="s">
        <v>36</v>
      </c>
      <c r="C46" s="820"/>
      <c r="D46" s="820"/>
      <c r="E46" s="821"/>
      <c r="F46" s="300"/>
      <c r="G46" s="300"/>
      <c r="H46" s="300"/>
      <c r="I46" s="311"/>
      <c r="J46" s="300"/>
      <c r="K46" s="300"/>
      <c r="L46" s="300"/>
      <c r="M46" s="300">
        <v>0</v>
      </c>
      <c r="N46" s="29"/>
    </row>
    <row r="47" spans="1:48" ht="15" hidden="1" customHeight="1" x14ac:dyDescent="0.2">
      <c r="A47" s="292"/>
      <c r="B47" s="819"/>
      <c r="C47" s="820"/>
      <c r="D47" s="820"/>
      <c r="E47" s="821"/>
      <c r="F47" s="300"/>
      <c r="G47" s="300"/>
      <c r="H47" s="300"/>
      <c r="I47" s="531"/>
      <c r="J47" s="300"/>
      <c r="K47" s="397"/>
      <c r="L47" s="300"/>
      <c r="M47" s="300"/>
      <c r="N47" s="29"/>
    </row>
    <row r="48" spans="1:48" s="18" customFormat="1" hidden="1" x14ac:dyDescent="0.2">
      <c r="A48" s="292"/>
      <c r="B48" s="819"/>
      <c r="C48" s="820"/>
      <c r="D48" s="820"/>
      <c r="E48" s="821"/>
      <c r="F48" s="300"/>
      <c r="G48" s="300"/>
      <c r="H48" s="300"/>
      <c r="I48" s="300"/>
      <c r="J48" s="300"/>
      <c r="K48" s="397"/>
      <c r="L48" s="300"/>
      <c r="M48" s="300"/>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x14ac:dyDescent="0.2">
      <c r="A49" s="292" t="s">
        <v>356</v>
      </c>
      <c r="B49" s="580" t="s">
        <v>358</v>
      </c>
      <c r="C49" s="581"/>
      <c r="D49" s="581"/>
      <c r="E49" s="582"/>
      <c r="F49" s="300">
        <v>51000</v>
      </c>
      <c r="G49" s="300">
        <v>0</v>
      </c>
      <c r="H49" s="300">
        <v>51000</v>
      </c>
      <c r="I49" s="628"/>
      <c r="J49" s="318">
        <f>51000/12*8</f>
        <v>34000</v>
      </c>
      <c r="K49" s="397">
        <f>H49-J49</f>
        <v>17000</v>
      </c>
      <c r="L49" s="300">
        <f>K49</f>
        <v>17000</v>
      </c>
      <c r="M49" s="300"/>
      <c r="N49" s="29"/>
    </row>
    <row r="50" spans="1:48" s="18" customFormat="1" x14ac:dyDescent="0.2">
      <c r="A50" s="292" t="s">
        <v>357</v>
      </c>
      <c r="B50" s="819" t="s">
        <v>359</v>
      </c>
      <c r="C50" s="820"/>
      <c r="D50" s="820"/>
      <c r="E50" s="821"/>
      <c r="F50" s="300">
        <f>6500+3500+2000+3500+3500</f>
        <v>19000</v>
      </c>
      <c r="G50" s="300"/>
      <c r="H50" s="300">
        <v>19000</v>
      </c>
      <c r="I50" s="300"/>
      <c r="J50" s="318">
        <f>19000/12*8</f>
        <v>12666.666666666666</v>
      </c>
      <c r="K50" s="397">
        <f>H50-J50</f>
        <v>6333.3333333333339</v>
      </c>
      <c r="L50" s="300">
        <f>K50</f>
        <v>6333.3333333333339</v>
      </c>
      <c r="M50" s="300"/>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s="18" customFormat="1" x14ac:dyDescent="0.2">
      <c r="A51" s="292" t="s">
        <v>390</v>
      </c>
      <c r="B51" s="738" t="s">
        <v>404</v>
      </c>
      <c r="C51" s="739"/>
      <c r="D51" s="739"/>
      <c r="E51" s="740"/>
      <c r="F51" s="300">
        <v>5000</v>
      </c>
      <c r="G51" s="300"/>
      <c r="H51" s="300">
        <f>J51-I51</f>
        <v>2500</v>
      </c>
      <c r="I51" s="300">
        <f>'August''19 AR Aging '!G64</f>
        <v>0</v>
      </c>
      <c r="J51" s="318">
        <f>1250*2</f>
        <v>2500</v>
      </c>
      <c r="K51" s="397">
        <f>F51-J51</f>
        <v>2500</v>
      </c>
      <c r="L51" s="300"/>
      <c r="M51" s="300"/>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x14ac:dyDescent="0.2">
      <c r="A52" s="292" t="s">
        <v>20</v>
      </c>
      <c r="B52" s="819" t="s">
        <v>145</v>
      </c>
      <c r="C52" s="820"/>
      <c r="D52" s="820"/>
      <c r="E52" s="821"/>
      <c r="F52" s="300"/>
      <c r="G52" s="300">
        <v>0</v>
      </c>
      <c r="H52" s="300">
        <f>J52</f>
        <v>8398.4599999999991</v>
      </c>
      <c r="I52" s="300"/>
      <c r="J52" s="318">
        <v>8398.4599999999991</v>
      </c>
      <c r="K52" s="397">
        <f>H52-J52</f>
        <v>0</v>
      </c>
      <c r="L52" s="300">
        <v>0</v>
      </c>
      <c r="M52" s="300">
        <v>0</v>
      </c>
      <c r="N52" s="29"/>
    </row>
    <row r="53" spans="1:48" x14ac:dyDescent="0.2">
      <c r="A53" s="292" t="s">
        <v>20</v>
      </c>
      <c r="B53" s="819" t="s">
        <v>6</v>
      </c>
      <c r="C53" s="820"/>
      <c r="D53" s="820"/>
      <c r="E53" s="821"/>
      <c r="F53" s="300"/>
      <c r="G53" s="300">
        <v>1100.82</v>
      </c>
      <c r="H53" s="300"/>
      <c r="I53" s="300"/>
      <c r="J53" s="318">
        <v>293.64</v>
      </c>
      <c r="K53" s="397">
        <f>G53+H53-J53</f>
        <v>807.18</v>
      </c>
      <c r="L53" s="300">
        <f>K53</f>
        <v>807.18</v>
      </c>
      <c r="M53" s="300">
        <v>0</v>
      </c>
      <c r="N53" s="29"/>
    </row>
    <row r="54" spans="1:48" x14ac:dyDescent="0.2">
      <c r="A54" s="292" t="s">
        <v>20</v>
      </c>
      <c r="B54" s="819" t="s">
        <v>7</v>
      </c>
      <c r="C54" s="820"/>
      <c r="D54" s="820"/>
      <c r="E54" s="821"/>
      <c r="F54" s="300"/>
      <c r="G54" s="300">
        <v>19828.46</v>
      </c>
      <c r="H54" s="300">
        <f>30+2500+2500</f>
        <v>5030</v>
      </c>
      <c r="I54" s="300">
        <v>0</v>
      </c>
      <c r="J54" s="318">
        <v>10037.459999999999</v>
      </c>
      <c r="K54" s="397">
        <f>G54+H54-J54</f>
        <v>14821</v>
      </c>
      <c r="L54" s="300">
        <f>K54</f>
        <v>14821</v>
      </c>
      <c r="M54" s="300">
        <v>0</v>
      </c>
      <c r="N54" s="29"/>
    </row>
    <row r="55" spans="1:48" x14ac:dyDescent="0.2">
      <c r="A55" s="292" t="s">
        <v>20</v>
      </c>
      <c r="B55" s="819" t="s">
        <v>8</v>
      </c>
      <c r="C55" s="820"/>
      <c r="D55" s="820"/>
      <c r="E55" s="821"/>
      <c r="F55" s="300"/>
      <c r="G55" s="300">
        <v>6830.65</v>
      </c>
      <c r="H55" s="300">
        <v>2720</v>
      </c>
      <c r="I55" s="300">
        <v>0</v>
      </c>
      <c r="J55" s="318">
        <v>83.02</v>
      </c>
      <c r="K55" s="397">
        <f>G55+H55-J55</f>
        <v>9467.6299999999992</v>
      </c>
      <c r="L55" s="300">
        <f>K55</f>
        <v>9467.6299999999992</v>
      </c>
      <c r="M55" s="300">
        <v>0</v>
      </c>
      <c r="N55" s="29"/>
    </row>
    <row r="56" spans="1:48" s="25" customFormat="1" ht="15" thickBot="1" x14ac:dyDescent="0.25">
      <c r="A56" s="292" t="s">
        <v>501</v>
      </c>
      <c r="B56" s="819" t="s">
        <v>444</v>
      </c>
      <c r="C56" s="820"/>
      <c r="D56" s="820"/>
      <c r="E56" s="821"/>
      <c r="F56" s="300"/>
      <c r="G56" s="300"/>
      <c r="H56" s="300">
        <v>1000</v>
      </c>
      <c r="I56" s="300"/>
      <c r="J56" s="300"/>
      <c r="K56" s="300">
        <f>G56+H56-J56</f>
        <v>1000</v>
      </c>
      <c r="L56" s="300">
        <f>K56</f>
        <v>1000</v>
      </c>
      <c r="M56" s="300">
        <v>0</v>
      </c>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25" customFormat="1" ht="15" hidden="1" thickBot="1" x14ac:dyDescent="0.25">
      <c r="A57" s="292" t="s">
        <v>20</v>
      </c>
      <c r="B57" s="308" t="s">
        <v>81</v>
      </c>
      <c r="C57" s="283"/>
      <c r="D57" s="283"/>
      <c r="E57" s="309"/>
      <c r="F57" s="300"/>
      <c r="G57" s="300"/>
      <c r="H57" s="300"/>
      <c r="I57" s="300"/>
      <c r="J57" s="300"/>
      <c r="K57" s="300"/>
      <c r="L57" s="300"/>
      <c r="M57" s="300"/>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ht="15" hidden="1" customHeight="1" thickBot="1" x14ac:dyDescent="0.25">
      <c r="A58" s="293"/>
      <c r="B58" s="819"/>
      <c r="C58" s="820"/>
      <c r="D58" s="820"/>
      <c r="E58" s="821"/>
      <c r="F58" s="301"/>
      <c r="G58" s="301">
        <v>0</v>
      </c>
      <c r="H58" s="301"/>
      <c r="I58" s="312"/>
      <c r="J58" s="301"/>
      <c r="K58" s="301"/>
      <c r="L58" s="301"/>
      <c r="M58" s="301">
        <v>0</v>
      </c>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256" customFormat="1" ht="15.75" thickBot="1" x14ac:dyDescent="0.3">
      <c r="A59" s="328" t="s">
        <v>38</v>
      </c>
      <c r="B59" s="329"/>
      <c r="C59" s="329"/>
      <c r="D59" s="329"/>
      <c r="E59" s="330"/>
      <c r="F59" s="390">
        <f t="shared" ref="F59:M59" si="5">SUM(F45:F58)</f>
        <v>75000</v>
      </c>
      <c r="G59" s="391">
        <f t="shared" si="5"/>
        <v>27759.93</v>
      </c>
      <c r="H59" s="391">
        <f>SUM(H45:H58)</f>
        <v>89648.459999999992</v>
      </c>
      <c r="I59" s="391">
        <f t="shared" si="5"/>
        <v>0</v>
      </c>
      <c r="J59" s="391">
        <f t="shared" si="5"/>
        <v>67979.246666666659</v>
      </c>
      <c r="K59" s="392">
        <f>SUM(K45:K58)</f>
        <v>51929.143333333333</v>
      </c>
      <c r="L59" s="393">
        <f>SUM(L45:L58)</f>
        <v>49429.143333333333</v>
      </c>
      <c r="M59" s="392">
        <f t="shared" si="5"/>
        <v>0</v>
      </c>
      <c r="N59" s="254"/>
      <c r="O59" s="254"/>
      <c r="P59" s="254"/>
      <c r="Q59" s="254"/>
      <c r="R59" s="254"/>
      <c r="S59" s="254"/>
      <c r="T59" s="254"/>
      <c r="U59" s="255"/>
      <c r="V59" s="254"/>
      <c r="W59" s="254"/>
      <c r="X59" s="254"/>
      <c r="Y59" s="254"/>
      <c r="Z59" s="254"/>
      <c r="AA59" s="254"/>
      <c r="AB59" s="254"/>
      <c r="AC59" s="254"/>
      <c r="AD59" s="254"/>
      <c r="AE59" s="254"/>
      <c r="AF59" s="254"/>
      <c r="AG59" s="254"/>
      <c r="AH59" s="254"/>
      <c r="AI59" s="254"/>
      <c r="AJ59" s="254"/>
      <c r="AK59" s="254"/>
      <c r="AL59" s="254"/>
      <c r="AM59" s="255"/>
      <c r="AN59" s="255"/>
      <c r="AO59" s="255"/>
      <c r="AP59" s="255"/>
      <c r="AQ59" s="255"/>
      <c r="AR59" s="255"/>
      <c r="AS59" s="255"/>
      <c r="AT59" s="255"/>
      <c r="AU59" s="255"/>
      <c r="AV59" s="255"/>
    </row>
    <row r="60" spans="1:48" ht="15" thickBot="1" x14ac:dyDescent="0.25">
      <c r="H60" s="28"/>
      <c r="L60" s="748" t="s">
        <v>405</v>
      </c>
      <c r="N60" s="29"/>
    </row>
    <row r="61" spans="1:48" s="48" customFormat="1" ht="16.5" thickBot="1" x14ac:dyDescent="0.3">
      <c r="A61" s="52"/>
      <c r="B61" s="53"/>
      <c r="C61" s="53"/>
      <c r="D61" s="53"/>
      <c r="E61" s="53"/>
      <c r="F61" s="53"/>
      <c r="G61" s="53"/>
      <c r="H61" s="53"/>
      <c r="I61" s="53"/>
      <c r="J61" s="53"/>
      <c r="K61" s="53"/>
      <c r="L61" s="511">
        <f>L59+J41</f>
        <v>52327.843333333331</v>
      </c>
      <c r="M61" s="735"/>
      <c r="N61" s="29"/>
      <c r="O61" s="29"/>
      <c r="P61" s="29"/>
      <c r="Q61" s="29"/>
      <c r="R61" s="29"/>
      <c r="S61" s="29"/>
      <c r="T61" s="29"/>
      <c r="U61" s="29"/>
      <c r="V61" s="29"/>
      <c r="W61" s="29"/>
      <c r="X61" s="29"/>
      <c r="Y61" s="29"/>
      <c r="Z61" s="29"/>
      <c r="AA61" s="29"/>
      <c r="AB61" s="11"/>
      <c r="AC61" s="11"/>
      <c r="AD61" s="11"/>
      <c r="AE61" s="11"/>
      <c r="AF61" s="11"/>
      <c r="AG61" s="11"/>
      <c r="AH61" s="11"/>
      <c r="AI61" s="11"/>
      <c r="AJ61" s="11"/>
      <c r="AK61" s="11"/>
      <c r="AL61" s="11"/>
      <c r="AM61" s="1"/>
      <c r="AN61" s="1"/>
      <c r="AO61" s="1"/>
      <c r="AP61" s="1"/>
      <c r="AQ61" s="1"/>
      <c r="AR61" s="1"/>
      <c r="AS61" s="1"/>
      <c r="AT61" s="1"/>
      <c r="AU61" s="1"/>
      <c r="AV61" s="1"/>
    </row>
    <row r="62" spans="1:48" s="51" customFormat="1" ht="32.25" hidden="1" thickBot="1" x14ac:dyDescent="0.3">
      <c r="A62" s="54"/>
      <c r="B62" s="50"/>
      <c r="C62" s="50"/>
      <c r="D62" s="50"/>
      <c r="E62" s="50"/>
      <c r="F62" s="50"/>
      <c r="G62" s="150" t="s">
        <v>180</v>
      </c>
      <c r="H62" s="151" t="s">
        <v>171</v>
      </c>
      <c r="I62" s="151" t="s">
        <v>103</v>
      </c>
      <c r="J62" s="151" t="s">
        <v>58</v>
      </c>
      <c r="K62" s="152" t="s">
        <v>46</v>
      </c>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row>
    <row r="63" spans="1:48" s="43" customFormat="1" ht="20.25" hidden="1" customHeight="1" x14ac:dyDescent="0.2">
      <c r="A63" s="348" t="s">
        <v>76</v>
      </c>
      <c r="B63" s="831" t="s">
        <v>45</v>
      </c>
      <c r="C63" s="831"/>
      <c r="D63" s="831"/>
      <c r="E63" s="831"/>
      <c r="F63" s="349"/>
      <c r="G63" s="349">
        <f>104647.76-J48-1250-1250</f>
        <v>102147.76</v>
      </c>
      <c r="H63" s="349">
        <f>90450.47-J63-H66</f>
        <v>63716.600000000006</v>
      </c>
      <c r="I63" s="349">
        <f>H52</f>
        <v>8398.4599999999991</v>
      </c>
      <c r="J63" s="349">
        <f>'August''19 AR Aging '!G43</f>
        <v>26733.87</v>
      </c>
      <c r="K63" s="350">
        <f>+I63+J63+H63-G63</f>
        <v>-3298.8299999999872</v>
      </c>
      <c r="L63" s="46"/>
      <c r="M63" s="46"/>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25" customFormat="1" hidden="1" x14ac:dyDescent="0.2">
      <c r="A64" s="351" t="s">
        <v>34</v>
      </c>
      <c r="B64" s="830" t="s">
        <v>29</v>
      </c>
      <c r="C64" s="830"/>
      <c r="D64" s="830"/>
      <c r="E64" s="830"/>
      <c r="F64" s="346"/>
      <c r="G64" s="346"/>
      <c r="H64" s="346">
        <v>0</v>
      </c>
      <c r="I64" s="347"/>
      <c r="J64" s="346">
        <v>0</v>
      </c>
      <c r="K64" s="352"/>
      <c r="L64" s="319"/>
      <c r="M64" s="319">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18" customFormat="1" hidden="1" x14ac:dyDescent="0.2">
      <c r="A65" s="351" t="s">
        <v>20</v>
      </c>
      <c r="B65" s="832" t="s">
        <v>154</v>
      </c>
      <c r="C65" s="833"/>
      <c r="D65" s="833"/>
      <c r="E65" s="834"/>
      <c r="F65" s="346"/>
      <c r="G65" s="346"/>
      <c r="H65" s="346"/>
      <c r="I65" s="347"/>
      <c r="J65" s="346"/>
      <c r="K65" s="352"/>
      <c r="L65" s="319"/>
      <c r="M65" s="319"/>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18" customFormat="1" ht="15" hidden="1" thickBot="1" x14ac:dyDescent="0.25">
      <c r="A66" s="353" t="s">
        <v>153</v>
      </c>
      <c r="B66" s="829" t="s">
        <v>45</v>
      </c>
      <c r="C66" s="829"/>
      <c r="D66" s="829"/>
      <c r="E66" s="829"/>
      <c r="F66" s="354"/>
      <c r="G66" s="354"/>
      <c r="H66" s="354">
        <v>0</v>
      </c>
      <c r="I66" s="354"/>
      <c r="J66" s="354"/>
      <c r="K66" s="355"/>
      <c r="L66" s="46"/>
      <c r="M66" s="46"/>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x14ac:dyDescent="0.2">
      <c r="F67" s="231"/>
      <c r="G67" s="232"/>
      <c r="H67" s="231"/>
      <c r="I67" s="231"/>
      <c r="J67" s="231">
        <f>J63+I59+H25+J66</f>
        <v>248221.18</v>
      </c>
      <c r="K67" s="231" t="s">
        <v>51</v>
      </c>
      <c r="N67" s="29"/>
    </row>
    <row r="68" spans="1:48" x14ac:dyDescent="0.2">
      <c r="F68" s="231"/>
      <c r="G68" s="232"/>
      <c r="H68" s="231"/>
      <c r="I68" s="231"/>
      <c r="J68" s="772">
        <f>'August''19 AR Aging '!G66</f>
        <v>248965.4</v>
      </c>
      <c r="K68" s="231" t="s">
        <v>480</v>
      </c>
      <c r="N68" s="29"/>
    </row>
    <row r="69" spans="1:48" ht="15" customHeight="1" thickBot="1" x14ac:dyDescent="0.25">
      <c r="F69" s="231"/>
      <c r="G69" s="232"/>
      <c r="H69" s="231"/>
      <c r="I69" s="231"/>
      <c r="J69" s="773">
        <f>J68-J67</f>
        <v>744.22000000000116</v>
      </c>
      <c r="K69" s="231" t="s">
        <v>481</v>
      </c>
      <c r="N69" s="29"/>
    </row>
    <row r="70" spans="1:48" ht="15" customHeight="1" thickTop="1" x14ac:dyDescent="0.2">
      <c r="C70" s="8"/>
      <c r="E70" s="9"/>
    </row>
    <row r="79" spans="1:48" x14ac:dyDescent="0.2">
      <c r="A79" s="10"/>
      <c r="B79" s="1"/>
      <c r="C79" s="6"/>
      <c r="D79" s="6"/>
      <c r="E79" s="7"/>
      <c r="F79" s="29"/>
      <c r="G79" s="29"/>
      <c r="I79" s="29"/>
      <c r="J79" s="29"/>
      <c r="K79" s="29"/>
      <c r="L79" s="29"/>
    </row>
  </sheetData>
  <mergeCells count="28">
    <mergeCell ref="B55:E55"/>
    <mergeCell ref="B33:C33"/>
    <mergeCell ref="B34:C34"/>
    <mergeCell ref="B36:C36"/>
    <mergeCell ref="B50:E50"/>
    <mergeCell ref="B37:C37"/>
    <mergeCell ref="B35:C35"/>
    <mergeCell ref="B66:E66"/>
    <mergeCell ref="B56:E56"/>
    <mergeCell ref="B64:E64"/>
    <mergeCell ref="B58:E58"/>
    <mergeCell ref="B63:E63"/>
    <mergeCell ref="B65:E65"/>
    <mergeCell ref="B29:C29"/>
    <mergeCell ref="B54:E54"/>
    <mergeCell ref="B44:E44"/>
    <mergeCell ref="B31:C31"/>
    <mergeCell ref="B39:C39"/>
    <mergeCell ref="B40:C40"/>
    <mergeCell ref="B45:E45"/>
    <mergeCell ref="B46:E46"/>
    <mergeCell ref="B52:E52"/>
    <mergeCell ref="B53:E53"/>
    <mergeCell ref="B30:C30"/>
    <mergeCell ref="B47:E47"/>
    <mergeCell ref="B48:E48"/>
    <mergeCell ref="B32:C32"/>
    <mergeCell ref="B38:C38"/>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41"/>
  <sheetViews>
    <sheetView zoomScale="75" zoomScaleNormal="75" workbookViewId="0">
      <selection activeCell="B112" sqref="B112"/>
    </sheetView>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85" customWidth="1"/>
    <col min="8" max="8" width="11.75" style="1" customWidth="1"/>
    <col min="9" max="9" width="17.625" style="1"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84"/>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463</v>
      </c>
      <c r="B2" s="16"/>
      <c r="C2" s="13"/>
      <c r="D2" s="13"/>
      <c r="E2" s="26"/>
      <c r="F2" s="26"/>
      <c r="G2" s="684"/>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83"/>
      <c r="F3" s="93"/>
    </row>
    <row r="4" spans="1:2009" s="57" customFormat="1" ht="16.5" thickBot="1" x14ac:dyDescent="0.3">
      <c r="A4" s="56"/>
      <c r="B4" s="56"/>
      <c r="C4" s="93" t="s">
        <v>464</v>
      </c>
      <c r="D4" s="93" t="s">
        <v>436</v>
      </c>
      <c r="E4" s="93" t="s">
        <v>435</v>
      </c>
      <c r="F4" s="93" t="s">
        <v>467</v>
      </c>
      <c r="G4" s="686" t="s">
        <v>75</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35" t="s">
        <v>70</v>
      </c>
      <c r="B5" s="836"/>
      <c r="C5" s="148"/>
      <c r="D5" s="148"/>
      <c r="E5" s="156"/>
      <c r="F5" s="156"/>
      <c r="G5" s="687"/>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45" customFormat="1" ht="24.95" hidden="1" customHeight="1" x14ac:dyDescent="0.25">
      <c r="A6" s="340"/>
      <c r="B6" s="125" t="s">
        <v>331</v>
      </c>
      <c r="C6" s="341"/>
      <c r="D6" s="163"/>
      <c r="E6" s="539"/>
      <c r="F6" s="342"/>
      <c r="G6" s="688"/>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c r="SW6" s="344"/>
      <c r="SX6" s="344"/>
      <c r="SY6" s="344"/>
      <c r="SZ6" s="344"/>
      <c r="TA6" s="344"/>
      <c r="TB6" s="344"/>
      <c r="TC6" s="344"/>
      <c r="TD6" s="344"/>
      <c r="TE6" s="344"/>
      <c r="TF6" s="344"/>
      <c r="TG6" s="344"/>
      <c r="TH6" s="344"/>
      <c r="TI6" s="344"/>
      <c r="TJ6" s="344"/>
      <c r="TK6" s="344"/>
      <c r="TL6" s="344"/>
      <c r="TM6" s="344"/>
      <c r="TN6" s="344"/>
      <c r="TO6" s="344"/>
      <c r="TP6" s="344"/>
      <c r="TQ6" s="344"/>
      <c r="TR6" s="344"/>
      <c r="TS6" s="344"/>
      <c r="TT6" s="344"/>
      <c r="TU6" s="344"/>
      <c r="TV6" s="344"/>
      <c r="TW6" s="344"/>
      <c r="TX6" s="344"/>
      <c r="TY6" s="344"/>
      <c r="TZ6" s="344"/>
      <c r="UA6" s="344"/>
      <c r="UB6" s="344"/>
      <c r="UC6" s="344"/>
      <c r="UD6" s="344"/>
      <c r="UE6" s="344"/>
      <c r="UF6" s="344"/>
      <c r="UG6" s="344"/>
      <c r="UH6" s="344"/>
      <c r="UI6" s="344"/>
      <c r="UJ6" s="344"/>
      <c r="UK6" s="344"/>
      <c r="UL6" s="344"/>
      <c r="UM6" s="344"/>
      <c r="UN6" s="344"/>
      <c r="UO6" s="344"/>
      <c r="UP6" s="344"/>
      <c r="UQ6" s="344"/>
      <c r="UR6" s="344"/>
      <c r="US6" s="344"/>
      <c r="UT6" s="344"/>
      <c r="UU6" s="344"/>
      <c r="UV6" s="344"/>
      <c r="UW6" s="344"/>
      <c r="UX6" s="344"/>
      <c r="UY6" s="344"/>
      <c r="UZ6" s="344"/>
      <c r="VA6" s="344"/>
      <c r="VB6" s="344"/>
      <c r="VC6" s="344"/>
      <c r="VD6" s="344"/>
      <c r="VE6" s="344"/>
      <c r="VF6" s="344"/>
      <c r="VG6" s="344"/>
      <c r="VH6" s="344"/>
      <c r="VI6" s="344"/>
      <c r="VJ6" s="344"/>
      <c r="VK6" s="344"/>
      <c r="VL6" s="344"/>
      <c r="VM6" s="344"/>
      <c r="VN6" s="344"/>
      <c r="VO6" s="344"/>
      <c r="VP6" s="344"/>
      <c r="VQ6" s="344"/>
      <c r="VR6" s="344"/>
      <c r="VS6" s="344"/>
      <c r="VT6" s="344"/>
      <c r="VU6" s="344"/>
      <c r="VV6" s="344"/>
      <c r="VW6" s="344"/>
      <c r="VX6" s="344"/>
      <c r="VY6" s="344"/>
      <c r="VZ6" s="344"/>
      <c r="WA6" s="344"/>
      <c r="WB6" s="344"/>
      <c r="WC6" s="344"/>
      <c r="WD6" s="344"/>
      <c r="WE6" s="344"/>
      <c r="WF6" s="344"/>
      <c r="WG6" s="344"/>
      <c r="WH6" s="344"/>
      <c r="WI6" s="344"/>
      <c r="WJ6" s="344"/>
      <c r="WK6" s="344"/>
      <c r="WL6" s="344"/>
      <c r="WM6" s="344"/>
      <c r="WN6" s="344"/>
      <c r="WO6" s="344"/>
      <c r="WP6" s="344"/>
      <c r="WQ6" s="344"/>
      <c r="WR6" s="344"/>
      <c r="WS6" s="344"/>
      <c r="WT6" s="344"/>
      <c r="WU6" s="344"/>
      <c r="WV6" s="344"/>
      <c r="WW6" s="344"/>
      <c r="WX6" s="344"/>
      <c r="WY6" s="344"/>
      <c r="WZ6" s="344"/>
      <c r="XA6" s="344"/>
      <c r="XB6" s="344"/>
      <c r="XC6" s="344"/>
      <c r="XD6" s="344"/>
      <c r="XE6" s="344"/>
      <c r="XF6" s="344"/>
      <c r="XG6" s="344"/>
      <c r="XH6" s="344"/>
      <c r="XI6" s="344"/>
      <c r="XJ6" s="344"/>
      <c r="XK6" s="344"/>
      <c r="XL6" s="344"/>
      <c r="XM6" s="344"/>
      <c r="XN6" s="344"/>
      <c r="XO6" s="344"/>
      <c r="XP6" s="344"/>
      <c r="XQ6" s="344"/>
      <c r="XR6" s="344"/>
      <c r="XS6" s="344"/>
      <c r="XT6" s="344"/>
      <c r="XU6" s="344"/>
      <c r="XV6" s="344"/>
      <c r="XW6" s="344"/>
      <c r="XX6" s="344"/>
      <c r="XY6" s="344"/>
      <c r="XZ6" s="344"/>
      <c r="YA6" s="344"/>
      <c r="YB6" s="344"/>
      <c r="YC6" s="344"/>
      <c r="YD6" s="344"/>
      <c r="YE6" s="344"/>
      <c r="YF6" s="344"/>
      <c r="YG6" s="344"/>
      <c r="YH6" s="344"/>
      <c r="YI6" s="344"/>
      <c r="YJ6" s="344"/>
      <c r="YK6" s="344"/>
      <c r="YL6" s="344"/>
      <c r="YM6" s="344"/>
      <c r="YN6" s="344"/>
      <c r="YO6" s="344"/>
      <c r="YP6" s="344"/>
      <c r="YQ6" s="344"/>
      <c r="YR6" s="344"/>
      <c r="YS6" s="344"/>
      <c r="YT6" s="344"/>
      <c r="YU6" s="344"/>
      <c r="YV6" s="344"/>
      <c r="YW6" s="344"/>
      <c r="YX6" s="344"/>
      <c r="YY6" s="344"/>
      <c r="YZ6" s="344"/>
      <c r="ZA6" s="344"/>
      <c r="ZB6" s="344"/>
      <c r="ZC6" s="344"/>
      <c r="ZD6" s="344"/>
      <c r="ZE6" s="344"/>
      <c r="ZF6" s="344"/>
      <c r="ZG6" s="344"/>
      <c r="ZH6" s="344"/>
      <c r="ZI6" s="344"/>
      <c r="ZJ6" s="344"/>
      <c r="ZK6" s="344"/>
      <c r="ZL6" s="344"/>
      <c r="ZM6" s="344"/>
      <c r="ZN6" s="344"/>
      <c r="ZO6" s="344"/>
      <c r="ZP6" s="344"/>
      <c r="ZQ6" s="344"/>
      <c r="ZR6" s="344"/>
      <c r="ZS6" s="344"/>
      <c r="ZT6" s="344"/>
      <c r="ZU6" s="344"/>
      <c r="ZV6" s="344"/>
      <c r="ZW6" s="344"/>
      <c r="ZX6" s="344"/>
      <c r="ZY6" s="344"/>
      <c r="ZZ6" s="344"/>
      <c r="AAA6" s="344"/>
      <c r="AAB6" s="344"/>
      <c r="AAC6" s="344"/>
      <c r="AAD6" s="344"/>
      <c r="AAE6" s="344"/>
      <c r="AAF6" s="344"/>
      <c r="AAG6" s="344"/>
      <c r="AAH6" s="344"/>
      <c r="AAI6" s="344"/>
      <c r="AAJ6" s="344"/>
      <c r="AAK6" s="344"/>
      <c r="AAL6" s="344"/>
      <c r="AAM6" s="344"/>
      <c r="AAN6" s="344"/>
      <c r="AAO6" s="344"/>
      <c r="AAP6" s="344"/>
      <c r="AAQ6" s="344"/>
      <c r="AAR6" s="344"/>
      <c r="AAS6" s="344"/>
      <c r="AAT6" s="344"/>
      <c r="AAU6" s="344"/>
      <c r="AAV6" s="344"/>
      <c r="AAW6" s="344"/>
      <c r="AAX6" s="344"/>
      <c r="AAY6" s="344"/>
      <c r="AAZ6" s="344"/>
      <c r="ABA6" s="344"/>
      <c r="ABB6" s="344"/>
      <c r="ABC6" s="344"/>
      <c r="ABD6" s="344"/>
      <c r="ABE6" s="344"/>
      <c r="ABF6" s="344"/>
      <c r="ABG6" s="344"/>
      <c r="ABH6" s="344"/>
      <c r="ABI6" s="344"/>
      <c r="ABJ6" s="344"/>
      <c r="ABK6" s="344"/>
      <c r="ABL6" s="344"/>
      <c r="ABM6" s="344"/>
      <c r="ABN6" s="344"/>
      <c r="ABO6" s="344"/>
      <c r="ABP6" s="344"/>
      <c r="ABQ6" s="344"/>
      <c r="ABR6" s="344"/>
      <c r="ABS6" s="344"/>
      <c r="ABT6" s="344"/>
      <c r="ABU6" s="344"/>
      <c r="ABV6" s="344"/>
      <c r="ABW6" s="344"/>
      <c r="ABX6" s="344"/>
      <c r="ABY6" s="344"/>
      <c r="ABZ6" s="344"/>
      <c r="ACA6" s="344"/>
      <c r="ACB6" s="344"/>
      <c r="ACC6" s="344"/>
      <c r="ACD6" s="344"/>
      <c r="ACE6" s="344"/>
      <c r="ACF6" s="344"/>
      <c r="ACG6" s="344"/>
      <c r="ACH6" s="344"/>
      <c r="ACI6" s="344"/>
      <c r="ACJ6" s="344"/>
      <c r="ACK6" s="344"/>
      <c r="ACL6" s="344"/>
      <c r="ACM6" s="344"/>
      <c r="ACN6" s="344"/>
      <c r="ACO6" s="344"/>
      <c r="ACP6" s="344"/>
      <c r="ACQ6" s="344"/>
      <c r="ACR6" s="344"/>
      <c r="ACS6" s="344"/>
      <c r="ACT6" s="344"/>
      <c r="ACU6" s="344"/>
      <c r="ACV6" s="344"/>
      <c r="ACW6" s="344"/>
      <c r="ACX6" s="344"/>
      <c r="ACY6" s="344"/>
      <c r="ACZ6" s="344"/>
      <c r="ADA6" s="344"/>
      <c r="ADB6" s="344"/>
      <c r="ADC6" s="344"/>
      <c r="ADD6" s="344"/>
      <c r="ADE6" s="344"/>
      <c r="ADF6" s="344"/>
      <c r="ADG6" s="344"/>
      <c r="ADH6" s="344"/>
      <c r="ADI6" s="344"/>
      <c r="ADJ6" s="344"/>
      <c r="ADK6" s="344"/>
      <c r="ADL6" s="344"/>
      <c r="ADM6" s="344"/>
      <c r="ADN6" s="344"/>
      <c r="ADO6" s="344"/>
      <c r="ADP6" s="344"/>
      <c r="ADQ6" s="344"/>
      <c r="ADR6" s="344"/>
      <c r="ADS6" s="344"/>
      <c r="ADT6" s="344"/>
      <c r="ADU6" s="344"/>
      <c r="ADV6" s="344"/>
      <c r="ADW6" s="344"/>
      <c r="ADX6" s="344"/>
      <c r="ADY6" s="344"/>
      <c r="ADZ6" s="344"/>
      <c r="AEA6" s="344"/>
      <c r="AEB6" s="344"/>
      <c r="AEC6" s="344"/>
      <c r="AED6" s="344"/>
      <c r="AEE6" s="344"/>
      <c r="AEF6" s="344"/>
      <c r="AEG6" s="344"/>
      <c r="AEH6" s="344"/>
      <c r="AEI6" s="344"/>
      <c r="AEJ6" s="344"/>
      <c r="AEK6" s="344"/>
      <c r="AEL6" s="344"/>
      <c r="AEM6" s="344"/>
      <c r="AEN6" s="344"/>
      <c r="AEO6" s="344"/>
      <c r="AEP6" s="344"/>
      <c r="AEQ6" s="344"/>
      <c r="AER6" s="344"/>
      <c r="AES6" s="344"/>
      <c r="AET6" s="344"/>
      <c r="AEU6" s="344"/>
      <c r="AEV6" s="344"/>
      <c r="AEW6" s="344"/>
      <c r="AEX6" s="344"/>
      <c r="AEY6" s="344"/>
      <c r="AEZ6" s="344"/>
      <c r="AFA6" s="344"/>
      <c r="AFB6" s="344"/>
      <c r="AFC6" s="344"/>
      <c r="AFD6" s="344"/>
      <c r="AFE6" s="344"/>
      <c r="AFF6" s="344"/>
      <c r="AFG6" s="344"/>
      <c r="AFH6" s="344"/>
      <c r="AFI6" s="344"/>
      <c r="AFJ6" s="344"/>
      <c r="AFK6" s="344"/>
      <c r="AFL6" s="344"/>
      <c r="AFM6" s="344"/>
      <c r="AFN6" s="344"/>
      <c r="AFO6" s="344"/>
      <c r="AFP6" s="344"/>
      <c r="AFQ6" s="344"/>
      <c r="AFR6" s="344"/>
      <c r="AFS6" s="344"/>
      <c r="AFT6" s="344"/>
      <c r="AFU6" s="344"/>
      <c r="AFV6" s="344"/>
      <c r="AFW6" s="344"/>
      <c r="AFX6" s="344"/>
      <c r="AFY6" s="344"/>
      <c r="AFZ6" s="344"/>
      <c r="AGA6" s="344"/>
      <c r="AGB6" s="344"/>
      <c r="AGC6" s="344"/>
      <c r="AGD6" s="344"/>
      <c r="AGE6" s="344"/>
      <c r="AGF6" s="344"/>
      <c r="AGG6" s="344"/>
      <c r="AGH6" s="344"/>
      <c r="AGI6" s="344"/>
      <c r="AGJ6" s="344"/>
      <c r="AGK6" s="344"/>
      <c r="AGL6" s="344"/>
      <c r="AGM6" s="344"/>
      <c r="AGN6" s="344"/>
      <c r="AGO6" s="344"/>
      <c r="AGP6" s="344"/>
      <c r="AGQ6" s="344"/>
      <c r="AGR6" s="344"/>
      <c r="AGS6" s="344"/>
      <c r="AGT6" s="344"/>
      <c r="AGU6" s="344"/>
      <c r="AGV6" s="344"/>
      <c r="AGW6" s="344"/>
      <c r="AGX6" s="344"/>
      <c r="AGY6" s="344"/>
      <c r="AGZ6" s="344"/>
      <c r="AHA6" s="344"/>
      <c r="AHB6" s="344"/>
      <c r="AHC6" s="344"/>
      <c r="AHD6" s="344"/>
      <c r="AHE6" s="344"/>
      <c r="AHF6" s="344"/>
      <c r="AHG6" s="344"/>
      <c r="AHH6" s="344"/>
      <c r="AHI6" s="344"/>
      <c r="AHJ6" s="344"/>
      <c r="AHK6" s="344"/>
      <c r="AHL6" s="344"/>
      <c r="AHM6" s="344"/>
      <c r="AHN6" s="344"/>
      <c r="AHO6" s="344"/>
      <c r="AHP6" s="344"/>
      <c r="AHQ6" s="344"/>
      <c r="AHR6" s="344"/>
      <c r="AHS6" s="344"/>
      <c r="AHT6" s="344"/>
      <c r="AHU6" s="344"/>
      <c r="AHV6" s="344"/>
      <c r="AHW6" s="344"/>
      <c r="AHX6" s="344"/>
      <c r="AHY6" s="344"/>
      <c r="AHZ6" s="344"/>
      <c r="AIA6" s="344"/>
      <c r="AIB6" s="344"/>
      <c r="AIC6" s="344"/>
      <c r="AID6" s="344"/>
      <c r="AIE6" s="344"/>
      <c r="AIF6" s="344"/>
      <c r="AIG6" s="344"/>
      <c r="AIH6" s="344"/>
      <c r="AII6" s="344"/>
      <c r="AIJ6" s="344"/>
      <c r="AIK6" s="344"/>
      <c r="AIL6" s="344"/>
      <c r="AIM6" s="344"/>
      <c r="AIN6" s="344"/>
      <c r="AIO6" s="344"/>
      <c r="AIP6" s="344"/>
      <c r="AIQ6" s="344"/>
      <c r="AIR6" s="344"/>
      <c r="AIS6" s="344"/>
      <c r="AIT6" s="344"/>
      <c r="AIU6" s="344"/>
      <c r="AIV6" s="344"/>
      <c r="AIW6" s="344"/>
      <c r="AIX6" s="344"/>
      <c r="AIY6" s="344"/>
      <c r="AIZ6" s="344"/>
      <c r="AJA6" s="344"/>
      <c r="AJB6" s="344"/>
      <c r="AJC6" s="344"/>
      <c r="AJD6" s="344"/>
      <c r="AJE6" s="344"/>
      <c r="AJF6" s="344"/>
      <c r="AJG6" s="344"/>
      <c r="AJH6" s="344"/>
      <c r="AJI6" s="344"/>
      <c r="AJJ6" s="344"/>
      <c r="AJK6" s="344"/>
      <c r="AJL6" s="344"/>
      <c r="AJM6" s="344"/>
      <c r="AJN6" s="344"/>
      <c r="AJO6" s="344"/>
      <c r="AJP6" s="344"/>
      <c r="AJQ6" s="344"/>
      <c r="AJR6" s="344"/>
      <c r="AJS6" s="344"/>
      <c r="AJT6" s="344"/>
      <c r="AJU6" s="344"/>
      <c r="AJV6" s="344"/>
      <c r="AJW6" s="344"/>
      <c r="AJX6" s="344"/>
      <c r="AJY6" s="344"/>
      <c r="AJZ6" s="344"/>
      <c r="AKA6" s="344"/>
      <c r="AKB6" s="344"/>
      <c r="AKC6" s="344"/>
      <c r="AKD6" s="344"/>
      <c r="AKE6" s="344"/>
      <c r="AKF6" s="344"/>
      <c r="AKG6" s="344"/>
      <c r="AKH6" s="344"/>
      <c r="AKI6" s="344"/>
      <c r="AKJ6" s="344"/>
      <c r="AKK6" s="344"/>
      <c r="AKL6" s="344"/>
      <c r="AKM6" s="344"/>
      <c r="AKN6" s="344"/>
      <c r="AKO6" s="344"/>
      <c r="AKP6" s="344"/>
      <c r="AKQ6" s="344"/>
      <c r="AKR6" s="344"/>
      <c r="AKS6" s="344"/>
      <c r="AKT6" s="344"/>
      <c r="AKU6" s="344"/>
      <c r="AKV6" s="344"/>
      <c r="AKW6" s="344"/>
      <c r="AKX6" s="344"/>
      <c r="AKY6" s="344"/>
      <c r="AKZ6" s="344"/>
      <c r="ALA6" s="344"/>
      <c r="ALB6" s="344"/>
      <c r="ALC6" s="344"/>
      <c r="ALD6" s="344"/>
      <c r="ALE6" s="344"/>
      <c r="ALF6" s="344"/>
      <c r="ALG6" s="344"/>
      <c r="ALH6" s="344"/>
      <c r="ALI6" s="344"/>
      <c r="ALJ6" s="344"/>
      <c r="ALK6" s="344"/>
      <c r="ALL6" s="344"/>
      <c r="ALM6" s="344"/>
      <c r="ALN6" s="344"/>
      <c r="ALO6" s="344"/>
      <c r="ALP6" s="344"/>
      <c r="ALQ6" s="344"/>
      <c r="ALR6" s="344"/>
      <c r="ALS6" s="344"/>
      <c r="ALT6" s="344"/>
      <c r="ALU6" s="344"/>
      <c r="ALV6" s="344"/>
      <c r="ALW6" s="344"/>
      <c r="ALX6" s="344"/>
      <c r="ALY6" s="344"/>
      <c r="ALZ6" s="344"/>
      <c r="AMA6" s="344"/>
      <c r="AMB6" s="344"/>
      <c r="AMC6" s="344"/>
      <c r="AMD6" s="344"/>
      <c r="AME6" s="344"/>
      <c r="AMF6" s="344"/>
      <c r="AMG6" s="344"/>
      <c r="AMH6" s="344"/>
      <c r="AMI6" s="344"/>
      <c r="AMJ6" s="344"/>
      <c r="AMK6" s="344"/>
      <c r="AML6" s="344"/>
      <c r="AMM6" s="344"/>
      <c r="AMN6" s="344"/>
      <c r="AMO6" s="344"/>
      <c r="AMP6" s="344"/>
      <c r="AMQ6" s="344"/>
      <c r="AMR6" s="344"/>
      <c r="AMS6" s="344"/>
      <c r="AMT6" s="344"/>
      <c r="AMU6" s="344"/>
      <c r="AMV6" s="344"/>
      <c r="AMW6" s="344"/>
      <c r="AMX6" s="344"/>
      <c r="AMY6" s="344"/>
      <c r="AMZ6" s="344"/>
      <c r="ANA6" s="344"/>
      <c r="ANB6" s="344"/>
      <c r="ANC6" s="344"/>
      <c r="AND6" s="344"/>
      <c r="ANE6" s="344"/>
      <c r="ANF6" s="344"/>
      <c r="ANG6" s="344"/>
      <c r="ANH6" s="344"/>
      <c r="ANI6" s="344"/>
      <c r="ANJ6" s="344"/>
      <c r="ANK6" s="344"/>
      <c r="ANL6" s="344"/>
      <c r="ANM6" s="344"/>
      <c r="ANN6" s="344"/>
      <c r="ANO6" s="344"/>
      <c r="ANP6" s="344"/>
      <c r="ANQ6" s="344"/>
      <c r="ANR6" s="344"/>
      <c r="ANS6" s="344"/>
      <c r="ANT6" s="344"/>
      <c r="ANU6" s="344"/>
      <c r="ANV6" s="344"/>
      <c r="ANW6" s="344"/>
      <c r="ANX6" s="344"/>
      <c r="ANY6" s="344"/>
      <c r="ANZ6" s="344"/>
      <c r="AOA6" s="344"/>
      <c r="AOB6" s="344"/>
      <c r="AOC6" s="344"/>
      <c r="AOD6" s="344"/>
      <c r="AOE6" s="344"/>
      <c r="AOF6" s="344"/>
      <c r="AOG6" s="344"/>
      <c r="AOH6" s="344"/>
      <c r="AOI6" s="344"/>
      <c r="AOJ6" s="344"/>
      <c r="AOK6" s="344"/>
      <c r="AOL6" s="344"/>
      <c r="AOM6" s="344"/>
      <c r="AON6" s="344"/>
      <c r="AOO6" s="344"/>
      <c r="AOP6" s="344"/>
      <c r="AOQ6" s="344"/>
      <c r="AOR6" s="344"/>
      <c r="AOS6" s="344"/>
      <c r="AOT6" s="344"/>
      <c r="AOU6" s="344"/>
      <c r="AOV6" s="344"/>
      <c r="AOW6" s="344"/>
      <c r="AOX6" s="344"/>
      <c r="AOY6" s="344"/>
      <c r="AOZ6" s="344"/>
      <c r="APA6" s="344"/>
      <c r="APB6" s="344"/>
      <c r="APC6" s="344"/>
      <c r="APD6" s="344"/>
      <c r="APE6" s="344"/>
      <c r="APF6" s="344"/>
      <c r="APG6" s="344"/>
      <c r="APH6" s="344"/>
      <c r="API6" s="344"/>
      <c r="APJ6" s="344"/>
      <c r="APK6" s="344"/>
      <c r="APL6" s="344"/>
      <c r="APM6" s="344"/>
      <c r="APN6" s="344"/>
      <c r="APO6" s="344"/>
      <c r="APP6" s="344"/>
      <c r="APQ6" s="344"/>
      <c r="APR6" s="344"/>
      <c r="APS6" s="344"/>
      <c r="APT6" s="344"/>
      <c r="APU6" s="344"/>
      <c r="APV6" s="344"/>
      <c r="APW6" s="344"/>
      <c r="APX6" s="344"/>
      <c r="APY6" s="344"/>
      <c r="APZ6" s="344"/>
      <c r="AQA6" s="344"/>
      <c r="AQB6" s="344"/>
      <c r="AQC6" s="344"/>
      <c r="AQD6" s="344"/>
      <c r="AQE6" s="344"/>
      <c r="AQF6" s="344"/>
      <c r="AQG6" s="344"/>
      <c r="AQH6" s="344"/>
      <c r="AQI6" s="344"/>
      <c r="AQJ6" s="344"/>
      <c r="AQK6" s="344"/>
      <c r="AQL6" s="344"/>
      <c r="AQM6" s="344"/>
      <c r="AQN6" s="344"/>
      <c r="AQO6" s="344"/>
      <c r="AQP6" s="344"/>
      <c r="AQQ6" s="344"/>
      <c r="AQR6" s="344"/>
      <c r="AQS6" s="344"/>
      <c r="AQT6" s="344"/>
      <c r="AQU6" s="344"/>
      <c r="AQV6" s="344"/>
      <c r="AQW6" s="344"/>
      <c r="AQX6" s="344"/>
      <c r="AQY6" s="344"/>
      <c r="AQZ6" s="344"/>
      <c r="ARA6" s="344"/>
      <c r="ARB6" s="344"/>
      <c r="ARC6" s="344"/>
      <c r="ARD6" s="344"/>
      <c r="ARE6" s="344"/>
      <c r="ARF6" s="344"/>
      <c r="ARG6" s="344"/>
      <c r="ARH6" s="344"/>
      <c r="ARI6" s="344"/>
      <c r="ARJ6" s="344"/>
      <c r="ARK6" s="344"/>
      <c r="ARL6" s="344"/>
      <c r="ARM6" s="344"/>
      <c r="ARN6" s="344"/>
      <c r="ARO6" s="344"/>
      <c r="ARP6" s="344"/>
      <c r="ARQ6" s="344"/>
      <c r="ARR6" s="344"/>
      <c r="ARS6" s="344"/>
      <c r="ART6" s="344"/>
      <c r="ARU6" s="344"/>
      <c r="ARV6" s="344"/>
      <c r="ARW6" s="344"/>
      <c r="ARX6" s="344"/>
      <c r="ARY6" s="344"/>
      <c r="ARZ6" s="344"/>
      <c r="ASA6" s="344"/>
      <c r="ASB6" s="344"/>
      <c r="ASC6" s="344"/>
      <c r="ASD6" s="344"/>
      <c r="ASE6" s="344"/>
      <c r="ASF6" s="344"/>
      <c r="ASG6" s="344"/>
      <c r="ASH6" s="344"/>
      <c r="ASI6" s="344"/>
      <c r="ASJ6" s="344"/>
      <c r="ASK6" s="344"/>
      <c r="ASL6" s="344"/>
      <c r="ASM6" s="344"/>
      <c r="ASN6" s="344"/>
      <c r="ASO6" s="344"/>
      <c r="ASP6" s="344"/>
      <c r="ASQ6" s="344"/>
      <c r="ASR6" s="344"/>
      <c r="ASS6" s="344"/>
      <c r="AST6" s="344"/>
      <c r="ASU6" s="344"/>
      <c r="ASV6" s="344"/>
      <c r="ASW6" s="344"/>
      <c r="ASX6" s="344"/>
      <c r="ASY6" s="344"/>
      <c r="ASZ6" s="344"/>
      <c r="ATA6" s="344"/>
      <c r="ATB6" s="344"/>
      <c r="ATC6" s="344"/>
      <c r="ATD6" s="344"/>
      <c r="ATE6" s="344"/>
      <c r="ATF6" s="344"/>
      <c r="ATG6" s="344"/>
      <c r="ATH6" s="344"/>
      <c r="ATI6" s="344"/>
      <c r="ATJ6" s="344"/>
      <c r="ATK6" s="344"/>
      <c r="ATL6" s="344"/>
      <c r="ATM6" s="344"/>
      <c r="ATN6" s="344"/>
      <c r="ATO6" s="344"/>
      <c r="ATP6" s="344"/>
      <c r="ATQ6" s="344"/>
      <c r="ATR6" s="344"/>
      <c r="ATS6" s="344"/>
      <c r="ATT6" s="344"/>
      <c r="ATU6" s="344"/>
      <c r="ATV6" s="344"/>
      <c r="ATW6" s="344"/>
      <c r="ATX6" s="344"/>
      <c r="ATY6" s="344"/>
      <c r="ATZ6" s="344"/>
      <c r="AUA6" s="344"/>
      <c r="AUB6" s="344"/>
      <c r="AUC6" s="344"/>
      <c r="AUD6" s="344"/>
      <c r="AUE6" s="344"/>
      <c r="AUF6" s="344"/>
      <c r="AUG6" s="344"/>
      <c r="AUH6" s="344"/>
      <c r="AUI6" s="344"/>
      <c r="AUJ6" s="344"/>
      <c r="AUK6" s="344"/>
      <c r="AUL6" s="344"/>
      <c r="AUM6" s="344"/>
      <c r="AUN6" s="344"/>
      <c r="AUO6" s="344"/>
      <c r="AUP6" s="344"/>
      <c r="AUQ6" s="344"/>
      <c r="AUR6" s="344"/>
      <c r="AUS6" s="344"/>
      <c r="AUT6" s="344"/>
      <c r="AUU6" s="344"/>
      <c r="AUV6" s="344"/>
      <c r="AUW6" s="344"/>
      <c r="AUX6" s="344"/>
      <c r="AUY6" s="344"/>
      <c r="AUZ6" s="344"/>
      <c r="AVA6" s="344"/>
      <c r="AVB6" s="344"/>
      <c r="AVC6" s="344"/>
      <c r="AVD6" s="344"/>
      <c r="AVE6" s="344"/>
      <c r="AVF6" s="344"/>
      <c r="AVG6" s="344"/>
      <c r="AVH6" s="344"/>
      <c r="AVI6" s="344"/>
      <c r="AVJ6" s="344"/>
      <c r="AVK6" s="344"/>
      <c r="AVL6" s="344"/>
      <c r="AVM6" s="344"/>
      <c r="AVN6" s="344"/>
      <c r="AVO6" s="344"/>
      <c r="AVP6" s="344"/>
      <c r="AVQ6" s="344"/>
      <c r="AVR6" s="344"/>
      <c r="AVS6" s="344"/>
      <c r="AVT6" s="344"/>
      <c r="AVU6" s="344"/>
      <c r="AVV6" s="344"/>
      <c r="AVW6" s="344"/>
      <c r="AVX6" s="344"/>
      <c r="AVY6" s="344"/>
      <c r="AVZ6" s="344"/>
      <c r="AWA6" s="344"/>
      <c r="AWB6" s="344"/>
      <c r="AWC6" s="344"/>
      <c r="AWD6" s="344"/>
      <c r="AWE6" s="344"/>
      <c r="AWF6" s="344"/>
      <c r="AWG6" s="344"/>
      <c r="AWH6" s="344"/>
      <c r="AWI6" s="344"/>
      <c r="AWJ6" s="344"/>
      <c r="AWK6" s="344"/>
      <c r="AWL6" s="344"/>
      <c r="AWM6" s="344"/>
      <c r="AWN6" s="344"/>
      <c r="AWO6" s="344"/>
      <c r="AWP6" s="344"/>
      <c r="AWQ6" s="344"/>
      <c r="AWR6" s="344"/>
      <c r="AWS6" s="344"/>
      <c r="AWT6" s="344"/>
      <c r="AWU6" s="344"/>
      <c r="AWV6" s="344"/>
      <c r="AWW6" s="344"/>
      <c r="AWX6" s="344"/>
      <c r="AWY6" s="344"/>
      <c r="AWZ6" s="344"/>
      <c r="AXA6" s="344"/>
      <c r="AXB6" s="344"/>
      <c r="AXC6" s="344"/>
      <c r="AXD6" s="344"/>
      <c r="AXE6" s="344"/>
      <c r="AXF6" s="344"/>
      <c r="AXG6" s="344"/>
      <c r="AXH6" s="344"/>
      <c r="AXI6" s="344"/>
      <c r="AXJ6" s="344"/>
      <c r="AXK6" s="344"/>
      <c r="AXL6" s="344"/>
      <c r="AXM6" s="344"/>
      <c r="AXN6" s="344"/>
      <c r="AXO6" s="344"/>
      <c r="AXP6" s="344"/>
      <c r="AXQ6" s="344"/>
      <c r="AXR6" s="344"/>
      <c r="AXS6" s="344"/>
      <c r="AXT6" s="344"/>
      <c r="AXU6" s="344"/>
      <c r="AXV6" s="344"/>
      <c r="AXW6" s="344"/>
      <c r="AXX6" s="344"/>
      <c r="AXY6" s="344"/>
      <c r="AXZ6" s="344"/>
      <c r="AYA6" s="344"/>
      <c r="AYB6" s="344"/>
      <c r="AYC6" s="344"/>
      <c r="AYD6" s="344"/>
      <c r="AYE6" s="344"/>
      <c r="AYF6" s="344"/>
      <c r="AYG6" s="344"/>
      <c r="AYH6" s="344"/>
      <c r="AYI6" s="344"/>
      <c r="AYJ6" s="344"/>
      <c r="AYK6" s="344"/>
      <c r="AYL6" s="344"/>
      <c r="AYM6" s="344"/>
      <c r="AYN6" s="344"/>
      <c r="AYO6" s="344"/>
      <c r="AYP6" s="344"/>
      <c r="AYQ6" s="344"/>
      <c r="AYR6" s="344"/>
      <c r="AYS6" s="344"/>
      <c r="AYT6" s="344"/>
      <c r="AYU6" s="344"/>
      <c r="AYV6" s="344"/>
      <c r="AYW6" s="344"/>
      <c r="AYX6" s="344"/>
      <c r="AYY6" s="344"/>
      <c r="AYZ6" s="344"/>
      <c r="AZA6" s="344"/>
      <c r="AZB6" s="344"/>
      <c r="AZC6" s="344"/>
      <c r="AZD6" s="344"/>
      <c r="AZE6" s="344"/>
      <c r="AZF6" s="344"/>
      <c r="AZG6" s="344"/>
      <c r="AZH6" s="344"/>
      <c r="AZI6" s="344"/>
      <c r="AZJ6" s="344"/>
      <c r="AZK6" s="344"/>
      <c r="AZL6" s="344"/>
      <c r="AZM6" s="344"/>
      <c r="AZN6" s="344"/>
      <c r="AZO6" s="344"/>
      <c r="AZP6" s="344"/>
      <c r="AZQ6" s="344"/>
      <c r="AZR6" s="344"/>
      <c r="AZS6" s="344"/>
      <c r="AZT6" s="344"/>
      <c r="AZU6" s="344"/>
      <c r="AZV6" s="344"/>
      <c r="AZW6" s="344"/>
      <c r="AZX6" s="344"/>
      <c r="AZY6" s="344"/>
      <c r="AZZ6" s="344"/>
      <c r="BAA6" s="344"/>
      <c r="BAB6" s="344"/>
      <c r="BAC6" s="344"/>
      <c r="BAD6" s="344"/>
      <c r="BAE6" s="344"/>
      <c r="BAF6" s="344"/>
      <c r="BAG6" s="344"/>
      <c r="BAH6" s="344"/>
      <c r="BAI6" s="344"/>
      <c r="BAJ6" s="344"/>
      <c r="BAK6" s="344"/>
      <c r="BAL6" s="344"/>
      <c r="BAM6" s="344"/>
      <c r="BAN6" s="344"/>
      <c r="BAO6" s="344"/>
      <c r="BAP6" s="344"/>
      <c r="BAQ6" s="344"/>
      <c r="BAR6" s="344"/>
      <c r="BAS6" s="344"/>
      <c r="BAT6" s="344"/>
      <c r="BAU6" s="344"/>
      <c r="BAV6" s="344"/>
      <c r="BAW6" s="344"/>
      <c r="BAX6" s="344"/>
      <c r="BAY6" s="344"/>
      <c r="BAZ6" s="344"/>
      <c r="BBA6" s="344"/>
      <c r="BBB6" s="344"/>
      <c r="BBC6" s="344"/>
      <c r="BBD6" s="344"/>
      <c r="BBE6" s="344"/>
      <c r="BBF6" s="344"/>
      <c r="BBG6" s="344"/>
      <c r="BBH6" s="344"/>
      <c r="BBI6" s="344"/>
      <c r="BBJ6" s="344"/>
      <c r="BBK6" s="344"/>
      <c r="BBL6" s="344"/>
      <c r="BBM6" s="344"/>
      <c r="BBN6" s="344"/>
      <c r="BBO6" s="344"/>
      <c r="BBP6" s="344"/>
      <c r="BBQ6" s="344"/>
      <c r="BBR6" s="344"/>
      <c r="BBS6" s="344"/>
      <c r="BBT6" s="344"/>
      <c r="BBU6" s="344"/>
      <c r="BBV6" s="344"/>
      <c r="BBW6" s="344"/>
      <c r="BBX6" s="344"/>
      <c r="BBY6" s="344"/>
      <c r="BBZ6" s="344"/>
      <c r="BCA6" s="344"/>
      <c r="BCB6" s="344"/>
      <c r="BCC6" s="344"/>
      <c r="BCD6" s="344"/>
      <c r="BCE6" s="344"/>
      <c r="BCF6" s="344"/>
      <c r="BCG6" s="344"/>
      <c r="BCH6" s="344"/>
      <c r="BCI6" s="344"/>
      <c r="BCJ6" s="344"/>
      <c r="BCK6" s="344"/>
      <c r="BCL6" s="344"/>
      <c r="BCM6" s="344"/>
      <c r="BCN6" s="344"/>
      <c r="BCO6" s="344"/>
      <c r="BCP6" s="344"/>
      <c r="BCQ6" s="344"/>
      <c r="BCR6" s="344"/>
      <c r="BCS6" s="344"/>
      <c r="BCT6" s="344"/>
      <c r="BCU6" s="344"/>
      <c r="BCV6" s="344"/>
      <c r="BCW6" s="344"/>
      <c r="BCX6" s="344"/>
      <c r="BCY6" s="344"/>
      <c r="BCZ6" s="344"/>
      <c r="BDA6" s="344"/>
      <c r="BDB6" s="344"/>
      <c r="BDC6" s="344"/>
      <c r="BDD6" s="344"/>
      <c r="BDE6" s="344"/>
      <c r="BDF6" s="344"/>
      <c r="BDG6" s="344"/>
      <c r="BDH6" s="344"/>
      <c r="BDI6" s="344"/>
      <c r="BDJ6" s="344"/>
      <c r="BDK6" s="344"/>
      <c r="BDL6" s="344"/>
      <c r="BDM6" s="344"/>
      <c r="BDN6" s="344"/>
      <c r="BDO6" s="344"/>
      <c r="BDP6" s="344"/>
      <c r="BDQ6" s="344"/>
      <c r="BDR6" s="344"/>
      <c r="BDS6" s="344"/>
      <c r="BDT6" s="344"/>
      <c r="BDU6" s="344"/>
      <c r="BDV6" s="344"/>
      <c r="BDW6" s="344"/>
      <c r="BDX6" s="344"/>
      <c r="BDY6" s="344"/>
      <c r="BDZ6" s="344"/>
      <c r="BEA6" s="344"/>
      <c r="BEB6" s="344"/>
      <c r="BEC6" s="344"/>
      <c r="BED6" s="344"/>
      <c r="BEE6" s="344"/>
      <c r="BEF6" s="344"/>
      <c r="BEG6" s="344"/>
      <c r="BEH6" s="344"/>
      <c r="BEI6" s="344"/>
      <c r="BEJ6" s="344"/>
      <c r="BEK6" s="344"/>
      <c r="BEL6" s="344"/>
      <c r="BEM6" s="344"/>
      <c r="BEN6" s="344"/>
      <c r="BEO6" s="344"/>
      <c r="BEP6" s="344"/>
      <c r="BEQ6" s="344"/>
      <c r="BER6" s="344"/>
      <c r="BES6" s="344"/>
      <c r="BET6" s="344"/>
      <c r="BEU6" s="344"/>
      <c r="BEV6" s="344"/>
      <c r="BEW6" s="344"/>
      <c r="BEX6" s="344"/>
      <c r="BEY6" s="344"/>
      <c r="BEZ6" s="344"/>
      <c r="BFA6" s="344"/>
      <c r="BFB6" s="344"/>
      <c r="BFC6" s="344"/>
      <c r="BFD6" s="344"/>
      <c r="BFE6" s="344"/>
      <c r="BFF6" s="344"/>
      <c r="BFG6" s="344"/>
      <c r="BFH6" s="344"/>
      <c r="BFI6" s="344"/>
      <c r="BFJ6" s="344"/>
      <c r="BFK6" s="344"/>
      <c r="BFL6" s="344"/>
      <c r="BFM6" s="344"/>
      <c r="BFN6" s="344"/>
      <c r="BFO6" s="344"/>
      <c r="BFP6" s="344"/>
      <c r="BFQ6" s="344"/>
      <c r="BFR6" s="344"/>
      <c r="BFS6" s="344"/>
      <c r="BFT6" s="344"/>
      <c r="BFU6" s="344"/>
      <c r="BFV6" s="344"/>
      <c r="BFW6" s="344"/>
      <c r="BFX6" s="344"/>
      <c r="BFY6" s="344"/>
      <c r="BFZ6" s="344"/>
      <c r="BGA6" s="344"/>
      <c r="BGB6" s="344"/>
      <c r="BGC6" s="344"/>
      <c r="BGD6" s="344"/>
      <c r="BGE6" s="344"/>
      <c r="BGF6" s="344"/>
      <c r="BGG6" s="344"/>
      <c r="BGH6" s="344"/>
      <c r="BGI6" s="344"/>
      <c r="BGJ6" s="344"/>
      <c r="BGK6" s="344"/>
      <c r="BGL6" s="344"/>
      <c r="BGM6" s="344"/>
      <c r="BGN6" s="344"/>
      <c r="BGO6" s="344"/>
      <c r="BGP6" s="344"/>
      <c r="BGQ6" s="344"/>
      <c r="BGR6" s="344"/>
      <c r="BGS6" s="344"/>
      <c r="BGT6" s="344"/>
      <c r="BGU6" s="344"/>
      <c r="BGV6" s="344"/>
      <c r="BGW6" s="344"/>
      <c r="BGX6" s="344"/>
      <c r="BGY6" s="344"/>
      <c r="BGZ6" s="344"/>
      <c r="BHA6" s="344"/>
      <c r="BHB6" s="344"/>
      <c r="BHC6" s="344"/>
      <c r="BHD6" s="344"/>
      <c r="BHE6" s="344"/>
      <c r="BHF6" s="344"/>
      <c r="BHG6" s="344"/>
      <c r="BHH6" s="344"/>
      <c r="BHI6" s="344"/>
      <c r="BHJ6" s="344"/>
      <c r="BHK6" s="344"/>
      <c r="BHL6" s="344"/>
      <c r="BHM6" s="344"/>
      <c r="BHN6" s="344"/>
      <c r="BHO6" s="344"/>
      <c r="BHP6" s="344"/>
      <c r="BHQ6" s="344"/>
      <c r="BHR6" s="344"/>
      <c r="BHS6" s="344"/>
      <c r="BHT6" s="344"/>
      <c r="BHU6" s="344"/>
      <c r="BHV6" s="344"/>
      <c r="BHW6" s="344"/>
      <c r="BHX6" s="344"/>
      <c r="BHY6" s="344"/>
      <c r="BHZ6" s="344"/>
      <c r="BIA6" s="344"/>
      <c r="BIB6" s="344"/>
      <c r="BIC6" s="344"/>
      <c r="BID6" s="344"/>
      <c r="BIE6" s="344"/>
      <c r="BIF6" s="344"/>
      <c r="BIG6" s="344"/>
      <c r="BIH6" s="344"/>
      <c r="BII6" s="344"/>
      <c r="BIJ6" s="344"/>
      <c r="BIK6" s="344"/>
      <c r="BIL6" s="344"/>
      <c r="BIM6" s="344"/>
      <c r="BIN6" s="344"/>
      <c r="BIO6" s="344"/>
      <c r="BIP6" s="344"/>
      <c r="BIQ6" s="344"/>
      <c r="BIR6" s="344"/>
      <c r="BIS6" s="344"/>
      <c r="BIT6" s="344"/>
      <c r="BIU6" s="344"/>
      <c r="BIV6" s="344"/>
      <c r="BIW6" s="344"/>
      <c r="BIX6" s="344"/>
      <c r="BIY6" s="344"/>
      <c r="BIZ6" s="344"/>
      <c r="BJA6" s="344"/>
      <c r="BJB6" s="344"/>
      <c r="BJC6" s="344"/>
      <c r="BJD6" s="344"/>
      <c r="BJE6" s="344"/>
      <c r="BJF6" s="344"/>
      <c r="BJG6" s="344"/>
      <c r="BJH6" s="344"/>
      <c r="BJI6" s="344"/>
      <c r="BJJ6" s="344"/>
      <c r="BJK6" s="344"/>
      <c r="BJL6" s="344"/>
      <c r="BJM6" s="344"/>
      <c r="BJN6" s="344"/>
      <c r="BJO6" s="344"/>
      <c r="BJP6" s="344"/>
      <c r="BJQ6" s="344"/>
      <c r="BJR6" s="344"/>
      <c r="BJS6" s="344"/>
      <c r="BJT6" s="344"/>
      <c r="BJU6" s="344"/>
      <c r="BJV6" s="344"/>
      <c r="BJW6" s="344"/>
      <c r="BJX6" s="344"/>
      <c r="BJY6" s="344"/>
      <c r="BJZ6" s="344"/>
      <c r="BKA6" s="344"/>
      <c r="BKB6" s="344"/>
      <c r="BKC6" s="344"/>
      <c r="BKD6" s="344"/>
      <c r="BKE6" s="344"/>
      <c r="BKF6" s="344"/>
      <c r="BKG6" s="344"/>
      <c r="BKH6" s="344"/>
      <c r="BKI6" s="344"/>
      <c r="BKJ6" s="344"/>
      <c r="BKK6" s="344"/>
      <c r="BKL6" s="344"/>
      <c r="BKM6" s="344"/>
      <c r="BKN6" s="344"/>
      <c r="BKO6" s="344"/>
      <c r="BKP6" s="344"/>
      <c r="BKQ6" s="344"/>
      <c r="BKR6" s="344"/>
      <c r="BKS6" s="344"/>
      <c r="BKT6" s="344"/>
      <c r="BKU6" s="344"/>
      <c r="BKV6" s="344"/>
      <c r="BKW6" s="344"/>
      <c r="BKX6" s="344"/>
      <c r="BKY6" s="344"/>
      <c r="BKZ6" s="344"/>
      <c r="BLA6" s="344"/>
      <c r="BLB6" s="344"/>
      <c r="BLC6" s="344"/>
      <c r="BLD6" s="344"/>
      <c r="BLE6" s="344"/>
      <c r="BLF6" s="344"/>
      <c r="BLG6" s="344"/>
      <c r="BLH6" s="344"/>
      <c r="BLI6" s="344"/>
      <c r="BLJ6" s="344"/>
      <c r="BLK6" s="344"/>
      <c r="BLL6" s="344"/>
      <c r="BLM6" s="344"/>
      <c r="BLN6" s="344"/>
      <c r="BLO6" s="344"/>
      <c r="BLP6" s="344"/>
      <c r="BLQ6" s="344"/>
      <c r="BLR6" s="344"/>
      <c r="BLS6" s="344"/>
      <c r="BLT6" s="344"/>
      <c r="BLU6" s="344"/>
      <c r="BLV6" s="344"/>
      <c r="BLW6" s="344"/>
      <c r="BLX6" s="344"/>
      <c r="BLY6" s="344"/>
      <c r="BLZ6" s="344"/>
      <c r="BMA6" s="344"/>
      <c r="BMB6" s="344"/>
      <c r="BMC6" s="344"/>
      <c r="BMD6" s="344"/>
      <c r="BME6" s="344"/>
      <c r="BMF6" s="344"/>
      <c r="BMG6" s="344"/>
      <c r="BMH6" s="344"/>
      <c r="BMI6" s="344"/>
      <c r="BMJ6" s="344"/>
      <c r="BMK6" s="344"/>
      <c r="BML6" s="344"/>
      <c r="BMM6" s="344"/>
      <c r="BMN6" s="344"/>
      <c r="BMO6" s="344"/>
      <c r="BMP6" s="344"/>
      <c r="BMQ6" s="344"/>
      <c r="BMR6" s="344"/>
      <c r="BMS6" s="344"/>
      <c r="BMT6" s="344"/>
      <c r="BMU6" s="344"/>
      <c r="BMV6" s="344"/>
      <c r="BMW6" s="344"/>
      <c r="BMX6" s="344"/>
      <c r="BMY6" s="344"/>
      <c r="BMZ6" s="344"/>
      <c r="BNA6" s="344"/>
      <c r="BNB6" s="344"/>
      <c r="BNC6" s="344"/>
      <c r="BND6" s="344"/>
      <c r="BNE6" s="344"/>
      <c r="BNF6" s="344"/>
      <c r="BNG6" s="344"/>
      <c r="BNH6" s="344"/>
      <c r="BNI6" s="344"/>
      <c r="BNJ6" s="344"/>
      <c r="BNK6" s="344"/>
      <c r="BNL6" s="344"/>
      <c r="BNM6" s="344"/>
      <c r="BNN6" s="344"/>
      <c r="BNO6" s="344"/>
      <c r="BNP6" s="344"/>
      <c r="BNQ6" s="344"/>
      <c r="BNR6" s="344"/>
      <c r="BNS6" s="344"/>
      <c r="BNT6" s="344"/>
      <c r="BNU6" s="344"/>
      <c r="BNV6" s="344"/>
      <c r="BNW6" s="344"/>
      <c r="BNX6" s="344"/>
      <c r="BNY6" s="344"/>
      <c r="BNZ6" s="344"/>
      <c r="BOA6" s="344"/>
      <c r="BOB6" s="344"/>
      <c r="BOC6" s="344"/>
      <c r="BOD6" s="344"/>
      <c r="BOE6" s="344"/>
      <c r="BOF6" s="344"/>
      <c r="BOG6" s="344"/>
      <c r="BOH6" s="344"/>
      <c r="BOI6" s="344"/>
      <c r="BOJ6" s="344"/>
      <c r="BOK6" s="344"/>
      <c r="BOL6" s="344"/>
      <c r="BOM6" s="344"/>
      <c r="BON6" s="344"/>
      <c r="BOO6" s="344"/>
      <c r="BOP6" s="344"/>
      <c r="BOQ6" s="344"/>
      <c r="BOR6" s="344"/>
      <c r="BOS6" s="344"/>
      <c r="BOT6" s="344"/>
      <c r="BOU6" s="344"/>
      <c r="BOV6" s="344"/>
      <c r="BOW6" s="344"/>
      <c r="BOX6" s="344"/>
      <c r="BOY6" s="344"/>
      <c r="BOZ6" s="344"/>
      <c r="BPA6" s="344"/>
      <c r="BPB6" s="344"/>
      <c r="BPC6" s="344"/>
      <c r="BPD6" s="344"/>
      <c r="BPE6" s="344"/>
      <c r="BPF6" s="344"/>
      <c r="BPG6" s="344"/>
      <c r="BPH6" s="344"/>
      <c r="BPI6" s="344"/>
      <c r="BPJ6" s="344"/>
      <c r="BPK6" s="344"/>
      <c r="BPL6" s="344"/>
      <c r="BPM6" s="344"/>
      <c r="BPN6" s="344"/>
      <c r="BPO6" s="344"/>
      <c r="BPP6" s="344"/>
      <c r="BPQ6" s="344"/>
      <c r="BPR6" s="344"/>
      <c r="BPS6" s="344"/>
      <c r="BPT6" s="344"/>
      <c r="BPU6" s="344"/>
      <c r="BPV6" s="344"/>
      <c r="BPW6" s="344"/>
      <c r="BPX6" s="344"/>
      <c r="BPY6" s="344"/>
      <c r="BPZ6" s="344"/>
      <c r="BQA6" s="344"/>
      <c r="BQB6" s="344"/>
      <c r="BQC6" s="344"/>
      <c r="BQD6" s="344"/>
      <c r="BQE6" s="344"/>
      <c r="BQF6" s="344"/>
      <c r="BQG6" s="344"/>
      <c r="BQH6" s="344"/>
      <c r="BQI6" s="344"/>
      <c r="BQJ6" s="344"/>
      <c r="BQK6" s="344"/>
      <c r="BQL6" s="344"/>
      <c r="BQM6" s="344"/>
      <c r="BQN6" s="344"/>
      <c r="BQO6" s="344"/>
      <c r="BQP6" s="344"/>
      <c r="BQQ6" s="344"/>
      <c r="BQR6" s="344"/>
      <c r="BQS6" s="344"/>
      <c r="BQT6" s="344"/>
      <c r="BQU6" s="344"/>
      <c r="BQV6" s="344"/>
      <c r="BQW6" s="344"/>
      <c r="BQX6" s="344"/>
      <c r="BQY6" s="344"/>
      <c r="BQZ6" s="344"/>
      <c r="BRA6" s="344"/>
      <c r="BRB6" s="344"/>
      <c r="BRC6" s="344"/>
      <c r="BRD6" s="344"/>
      <c r="BRE6" s="344"/>
      <c r="BRF6" s="344"/>
      <c r="BRG6" s="344"/>
      <c r="BRH6" s="344"/>
      <c r="BRI6" s="344"/>
      <c r="BRJ6" s="344"/>
      <c r="BRK6" s="344"/>
      <c r="BRL6" s="344"/>
      <c r="BRM6" s="344"/>
      <c r="BRN6" s="344"/>
      <c r="BRO6" s="344"/>
      <c r="BRP6" s="344"/>
      <c r="BRQ6" s="344"/>
      <c r="BRR6" s="344"/>
      <c r="BRS6" s="344"/>
      <c r="BRT6" s="344"/>
      <c r="BRU6" s="344"/>
      <c r="BRV6" s="344"/>
      <c r="BRW6" s="344"/>
      <c r="BRX6" s="344"/>
      <c r="BRY6" s="344"/>
      <c r="BRZ6" s="344"/>
      <c r="BSA6" s="344"/>
      <c r="BSB6" s="344"/>
      <c r="BSC6" s="344"/>
      <c r="BSD6" s="344"/>
      <c r="BSE6" s="344"/>
      <c r="BSF6" s="344"/>
      <c r="BSG6" s="344"/>
      <c r="BSH6" s="344"/>
      <c r="BSI6" s="344"/>
      <c r="BSJ6" s="344"/>
      <c r="BSK6" s="344"/>
      <c r="BSL6" s="344"/>
      <c r="BSM6" s="344"/>
      <c r="BSN6" s="344"/>
      <c r="BSO6" s="344"/>
      <c r="BSP6" s="344"/>
      <c r="BSQ6" s="344"/>
      <c r="BSR6" s="344"/>
      <c r="BSS6" s="344"/>
      <c r="BST6" s="344"/>
      <c r="BSU6" s="344"/>
      <c r="BSV6" s="344"/>
      <c r="BSW6" s="344"/>
      <c r="BSX6" s="344"/>
      <c r="BSY6" s="344"/>
      <c r="BSZ6" s="344"/>
      <c r="BTA6" s="344"/>
      <c r="BTB6" s="344"/>
      <c r="BTC6" s="344"/>
      <c r="BTD6" s="344"/>
      <c r="BTE6" s="344"/>
      <c r="BTF6" s="344"/>
      <c r="BTG6" s="344"/>
      <c r="BTH6" s="344"/>
      <c r="BTI6" s="344"/>
      <c r="BTJ6" s="344"/>
      <c r="BTK6" s="344"/>
      <c r="BTL6" s="344"/>
      <c r="BTM6" s="344"/>
      <c r="BTN6" s="344"/>
      <c r="BTO6" s="344"/>
      <c r="BTP6" s="344"/>
      <c r="BTQ6" s="344"/>
      <c r="BTR6" s="344"/>
      <c r="BTS6" s="344"/>
      <c r="BTT6" s="344"/>
      <c r="BTU6" s="344"/>
      <c r="BTV6" s="344"/>
      <c r="BTW6" s="344"/>
      <c r="BTX6" s="344"/>
      <c r="BTY6" s="344"/>
      <c r="BTZ6" s="344"/>
      <c r="BUA6" s="344"/>
      <c r="BUB6" s="344"/>
      <c r="BUC6" s="344"/>
      <c r="BUD6" s="344"/>
      <c r="BUE6" s="344"/>
      <c r="BUF6" s="344"/>
      <c r="BUG6" s="344"/>
      <c r="BUH6" s="344"/>
      <c r="BUI6" s="344"/>
      <c r="BUJ6" s="344"/>
      <c r="BUK6" s="344"/>
      <c r="BUL6" s="344"/>
      <c r="BUM6" s="344"/>
      <c r="BUN6" s="344"/>
      <c r="BUO6" s="344"/>
      <c r="BUP6" s="344"/>
      <c r="BUQ6" s="344"/>
      <c r="BUR6" s="344"/>
      <c r="BUS6" s="344"/>
      <c r="BUT6" s="344"/>
      <c r="BUU6" s="344"/>
      <c r="BUV6" s="344"/>
      <c r="BUW6" s="344"/>
      <c r="BUX6" s="344"/>
      <c r="BUY6" s="344"/>
      <c r="BUZ6" s="344"/>
      <c r="BVA6" s="344"/>
      <c r="BVB6" s="344"/>
      <c r="BVC6" s="344"/>
      <c r="BVD6" s="344"/>
      <c r="BVE6" s="344"/>
      <c r="BVF6" s="344"/>
      <c r="BVG6" s="344"/>
      <c r="BVH6" s="344"/>
      <c r="BVI6" s="344"/>
      <c r="BVJ6" s="344"/>
      <c r="BVK6" s="344"/>
      <c r="BVL6" s="344"/>
      <c r="BVM6" s="344"/>
      <c r="BVN6" s="344"/>
      <c r="BVO6" s="344"/>
      <c r="BVP6" s="344"/>
      <c r="BVQ6" s="344"/>
      <c r="BVR6" s="344"/>
      <c r="BVS6" s="344"/>
      <c r="BVT6" s="344"/>
      <c r="BVU6" s="344"/>
      <c r="BVV6" s="344"/>
      <c r="BVW6" s="344"/>
      <c r="BVX6" s="344"/>
      <c r="BVY6" s="344"/>
      <c r="BVZ6" s="344"/>
      <c r="BWA6" s="344"/>
      <c r="BWB6" s="344"/>
      <c r="BWC6" s="344"/>
      <c r="BWD6" s="344"/>
      <c r="BWE6" s="344"/>
      <c r="BWF6" s="344"/>
      <c r="BWG6" s="344"/>
      <c r="BWH6" s="344"/>
      <c r="BWI6" s="344"/>
      <c r="BWJ6" s="344"/>
      <c r="BWK6" s="344"/>
      <c r="BWL6" s="344"/>
      <c r="BWM6" s="344"/>
      <c r="BWN6" s="344"/>
      <c r="BWO6" s="344"/>
      <c r="BWP6" s="344"/>
      <c r="BWQ6" s="344"/>
      <c r="BWR6" s="344"/>
      <c r="BWS6" s="344"/>
      <c r="BWT6" s="344"/>
      <c r="BWU6" s="344"/>
      <c r="BWV6" s="344"/>
      <c r="BWW6" s="344"/>
      <c r="BWX6" s="344"/>
      <c r="BWY6" s="344"/>
      <c r="BWZ6" s="344"/>
      <c r="BXA6" s="344"/>
      <c r="BXB6" s="344"/>
      <c r="BXC6" s="344"/>
      <c r="BXD6" s="344"/>
      <c r="BXE6" s="344"/>
      <c r="BXF6" s="344"/>
      <c r="BXG6" s="344"/>
      <c r="BXH6" s="344"/>
      <c r="BXI6" s="344"/>
      <c r="BXJ6" s="344"/>
      <c r="BXK6" s="344"/>
      <c r="BXL6" s="344"/>
      <c r="BXM6" s="344"/>
      <c r="BXN6" s="344"/>
      <c r="BXO6" s="344"/>
      <c r="BXP6" s="344"/>
      <c r="BXQ6" s="344"/>
      <c r="BXR6" s="344"/>
      <c r="BXS6" s="344"/>
      <c r="BXT6" s="344"/>
      <c r="BXU6" s="344"/>
      <c r="BXV6" s="344"/>
      <c r="BXW6" s="344"/>
      <c r="BXX6" s="344"/>
      <c r="BXY6" s="344"/>
      <c r="BXZ6" s="344"/>
      <c r="BYA6" s="344"/>
      <c r="BYB6" s="344"/>
      <c r="BYC6" s="344"/>
      <c r="BYD6" s="344"/>
      <c r="BYE6" s="344"/>
      <c r="BYF6" s="344"/>
      <c r="BYG6" s="344"/>
    </row>
    <row r="7" spans="1:2009" s="97" customFormat="1" ht="24.95" customHeight="1" x14ac:dyDescent="0.25">
      <c r="A7" s="130"/>
      <c r="B7" s="125" t="s">
        <v>374</v>
      </c>
      <c r="C7" s="163">
        <v>12164.27</v>
      </c>
      <c r="D7" s="163">
        <v>12967.46</v>
      </c>
      <c r="E7" s="163"/>
      <c r="F7" s="164"/>
      <c r="G7" s="688">
        <f>ROUND(SUM(C7:F7),5)</f>
        <v>25131.73</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161</v>
      </c>
      <c r="C8" s="196">
        <f>SUM(C7)</f>
        <v>12164.27</v>
      </c>
      <c r="D8" s="196">
        <f t="shared" ref="D8" si="0">SUM(D7)</f>
        <v>12967.46</v>
      </c>
      <c r="E8" s="196"/>
      <c r="F8" s="196"/>
      <c r="G8" s="689">
        <f>ROUND(SUM(G3:G7),5)</f>
        <v>25131.73</v>
      </c>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90"/>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6"/>
      <c r="D10" s="166"/>
      <c r="E10" s="167"/>
      <c r="F10" s="167"/>
      <c r="G10" s="691"/>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8"/>
      <c r="D11" s="168"/>
      <c r="E11" s="169"/>
      <c r="F11" s="169"/>
      <c r="G11" s="692">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customHeight="1" x14ac:dyDescent="0.25">
      <c r="A12" s="133"/>
      <c r="B12" s="103" t="s">
        <v>341</v>
      </c>
      <c r="C12" s="168"/>
      <c r="D12" s="168"/>
      <c r="E12" s="169">
        <f>32529.13+595</f>
        <v>33124.130000000005</v>
      </c>
      <c r="F12" s="169"/>
      <c r="G12" s="692">
        <f>ROUND(SUM(C12:F12),5)</f>
        <v>33124.129999999997</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439</v>
      </c>
      <c r="C13" s="168">
        <v>23451.1</v>
      </c>
      <c r="D13" s="168">
        <v>18801.099999999999</v>
      </c>
      <c r="E13" s="169"/>
      <c r="F13" s="169"/>
      <c r="G13" s="692">
        <f>ROUND(SUM(C13:F13),5)</f>
        <v>42252.2</v>
      </c>
      <c r="H13" s="94"/>
      <c r="I13" s="57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142</v>
      </c>
      <c r="C14" s="202">
        <f>ROUND(SUM(C10:C13),5)</f>
        <v>23451.1</v>
      </c>
      <c r="D14" s="202">
        <f>SUM(D11:D13)</f>
        <v>18801.099999999999</v>
      </c>
      <c r="E14" s="202">
        <f>E12+E13</f>
        <v>33124.130000000005</v>
      </c>
      <c r="F14" s="202"/>
      <c r="G14" s="693">
        <f>ROUND(SUM(G10:G13),5)</f>
        <v>75376.33</v>
      </c>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9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2"/>
      <c r="D16" s="172"/>
      <c r="E16" s="173"/>
      <c r="F16" s="173"/>
      <c r="G16" s="695"/>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210</v>
      </c>
      <c r="C17" s="174"/>
      <c r="D17" s="174"/>
      <c r="E17" s="175"/>
      <c r="F17" s="175"/>
      <c r="G17" s="696">
        <f t="shared" ref="G17:G20" si="1">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284</v>
      </c>
      <c r="C18" s="174"/>
      <c r="D18" s="174"/>
      <c r="E18" s="175"/>
      <c r="F18" s="175"/>
      <c r="G18" s="696">
        <f t="shared" si="1"/>
        <v>0</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332</v>
      </c>
      <c r="C19" s="174"/>
      <c r="D19" s="174"/>
      <c r="E19" s="175"/>
      <c r="F19" s="175"/>
      <c r="G19" s="696"/>
      <c r="H19" s="94"/>
      <c r="I19" s="622"/>
      <c r="J19" s="94"/>
      <c r="K19" s="622"/>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285</v>
      </c>
      <c r="C20" s="174"/>
      <c r="D20" s="174"/>
      <c r="E20" s="175"/>
      <c r="F20" s="175"/>
      <c r="G20" s="696">
        <f t="shared" si="1"/>
        <v>0</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333</v>
      </c>
      <c r="C21" s="174"/>
      <c r="D21" s="174"/>
      <c r="E21" s="175"/>
      <c r="F21" s="175"/>
      <c r="G21" s="696"/>
      <c r="H21" s="94"/>
      <c r="I21" s="622"/>
      <c r="J21" s="94"/>
      <c r="K21" s="622"/>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342</v>
      </c>
      <c r="C22" s="174"/>
      <c r="D22" s="174"/>
      <c r="E22" s="175"/>
      <c r="F22" s="175"/>
      <c r="G22" s="696"/>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73</v>
      </c>
      <c r="C23" s="206"/>
      <c r="D23" s="206"/>
      <c r="E23" s="206"/>
      <c r="F23" s="206"/>
      <c r="G23" s="697"/>
      <c r="H23" s="207"/>
      <c r="I23" s="207"/>
      <c r="J23" s="207"/>
      <c r="K23" s="434"/>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98"/>
      <c r="H24" s="99"/>
      <c r="I24" s="99"/>
      <c r="J24" s="99"/>
      <c r="K24" s="435"/>
      <c r="L24" s="434">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98</v>
      </c>
      <c r="B25" s="139"/>
      <c r="C25" s="177"/>
      <c r="D25" s="177"/>
      <c r="E25" s="178"/>
      <c r="F25" s="178"/>
      <c r="G25" s="699"/>
      <c r="H25" s="94"/>
      <c r="I25" s="94"/>
      <c r="J25" s="94"/>
      <c r="K25" s="435"/>
      <c r="L25" s="435" t="s">
        <v>206</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160</v>
      </c>
      <c r="C26" s="179"/>
      <c r="D26" s="179"/>
      <c r="E26" s="180"/>
      <c r="F26" s="180"/>
      <c r="G26" s="700"/>
      <c r="H26" s="94"/>
      <c r="I26" s="94"/>
      <c r="J26" s="94"/>
      <c r="K26" s="436"/>
      <c r="L26"/>
      <c r="M26" s="437">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143</v>
      </c>
      <c r="C27" s="212"/>
      <c r="D27" s="213"/>
      <c r="E27" s="213"/>
      <c r="F27" s="213">
        <f>SUM(F25:F26)</f>
        <v>0</v>
      </c>
      <c r="G27" s="701">
        <f>ROUND(SUM(C27:F27),5)</f>
        <v>0</v>
      </c>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9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158</v>
      </c>
      <c r="B29" s="142"/>
      <c r="C29" s="181"/>
      <c r="D29" s="181"/>
      <c r="E29" s="182"/>
      <c r="F29" s="182"/>
      <c r="G29" s="702"/>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371"/>
      <c r="B30" s="114" t="s">
        <v>440</v>
      </c>
      <c r="C30" s="183"/>
      <c r="D30" s="183">
        <v>25756.36</v>
      </c>
      <c r="E30" s="184"/>
      <c r="F30" s="184"/>
      <c r="G30" s="703">
        <f>SUM(C30:F30)</f>
        <v>25756.36</v>
      </c>
      <c r="H30" s="94"/>
      <c r="I30" s="659"/>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469</v>
      </c>
      <c r="C31" s="183">
        <v>25829.82</v>
      </c>
      <c r="D31" s="183"/>
      <c r="E31" s="184"/>
      <c r="F31" s="184"/>
      <c r="G31" s="703">
        <f>SUM(C31:F31)</f>
        <v>25829.82</v>
      </c>
      <c r="H31" s="94"/>
      <c r="I31" s="747"/>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20" customFormat="1" ht="24.95" customHeight="1" thickBot="1" x14ac:dyDescent="0.3">
      <c r="A32" s="215"/>
      <c r="B32" s="216" t="s">
        <v>159</v>
      </c>
      <c r="C32" s="217">
        <f>SUM(C30:C31)</f>
        <v>25829.82</v>
      </c>
      <c r="D32" s="217">
        <f>D30+D31</f>
        <v>25756.36</v>
      </c>
      <c r="E32" s="217"/>
      <c r="F32" s="218"/>
      <c r="G32" s="704">
        <f>SUM(G30:G31)</f>
        <v>51586.18</v>
      </c>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9"/>
      <c r="BK32" s="219"/>
      <c r="BL32" s="219"/>
      <c r="BM32" s="219"/>
      <c r="BN32" s="219"/>
      <c r="BO32" s="219"/>
      <c r="BP32" s="219"/>
      <c r="BQ32" s="219"/>
      <c r="BR32" s="219"/>
      <c r="BS32" s="219"/>
      <c r="BT32" s="219"/>
      <c r="BU32" s="219"/>
      <c r="BV32" s="219"/>
      <c r="BW32" s="219"/>
      <c r="BX32" s="219"/>
      <c r="BY32" s="219"/>
      <c r="BZ32" s="219"/>
      <c r="CA32" s="219"/>
      <c r="CB32" s="219"/>
      <c r="CC32" s="219"/>
      <c r="CD32" s="219"/>
      <c r="CE32" s="219"/>
      <c r="CF32" s="219"/>
      <c r="CG32" s="219"/>
      <c r="CH32" s="219"/>
      <c r="CI32" s="219"/>
      <c r="CJ32" s="219"/>
      <c r="CK32" s="219"/>
      <c r="CL32" s="219"/>
      <c r="CM32" s="219"/>
      <c r="CN32" s="219"/>
      <c r="CO32" s="219"/>
      <c r="CP32" s="219"/>
      <c r="CQ32" s="219"/>
      <c r="CR32" s="219"/>
      <c r="CS32" s="219"/>
      <c r="CT32" s="219"/>
      <c r="CU32" s="219"/>
      <c r="CV32" s="219"/>
      <c r="CW32" s="219"/>
      <c r="CX32" s="219"/>
      <c r="CY32" s="219"/>
      <c r="CZ32" s="219"/>
      <c r="DA32" s="219"/>
      <c r="DB32" s="219"/>
      <c r="DC32" s="219"/>
      <c r="DD32" s="219"/>
      <c r="DE32" s="219"/>
      <c r="DF32" s="219"/>
      <c r="DG32" s="219"/>
      <c r="DH32" s="219"/>
      <c r="DI32" s="219"/>
      <c r="DJ32" s="219"/>
      <c r="DK32" s="219"/>
      <c r="DL32" s="219"/>
      <c r="DM32" s="219"/>
      <c r="DN32" s="219"/>
      <c r="DO32" s="219"/>
      <c r="DP32" s="219"/>
      <c r="DQ32" s="219"/>
      <c r="DR32" s="219"/>
      <c r="DS32" s="219"/>
      <c r="DT32" s="219"/>
      <c r="DU32" s="219"/>
      <c r="DV32" s="219"/>
      <c r="DW32" s="219"/>
      <c r="DX32" s="219"/>
      <c r="DY32" s="219"/>
      <c r="DZ32" s="219"/>
      <c r="EA32" s="219"/>
      <c r="EB32" s="219"/>
      <c r="EC32" s="219"/>
      <c r="ED32" s="219"/>
      <c r="EE32" s="219"/>
      <c r="EF32" s="219"/>
      <c r="EG32" s="219"/>
      <c r="EH32" s="219"/>
      <c r="EI32" s="219"/>
      <c r="EJ32" s="219"/>
      <c r="EK32" s="219"/>
      <c r="EL32" s="219"/>
      <c r="EM32" s="219"/>
      <c r="EN32" s="219"/>
      <c r="EO32" s="219"/>
      <c r="EP32" s="219"/>
      <c r="EQ32" s="219"/>
      <c r="ER32" s="219"/>
      <c r="ES32" s="219"/>
      <c r="ET32" s="219"/>
      <c r="EU32" s="219"/>
      <c r="EV32" s="219"/>
      <c r="EW32" s="219"/>
      <c r="EX32" s="219"/>
      <c r="EY32" s="219"/>
      <c r="EZ32" s="219"/>
      <c r="FA32" s="219"/>
      <c r="FB32" s="219"/>
      <c r="FC32" s="219"/>
      <c r="FD32" s="219"/>
      <c r="FE32" s="219"/>
      <c r="FF32" s="219"/>
      <c r="FG32" s="219"/>
      <c r="FH32" s="219"/>
      <c r="FI32" s="219"/>
      <c r="FJ32" s="219"/>
      <c r="FK32" s="219"/>
      <c r="FL32" s="219"/>
      <c r="FM32" s="219"/>
      <c r="FN32" s="219"/>
      <c r="FO32" s="219"/>
      <c r="FP32" s="219"/>
      <c r="FQ32" s="219"/>
      <c r="FR32" s="219"/>
      <c r="FS32" s="219"/>
      <c r="FT32" s="219"/>
      <c r="FU32" s="219"/>
      <c r="FV32" s="219"/>
      <c r="FW32" s="219"/>
      <c r="FX32" s="219"/>
      <c r="FY32" s="219"/>
      <c r="FZ32" s="219"/>
      <c r="GA32" s="219"/>
      <c r="GB32" s="219"/>
      <c r="GC32" s="219"/>
      <c r="GD32" s="219"/>
      <c r="GE32" s="219"/>
      <c r="GF32" s="219"/>
      <c r="GG32" s="219"/>
      <c r="GH32" s="219"/>
      <c r="GI32" s="219"/>
      <c r="GJ32" s="219"/>
      <c r="GK32" s="219"/>
      <c r="GL32" s="219"/>
      <c r="GM32" s="219"/>
      <c r="GN32" s="219"/>
      <c r="GO32" s="219"/>
      <c r="GP32" s="219"/>
      <c r="GQ32" s="219"/>
      <c r="GR32" s="219"/>
      <c r="GS32" s="219"/>
      <c r="GT32" s="219"/>
      <c r="GU32" s="219"/>
      <c r="GV32" s="219"/>
      <c r="GW32" s="219"/>
      <c r="GX32" s="219"/>
      <c r="GY32" s="219"/>
      <c r="GZ32" s="219"/>
      <c r="HA32" s="219"/>
      <c r="HB32" s="219"/>
      <c r="HC32" s="219"/>
      <c r="HD32" s="219"/>
      <c r="HE32" s="219"/>
      <c r="HF32" s="219"/>
      <c r="HG32" s="219"/>
      <c r="HH32" s="219"/>
      <c r="HI32" s="219"/>
      <c r="HJ32" s="219"/>
      <c r="HK32" s="219"/>
      <c r="HL32" s="219"/>
      <c r="HM32" s="219"/>
      <c r="HN32" s="219"/>
      <c r="HO32" s="219"/>
      <c r="HP32" s="219"/>
      <c r="HQ32" s="219"/>
      <c r="HR32" s="219"/>
      <c r="HS32" s="219"/>
      <c r="HT32" s="219"/>
      <c r="HU32" s="219"/>
      <c r="HV32" s="219"/>
      <c r="HW32" s="219"/>
      <c r="HX32" s="219"/>
      <c r="HY32" s="219"/>
      <c r="HZ32" s="219"/>
      <c r="IA32" s="219"/>
      <c r="IB32" s="219"/>
      <c r="IC32" s="219"/>
      <c r="ID32" s="219"/>
      <c r="IE32" s="219"/>
      <c r="IF32" s="219"/>
      <c r="IG32" s="219"/>
      <c r="IH32" s="219"/>
      <c r="II32" s="219"/>
      <c r="IJ32" s="219"/>
      <c r="IK32" s="219"/>
      <c r="IL32" s="219"/>
      <c r="IM32" s="219"/>
      <c r="IN32" s="219"/>
      <c r="IO32" s="219"/>
      <c r="IP32" s="219"/>
      <c r="IQ32" s="219"/>
      <c r="IR32" s="219"/>
      <c r="IS32" s="219"/>
      <c r="IT32" s="219"/>
      <c r="IU32" s="219"/>
      <c r="IV32" s="219"/>
      <c r="IW32" s="219"/>
      <c r="IX32" s="219"/>
      <c r="IY32" s="219"/>
      <c r="IZ32" s="219"/>
      <c r="JA32" s="219"/>
      <c r="JB32" s="219"/>
      <c r="JC32" s="219"/>
      <c r="JD32" s="219"/>
      <c r="JE32" s="219"/>
      <c r="JF32" s="219"/>
      <c r="JG32" s="219"/>
      <c r="JH32" s="219"/>
      <c r="JI32" s="219"/>
      <c r="JJ32" s="219"/>
      <c r="JK32" s="219"/>
      <c r="JL32" s="219"/>
      <c r="JM32" s="219"/>
      <c r="JN32" s="219"/>
      <c r="JO32" s="219"/>
      <c r="JP32" s="219"/>
      <c r="JQ32" s="219"/>
      <c r="JR32" s="219"/>
      <c r="JS32" s="219"/>
      <c r="JT32" s="219"/>
      <c r="JU32" s="219"/>
      <c r="JV32" s="219"/>
      <c r="JW32" s="219"/>
      <c r="JX32" s="219"/>
      <c r="JY32" s="219"/>
      <c r="JZ32" s="219"/>
      <c r="KA32" s="219"/>
      <c r="KB32" s="219"/>
      <c r="KC32" s="219"/>
      <c r="KD32" s="219"/>
      <c r="KE32" s="219"/>
      <c r="KF32" s="219"/>
      <c r="KG32" s="219"/>
      <c r="KH32" s="219"/>
      <c r="KI32" s="219"/>
      <c r="KJ32" s="219"/>
      <c r="KK32" s="219"/>
      <c r="KL32" s="219"/>
      <c r="KM32" s="219"/>
      <c r="KN32" s="219"/>
      <c r="KO32" s="219"/>
      <c r="KP32" s="219"/>
      <c r="KQ32" s="219"/>
      <c r="KR32" s="219"/>
      <c r="KS32" s="219"/>
      <c r="KT32" s="219"/>
      <c r="KU32" s="219"/>
      <c r="KV32" s="219"/>
      <c r="KW32" s="219"/>
      <c r="KX32" s="219"/>
      <c r="KY32" s="219"/>
      <c r="KZ32" s="219"/>
      <c r="LA32" s="219"/>
      <c r="LB32" s="219"/>
      <c r="LC32" s="219"/>
      <c r="LD32" s="219"/>
      <c r="LE32" s="219"/>
      <c r="LF32" s="219"/>
      <c r="LG32" s="219"/>
      <c r="LH32" s="219"/>
      <c r="LI32" s="219"/>
      <c r="LJ32" s="219"/>
      <c r="LK32" s="219"/>
      <c r="LL32" s="219"/>
      <c r="LM32" s="219"/>
      <c r="LN32" s="219"/>
      <c r="LO32" s="219"/>
      <c r="LP32" s="219"/>
      <c r="LQ32" s="219"/>
      <c r="LR32" s="219"/>
      <c r="LS32" s="219"/>
      <c r="LT32" s="219"/>
      <c r="LU32" s="219"/>
      <c r="LV32" s="219"/>
      <c r="LW32" s="219"/>
      <c r="LX32" s="219"/>
      <c r="LY32" s="219"/>
      <c r="LZ32" s="219"/>
      <c r="MA32" s="219"/>
      <c r="MB32" s="219"/>
      <c r="MC32" s="219"/>
      <c r="MD32" s="219"/>
      <c r="ME32" s="219"/>
      <c r="MF32" s="219"/>
      <c r="MG32" s="219"/>
      <c r="MH32" s="219"/>
      <c r="MI32" s="219"/>
      <c r="MJ32" s="219"/>
      <c r="MK32" s="219"/>
      <c r="ML32" s="219"/>
      <c r="MM32" s="219"/>
      <c r="MN32" s="219"/>
      <c r="MO32" s="219"/>
      <c r="MP32" s="219"/>
      <c r="MQ32" s="219"/>
      <c r="MR32" s="219"/>
      <c r="MS32" s="219"/>
      <c r="MT32" s="219"/>
      <c r="MU32" s="219"/>
      <c r="MV32" s="219"/>
      <c r="MW32" s="219"/>
      <c r="MX32" s="219"/>
      <c r="MY32" s="219"/>
      <c r="MZ32" s="219"/>
      <c r="NA32" s="219"/>
      <c r="NB32" s="219"/>
      <c r="NC32" s="219"/>
      <c r="ND32" s="219"/>
      <c r="NE32" s="219"/>
      <c r="NF32" s="219"/>
      <c r="NG32" s="219"/>
      <c r="NH32" s="219"/>
      <c r="NI32" s="219"/>
      <c r="NJ32" s="219"/>
      <c r="NK32" s="219"/>
      <c r="NL32" s="219"/>
      <c r="NM32" s="219"/>
      <c r="NN32" s="219"/>
      <c r="NO32" s="219"/>
      <c r="NP32" s="219"/>
      <c r="NQ32" s="219"/>
      <c r="NR32" s="219"/>
      <c r="NS32" s="219"/>
      <c r="NT32" s="219"/>
      <c r="NU32" s="219"/>
      <c r="NV32" s="219"/>
      <c r="NW32" s="219"/>
      <c r="NX32" s="219"/>
      <c r="NY32" s="219"/>
      <c r="NZ32" s="219"/>
      <c r="OA32" s="219"/>
      <c r="OB32" s="219"/>
      <c r="OC32" s="219"/>
      <c r="OD32" s="219"/>
      <c r="OE32" s="219"/>
      <c r="OF32" s="219"/>
      <c r="OG32" s="219"/>
      <c r="OH32" s="219"/>
      <c r="OI32" s="219"/>
      <c r="OJ32" s="219"/>
      <c r="OK32" s="219"/>
      <c r="OL32" s="219"/>
      <c r="OM32" s="219"/>
      <c r="ON32" s="219"/>
      <c r="OO32" s="219"/>
      <c r="OP32" s="219"/>
      <c r="OQ32" s="219"/>
      <c r="OR32" s="219"/>
      <c r="OS32" s="219"/>
      <c r="OT32" s="219"/>
      <c r="OU32" s="219"/>
      <c r="OV32" s="219"/>
      <c r="OW32" s="219"/>
      <c r="OX32" s="219"/>
      <c r="OY32" s="219"/>
      <c r="OZ32" s="219"/>
      <c r="PA32" s="219"/>
      <c r="PB32" s="219"/>
      <c r="PC32" s="219"/>
      <c r="PD32" s="219"/>
      <c r="PE32" s="219"/>
      <c r="PF32" s="219"/>
      <c r="PG32" s="219"/>
      <c r="PH32" s="219"/>
      <c r="PI32" s="219"/>
      <c r="PJ32" s="219"/>
      <c r="PK32" s="219"/>
      <c r="PL32" s="219"/>
      <c r="PM32" s="219"/>
      <c r="PN32" s="219"/>
      <c r="PO32" s="219"/>
      <c r="PP32" s="219"/>
      <c r="PQ32" s="219"/>
      <c r="PR32" s="219"/>
      <c r="PS32" s="219"/>
      <c r="PT32" s="219"/>
      <c r="PU32" s="219"/>
      <c r="PV32" s="219"/>
      <c r="PW32" s="219"/>
      <c r="PX32" s="219"/>
      <c r="PY32" s="219"/>
      <c r="PZ32" s="219"/>
      <c r="QA32" s="219"/>
      <c r="QB32" s="219"/>
      <c r="QC32" s="219"/>
      <c r="QD32" s="219"/>
      <c r="QE32" s="219"/>
      <c r="QF32" s="219"/>
      <c r="QG32" s="219"/>
      <c r="QH32" s="219"/>
      <c r="QI32" s="219"/>
      <c r="QJ32" s="219"/>
      <c r="QK32" s="219"/>
      <c r="QL32" s="219"/>
      <c r="QM32" s="219"/>
      <c r="QN32" s="219"/>
      <c r="QO32" s="219"/>
      <c r="QP32" s="219"/>
      <c r="QQ32" s="219"/>
      <c r="QR32" s="219"/>
      <c r="QS32" s="219"/>
      <c r="QT32" s="219"/>
      <c r="QU32" s="219"/>
      <c r="QV32" s="219"/>
      <c r="QW32" s="219"/>
      <c r="QX32" s="219"/>
      <c r="QY32" s="219"/>
      <c r="QZ32" s="219"/>
      <c r="RA32" s="219"/>
      <c r="RB32" s="219"/>
      <c r="RC32" s="219"/>
      <c r="RD32" s="219"/>
      <c r="RE32" s="219"/>
      <c r="RF32" s="219"/>
      <c r="RG32" s="219"/>
      <c r="RH32" s="219"/>
      <c r="RI32" s="219"/>
      <c r="RJ32" s="219"/>
      <c r="RK32" s="219"/>
      <c r="RL32" s="219"/>
      <c r="RM32" s="219"/>
      <c r="RN32" s="219"/>
      <c r="RO32" s="219"/>
      <c r="RP32" s="219"/>
      <c r="RQ32" s="219"/>
      <c r="RR32" s="219"/>
      <c r="RS32" s="219"/>
      <c r="RT32" s="219"/>
      <c r="RU32" s="219"/>
      <c r="RV32" s="219"/>
      <c r="RW32" s="219"/>
      <c r="RX32" s="219"/>
      <c r="RY32" s="219"/>
      <c r="RZ32" s="219"/>
      <c r="SA32" s="219"/>
      <c r="SB32" s="219"/>
      <c r="SC32" s="219"/>
      <c r="SD32" s="219"/>
      <c r="SE32" s="219"/>
      <c r="SF32" s="219"/>
      <c r="SG32" s="219"/>
      <c r="SH32" s="219"/>
      <c r="SI32" s="219"/>
      <c r="SJ32" s="219"/>
      <c r="SK32" s="219"/>
      <c r="SL32" s="219"/>
      <c r="SM32" s="219"/>
      <c r="SN32" s="219"/>
      <c r="SO32" s="219"/>
      <c r="SP32" s="219"/>
      <c r="SQ32" s="219"/>
      <c r="SR32" s="219"/>
      <c r="SS32" s="219"/>
      <c r="ST32" s="219"/>
      <c r="SU32" s="219"/>
      <c r="SV32" s="219"/>
      <c r="SW32" s="219"/>
      <c r="SX32" s="219"/>
      <c r="SY32" s="219"/>
      <c r="SZ32" s="219"/>
      <c r="TA32" s="219"/>
      <c r="TB32" s="219"/>
      <c r="TC32" s="219"/>
      <c r="TD32" s="219"/>
      <c r="TE32" s="219"/>
      <c r="TF32" s="219"/>
      <c r="TG32" s="219"/>
      <c r="TH32" s="219"/>
      <c r="TI32" s="219"/>
      <c r="TJ32" s="219"/>
      <c r="TK32" s="219"/>
      <c r="TL32" s="219"/>
      <c r="TM32" s="219"/>
      <c r="TN32" s="219"/>
      <c r="TO32" s="219"/>
      <c r="TP32" s="219"/>
      <c r="TQ32" s="219"/>
      <c r="TR32" s="219"/>
      <c r="TS32" s="219"/>
      <c r="TT32" s="219"/>
      <c r="TU32" s="219"/>
      <c r="TV32" s="219"/>
      <c r="TW32" s="219"/>
      <c r="TX32" s="219"/>
      <c r="TY32" s="219"/>
      <c r="TZ32" s="219"/>
      <c r="UA32" s="219"/>
      <c r="UB32" s="219"/>
      <c r="UC32" s="219"/>
      <c r="UD32" s="219"/>
      <c r="UE32" s="219"/>
      <c r="UF32" s="219"/>
      <c r="UG32" s="219"/>
      <c r="UH32" s="219"/>
      <c r="UI32" s="219"/>
      <c r="UJ32" s="219"/>
      <c r="UK32" s="219"/>
      <c r="UL32" s="219"/>
      <c r="UM32" s="219"/>
      <c r="UN32" s="219"/>
      <c r="UO32" s="219"/>
      <c r="UP32" s="219"/>
      <c r="UQ32" s="219"/>
      <c r="UR32" s="219"/>
      <c r="US32" s="219"/>
      <c r="UT32" s="219"/>
      <c r="UU32" s="219"/>
      <c r="UV32" s="219"/>
      <c r="UW32" s="219"/>
      <c r="UX32" s="219"/>
      <c r="UY32" s="219"/>
      <c r="UZ32" s="219"/>
      <c r="VA32" s="219"/>
      <c r="VB32" s="219"/>
      <c r="VC32" s="219"/>
      <c r="VD32" s="219"/>
      <c r="VE32" s="219"/>
      <c r="VF32" s="219"/>
      <c r="VG32" s="219"/>
      <c r="VH32" s="219"/>
      <c r="VI32" s="219"/>
      <c r="VJ32" s="219"/>
      <c r="VK32" s="219"/>
      <c r="VL32" s="219"/>
      <c r="VM32" s="219"/>
      <c r="VN32" s="219"/>
      <c r="VO32" s="219"/>
      <c r="VP32" s="219"/>
      <c r="VQ32" s="219"/>
      <c r="VR32" s="219"/>
      <c r="VS32" s="219"/>
      <c r="VT32" s="219"/>
      <c r="VU32" s="219"/>
      <c r="VV32" s="219"/>
      <c r="VW32" s="219"/>
      <c r="VX32" s="219"/>
      <c r="VY32" s="219"/>
      <c r="VZ32" s="219"/>
      <c r="WA32" s="219"/>
      <c r="WB32" s="219"/>
      <c r="WC32" s="219"/>
      <c r="WD32" s="219"/>
      <c r="WE32" s="219"/>
      <c r="WF32" s="219"/>
      <c r="WG32" s="219"/>
      <c r="WH32" s="219"/>
      <c r="WI32" s="219"/>
      <c r="WJ32" s="219"/>
      <c r="WK32" s="219"/>
      <c r="WL32" s="219"/>
      <c r="WM32" s="219"/>
      <c r="WN32" s="219"/>
      <c r="WO32" s="219"/>
      <c r="WP32" s="219"/>
      <c r="WQ32" s="219"/>
      <c r="WR32" s="219"/>
      <c r="WS32" s="219"/>
      <c r="WT32" s="219"/>
      <c r="WU32" s="219"/>
      <c r="WV32" s="219"/>
      <c r="WW32" s="219"/>
      <c r="WX32" s="219"/>
      <c r="WY32" s="219"/>
      <c r="WZ32" s="219"/>
      <c r="XA32" s="219"/>
      <c r="XB32" s="219"/>
      <c r="XC32" s="219"/>
      <c r="XD32" s="219"/>
      <c r="XE32" s="219"/>
      <c r="XF32" s="219"/>
      <c r="XG32" s="219"/>
      <c r="XH32" s="219"/>
      <c r="XI32" s="219"/>
      <c r="XJ32" s="219"/>
      <c r="XK32" s="219"/>
      <c r="XL32" s="219"/>
      <c r="XM32" s="219"/>
      <c r="XN32" s="219"/>
      <c r="XO32" s="219"/>
      <c r="XP32" s="219"/>
      <c r="XQ32" s="219"/>
      <c r="XR32" s="219"/>
      <c r="XS32" s="219"/>
      <c r="XT32" s="219"/>
      <c r="XU32" s="219"/>
      <c r="XV32" s="219"/>
      <c r="XW32" s="219"/>
      <c r="XX32" s="219"/>
      <c r="XY32" s="219"/>
      <c r="XZ32" s="219"/>
      <c r="YA32" s="219"/>
      <c r="YB32" s="219"/>
      <c r="YC32" s="219"/>
      <c r="YD32" s="219"/>
      <c r="YE32" s="219"/>
      <c r="YF32" s="219"/>
      <c r="YG32" s="219"/>
      <c r="YH32" s="219"/>
      <c r="YI32" s="219"/>
      <c r="YJ32" s="219"/>
      <c r="YK32" s="219"/>
      <c r="YL32" s="219"/>
      <c r="YM32" s="219"/>
      <c r="YN32" s="219"/>
      <c r="YO32" s="219"/>
      <c r="YP32" s="219"/>
      <c r="YQ32" s="219"/>
      <c r="YR32" s="219"/>
      <c r="YS32" s="219"/>
      <c r="YT32" s="219"/>
      <c r="YU32" s="219"/>
      <c r="YV32" s="219"/>
      <c r="YW32" s="219"/>
      <c r="YX32" s="219"/>
      <c r="YY32" s="219"/>
      <c r="YZ32" s="219"/>
      <c r="ZA32" s="219"/>
      <c r="ZB32" s="219"/>
      <c r="ZC32" s="219"/>
      <c r="ZD32" s="219"/>
      <c r="ZE32" s="219"/>
      <c r="ZF32" s="219"/>
      <c r="ZG32" s="219"/>
      <c r="ZH32" s="219"/>
      <c r="ZI32" s="219"/>
      <c r="ZJ32" s="219"/>
      <c r="ZK32" s="219"/>
      <c r="ZL32" s="219"/>
      <c r="ZM32" s="219"/>
      <c r="ZN32" s="219"/>
      <c r="ZO32" s="219"/>
      <c r="ZP32" s="219"/>
      <c r="ZQ32" s="219"/>
      <c r="ZR32" s="219"/>
      <c r="ZS32" s="219"/>
      <c r="ZT32" s="219"/>
      <c r="ZU32" s="219"/>
      <c r="ZV32" s="219"/>
      <c r="ZW32" s="219"/>
      <c r="ZX32" s="219"/>
      <c r="ZY32" s="219"/>
      <c r="ZZ32" s="219"/>
      <c r="AAA32" s="219"/>
      <c r="AAB32" s="219"/>
      <c r="AAC32" s="219"/>
      <c r="AAD32" s="219"/>
      <c r="AAE32" s="219"/>
      <c r="AAF32" s="219"/>
      <c r="AAG32" s="219"/>
      <c r="AAH32" s="219"/>
      <c r="AAI32" s="219"/>
      <c r="AAJ32" s="219"/>
      <c r="AAK32" s="219"/>
      <c r="AAL32" s="219"/>
      <c r="AAM32" s="219"/>
      <c r="AAN32" s="219"/>
      <c r="AAO32" s="219"/>
      <c r="AAP32" s="219"/>
      <c r="AAQ32" s="219"/>
      <c r="AAR32" s="219"/>
      <c r="AAS32" s="219"/>
      <c r="AAT32" s="219"/>
      <c r="AAU32" s="219"/>
      <c r="AAV32" s="219"/>
      <c r="AAW32" s="219"/>
      <c r="AAX32" s="219"/>
      <c r="AAY32" s="219"/>
      <c r="AAZ32" s="219"/>
      <c r="ABA32" s="219"/>
      <c r="ABB32" s="219"/>
      <c r="ABC32" s="219"/>
      <c r="ABD32" s="219"/>
      <c r="ABE32" s="219"/>
      <c r="ABF32" s="219"/>
      <c r="ABG32" s="219"/>
      <c r="ABH32" s="219"/>
      <c r="ABI32" s="219"/>
      <c r="ABJ32" s="219"/>
      <c r="ABK32" s="219"/>
      <c r="ABL32" s="219"/>
      <c r="ABM32" s="219"/>
      <c r="ABN32" s="219"/>
      <c r="ABO32" s="219"/>
      <c r="ABP32" s="219"/>
      <c r="ABQ32" s="219"/>
      <c r="ABR32" s="219"/>
      <c r="ABS32" s="219"/>
      <c r="ABT32" s="219"/>
      <c r="ABU32" s="219"/>
      <c r="ABV32" s="219"/>
      <c r="ABW32" s="219"/>
      <c r="ABX32" s="219"/>
      <c r="ABY32" s="219"/>
      <c r="ABZ32" s="219"/>
      <c r="ACA32" s="219"/>
      <c r="ACB32" s="219"/>
      <c r="ACC32" s="219"/>
      <c r="ACD32" s="219"/>
      <c r="ACE32" s="219"/>
      <c r="ACF32" s="219"/>
      <c r="ACG32" s="219"/>
      <c r="ACH32" s="219"/>
      <c r="ACI32" s="219"/>
      <c r="ACJ32" s="219"/>
      <c r="ACK32" s="219"/>
      <c r="ACL32" s="219"/>
      <c r="ACM32" s="219"/>
      <c r="ACN32" s="219"/>
      <c r="ACO32" s="219"/>
      <c r="ACP32" s="219"/>
      <c r="ACQ32" s="219"/>
      <c r="ACR32" s="219"/>
      <c r="ACS32" s="219"/>
      <c r="ACT32" s="219"/>
      <c r="ACU32" s="219"/>
      <c r="ACV32" s="219"/>
      <c r="ACW32" s="219"/>
      <c r="ACX32" s="219"/>
      <c r="ACY32" s="219"/>
      <c r="ACZ32" s="219"/>
      <c r="ADA32" s="219"/>
      <c r="ADB32" s="219"/>
      <c r="ADC32" s="219"/>
      <c r="ADD32" s="219"/>
      <c r="ADE32" s="219"/>
      <c r="ADF32" s="219"/>
      <c r="ADG32" s="219"/>
      <c r="ADH32" s="219"/>
      <c r="ADI32" s="219"/>
      <c r="ADJ32" s="219"/>
      <c r="ADK32" s="219"/>
      <c r="ADL32" s="219"/>
      <c r="ADM32" s="219"/>
      <c r="ADN32" s="219"/>
      <c r="ADO32" s="219"/>
      <c r="ADP32" s="219"/>
      <c r="ADQ32" s="219"/>
      <c r="ADR32" s="219"/>
      <c r="ADS32" s="219"/>
      <c r="ADT32" s="219"/>
      <c r="ADU32" s="219"/>
      <c r="ADV32" s="219"/>
      <c r="ADW32" s="219"/>
      <c r="ADX32" s="219"/>
      <c r="ADY32" s="219"/>
      <c r="ADZ32" s="219"/>
      <c r="AEA32" s="219"/>
      <c r="AEB32" s="219"/>
      <c r="AEC32" s="219"/>
      <c r="AED32" s="219"/>
      <c r="AEE32" s="219"/>
      <c r="AEF32" s="219"/>
      <c r="AEG32" s="219"/>
      <c r="AEH32" s="219"/>
      <c r="AEI32" s="219"/>
      <c r="AEJ32" s="219"/>
      <c r="AEK32" s="219"/>
      <c r="AEL32" s="219"/>
      <c r="AEM32" s="219"/>
      <c r="AEN32" s="219"/>
      <c r="AEO32" s="219"/>
      <c r="AEP32" s="219"/>
      <c r="AEQ32" s="219"/>
      <c r="AER32" s="219"/>
      <c r="AES32" s="219"/>
      <c r="AET32" s="219"/>
      <c r="AEU32" s="219"/>
      <c r="AEV32" s="219"/>
      <c r="AEW32" s="219"/>
      <c r="AEX32" s="219"/>
      <c r="AEY32" s="219"/>
      <c r="AEZ32" s="219"/>
      <c r="AFA32" s="219"/>
      <c r="AFB32" s="219"/>
      <c r="AFC32" s="219"/>
      <c r="AFD32" s="219"/>
      <c r="AFE32" s="219"/>
      <c r="AFF32" s="219"/>
      <c r="AFG32" s="219"/>
      <c r="AFH32" s="219"/>
      <c r="AFI32" s="219"/>
      <c r="AFJ32" s="219"/>
      <c r="AFK32" s="219"/>
      <c r="AFL32" s="219"/>
      <c r="AFM32" s="219"/>
      <c r="AFN32" s="219"/>
      <c r="AFO32" s="219"/>
      <c r="AFP32" s="219"/>
      <c r="AFQ32" s="219"/>
      <c r="AFR32" s="219"/>
      <c r="AFS32" s="219"/>
      <c r="AFT32" s="219"/>
      <c r="AFU32" s="219"/>
      <c r="AFV32" s="219"/>
      <c r="AFW32" s="219"/>
      <c r="AFX32" s="219"/>
      <c r="AFY32" s="219"/>
      <c r="AFZ32" s="219"/>
      <c r="AGA32" s="219"/>
      <c r="AGB32" s="219"/>
      <c r="AGC32" s="219"/>
      <c r="AGD32" s="219"/>
      <c r="AGE32" s="219"/>
      <c r="AGF32" s="219"/>
      <c r="AGG32" s="219"/>
      <c r="AGH32" s="219"/>
      <c r="AGI32" s="219"/>
      <c r="AGJ32" s="219"/>
      <c r="AGK32" s="219"/>
      <c r="AGL32" s="219"/>
      <c r="AGM32" s="219"/>
      <c r="AGN32" s="219"/>
      <c r="AGO32" s="219"/>
      <c r="AGP32" s="219"/>
      <c r="AGQ32" s="219"/>
      <c r="AGR32" s="219"/>
      <c r="AGS32" s="219"/>
      <c r="AGT32" s="219"/>
      <c r="AGU32" s="219"/>
      <c r="AGV32" s="219"/>
      <c r="AGW32" s="219"/>
      <c r="AGX32" s="219"/>
      <c r="AGY32" s="219"/>
      <c r="AGZ32" s="219"/>
      <c r="AHA32" s="219"/>
      <c r="AHB32" s="219"/>
      <c r="AHC32" s="219"/>
      <c r="AHD32" s="219"/>
      <c r="AHE32" s="219"/>
      <c r="AHF32" s="219"/>
      <c r="AHG32" s="219"/>
      <c r="AHH32" s="219"/>
      <c r="AHI32" s="219"/>
      <c r="AHJ32" s="219"/>
      <c r="AHK32" s="219"/>
      <c r="AHL32" s="219"/>
      <c r="AHM32" s="219"/>
      <c r="AHN32" s="219"/>
      <c r="AHO32" s="219"/>
      <c r="AHP32" s="219"/>
      <c r="AHQ32" s="219"/>
      <c r="AHR32" s="219"/>
      <c r="AHS32" s="219"/>
      <c r="AHT32" s="219"/>
      <c r="AHU32" s="219"/>
      <c r="AHV32" s="219"/>
      <c r="AHW32" s="219"/>
      <c r="AHX32" s="219"/>
      <c r="AHY32" s="219"/>
      <c r="AHZ32" s="219"/>
      <c r="AIA32" s="219"/>
      <c r="AIB32" s="219"/>
      <c r="AIC32" s="219"/>
      <c r="AID32" s="219"/>
      <c r="AIE32" s="219"/>
      <c r="AIF32" s="219"/>
      <c r="AIG32" s="219"/>
      <c r="AIH32" s="219"/>
      <c r="AII32" s="219"/>
      <c r="AIJ32" s="219"/>
      <c r="AIK32" s="219"/>
      <c r="AIL32" s="219"/>
      <c r="AIM32" s="219"/>
      <c r="AIN32" s="219"/>
      <c r="AIO32" s="219"/>
      <c r="AIP32" s="219"/>
      <c r="AIQ32" s="219"/>
      <c r="AIR32" s="219"/>
      <c r="AIS32" s="219"/>
      <c r="AIT32" s="219"/>
      <c r="AIU32" s="219"/>
      <c r="AIV32" s="219"/>
      <c r="AIW32" s="219"/>
      <c r="AIX32" s="219"/>
      <c r="AIY32" s="219"/>
      <c r="AIZ32" s="219"/>
      <c r="AJA32" s="219"/>
      <c r="AJB32" s="219"/>
      <c r="AJC32" s="219"/>
      <c r="AJD32" s="219"/>
      <c r="AJE32" s="219"/>
      <c r="AJF32" s="219"/>
      <c r="AJG32" s="219"/>
      <c r="AJH32" s="219"/>
      <c r="AJI32" s="219"/>
      <c r="AJJ32" s="219"/>
      <c r="AJK32" s="219"/>
      <c r="AJL32" s="219"/>
      <c r="AJM32" s="219"/>
      <c r="AJN32" s="219"/>
      <c r="AJO32" s="219"/>
      <c r="AJP32" s="219"/>
      <c r="AJQ32" s="219"/>
      <c r="AJR32" s="219"/>
      <c r="AJS32" s="219"/>
      <c r="AJT32" s="219"/>
      <c r="AJU32" s="219"/>
      <c r="AJV32" s="219"/>
      <c r="AJW32" s="219"/>
      <c r="AJX32" s="219"/>
      <c r="AJY32" s="219"/>
      <c r="AJZ32" s="219"/>
      <c r="AKA32" s="219"/>
      <c r="AKB32" s="219"/>
      <c r="AKC32" s="219"/>
      <c r="AKD32" s="219"/>
      <c r="AKE32" s="219"/>
      <c r="AKF32" s="219"/>
      <c r="AKG32" s="219"/>
      <c r="AKH32" s="219"/>
      <c r="AKI32" s="219"/>
      <c r="AKJ32" s="219"/>
      <c r="AKK32" s="219"/>
      <c r="AKL32" s="219"/>
      <c r="AKM32" s="219"/>
      <c r="AKN32" s="219"/>
      <c r="AKO32" s="219"/>
      <c r="AKP32" s="219"/>
      <c r="AKQ32" s="219"/>
      <c r="AKR32" s="219"/>
      <c r="AKS32" s="219"/>
      <c r="AKT32" s="219"/>
      <c r="AKU32" s="219"/>
      <c r="AKV32" s="219"/>
      <c r="AKW32" s="219"/>
      <c r="AKX32" s="219"/>
      <c r="AKY32" s="219"/>
      <c r="AKZ32" s="219"/>
      <c r="ALA32" s="219"/>
      <c r="ALB32" s="219"/>
      <c r="ALC32" s="219"/>
      <c r="ALD32" s="219"/>
      <c r="ALE32" s="219"/>
      <c r="ALF32" s="219"/>
      <c r="ALG32" s="219"/>
      <c r="ALH32" s="219"/>
      <c r="ALI32" s="219"/>
      <c r="ALJ32" s="219"/>
      <c r="ALK32" s="219"/>
      <c r="ALL32" s="219"/>
      <c r="ALM32" s="219"/>
      <c r="ALN32" s="219"/>
      <c r="ALO32" s="219"/>
      <c r="ALP32" s="219"/>
      <c r="ALQ32" s="219"/>
      <c r="ALR32" s="219"/>
      <c r="ALS32" s="219"/>
      <c r="ALT32" s="219"/>
      <c r="ALU32" s="219"/>
      <c r="ALV32" s="219"/>
      <c r="ALW32" s="219"/>
      <c r="ALX32" s="219"/>
      <c r="ALY32" s="219"/>
      <c r="ALZ32" s="219"/>
      <c r="AMA32" s="219"/>
      <c r="AMB32" s="219"/>
      <c r="AMC32" s="219"/>
      <c r="AMD32" s="219"/>
      <c r="AME32" s="219"/>
      <c r="AMF32" s="219"/>
      <c r="AMG32" s="219"/>
      <c r="AMH32" s="219"/>
      <c r="AMI32" s="219"/>
      <c r="AMJ32" s="219"/>
      <c r="AMK32" s="219"/>
      <c r="AML32" s="219"/>
      <c r="AMM32" s="219"/>
      <c r="AMN32" s="219"/>
      <c r="AMO32" s="219"/>
      <c r="AMP32" s="219"/>
      <c r="AMQ32" s="219"/>
      <c r="AMR32" s="219"/>
      <c r="AMS32" s="219"/>
      <c r="AMT32" s="219"/>
      <c r="AMU32" s="219"/>
      <c r="AMV32" s="219"/>
      <c r="AMW32" s="219"/>
      <c r="AMX32" s="219"/>
      <c r="AMY32" s="219"/>
      <c r="AMZ32" s="219"/>
      <c r="ANA32" s="219"/>
      <c r="ANB32" s="219"/>
      <c r="ANC32" s="219"/>
      <c r="AND32" s="219"/>
      <c r="ANE32" s="219"/>
      <c r="ANF32" s="219"/>
      <c r="ANG32" s="219"/>
      <c r="ANH32" s="219"/>
      <c r="ANI32" s="219"/>
      <c r="ANJ32" s="219"/>
      <c r="ANK32" s="219"/>
      <c r="ANL32" s="219"/>
      <c r="ANM32" s="219"/>
      <c r="ANN32" s="219"/>
      <c r="ANO32" s="219"/>
      <c r="ANP32" s="219"/>
      <c r="ANQ32" s="219"/>
      <c r="ANR32" s="219"/>
      <c r="ANS32" s="219"/>
      <c r="ANT32" s="219"/>
      <c r="ANU32" s="219"/>
      <c r="ANV32" s="219"/>
      <c r="ANW32" s="219"/>
      <c r="ANX32" s="219"/>
      <c r="ANY32" s="219"/>
      <c r="ANZ32" s="219"/>
      <c r="AOA32" s="219"/>
      <c r="AOB32" s="219"/>
      <c r="AOC32" s="219"/>
      <c r="AOD32" s="219"/>
      <c r="AOE32" s="219"/>
      <c r="AOF32" s="219"/>
      <c r="AOG32" s="219"/>
      <c r="AOH32" s="219"/>
      <c r="AOI32" s="219"/>
      <c r="AOJ32" s="219"/>
      <c r="AOK32" s="219"/>
      <c r="AOL32" s="219"/>
      <c r="AOM32" s="219"/>
      <c r="AON32" s="219"/>
      <c r="AOO32" s="219"/>
      <c r="AOP32" s="219"/>
      <c r="AOQ32" s="219"/>
      <c r="AOR32" s="219"/>
      <c r="AOS32" s="219"/>
      <c r="AOT32" s="219"/>
      <c r="AOU32" s="219"/>
      <c r="AOV32" s="219"/>
      <c r="AOW32" s="219"/>
      <c r="AOX32" s="219"/>
      <c r="AOY32" s="219"/>
      <c r="AOZ32" s="219"/>
      <c r="APA32" s="219"/>
      <c r="APB32" s="219"/>
      <c r="APC32" s="219"/>
      <c r="APD32" s="219"/>
      <c r="APE32" s="219"/>
      <c r="APF32" s="219"/>
      <c r="APG32" s="219"/>
      <c r="APH32" s="219"/>
      <c r="API32" s="219"/>
      <c r="APJ32" s="219"/>
      <c r="APK32" s="219"/>
      <c r="APL32" s="219"/>
      <c r="APM32" s="219"/>
      <c r="APN32" s="219"/>
      <c r="APO32" s="219"/>
      <c r="APP32" s="219"/>
      <c r="APQ32" s="219"/>
      <c r="APR32" s="219"/>
      <c r="APS32" s="219"/>
      <c r="APT32" s="219"/>
      <c r="APU32" s="219"/>
      <c r="APV32" s="219"/>
      <c r="APW32" s="219"/>
      <c r="APX32" s="219"/>
      <c r="APY32" s="219"/>
      <c r="APZ32" s="219"/>
      <c r="AQA32" s="219"/>
      <c r="AQB32" s="219"/>
      <c r="AQC32" s="219"/>
      <c r="AQD32" s="219"/>
      <c r="AQE32" s="219"/>
      <c r="AQF32" s="219"/>
      <c r="AQG32" s="219"/>
      <c r="AQH32" s="219"/>
      <c r="AQI32" s="219"/>
      <c r="AQJ32" s="219"/>
      <c r="AQK32" s="219"/>
      <c r="AQL32" s="219"/>
      <c r="AQM32" s="219"/>
      <c r="AQN32" s="219"/>
      <c r="AQO32" s="219"/>
      <c r="AQP32" s="219"/>
      <c r="AQQ32" s="219"/>
      <c r="AQR32" s="219"/>
      <c r="AQS32" s="219"/>
      <c r="AQT32" s="219"/>
      <c r="AQU32" s="219"/>
      <c r="AQV32" s="219"/>
      <c r="AQW32" s="219"/>
      <c r="AQX32" s="219"/>
      <c r="AQY32" s="219"/>
      <c r="AQZ32" s="219"/>
      <c r="ARA32" s="219"/>
      <c r="ARB32" s="219"/>
      <c r="ARC32" s="219"/>
      <c r="ARD32" s="219"/>
      <c r="ARE32" s="219"/>
      <c r="ARF32" s="219"/>
      <c r="ARG32" s="219"/>
      <c r="ARH32" s="219"/>
      <c r="ARI32" s="219"/>
      <c r="ARJ32" s="219"/>
      <c r="ARK32" s="219"/>
      <c r="ARL32" s="219"/>
      <c r="ARM32" s="219"/>
      <c r="ARN32" s="219"/>
      <c r="ARO32" s="219"/>
      <c r="ARP32" s="219"/>
      <c r="ARQ32" s="219"/>
      <c r="ARR32" s="219"/>
      <c r="ARS32" s="219"/>
      <c r="ART32" s="219"/>
      <c r="ARU32" s="219"/>
      <c r="ARV32" s="219"/>
      <c r="ARW32" s="219"/>
      <c r="ARX32" s="219"/>
      <c r="ARY32" s="219"/>
      <c r="ARZ32" s="219"/>
      <c r="ASA32" s="219"/>
      <c r="ASB32" s="219"/>
      <c r="ASC32" s="219"/>
      <c r="ASD32" s="219"/>
      <c r="ASE32" s="219"/>
      <c r="ASF32" s="219"/>
      <c r="ASG32" s="219"/>
      <c r="ASH32" s="219"/>
      <c r="ASI32" s="219"/>
      <c r="ASJ32" s="219"/>
      <c r="ASK32" s="219"/>
      <c r="ASL32" s="219"/>
      <c r="ASM32" s="219"/>
      <c r="ASN32" s="219"/>
      <c r="ASO32" s="219"/>
      <c r="ASP32" s="219"/>
      <c r="ASQ32" s="219"/>
      <c r="ASR32" s="219"/>
      <c r="ASS32" s="219"/>
      <c r="AST32" s="219"/>
      <c r="ASU32" s="219"/>
      <c r="ASV32" s="219"/>
      <c r="ASW32" s="219"/>
      <c r="ASX32" s="219"/>
      <c r="ASY32" s="219"/>
      <c r="ASZ32" s="219"/>
      <c r="ATA32" s="219"/>
      <c r="ATB32" s="219"/>
      <c r="ATC32" s="219"/>
      <c r="ATD32" s="219"/>
      <c r="ATE32" s="219"/>
      <c r="ATF32" s="219"/>
      <c r="ATG32" s="219"/>
      <c r="ATH32" s="219"/>
      <c r="ATI32" s="219"/>
      <c r="ATJ32" s="219"/>
      <c r="ATK32" s="219"/>
      <c r="ATL32" s="219"/>
      <c r="ATM32" s="219"/>
      <c r="ATN32" s="219"/>
      <c r="ATO32" s="219"/>
      <c r="ATP32" s="219"/>
      <c r="ATQ32" s="219"/>
      <c r="ATR32" s="219"/>
      <c r="ATS32" s="219"/>
      <c r="ATT32" s="219"/>
      <c r="ATU32" s="219"/>
      <c r="ATV32" s="219"/>
      <c r="ATW32" s="219"/>
      <c r="ATX32" s="219"/>
      <c r="ATY32" s="219"/>
      <c r="ATZ32" s="219"/>
      <c r="AUA32" s="219"/>
      <c r="AUB32" s="219"/>
      <c r="AUC32" s="219"/>
      <c r="AUD32" s="219"/>
      <c r="AUE32" s="219"/>
      <c r="AUF32" s="219"/>
      <c r="AUG32" s="219"/>
      <c r="AUH32" s="219"/>
      <c r="AUI32" s="219"/>
      <c r="AUJ32" s="219"/>
      <c r="AUK32" s="219"/>
      <c r="AUL32" s="219"/>
      <c r="AUM32" s="219"/>
      <c r="AUN32" s="219"/>
      <c r="AUO32" s="219"/>
      <c r="AUP32" s="219"/>
      <c r="AUQ32" s="219"/>
      <c r="AUR32" s="219"/>
      <c r="AUS32" s="219"/>
      <c r="AUT32" s="219"/>
      <c r="AUU32" s="219"/>
      <c r="AUV32" s="219"/>
      <c r="AUW32" s="219"/>
      <c r="AUX32" s="219"/>
      <c r="AUY32" s="219"/>
      <c r="AUZ32" s="219"/>
      <c r="AVA32" s="219"/>
      <c r="AVB32" s="219"/>
      <c r="AVC32" s="219"/>
      <c r="AVD32" s="219"/>
      <c r="AVE32" s="219"/>
      <c r="AVF32" s="219"/>
      <c r="AVG32" s="219"/>
      <c r="AVH32" s="219"/>
      <c r="AVI32" s="219"/>
      <c r="AVJ32" s="219"/>
      <c r="AVK32" s="219"/>
      <c r="AVL32" s="219"/>
      <c r="AVM32" s="219"/>
      <c r="AVN32" s="219"/>
      <c r="AVO32" s="219"/>
      <c r="AVP32" s="219"/>
      <c r="AVQ32" s="219"/>
      <c r="AVR32" s="219"/>
      <c r="AVS32" s="219"/>
      <c r="AVT32" s="219"/>
      <c r="AVU32" s="219"/>
      <c r="AVV32" s="219"/>
      <c r="AVW32" s="219"/>
      <c r="AVX32" s="219"/>
      <c r="AVY32" s="219"/>
      <c r="AVZ32" s="219"/>
      <c r="AWA32" s="219"/>
      <c r="AWB32" s="219"/>
      <c r="AWC32" s="219"/>
      <c r="AWD32" s="219"/>
      <c r="AWE32" s="219"/>
      <c r="AWF32" s="219"/>
      <c r="AWG32" s="219"/>
      <c r="AWH32" s="219"/>
      <c r="AWI32" s="219"/>
      <c r="AWJ32" s="219"/>
      <c r="AWK32" s="219"/>
      <c r="AWL32" s="219"/>
      <c r="AWM32" s="219"/>
      <c r="AWN32" s="219"/>
      <c r="AWO32" s="219"/>
      <c r="AWP32" s="219"/>
      <c r="AWQ32" s="219"/>
      <c r="AWR32" s="219"/>
      <c r="AWS32" s="219"/>
      <c r="AWT32" s="219"/>
      <c r="AWU32" s="219"/>
      <c r="AWV32" s="219"/>
      <c r="AWW32" s="219"/>
      <c r="AWX32" s="219"/>
      <c r="AWY32" s="219"/>
      <c r="AWZ32" s="219"/>
      <c r="AXA32" s="219"/>
      <c r="AXB32" s="219"/>
      <c r="AXC32" s="219"/>
      <c r="AXD32" s="219"/>
      <c r="AXE32" s="219"/>
      <c r="AXF32" s="219"/>
      <c r="AXG32" s="219"/>
      <c r="AXH32" s="219"/>
      <c r="AXI32" s="219"/>
      <c r="AXJ32" s="219"/>
      <c r="AXK32" s="219"/>
      <c r="AXL32" s="219"/>
      <c r="AXM32" s="219"/>
      <c r="AXN32" s="219"/>
      <c r="AXO32" s="219"/>
      <c r="AXP32" s="219"/>
      <c r="AXQ32" s="219"/>
      <c r="AXR32" s="219"/>
      <c r="AXS32" s="219"/>
      <c r="AXT32" s="219"/>
      <c r="AXU32" s="219"/>
      <c r="AXV32" s="219"/>
      <c r="AXW32" s="219"/>
      <c r="AXX32" s="219"/>
      <c r="AXY32" s="219"/>
      <c r="AXZ32" s="219"/>
      <c r="AYA32" s="219"/>
      <c r="AYB32" s="219"/>
      <c r="AYC32" s="219"/>
      <c r="AYD32" s="219"/>
      <c r="AYE32" s="219"/>
      <c r="AYF32" s="219"/>
      <c r="AYG32" s="219"/>
      <c r="AYH32" s="219"/>
      <c r="AYI32" s="219"/>
      <c r="AYJ32" s="219"/>
      <c r="AYK32" s="219"/>
      <c r="AYL32" s="219"/>
      <c r="AYM32" s="219"/>
      <c r="AYN32" s="219"/>
      <c r="AYO32" s="219"/>
      <c r="AYP32" s="219"/>
      <c r="AYQ32" s="219"/>
      <c r="AYR32" s="219"/>
      <c r="AYS32" s="219"/>
      <c r="AYT32" s="219"/>
      <c r="AYU32" s="219"/>
      <c r="AYV32" s="219"/>
      <c r="AYW32" s="219"/>
      <c r="AYX32" s="219"/>
      <c r="AYY32" s="219"/>
      <c r="AYZ32" s="219"/>
      <c r="AZA32" s="219"/>
      <c r="AZB32" s="219"/>
      <c r="AZC32" s="219"/>
      <c r="AZD32" s="219"/>
      <c r="AZE32" s="219"/>
      <c r="AZF32" s="219"/>
      <c r="AZG32" s="219"/>
      <c r="AZH32" s="219"/>
      <c r="AZI32" s="219"/>
      <c r="AZJ32" s="219"/>
      <c r="AZK32" s="219"/>
      <c r="AZL32" s="219"/>
      <c r="AZM32" s="219"/>
      <c r="AZN32" s="219"/>
      <c r="AZO32" s="219"/>
      <c r="AZP32" s="219"/>
      <c r="AZQ32" s="219"/>
      <c r="AZR32" s="219"/>
      <c r="AZS32" s="219"/>
      <c r="AZT32" s="219"/>
      <c r="AZU32" s="219"/>
      <c r="AZV32" s="219"/>
      <c r="AZW32" s="219"/>
      <c r="AZX32" s="219"/>
      <c r="AZY32" s="219"/>
      <c r="AZZ32" s="219"/>
      <c r="BAA32" s="219"/>
      <c r="BAB32" s="219"/>
      <c r="BAC32" s="219"/>
      <c r="BAD32" s="219"/>
      <c r="BAE32" s="219"/>
      <c r="BAF32" s="219"/>
      <c r="BAG32" s="219"/>
      <c r="BAH32" s="219"/>
      <c r="BAI32" s="219"/>
      <c r="BAJ32" s="219"/>
      <c r="BAK32" s="219"/>
      <c r="BAL32" s="219"/>
      <c r="BAM32" s="219"/>
      <c r="BAN32" s="219"/>
      <c r="BAO32" s="219"/>
      <c r="BAP32" s="219"/>
      <c r="BAQ32" s="219"/>
      <c r="BAR32" s="219"/>
      <c r="BAS32" s="219"/>
      <c r="BAT32" s="219"/>
      <c r="BAU32" s="219"/>
      <c r="BAV32" s="219"/>
      <c r="BAW32" s="219"/>
      <c r="BAX32" s="219"/>
      <c r="BAY32" s="219"/>
      <c r="BAZ32" s="219"/>
      <c r="BBA32" s="219"/>
      <c r="BBB32" s="219"/>
      <c r="BBC32" s="219"/>
      <c r="BBD32" s="219"/>
      <c r="BBE32" s="219"/>
      <c r="BBF32" s="219"/>
      <c r="BBG32" s="219"/>
      <c r="BBH32" s="219"/>
      <c r="BBI32" s="219"/>
      <c r="BBJ32" s="219"/>
      <c r="BBK32" s="219"/>
      <c r="BBL32" s="219"/>
      <c r="BBM32" s="219"/>
      <c r="BBN32" s="219"/>
      <c r="BBO32" s="219"/>
      <c r="BBP32" s="219"/>
      <c r="BBQ32" s="219"/>
      <c r="BBR32" s="219"/>
      <c r="BBS32" s="219"/>
      <c r="BBT32" s="219"/>
      <c r="BBU32" s="219"/>
      <c r="BBV32" s="219"/>
      <c r="BBW32" s="219"/>
      <c r="BBX32" s="219"/>
      <c r="BBY32" s="219"/>
      <c r="BBZ32" s="219"/>
      <c r="BCA32" s="219"/>
      <c r="BCB32" s="219"/>
      <c r="BCC32" s="219"/>
      <c r="BCD32" s="219"/>
      <c r="BCE32" s="219"/>
      <c r="BCF32" s="219"/>
      <c r="BCG32" s="219"/>
      <c r="BCH32" s="219"/>
      <c r="BCI32" s="219"/>
      <c r="BCJ32" s="219"/>
      <c r="BCK32" s="219"/>
      <c r="BCL32" s="219"/>
      <c r="BCM32" s="219"/>
      <c r="BCN32" s="219"/>
      <c r="BCO32" s="219"/>
      <c r="BCP32" s="219"/>
      <c r="BCQ32" s="219"/>
      <c r="BCR32" s="219"/>
      <c r="BCS32" s="219"/>
      <c r="BCT32" s="219"/>
      <c r="BCU32" s="219"/>
      <c r="BCV32" s="219"/>
      <c r="BCW32" s="219"/>
      <c r="BCX32" s="219"/>
      <c r="BCY32" s="219"/>
      <c r="BCZ32" s="219"/>
      <c r="BDA32" s="219"/>
      <c r="BDB32" s="219"/>
      <c r="BDC32" s="219"/>
      <c r="BDD32" s="219"/>
      <c r="BDE32" s="219"/>
      <c r="BDF32" s="219"/>
      <c r="BDG32" s="219"/>
      <c r="BDH32" s="219"/>
      <c r="BDI32" s="219"/>
      <c r="BDJ32" s="219"/>
      <c r="BDK32" s="219"/>
      <c r="BDL32" s="219"/>
      <c r="BDM32" s="219"/>
      <c r="BDN32" s="219"/>
      <c r="BDO32" s="219"/>
      <c r="BDP32" s="219"/>
      <c r="BDQ32" s="219"/>
      <c r="BDR32" s="219"/>
      <c r="BDS32" s="219"/>
      <c r="BDT32" s="219"/>
      <c r="BDU32" s="219"/>
      <c r="BDV32" s="219"/>
      <c r="BDW32" s="219"/>
      <c r="BDX32" s="219"/>
      <c r="BDY32" s="219"/>
      <c r="BDZ32" s="219"/>
      <c r="BEA32" s="219"/>
      <c r="BEB32" s="219"/>
      <c r="BEC32" s="219"/>
      <c r="BED32" s="219"/>
      <c r="BEE32" s="219"/>
      <c r="BEF32" s="219"/>
      <c r="BEG32" s="219"/>
      <c r="BEH32" s="219"/>
      <c r="BEI32" s="219"/>
      <c r="BEJ32" s="219"/>
      <c r="BEK32" s="219"/>
      <c r="BEL32" s="219"/>
      <c r="BEM32" s="219"/>
      <c r="BEN32" s="219"/>
      <c r="BEO32" s="219"/>
      <c r="BEP32" s="219"/>
      <c r="BEQ32" s="219"/>
      <c r="BER32" s="219"/>
      <c r="BES32" s="219"/>
      <c r="BET32" s="219"/>
      <c r="BEU32" s="219"/>
      <c r="BEV32" s="219"/>
      <c r="BEW32" s="219"/>
      <c r="BEX32" s="219"/>
      <c r="BEY32" s="219"/>
      <c r="BEZ32" s="219"/>
      <c r="BFA32" s="219"/>
      <c r="BFB32" s="219"/>
      <c r="BFC32" s="219"/>
      <c r="BFD32" s="219"/>
      <c r="BFE32" s="219"/>
      <c r="BFF32" s="219"/>
      <c r="BFG32" s="219"/>
      <c r="BFH32" s="219"/>
      <c r="BFI32" s="219"/>
      <c r="BFJ32" s="219"/>
      <c r="BFK32" s="219"/>
      <c r="BFL32" s="219"/>
      <c r="BFM32" s="219"/>
      <c r="BFN32" s="219"/>
      <c r="BFO32" s="219"/>
      <c r="BFP32" s="219"/>
      <c r="BFQ32" s="219"/>
      <c r="BFR32" s="219"/>
      <c r="BFS32" s="219"/>
      <c r="BFT32" s="219"/>
      <c r="BFU32" s="219"/>
      <c r="BFV32" s="219"/>
      <c r="BFW32" s="219"/>
      <c r="BFX32" s="219"/>
      <c r="BFY32" s="219"/>
      <c r="BFZ32" s="219"/>
      <c r="BGA32" s="219"/>
      <c r="BGB32" s="219"/>
      <c r="BGC32" s="219"/>
      <c r="BGD32" s="219"/>
      <c r="BGE32" s="219"/>
      <c r="BGF32" s="219"/>
      <c r="BGG32" s="219"/>
      <c r="BGH32" s="219"/>
      <c r="BGI32" s="219"/>
      <c r="BGJ32" s="219"/>
      <c r="BGK32" s="219"/>
      <c r="BGL32" s="219"/>
      <c r="BGM32" s="219"/>
      <c r="BGN32" s="219"/>
      <c r="BGO32" s="219"/>
      <c r="BGP32" s="219"/>
      <c r="BGQ32" s="219"/>
      <c r="BGR32" s="219"/>
      <c r="BGS32" s="219"/>
      <c r="BGT32" s="219"/>
      <c r="BGU32" s="219"/>
      <c r="BGV32" s="219"/>
      <c r="BGW32" s="219"/>
      <c r="BGX32" s="219"/>
      <c r="BGY32" s="219"/>
      <c r="BGZ32" s="219"/>
      <c r="BHA32" s="219"/>
      <c r="BHB32" s="219"/>
      <c r="BHC32" s="219"/>
      <c r="BHD32" s="219"/>
      <c r="BHE32" s="219"/>
      <c r="BHF32" s="219"/>
      <c r="BHG32" s="219"/>
      <c r="BHH32" s="219"/>
      <c r="BHI32" s="219"/>
      <c r="BHJ32" s="219"/>
      <c r="BHK32" s="219"/>
      <c r="BHL32" s="219"/>
      <c r="BHM32" s="219"/>
      <c r="BHN32" s="219"/>
      <c r="BHO32" s="219"/>
      <c r="BHP32" s="219"/>
      <c r="BHQ32" s="219"/>
      <c r="BHR32" s="219"/>
      <c r="BHS32" s="219"/>
      <c r="BHT32" s="219"/>
      <c r="BHU32" s="219"/>
      <c r="BHV32" s="219"/>
      <c r="BHW32" s="219"/>
      <c r="BHX32" s="219"/>
      <c r="BHY32" s="219"/>
      <c r="BHZ32" s="219"/>
      <c r="BIA32" s="219"/>
      <c r="BIB32" s="219"/>
      <c r="BIC32" s="219"/>
      <c r="BID32" s="219"/>
      <c r="BIE32" s="219"/>
      <c r="BIF32" s="219"/>
      <c r="BIG32" s="219"/>
      <c r="BIH32" s="219"/>
      <c r="BII32" s="219"/>
      <c r="BIJ32" s="219"/>
      <c r="BIK32" s="219"/>
      <c r="BIL32" s="219"/>
      <c r="BIM32" s="219"/>
      <c r="BIN32" s="219"/>
      <c r="BIO32" s="219"/>
      <c r="BIP32" s="219"/>
      <c r="BIQ32" s="219"/>
      <c r="BIR32" s="219"/>
      <c r="BIS32" s="219"/>
      <c r="BIT32" s="219"/>
      <c r="BIU32" s="219"/>
      <c r="BIV32" s="219"/>
      <c r="BIW32" s="219"/>
      <c r="BIX32" s="219"/>
      <c r="BIY32" s="219"/>
      <c r="BIZ32" s="219"/>
      <c r="BJA32" s="219"/>
      <c r="BJB32" s="219"/>
      <c r="BJC32" s="219"/>
      <c r="BJD32" s="219"/>
      <c r="BJE32" s="219"/>
      <c r="BJF32" s="219"/>
      <c r="BJG32" s="219"/>
      <c r="BJH32" s="219"/>
      <c r="BJI32" s="219"/>
      <c r="BJJ32" s="219"/>
      <c r="BJK32" s="219"/>
      <c r="BJL32" s="219"/>
      <c r="BJM32" s="219"/>
      <c r="BJN32" s="219"/>
      <c r="BJO32" s="219"/>
      <c r="BJP32" s="219"/>
      <c r="BJQ32" s="219"/>
      <c r="BJR32" s="219"/>
      <c r="BJS32" s="219"/>
      <c r="BJT32" s="219"/>
      <c r="BJU32" s="219"/>
      <c r="BJV32" s="219"/>
      <c r="BJW32" s="219"/>
      <c r="BJX32" s="219"/>
      <c r="BJY32" s="219"/>
      <c r="BJZ32" s="219"/>
      <c r="BKA32" s="219"/>
      <c r="BKB32" s="219"/>
      <c r="BKC32" s="219"/>
      <c r="BKD32" s="219"/>
      <c r="BKE32" s="219"/>
      <c r="BKF32" s="219"/>
      <c r="BKG32" s="219"/>
      <c r="BKH32" s="219"/>
      <c r="BKI32" s="219"/>
      <c r="BKJ32" s="219"/>
      <c r="BKK32" s="219"/>
      <c r="BKL32" s="219"/>
      <c r="BKM32" s="219"/>
      <c r="BKN32" s="219"/>
      <c r="BKO32" s="219"/>
      <c r="BKP32" s="219"/>
      <c r="BKQ32" s="219"/>
      <c r="BKR32" s="219"/>
      <c r="BKS32" s="219"/>
      <c r="BKT32" s="219"/>
      <c r="BKU32" s="219"/>
      <c r="BKV32" s="219"/>
      <c r="BKW32" s="219"/>
      <c r="BKX32" s="219"/>
      <c r="BKY32" s="219"/>
      <c r="BKZ32" s="219"/>
      <c r="BLA32" s="219"/>
      <c r="BLB32" s="219"/>
      <c r="BLC32" s="219"/>
      <c r="BLD32" s="219"/>
      <c r="BLE32" s="219"/>
      <c r="BLF32" s="219"/>
      <c r="BLG32" s="219"/>
      <c r="BLH32" s="219"/>
      <c r="BLI32" s="219"/>
      <c r="BLJ32" s="219"/>
      <c r="BLK32" s="219"/>
      <c r="BLL32" s="219"/>
      <c r="BLM32" s="219"/>
      <c r="BLN32" s="219"/>
      <c r="BLO32" s="219"/>
      <c r="BLP32" s="219"/>
      <c r="BLQ32" s="219"/>
      <c r="BLR32" s="219"/>
      <c r="BLS32" s="219"/>
      <c r="BLT32" s="219"/>
      <c r="BLU32" s="219"/>
      <c r="BLV32" s="219"/>
      <c r="BLW32" s="219"/>
      <c r="BLX32" s="219"/>
      <c r="BLY32" s="219"/>
      <c r="BLZ32" s="219"/>
      <c r="BMA32" s="219"/>
      <c r="BMB32" s="219"/>
      <c r="BMC32" s="219"/>
      <c r="BMD32" s="219"/>
      <c r="BME32" s="219"/>
      <c r="BMF32" s="219"/>
      <c r="BMG32" s="219"/>
      <c r="BMH32" s="219"/>
      <c r="BMI32" s="219"/>
      <c r="BMJ32" s="219"/>
      <c r="BMK32" s="219"/>
      <c r="BML32" s="219"/>
      <c r="BMM32" s="219"/>
      <c r="BMN32" s="219"/>
      <c r="BMO32" s="219"/>
      <c r="BMP32" s="219"/>
      <c r="BMQ32" s="219"/>
      <c r="BMR32" s="219"/>
      <c r="BMS32" s="219"/>
      <c r="BMT32" s="219"/>
      <c r="BMU32" s="219"/>
      <c r="BMV32" s="219"/>
      <c r="BMW32" s="219"/>
      <c r="BMX32" s="219"/>
      <c r="BMY32" s="219"/>
      <c r="BMZ32" s="219"/>
      <c r="BNA32" s="219"/>
      <c r="BNB32" s="219"/>
      <c r="BNC32" s="219"/>
      <c r="BND32" s="219"/>
      <c r="BNE32" s="219"/>
      <c r="BNF32" s="219"/>
      <c r="BNG32" s="219"/>
      <c r="BNH32" s="219"/>
      <c r="BNI32" s="219"/>
      <c r="BNJ32" s="219"/>
      <c r="BNK32" s="219"/>
      <c r="BNL32" s="219"/>
      <c r="BNM32" s="219"/>
      <c r="BNN32" s="219"/>
      <c r="BNO32" s="219"/>
      <c r="BNP32" s="219"/>
      <c r="BNQ32" s="219"/>
      <c r="BNR32" s="219"/>
      <c r="BNS32" s="219"/>
      <c r="BNT32" s="219"/>
      <c r="BNU32" s="219"/>
      <c r="BNV32" s="219"/>
      <c r="BNW32" s="219"/>
      <c r="BNX32" s="219"/>
      <c r="BNY32" s="219"/>
      <c r="BNZ32" s="219"/>
      <c r="BOA32" s="219"/>
      <c r="BOB32" s="219"/>
      <c r="BOC32" s="219"/>
      <c r="BOD32" s="219"/>
      <c r="BOE32" s="219"/>
      <c r="BOF32" s="219"/>
      <c r="BOG32" s="219"/>
      <c r="BOH32" s="219"/>
      <c r="BOI32" s="219"/>
      <c r="BOJ32" s="219"/>
      <c r="BOK32" s="219"/>
      <c r="BOL32" s="219"/>
      <c r="BOM32" s="219"/>
      <c r="BON32" s="219"/>
      <c r="BOO32" s="219"/>
      <c r="BOP32" s="219"/>
      <c r="BOQ32" s="219"/>
      <c r="BOR32" s="219"/>
      <c r="BOS32" s="219"/>
      <c r="BOT32" s="219"/>
      <c r="BOU32" s="219"/>
      <c r="BOV32" s="219"/>
      <c r="BOW32" s="219"/>
      <c r="BOX32" s="219"/>
      <c r="BOY32" s="219"/>
      <c r="BOZ32" s="219"/>
      <c r="BPA32" s="219"/>
      <c r="BPB32" s="219"/>
      <c r="BPC32" s="219"/>
      <c r="BPD32" s="219"/>
      <c r="BPE32" s="219"/>
      <c r="BPF32" s="219"/>
      <c r="BPG32" s="219"/>
      <c r="BPH32" s="219"/>
      <c r="BPI32" s="219"/>
      <c r="BPJ32" s="219"/>
      <c r="BPK32" s="219"/>
      <c r="BPL32" s="219"/>
      <c r="BPM32" s="219"/>
      <c r="BPN32" s="219"/>
      <c r="BPO32" s="219"/>
      <c r="BPP32" s="219"/>
      <c r="BPQ32" s="219"/>
      <c r="BPR32" s="219"/>
      <c r="BPS32" s="219"/>
      <c r="BPT32" s="219"/>
      <c r="BPU32" s="219"/>
      <c r="BPV32" s="219"/>
      <c r="BPW32" s="219"/>
      <c r="BPX32" s="219"/>
      <c r="BPY32" s="219"/>
      <c r="BPZ32" s="219"/>
      <c r="BQA32" s="219"/>
      <c r="BQB32" s="219"/>
      <c r="BQC32" s="219"/>
      <c r="BQD32" s="219"/>
      <c r="BQE32" s="219"/>
      <c r="BQF32" s="219"/>
      <c r="BQG32" s="219"/>
      <c r="BQH32" s="219"/>
      <c r="BQI32" s="219"/>
      <c r="BQJ32" s="219"/>
      <c r="BQK32" s="219"/>
      <c r="BQL32" s="219"/>
      <c r="BQM32" s="219"/>
      <c r="BQN32" s="219"/>
      <c r="BQO32" s="219"/>
      <c r="BQP32" s="219"/>
      <c r="BQQ32" s="219"/>
      <c r="BQR32" s="219"/>
      <c r="BQS32" s="219"/>
      <c r="BQT32" s="219"/>
      <c r="BQU32" s="219"/>
      <c r="BQV32" s="219"/>
      <c r="BQW32" s="219"/>
      <c r="BQX32" s="219"/>
      <c r="BQY32" s="219"/>
      <c r="BQZ32" s="219"/>
      <c r="BRA32" s="219"/>
      <c r="BRB32" s="219"/>
      <c r="BRC32" s="219"/>
      <c r="BRD32" s="219"/>
      <c r="BRE32" s="219"/>
      <c r="BRF32" s="219"/>
      <c r="BRG32" s="219"/>
      <c r="BRH32" s="219"/>
      <c r="BRI32" s="219"/>
      <c r="BRJ32" s="219"/>
      <c r="BRK32" s="219"/>
      <c r="BRL32" s="219"/>
      <c r="BRM32" s="219"/>
      <c r="BRN32" s="219"/>
      <c r="BRO32" s="219"/>
      <c r="BRP32" s="219"/>
      <c r="BRQ32" s="219"/>
      <c r="BRR32" s="219"/>
      <c r="BRS32" s="219"/>
      <c r="BRT32" s="219"/>
      <c r="BRU32" s="219"/>
      <c r="BRV32" s="219"/>
      <c r="BRW32" s="219"/>
      <c r="BRX32" s="219"/>
      <c r="BRY32" s="219"/>
      <c r="BRZ32" s="219"/>
      <c r="BSA32" s="219"/>
      <c r="BSB32" s="219"/>
      <c r="BSC32" s="219"/>
      <c r="BSD32" s="219"/>
      <c r="BSE32" s="219"/>
      <c r="BSF32" s="219"/>
      <c r="BSG32" s="219"/>
      <c r="BSH32" s="219"/>
      <c r="BSI32" s="219"/>
      <c r="BSJ32" s="219"/>
      <c r="BSK32" s="219"/>
      <c r="BSL32" s="219"/>
      <c r="BSM32" s="219"/>
      <c r="BSN32" s="219"/>
      <c r="BSO32" s="219"/>
      <c r="BSP32" s="219"/>
      <c r="BSQ32" s="219"/>
      <c r="BSR32" s="219"/>
      <c r="BSS32" s="219"/>
      <c r="BST32" s="219"/>
      <c r="BSU32" s="219"/>
      <c r="BSV32" s="219"/>
      <c r="BSW32" s="219"/>
      <c r="BSX32" s="219"/>
      <c r="BSY32" s="219"/>
      <c r="BSZ32" s="219"/>
      <c r="BTA32" s="219"/>
      <c r="BTB32" s="219"/>
      <c r="BTC32" s="219"/>
      <c r="BTD32" s="219"/>
      <c r="BTE32" s="219"/>
      <c r="BTF32" s="219"/>
      <c r="BTG32" s="219"/>
      <c r="BTH32" s="219"/>
      <c r="BTI32" s="219"/>
      <c r="BTJ32" s="219"/>
      <c r="BTK32" s="219"/>
      <c r="BTL32" s="219"/>
      <c r="BTM32" s="219"/>
      <c r="BTN32" s="219"/>
      <c r="BTO32" s="219"/>
      <c r="BTP32" s="219"/>
      <c r="BTQ32" s="219"/>
      <c r="BTR32" s="219"/>
      <c r="BTS32" s="219"/>
      <c r="BTT32" s="219"/>
      <c r="BTU32" s="219"/>
      <c r="BTV32" s="219"/>
      <c r="BTW32" s="219"/>
      <c r="BTX32" s="219"/>
      <c r="BTY32" s="219"/>
      <c r="BTZ32" s="219"/>
      <c r="BUA32" s="219"/>
      <c r="BUB32" s="219"/>
      <c r="BUC32" s="219"/>
      <c r="BUD32" s="219"/>
      <c r="BUE32" s="219"/>
      <c r="BUF32" s="219"/>
      <c r="BUG32" s="219"/>
      <c r="BUH32" s="219"/>
      <c r="BUI32" s="219"/>
      <c r="BUJ32" s="219"/>
      <c r="BUK32" s="219"/>
      <c r="BUL32" s="219"/>
      <c r="BUM32" s="219"/>
      <c r="BUN32" s="219"/>
      <c r="BUO32" s="219"/>
      <c r="BUP32" s="219"/>
      <c r="BUQ32" s="219"/>
      <c r="BUR32" s="219"/>
      <c r="BUS32" s="219"/>
      <c r="BUT32" s="219"/>
      <c r="BUU32" s="219"/>
      <c r="BUV32" s="219"/>
      <c r="BUW32" s="219"/>
      <c r="BUX32" s="219"/>
      <c r="BUY32" s="219"/>
      <c r="BUZ32" s="219"/>
      <c r="BVA32" s="219"/>
      <c r="BVB32" s="219"/>
      <c r="BVC32" s="219"/>
      <c r="BVD32" s="219"/>
      <c r="BVE32" s="219"/>
      <c r="BVF32" s="219"/>
      <c r="BVG32" s="219"/>
      <c r="BVH32" s="219"/>
      <c r="BVI32" s="219"/>
      <c r="BVJ32" s="219"/>
      <c r="BVK32" s="219"/>
      <c r="BVL32" s="219"/>
      <c r="BVM32" s="219"/>
      <c r="BVN32" s="219"/>
      <c r="BVO32" s="219"/>
      <c r="BVP32" s="219"/>
      <c r="BVQ32" s="219"/>
      <c r="BVR32" s="219"/>
      <c r="BVS32" s="219"/>
      <c r="BVT32" s="219"/>
      <c r="BVU32" s="219"/>
      <c r="BVV32" s="219"/>
      <c r="BVW32" s="219"/>
      <c r="BVX32" s="219"/>
      <c r="BVY32" s="219"/>
      <c r="BVZ32" s="219"/>
      <c r="BWA32" s="219"/>
      <c r="BWB32" s="219"/>
      <c r="BWC32" s="219"/>
      <c r="BWD32" s="219"/>
      <c r="BWE32" s="219"/>
      <c r="BWF32" s="219"/>
      <c r="BWG32" s="219"/>
      <c r="BWH32" s="219"/>
      <c r="BWI32" s="219"/>
      <c r="BWJ32" s="219"/>
      <c r="BWK32" s="219"/>
      <c r="BWL32" s="219"/>
      <c r="BWM32" s="219"/>
      <c r="BWN32" s="219"/>
      <c r="BWO32" s="219"/>
      <c r="BWP32" s="219"/>
      <c r="BWQ32" s="219"/>
      <c r="BWR32" s="219"/>
      <c r="BWS32" s="219"/>
      <c r="BWT32" s="219"/>
      <c r="BWU32" s="219"/>
      <c r="BWV32" s="219"/>
      <c r="BWW32" s="219"/>
      <c r="BWX32" s="219"/>
      <c r="BWY32" s="219"/>
      <c r="BWZ32" s="219"/>
      <c r="BXA32" s="219"/>
      <c r="BXB32" s="219"/>
      <c r="BXC32" s="219"/>
      <c r="BXD32" s="219"/>
      <c r="BXE32" s="219"/>
      <c r="BXF32" s="219"/>
      <c r="BXG32" s="219"/>
      <c r="BXH32" s="219"/>
      <c r="BXI32" s="219"/>
      <c r="BXJ32" s="219"/>
      <c r="BXK32" s="219"/>
      <c r="BXL32" s="219"/>
      <c r="BXM32" s="219"/>
      <c r="BXN32" s="219"/>
      <c r="BXO32" s="219"/>
      <c r="BXP32" s="219"/>
      <c r="BXQ32" s="219"/>
      <c r="BXR32" s="219"/>
      <c r="BXS32" s="219"/>
      <c r="BXT32" s="219"/>
      <c r="BXU32" s="219"/>
      <c r="BXV32" s="219"/>
      <c r="BXW32" s="219"/>
      <c r="BXX32" s="219"/>
      <c r="BXY32" s="219"/>
      <c r="BXZ32" s="219"/>
      <c r="BYA32" s="219"/>
      <c r="BYB32" s="219"/>
      <c r="BYC32" s="219"/>
      <c r="BYD32" s="219"/>
      <c r="BYE32" s="219"/>
      <c r="BYF32" s="219"/>
      <c r="BYG32" s="219"/>
    </row>
    <row r="33" spans="1:2009" s="94" customFormat="1" ht="17.25" customHeight="1" thickBot="1" x14ac:dyDescent="0.3">
      <c r="A33" s="111"/>
      <c r="B33" s="111"/>
      <c r="C33" s="176"/>
      <c r="D33" s="176"/>
      <c r="E33" s="176"/>
      <c r="F33" s="176"/>
      <c r="G33" s="698"/>
    </row>
    <row r="34" spans="1:2009" s="113" customFormat="1" ht="24.95" hidden="1" customHeight="1" x14ac:dyDescent="0.25">
      <c r="A34" s="141" t="s">
        <v>41</v>
      </c>
      <c r="B34" s="142"/>
      <c r="C34" s="185"/>
      <c r="D34" s="185"/>
      <c r="E34" s="186"/>
      <c r="F34" s="186"/>
      <c r="G34" s="705"/>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703"/>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20" customFormat="1" ht="24.95" hidden="1" customHeight="1" thickBot="1" x14ac:dyDescent="0.3">
      <c r="A36" s="221"/>
      <c r="B36" s="216" t="s">
        <v>74</v>
      </c>
      <c r="C36" s="217"/>
      <c r="D36" s="217"/>
      <c r="E36" s="217"/>
      <c r="F36" s="217"/>
      <c r="G36" s="704"/>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c r="IX36" s="219"/>
      <c r="IY36" s="219"/>
      <c r="IZ36" s="219"/>
      <c r="JA36" s="219"/>
      <c r="JB36" s="219"/>
      <c r="JC36" s="219"/>
      <c r="JD36" s="219"/>
      <c r="JE36" s="219"/>
      <c r="JF36" s="219"/>
      <c r="JG36" s="219"/>
      <c r="JH36" s="219"/>
      <c r="JI36" s="219"/>
      <c r="JJ36" s="219"/>
      <c r="JK36" s="219"/>
      <c r="JL36" s="219"/>
      <c r="JM36" s="219"/>
      <c r="JN36" s="219"/>
      <c r="JO36" s="219"/>
      <c r="JP36" s="219"/>
      <c r="JQ36" s="219"/>
      <c r="JR36" s="219"/>
      <c r="JS36" s="219"/>
      <c r="JT36" s="219"/>
      <c r="JU36" s="219"/>
      <c r="JV36" s="219"/>
      <c r="JW36" s="219"/>
      <c r="JX36" s="219"/>
      <c r="JY36" s="219"/>
      <c r="JZ36" s="219"/>
      <c r="KA36" s="219"/>
      <c r="KB36" s="219"/>
      <c r="KC36" s="219"/>
      <c r="KD36" s="219"/>
      <c r="KE36" s="219"/>
      <c r="KF36" s="219"/>
      <c r="KG36" s="219"/>
      <c r="KH36" s="219"/>
      <c r="KI36" s="219"/>
      <c r="KJ36" s="219"/>
      <c r="KK36" s="219"/>
      <c r="KL36" s="219"/>
      <c r="KM36" s="219"/>
      <c r="KN36" s="219"/>
      <c r="KO36" s="219"/>
      <c r="KP36" s="219"/>
      <c r="KQ36" s="219"/>
      <c r="KR36" s="219"/>
      <c r="KS36" s="219"/>
      <c r="KT36" s="219"/>
      <c r="KU36" s="219"/>
      <c r="KV36" s="219"/>
      <c r="KW36" s="219"/>
      <c r="KX36" s="219"/>
      <c r="KY36" s="219"/>
      <c r="KZ36" s="219"/>
      <c r="LA36" s="219"/>
      <c r="LB36" s="219"/>
      <c r="LC36" s="219"/>
      <c r="LD36" s="219"/>
      <c r="LE36" s="219"/>
      <c r="LF36" s="219"/>
      <c r="LG36" s="219"/>
      <c r="LH36" s="219"/>
      <c r="LI36" s="219"/>
      <c r="LJ36" s="219"/>
      <c r="LK36" s="219"/>
      <c r="LL36" s="219"/>
      <c r="LM36" s="219"/>
      <c r="LN36" s="219"/>
      <c r="LO36" s="219"/>
      <c r="LP36" s="219"/>
      <c r="LQ36" s="219"/>
      <c r="LR36" s="219"/>
      <c r="LS36" s="219"/>
      <c r="LT36" s="219"/>
      <c r="LU36" s="219"/>
      <c r="LV36" s="219"/>
      <c r="LW36" s="219"/>
      <c r="LX36" s="219"/>
      <c r="LY36" s="219"/>
      <c r="LZ36" s="219"/>
      <c r="MA36" s="219"/>
      <c r="MB36" s="219"/>
      <c r="MC36" s="219"/>
      <c r="MD36" s="219"/>
      <c r="ME36" s="219"/>
      <c r="MF36" s="219"/>
      <c r="MG36" s="219"/>
      <c r="MH36" s="219"/>
      <c r="MI36" s="219"/>
      <c r="MJ36" s="219"/>
      <c r="MK36" s="219"/>
      <c r="ML36" s="219"/>
      <c r="MM36" s="219"/>
      <c r="MN36" s="219"/>
      <c r="MO36" s="219"/>
      <c r="MP36" s="219"/>
      <c r="MQ36" s="219"/>
      <c r="MR36" s="219"/>
      <c r="MS36" s="219"/>
      <c r="MT36" s="219"/>
      <c r="MU36" s="219"/>
      <c r="MV36" s="219"/>
      <c r="MW36" s="219"/>
      <c r="MX36" s="219"/>
      <c r="MY36" s="219"/>
      <c r="MZ36" s="219"/>
      <c r="NA36" s="219"/>
      <c r="NB36" s="219"/>
      <c r="NC36" s="219"/>
      <c r="ND36" s="219"/>
      <c r="NE36" s="219"/>
      <c r="NF36" s="219"/>
      <c r="NG36" s="219"/>
      <c r="NH36" s="219"/>
      <c r="NI36" s="219"/>
      <c r="NJ36" s="219"/>
      <c r="NK36" s="219"/>
      <c r="NL36" s="219"/>
      <c r="NM36" s="219"/>
      <c r="NN36" s="219"/>
      <c r="NO36" s="219"/>
      <c r="NP36" s="219"/>
      <c r="NQ36" s="219"/>
      <c r="NR36" s="219"/>
      <c r="NS36" s="219"/>
      <c r="NT36" s="219"/>
      <c r="NU36" s="219"/>
      <c r="NV36" s="219"/>
      <c r="NW36" s="219"/>
      <c r="NX36" s="219"/>
      <c r="NY36" s="219"/>
      <c r="NZ36" s="219"/>
      <c r="OA36" s="219"/>
      <c r="OB36" s="219"/>
      <c r="OC36" s="219"/>
      <c r="OD36" s="219"/>
      <c r="OE36" s="219"/>
      <c r="OF36" s="219"/>
      <c r="OG36" s="219"/>
      <c r="OH36" s="219"/>
      <c r="OI36" s="219"/>
      <c r="OJ36" s="219"/>
      <c r="OK36" s="219"/>
      <c r="OL36" s="219"/>
      <c r="OM36" s="219"/>
      <c r="ON36" s="219"/>
      <c r="OO36" s="219"/>
      <c r="OP36" s="219"/>
      <c r="OQ36" s="219"/>
      <c r="OR36" s="219"/>
      <c r="OS36" s="219"/>
      <c r="OT36" s="219"/>
      <c r="OU36" s="219"/>
      <c r="OV36" s="219"/>
      <c r="OW36" s="219"/>
      <c r="OX36" s="219"/>
      <c r="OY36" s="219"/>
      <c r="OZ36" s="219"/>
      <c r="PA36" s="219"/>
      <c r="PB36" s="219"/>
      <c r="PC36" s="219"/>
      <c r="PD36" s="219"/>
      <c r="PE36" s="219"/>
      <c r="PF36" s="219"/>
      <c r="PG36" s="219"/>
      <c r="PH36" s="219"/>
      <c r="PI36" s="219"/>
      <c r="PJ36" s="219"/>
      <c r="PK36" s="219"/>
      <c r="PL36" s="219"/>
      <c r="PM36" s="219"/>
      <c r="PN36" s="219"/>
      <c r="PO36" s="219"/>
      <c r="PP36" s="219"/>
      <c r="PQ36" s="219"/>
      <c r="PR36" s="219"/>
      <c r="PS36" s="219"/>
      <c r="PT36" s="219"/>
      <c r="PU36" s="219"/>
      <c r="PV36" s="219"/>
      <c r="PW36" s="219"/>
      <c r="PX36" s="219"/>
      <c r="PY36" s="219"/>
      <c r="PZ36" s="219"/>
      <c r="QA36" s="219"/>
      <c r="QB36" s="219"/>
      <c r="QC36" s="219"/>
      <c r="QD36" s="219"/>
      <c r="QE36" s="219"/>
      <c r="QF36" s="219"/>
      <c r="QG36" s="219"/>
      <c r="QH36" s="219"/>
      <c r="QI36" s="219"/>
      <c r="QJ36" s="219"/>
      <c r="QK36" s="219"/>
      <c r="QL36" s="219"/>
      <c r="QM36" s="219"/>
      <c r="QN36" s="219"/>
      <c r="QO36" s="219"/>
      <c r="QP36" s="219"/>
      <c r="QQ36" s="219"/>
      <c r="QR36" s="219"/>
      <c r="QS36" s="219"/>
      <c r="QT36" s="219"/>
      <c r="QU36" s="219"/>
      <c r="QV36" s="219"/>
      <c r="QW36" s="219"/>
      <c r="QX36" s="219"/>
      <c r="QY36" s="219"/>
      <c r="QZ36" s="219"/>
      <c r="RA36" s="219"/>
      <c r="RB36" s="219"/>
      <c r="RC36" s="219"/>
      <c r="RD36" s="219"/>
      <c r="RE36" s="219"/>
      <c r="RF36" s="219"/>
      <c r="RG36" s="219"/>
      <c r="RH36" s="219"/>
      <c r="RI36" s="219"/>
      <c r="RJ36" s="219"/>
      <c r="RK36" s="219"/>
      <c r="RL36" s="219"/>
      <c r="RM36" s="219"/>
      <c r="RN36" s="219"/>
      <c r="RO36" s="219"/>
      <c r="RP36" s="219"/>
      <c r="RQ36" s="219"/>
      <c r="RR36" s="219"/>
      <c r="RS36" s="219"/>
      <c r="RT36" s="219"/>
      <c r="RU36" s="219"/>
      <c r="RV36" s="219"/>
      <c r="RW36" s="219"/>
      <c r="RX36" s="219"/>
      <c r="RY36" s="219"/>
      <c r="RZ36" s="219"/>
      <c r="SA36" s="219"/>
      <c r="SB36" s="219"/>
      <c r="SC36" s="219"/>
      <c r="SD36" s="219"/>
      <c r="SE36" s="219"/>
      <c r="SF36" s="219"/>
      <c r="SG36" s="219"/>
      <c r="SH36" s="219"/>
      <c r="SI36" s="219"/>
      <c r="SJ36" s="219"/>
      <c r="SK36" s="219"/>
      <c r="SL36" s="219"/>
      <c r="SM36" s="219"/>
      <c r="SN36" s="219"/>
      <c r="SO36" s="219"/>
      <c r="SP36" s="219"/>
      <c r="SQ36" s="219"/>
      <c r="SR36" s="219"/>
      <c r="SS36" s="219"/>
      <c r="ST36" s="219"/>
      <c r="SU36" s="219"/>
      <c r="SV36" s="219"/>
      <c r="SW36" s="219"/>
      <c r="SX36" s="219"/>
      <c r="SY36" s="219"/>
      <c r="SZ36" s="219"/>
      <c r="TA36" s="219"/>
      <c r="TB36" s="219"/>
      <c r="TC36" s="219"/>
      <c r="TD36" s="219"/>
      <c r="TE36" s="219"/>
      <c r="TF36" s="219"/>
      <c r="TG36" s="219"/>
      <c r="TH36" s="219"/>
      <c r="TI36" s="219"/>
      <c r="TJ36" s="219"/>
      <c r="TK36" s="219"/>
      <c r="TL36" s="219"/>
      <c r="TM36" s="219"/>
      <c r="TN36" s="219"/>
      <c r="TO36" s="219"/>
      <c r="TP36" s="219"/>
      <c r="TQ36" s="219"/>
      <c r="TR36" s="219"/>
      <c r="TS36" s="219"/>
      <c r="TT36" s="219"/>
      <c r="TU36" s="219"/>
      <c r="TV36" s="219"/>
      <c r="TW36" s="219"/>
      <c r="TX36" s="219"/>
      <c r="TY36" s="219"/>
      <c r="TZ36" s="219"/>
      <c r="UA36" s="219"/>
      <c r="UB36" s="219"/>
      <c r="UC36" s="219"/>
      <c r="UD36" s="219"/>
      <c r="UE36" s="219"/>
      <c r="UF36" s="219"/>
      <c r="UG36" s="219"/>
      <c r="UH36" s="219"/>
      <c r="UI36" s="219"/>
      <c r="UJ36" s="219"/>
      <c r="UK36" s="219"/>
      <c r="UL36" s="219"/>
      <c r="UM36" s="219"/>
      <c r="UN36" s="219"/>
      <c r="UO36" s="219"/>
      <c r="UP36" s="219"/>
      <c r="UQ36" s="219"/>
      <c r="UR36" s="219"/>
      <c r="US36" s="219"/>
      <c r="UT36" s="219"/>
      <c r="UU36" s="219"/>
      <c r="UV36" s="219"/>
      <c r="UW36" s="219"/>
      <c r="UX36" s="219"/>
      <c r="UY36" s="219"/>
      <c r="UZ36" s="219"/>
      <c r="VA36" s="219"/>
      <c r="VB36" s="219"/>
      <c r="VC36" s="219"/>
      <c r="VD36" s="219"/>
      <c r="VE36" s="219"/>
      <c r="VF36" s="219"/>
      <c r="VG36" s="219"/>
      <c r="VH36" s="219"/>
      <c r="VI36" s="219"/>
      <c r="VJ36" s="219"/>
      <c r="VK36" s="219"/>
      <c r="VL36" s="219"/>
      <c r="VM36" s="219"/>
      <c r="VN36" s="219"/>
      <c r="VO36" s="219"/>
      <c r="VP36" s="219"/>
      <c r="VQ36" s="219"/>
      <c r="VR36" s="219"/>
      <c r="VS36" s="219"/>
      <c r="VT36" s="219"/>
      <c r="VU36" s="219"/>
      <c r="VV36" s="219"/>
      <c r="VW36" s="219"/>
      <c r="VX36" s="219"/>
      <c r="VY36" s="219"/>
      <c r="VZ36" s="219"/>
      <c r="WA36" s="219"/>
      <c r="WB36" s="219"/>
      <c r="WC36" s="219"/>
      <c r="WD36" s="219"/>
      <c r="WE36" s="219"/>
      <c r="WF36" s="219"/>
      <c r="WG36" s="219"/>
      <c r="WH36" s="219"/>
      <c r="WI36" s="219"/>
      <c r="WJ36" s="219"/>
      <c r="WK36" s="219"/>
      <c r="WL36" s="219"/>
      <c r="WM36" s="219"/>
      <c r="WN36" s="219"/>
      <c r="WO36" s="219"/>
      <c r="WP36" s="219"/>
      <c r="WQ36" s="219"/>
      <c r="WR36" s="219"/>
      <c r="WS36" s="219"/>
      <c r="WT36" s="219"/>
      <c r="WU36" s="219"/>
      <c r="WV36" s="219"/>
      <c r="WW36" s="219"/>
      <c r="WX36" s="219"/>
      <c r="WY36" s="219"/>
      <c r="WZ36" s="219"/>
      <c r="XA36" s="219"/>
      <c r="XB36" s="219"/>
      <c r="XC36" s="219"/>
      <c r="XD36" s="219"/>
      <c r="XE36" s="219"/>
      <c r="XF36" s="219"/>
      <c r="XG36" s="219"/>
      <c r="XH36" s="219"/>
      <c r="XI36" s="219"/>
      <c r="XJ36" s="219"/>
      <c r="XK36" s="219"/>
      <c r="XL36" s="219"/>
      <c r="XM36" s="219"/>
      <c r="XN36" s="219"/>
      <c r="XO36" s="219"/>
      <c r="XP36" s="219"/>
      <c r="XQ36" s="219"/>
      <c r="XR36" s="219"/>
      <c r="XS36" s="219"/>
      <c r="XT36" s="219"/>
      <c r="XU36" s="219"/>
      <c r="XV36" s="219"/>
      <c r="XW36" s="219"/>
      <c r="XX36" s="219"/>
      <c r="XY36" s="219"/>
      <c r="XZ36" s="219"/>
      <c r="YA36" s="219"/>
      <c r="YB36" s="219"/>
      <c r="YC36" s="219"/>
      <c r="YD36" s="219"/>
      <c r="YE36" s="219"/>
      <c r="YF36" s="219"/>
      <c r="YG36" s="219"/>
      <c r="YH36" s="219"/>
      <c r="YI36" s="219"/>
      <c r="YJ36" s="219"/>
      <c r="YK36" s="219"/>
      <c r="YL36" s="219"/>
      <c r="YM36" s="219"/>
      <c r="YN36" s="219"/>
      <c r="YO36" s="219"/>
      <c r="YP36" s="219"/>
      <c r="YQ36" s="219"/>
      <c r="YR36" s="219"/>
      <c r="YS36" s="219"/>
      <c r="YT36" s="219"/>
      <c r="YU36" s="219"/>
      <c r="YV36" s="219"/>
      <c r="YW36" s="219"/>
      <c r="YX36" s="219"/>
      <c r="YY36" s="219"/>
      <c r="YZ36" s="219"/>
      <c r="ZA36" s="219"/>
      <c r="ZB36" s="219"/>
      <c r="ZC36" s="219"/>
      <c r="ZD36" s="219"/>
      <c r="ZE36" s="219"/>
      <c r="ZF36" s="219"/>
      <c r="ZG36" s="219"/>
      <c r="ZH36" s="219"/>
      <c r="ZI36" s="219"/>
      <c r="ZJ36" s="219"/>
      <c r="ZK36" s="219"/>
      <c r="ZL36" s="219"/>
      <c r="ZM36" s="219"/>
      <c r="ZN36" s="219"/>
      <c r="ZO36" s="219"/>
      <c r="ZP36" s="219"/>
      <c r="ZQ36" s="219"/>
      <c r="ZR36" s="219"/>
      <c r="ZS36" s="219"/>
      <c r="ZT36" s="219"/>
      <c r="ZU36" s="219"/>
      <c r="ZV36" s="219"/>
      <c r="ZW36" s="219"/>
      <c r="ZX36" s="219"/>
      <c r="ZY36" s="219"/>
      <c r="ZZ36" s="219"/>
      <c r="AAA36" s="219"/>
      <c r="AAB36" s="219"/>
      <c r="AAC36" s="219"/>
      <c r="AAD36" s="219"/>
      <c r="AAE36" s="219"/>
      <c r="AAF36" s="219"/>
      <c r="AAG36" s="219"/>
      <c r="AAH36" s="219"/>
      <c r="AAI36" s="219"/>
      <c r="AAJ36" s="219"/>
      <c r="AAK36" s="219"/>
      <c r="AAL36" s="219"/>
      <c r="AAM36" s="219"/>
      <c r="AAN36" s="219"/>
      <c r="AAO36" s="219"/>
      <c r="AAP36" s="219"/>
      <c r="AAQ36" s="219"/>
      <c r="AAR36" s="219"/>
      <c r="AAS36" s="219"/>
      <c r="AAT36" s="219"/>
      <c r="AAU36" s="219"/>
      <c r="AAV36" s="219"/>
      <c r="AAW36" s="219"/>
      <c r="AAX36" s="219"/>
      <c r="AAY36" s="219"/>
      <c r="AAZ36" s="219"/>
      <c r="ABA36" s="219"/>
      <c r="ABB36" s="219"/>
      <c r="ABC36" s="219"/>
      <c r="ABD36" s="219"/>
      <c r="ABE36" s="219"/>
      <c r="ABF36" s="219"/>
      <c r="ABG36" s="219"/>
      <c r="ABH36" s="219"/>
      <c r="ABI36" s="219"/>
      <c r="ABJ36" s="219"/>
      <c r="ABK36" s="219"/>
      <c r="ABL36" s="219"/>
      <c r="ABM36" s="219"/>
      <c r="ABN36" s="219"/>
      <c r="ABO36" s="219"/>
      <c r="ABP36" s="219"/>
      <c r="ABQ36" s="219"/>
      <c r="ABR36" s="219"/>
      <c r="ABS36" s="219"/>
      <c r="ABT36" s="219"/>
      <c r="ABU36" s="219"/>
      <c r="ABV36" s="219"/>
      <c r="ABW36" s="219"/>
      <c r="ABX36" s="219"/>
      <c r="ABY36" s="219"/>
      <c r="ABZ36" s="219"/>
      <c r="ACA36" s="219"/>
      <c r="ACB36" s="219"/>
      <c r="ACC36" s="219"/>
      <c r="ACD36" s="219"/>
      <c r="ACE36" s="219"/>
      <c r="ACF36" s="219"/>
      <c r="ACG36" s="219"/>
      <c r="ACH36" s="219"/>
      <c r="ACI36" s="219"/>
      <c r="ACJ36" s="219"/>
      <c r="ACK36" s="219"/>
      <c r="ACL36" s="219"/>
      <c r="ACM36" s="219"/>
      <c r="ACN36" s="219"/>
      <c r="ACO36" s="219"/>
      <c r="ACP36" s="219"/>
      <c r="ACQ36" s="219"/>
      <c r="ACR36" s="219"/>
      <c r="ACS36" s="219"/>
      <c r="ACT36" s="219"/>
      <c r="ACU36" s="219"/>
      <c r="ACV36" s="219"/>
      <c r="ACW36" s="219"/>
      <c r="ACX36" s="219"/>
      <c r="ACY36" s="219"/>
      <c r="ACZ36" s="219"/>
      <c r="ADA36" s="219"/>
      <c r="ADB36" s="219"/>
      <c r="ADC36" s="219"/>
      <c r="ADD36" s="219"/>
      <c r="ADE36" s="219"/>
      <c r="ADF36" s="219"/>
      <c r="ADG36" s="219"/>
      <c r="ADH36" s="219"/>
      <c r="ADI36" s="219"/>
      <c r="ADJ36" s="219"/>
      <c r="ADK36" s="219"/>
      <c r="ADL36" s="219"/>
      <c r="ADM36" s="219"/>
      <c r="ADN36" s="219"/>
      <c r="ADO36" s="219"/>
      <c r="ADP36" s="219"/>
      <c r="ADQ36" s="219"/>
      <c r="ADR36" s="219"/>
      <c r="ADS36" s="219"/>
      <c r="ADT36" s="219"/>
      <c r="ADU36" s="219"/>
      <c r="ADV36" s="219"/>
      <c r="ADW36" s="219"/>
      <c r="ADX36" s="219"/>
      <c r="ADY36" s="219"/>
      <c r="ADZ36" s="219"/>
      <c r="AEA36" s="219"/>
      <c r="AEB36" s="219"/>
      <c r="AEC36" s="219"/>
      <c r="AED36" s="219"/>
      <c r="AEE36" s="219"/>
      <c r="AEF36" s="219"/>
      <c r="AEG36" s="219"/>
      <c r="AEH36" s="219"/>
      <c r="AEI36" s="219"/>
      <c r="AEJ36" s="219"/>
      <c r="AEK36" s="219"/>
      <c r="AEL36" s="219"/>
      <c r="AEM36" s="219"/>
      <c r="AEN36" s="219"/>
      <c r="AEO36" s="219"/>
      <c r="AEP36" s="219"/>
      <c r="AEQ36" s="219"/>
      <c r="AER36" s="219"/>
      <c r="AES36" s="219"/>
      <c r="AET36" s="219"/>
      <c r="AEU36" s="219"/>
      <c r="AEV36" s="219"/>
      <c r="AEW36" s="219"/>
      <c r="AEX36" s="219"/>
      <c r="AEY36" s="219"/>
      <c r="AEZ36" s="219"/>
      <c r="AFA36" s="219"/>
      <c r="AFB36" s="219"/>
      <c r="AFC36" s="219"/>
      <c r="AFD36" s="219"/>
      <c r="AFE36" s="219"/>
      <c r="AFF36" s="219"/>
      <c r="AFG36" s="219"/>
      <c r="AFH36" s="219"/>
      <c r="AFI36" s="219"/>
      <c r="AFJ36" s="219"/>
      <c r="AFK36" s="219"/>
      <c r="AFL36" s="219"/>
      <c r="AFM36" s="219"/>
      <c r="AFN36" s="219"/>
      <c r="AFO36" s="219"/>
      <c r="AFP36" s="219"/>
      <c r="AFQ36" s="219"/>
      <c r="AFR36" s="219"/>
      <c r="AFS36" s="219"/>
      <c r="AFT36" s="219"/>
      <c r="AFU36" s="219"/>
      <c r="AFV36" s="219"/>
      <c r="AFW36" s="219"/>
      <c r="AFX36" s="219"/>
      <c r="AFY36" s="219"/>
      <c r="AFZ36" s="219"/>
      <c r="AGA36" s="219"/>
      <c r="AGB36" s="219"/>
      <c r="AGC36" s="219"/>
      <c r="AGD36" s="219"/>
      <c r="AGE36" s="219"/>
      <c r="AGF36" s="219"/>
      <c r="AGG36" s="219"/>
      <c r="AGH36" s="219"/>
      <c r="AGI36" s="219"/>
      <c r="AGJ36" s="219"/>
      <c r="AGK36" s="219"/>
      <c r="AGL36" s="219"/>
      <c r="AGM36" s="219"/>
      <c r="AGN36" s="219"/>
      <c r="AGO36" s="219"/>
      <c r="AGP36" s="219"/>
      <c r="AGQ36" s="219"/>
      <c r="AGR36" s="219"/>
      <c r="AGS36" s="219"/>
      <c r="AGT36" s="219"/>
      <c r="AGU36" s="219"/>
      <c r="AGV36" s="219"/>
      <c r="AGW36" s="219"/>
      <c r="AGX36" s="219"/>
      <c r="AGY36" s="219"/>
      <c r="AGZ36" s="219"/>
      <c r="AHA36" s="219"/>
      <c r="AHB36" s="219"/>
      <c r="AHC36" s="219"/>
      <c r="AHD36" s="219"/>
      <c r="AHE36" s="219"/>
      <c r="AHF36" s="219"/>
      <c r="AHG36" s="219"/>
      <c r="AHH36" s="219"/>
      <c r="AHI36" s="219"/>
      <c r="AHJ36" s="219"/>
      <c r="AHK36" s="219"/>
      <c r="AHL36" s="219"/>
      <c r="AHM36" s="219"/>
      <c r="AHN36" s="219"/>
      <c r="AHO36" s="219"/>
      <c r="AHP36" s="219"/>
      <c r="AHQ36" s="219"/>
      <c r="AHR36" s="219"/>
      <c r="AHS36" s="219"/>
      <c r="AHT36" s="219"/>
      <c r="AHU36" s="219"/>
      <c r="AHV36" s="219"/>
      <c r="AHW36" s="219"/>
      <c r="AHX36" s="219"/>
      <c r="AHY36" s="219"/>
      <c r="AHZ36" s="219"/>
      <c r="AIA36" s="219"/>
      <c r="AIB36" s="219"/>
      <c r="AIC36" s="219"/>
      <c r="AID36" s="219"/>
      <c r="AIE36" s="219"/>
      <c r="AIF36" s="219"/>
      <c r="AIG36" s="219"/>
      <c r="AIH36" s="219"/>
      <c r="AII36" s="219"/>
      <c r="AIJ36" s="219"/>
      <c r="AIK36" s="219"/>
      <c r="AIL36" s="219"/>
      <c r="AIM36" s="219"/>
      <c r="AIN36" s="219"/>
      <c r="AIO36" s="219"/>
      <c r="AIP36" s="219"/>
      <c r="AIQ36" s="219"/>
      <c r="AIR36" s="219"/>
      <c r="AIS36" s="219"/>
      <c r="AIT36" s="219"/>
      <c r="AIU36" s="219"/>
      <c r="AIV36" s="219"/>
      <c r="AIW36" s="219"/>
      <c r="AIX36" s="219"/>
      <c r="AIY36" s="219"/>
      <c r="AIZ36" s="219"/>
      <c r="AJA36" s="219"/>
      <c r="AJB36" s="219"/>
      <c r="AJC36" s="219"/>
      <c r="AJD36" s="219"/>
      <c r="AJE36" s="219"/>
      <c r="AJF36" s="219"/>
      <c r="AJG36" s="219"/>
      <c r="AJH36" s="219"/>
      <c r="AJI36" s="219"/>
      <c r="AJJ36" s="219"/>
      <c r="AJK36" s="219"/>
      <c r="AJL36" s="219"/>
      <c r="AJM36" s="219"/>
      <c r="AJN36" s="219"/>
      <c r="AJO36" s="219"/>
      <c r="AJP36" s="219"/>
      <c r="AJQ36" s="219"/>
      <c r="AJR36" s="219"/>
      <c r="AJS36" s="219"/>
      <c r="AJT36" s="219"/>
      <c r="AJU36" s="219"/>
      <c r="AJV36" s="219"/>
      <c r="AJW36" s="219"/>
      <c r="AJX36" s="219"/>
      <c r="AJY36" s="219"/>
      <c r="AJZ36" s="219"/>
      <c r="AKA36" s="219"/>
      <c r="AKB36" s="219"/>
      <c r="AKC36" s="219"/>
      <c r="AKD36" s="219"/>
      <c r="AKE36" s="219"/>
      <c r="AKF36" s="219"/>
      <c r="AKG36" s="219"/>
      <c r="AKH36" s="219"/>
      <c r="AKI36" s="219"/>
      <c r="AKJ36" s="219"/>
      <c r="AKK36" s="219"/>
      <c r="AKL36" s="219"/>
      <c r="AKM36" s="219"/>
      <c r="AKN36" s="219"/>
      <c r="AKO36" s="219"/>
      <c r="AKP36" s="219"/>
      <c r="AKQ36" s="219"/>
      <c r="AKR36" s="219"/>
      <c r="AKS36" s="219"/>
      <c r="AKT36" s="219"/>
      <c r="AKU36" s="219"/>
      <c r="AKV36" s="219"/>
      <c r="AKW36" s="219"/>
      <c r="AKX36" s="219"/>
      <c r="AKY36" s="219"/>
      <c r="AKZ36" s="219"/>
      <c r="ALA36" s="219"/>
      <c r="ALB36" s="219"/>
      <c r="ALC36" s="219"/>
      <c r="ALD36" s="219"/>
      <c r="ALE36" s="219"/>
      <c r="ALF36" s="219"/>
      <c r="ALG36" s="219"/>
      <c r="ALH36" s="219"/>
      <c r="ALI36" s="219"/>
      <c r="ALJ36" s="219"/>
      <c r="ALK36" s="219"/>
      <c r="ALL36" s="219"/>
      <c r="ALM36" s="219"/>
      <c r="ALN36" s="219"/>
      <c r="ALO36" s="219"/>
      <c r="ALP36" s="219"/>
      <c r="ALQ36" s="219"/>
      <c r="ALR36" s="219"/>
      <c r="ALS36" s="219"/>
      <c r="ALT36" s="219"/>
      <c r="ALU36" s="219"/>
      <c r="ALV36" s="219"/>
      <c r="ALW36" s="219"/>
      <c r="ALX36" s="219"/>
      <c r="ALY36" s="219"/>
      <c r="ALZ36" s="219"/>
      <c r="AMA36" s="219"/>
      <c r="AMB36" s="219"/>
      <c r="AMC36" s="219"/>
      <c r="AMD36" s="219"/>
      <c r="AME36" s="219"/>
      <c r="AMF36" s="219"/>
      <c r="AMG36" s="219"/>
      <c r="AMH36" s="219"/>
      <c r="AMI36" s="219"/>
      <c r="AMJ36" s="219"/>
      <c r="AMK36" s="219"/>
      <c r="AML36" s="219"/>
      <c r="AMM36" s="219"/>
      <c r="AMN36" s="219"/>
      <c r="AMO36" s="219"/>
      <c r="AMP36" s="219"/>
      <c r="AMQ36" s="219"/>
      <c r="AMR36" s="219"/>
      <c r="AMS36" s="219"/>
      <c r="AMT36" s="219"/>
      <c r="AMU36" s="219"/>
      <c r="AMV36" s="219"/>
      <c r="AMW36" s="219"/>
      <c r="AMX36" s="219"/>
      <c r="AMY36" s="219"/>
      <c r="AMZ36" s="219"/>
      <c r="ANA36" s="219"/>
      <c r="ANB36" s="219"/>
      <c r="ANC36" s="219"/>
      <c r="AND36" s="219"/>
      <c r="ANE36" s="219"/>
      <c r="ANF36" s="219"/>
      <c r="ANG36" s="219"/>
      <c r="ANH36" s="219"/>
      <c r="ANI36" s="219"/>
      <c r="ANJ36" s="219"/>
      <c r="ANK36" s="219"/>
      <c r="ANL36" s="219"/>
      <c r="ANM36" s="219"/>
      <c r="ANN36" s="219"/>
      <c r="ANO36" s="219"/>
      <c r="ANP36" s="219"/>
      <c r="ANQ36" s="219"/>
      <c r="ANR36" s="219"/>
      <c r="ANS36" s="219"/>
      <c r="ANT36" s="219"/>
      <c r="ANU36" s="219"/>
      <c r="ANV36" s="219"/>
      <c r="ANW36" s="219"/>
      <c r="ANX36" s="219"/>
      <c r="ANY36" s="219"/>
      <c r="ANZ36" s="219"/>
      <c r="AOA36" s="219"/>
      <c r="AOB36" s="219"/>
      <c r="AOC36" s="219"/>
      <c r="AOD36" s="219"/>
      <c r="AOE36" s="219"/>
      <c r="AOF36" s="219"/>
      <c r="AOG36" s="219"/>
      <c r="AOH36" s="219"/>
      <c r="AOI36" s="219"/>
      <c r="AOJ36" s="219"/>
      <c r="AOK36" s="219"/>
      <c r="AOL36" s="219"/>
      <c r="AOM36" s="219"/>
      <c r="AON36" s="219"/>
      <c r="AOO36" s="219"/>
      <c r="AOP36" s="219"/>
      <c r="AOQ36" s="219"/>
      <c r="AOR36" s="219"/>
      <c r="AOS36" s="219"/>
      <c r="AOT36" s="219"/>
      <c r="AOU36" s="219"/>
      <c r="AOV36" s="219"/>
      <c r="AOW36" s="219"/>
      <c r="AOX36" s="219"/>
      <c r="AOY36" s="219"/>
      <c r="AOZ36" s="219"/>
      <c r="APA36" s="219"/>
      <c r="APB36" s="219"/>
      <c r="APC36" s="219"/>
      <c r="APD36" s="219"/>
      <c r="APE36" s="219"/>
      <c r="APF36" s="219"/>
      <c r="APG36" s="219"/>
      <c r="APH36" s="219"/>
      <c r="API36" s="219"/>
      <c r="APJ36" s="219"/>
      <c r="APK36" s="219"/>
      <c r="APL36" s="219"/>
      <c r="APM36" s="219"/>
      <c r="APN36" s="219"/>
      <c r="APO36" s="219"/>
      <c r="APP36" s="219"/>
      <c r="APQ36" s="219"/>
      <c r="APR36" s="219"/>
      <c r="APS36" s="219"/>
      <c r="APT36" s="219"/>
      <c r="APU36" s="219"/>
      <c r="APV36" s="219"/>
      <c r="APW36" s="219"/>
      <c r="APX36" s="219"/>
      <c r="APY36" s="219"/>
      <c r="APZ36" s="219"/>
      <c r="AQA36" s="219"/>
      <c r="AQB36" s="219"/>
      <c r="AQC36" s="219"/>
      <c r="AQD36" s="219"/>
      <c r="AQE36" s="219"/>
      <c r="AQF36" s="219"/>
      <c r="AQG36" s="219"/>
      <c r="AQH36" s="219"/>
      <c r="AQI36" s="219"/>
      <c r="AQJ36" s="219"/>
      <c r="AQK36" s="219"/>
      <c r="AQL36" s="219"/>
      <c r="AQM36" s="219"/>
      <c r="AQN36" s="219"/>
      <c r="AQO36" s="219"/>
      <c r="AQP36" s="219"/>
      <c r="AQQ36" s="219"/>
      <c r="AQR36" s="219"/>
      <c r="AQS36" s="219"/>
      <c r="AQT36" s="219"/>
      <c r="AQU36" s="219"/>
      <c r="AQV36" s="219"/>
      <c r="AQW36" s="219"/>
      <c r="AQX36" s="219"/>
      <c r="AQY36" s="219"/>
      <c r="AQZ36" s="219"/>
      <c r="ARA36" s="219"/>
      <c r="ARB36" s="219"/>
      <c r="ARC36" s="219"/>
      <c r="ARD36" s="219"/>
      <c r="ARE36" s="219"/>
      <c r="ARF36" s="219"/>
      <c r="ARG36" s="219"/>
      <c r="ARH36" s="219"/>
      <c r="ARI36" s="219"/>
      <c r="ARJ36" s="219"/>
      <c r="ARK36" s="219"/>
      <c r="ARL36" s="219"/>
      <c r="ARM36" s="219"/>
      <c r="ARN36" s="219"/>
      <c r="ARO36" s="219"/>
      <c r="ARP36" s="219"/>
      <c r="ARQ36" s="219"/>
      <c r="ARR36" s="219"/>
      <c r="ARS36" s="219"/>
      <c r="ART36" s="219"/>
      <c r="ARU36" s="219"/>
      <c r="ARV36" s="219"/>
      <c r="ARW36" s="219"/>
      <c r="ARX36" s="219"/>
      <c r="ARY36" s="219"/>
      <c r="ARZ36" s="219"/>
      <c r="ASA36" s="219"/>
      <c r="ASB36" s="219"/>
      <c r="ASC36" s="219"/>
      <c r="ASD36" s="219"/>
      <c r="ASE36" s="219"/>
      <c r="ASF36" s="219"/>
      <c r="ASG36" s="219"/>
      <c r="ASH36" s="219"/>
      <c r="ASI36" s="219"/>
      <c r="ASJ36" s="219"/>
      <c r="ASK36" s="219"/>
      <c r="ASL36" s="219"/>
      <c r="ASM36" s="219"/>
      <c r="ASN36" s="219"/>
      <c r="ASO36" s="219"/>
      <c r="ASP36" s="219"/>
      <c r="ASQ36" s="219"/>
      <c r="ASR36" s="219"/>
      <c r="ASS36" s="219"/>
      <c r="AST36" s="219"/>
      <c r="ASU36" s="219"/>
      <c r="ASV36" s="219"/>
      <c r="ASW36" s="219"/>
      <c r="ASX36" s="219"/>
      <c r="ASY36" s="219"/>
      <c r="ASZ36" s="219"/>
      <c r="ATA36" s="219"/>
      <c r="ATB36" s="219"/>
      <c r="ATC36" s="219"/>
      <c r="ATD36" s="219"/>
      <c r="ATE36" s="219"/>
      <c r="ATF36" s="219"/>
      <c r="ATG36" s="219"/>
      <c r="ATH36" s="219"/>
      <c r="ATI36" s="219"/>
      <c r="ATJ36" s="219"/>
      <c r="ATK36" s="219"/>
      <c r="ATL36" s="219"/>
      <c r="ATM36" s="219"/>
      <c r="ATN36" s="219"/>
      <c r="ATO36" s="219"/>
      <c r="ATP36" s="219"/>
      <c r="ATQ36" s="219"/>
      <c r="ATR36" s="219"/>
      <c r="ATS36" s="219"/>
      <c r="ATT36" s="219"/>
      <c r="ATU36" s="219"/>
      <c r="ATV36" s="219"/>
      <c r="ATW36" s="219"/>
      <c r="ATX36" s="219"/>
      <c r="ATY36" s="219"/>
      <c r="ATZ36" s="219"/>
      <c r="AUA36" s="219"/>
      <c r="AUB36" s="219"/>
      <c r="AUC36" s="219"/>
      <c r="AUD36" s="219"/>
      <c r="AUE36" s="219"/>
      <c r="AUF36" s="219"/>
      <c r="AUG36" s="219"/>
      <c r="AUH36" s="219"/>
      <c r="AUI36" s="219"/>
      <c r="AUJ36" s="219"/>
      <c r="AUK36" s="219"/>
      <c r="AUL36" s="219"/>
      <c r="AUM36" s="219"/>
      <c r="AUN36" s="219"/>
      <c r="AUO36" s="219"/>
      <c r="AUP36" s="219"/>
      <c r="AUQ36" s="219"/>
      <c r="AUR36" s="219"/>
      <c r="AUS36" s="219"/>
      <c r="AUT36" s="219"/>
      <c r="AUU36" s="219"/>
      <c r="AUV36" s="219"/>
      <c r="AUW36" s="219"/>
      <c r="AUX36" s="219"/>
      <c r="AUY36" s="219"/>
      <c r="AUZ36" s="219"/>
      <c r="AVA36" s="219"/>
      <c r="AVB36" s="219"/>
      <c r="AVC36" s="219"/>
      <c r="AVD36" s="219"/>
      <c r="AVE36" s="219"/>
      <c r="AVF36" s="219"/>
      <c r="AVG36" s="219"/>
      <c r="AVH36" s="219"/>
      <c r="AVI36" s="219"/>
      <c r="AVJ36" s="219"/>
      <c r="AVK36" s="219"/>
      <c r="AVL36" s="219"/>
      <c r="AVM36" s="219"/>
      <c r="AVN36" s="219"/>
      <c r="AVO36" s="219"/>
      <c r="AVP36" s="219"/>
      <c r="AVQ36" s="219"/>
      <c r="AVR36" s="219"/>
      <c r="AVS36" s="219"/>
      <c r="AVT36" s="219"/>
      <c r="AVU36" s="219"/>
      <c r="AVV36" s="219"/>
      <c r="AVW36" s="219"/>
      <c r="AVX36" s="219"/>
      <c r="AVY36" s="219"/>
      <c r="AVZ36" s="219"/>
      <c r="AWA36" s="219"/>
      <c r="AWB36" s="219"/>
      <c r="AWC36" s="219"/>
      <c r="AWD36" s="219"/>
      <c r="AWE36" s="219"/>
      <c r="AWF36" s="219"/>
      <c r="AWG36" s="219"/>
      <c r="AWH36" s="219"/>
      <c r="AWI36" s="219"/>
      <c r="AWJ36" s="219"/>
      <c r="AWK36" s="219"/>
      <c r="AWL36" s="219"/>
      <c r="AWM36" s="219"/>
      <c r="AWN36" s="219"/>
      <c r="AWO36" s="219"/>
      <c r="AWP36" s="219"/>
      <c r="AWQ36" s="219"/>
      <c r="AWR36" s="219"/>
      <c r="AWS36" s="219"/>
      <c r="AWT36" s="219"/>
      <c r="AWU36" s="219"/>
      <c r="AWV36" s="219"/>
      <c r="AWW36" s="219"/>
      <c r="AWX36" s="219"/>
      <c r="AWY36" s="219"/>
      <c r="AWZ36" s="219"/>
      <c r="AXA36" s="219"/>
      <c r="AXB36" s="219"/>
      <c r="AXC36" s="219"/>
      <c r="AXD36" s="219"/>
      <c r="AXE36" s="219"/>
      <c r="AXF36" s="219"/>
      <c r="AXG36" s="219"/>
      <c r="AXH36" s="219"/>
      <c r="AXI36" s="219"/>
      <c r="AXJ36" s="219"/>
      <c r="AXK36" s="219"/>
      <c r="AXL36" s="219"/>
      <c r="AXM36" s="219"/>
      <c r="AXN36" s="219"/>
      <c r="AXO36" s="219"/>
      <c r="AXP36" s="219"/>
      <c r="AXQ36" s="219"/>
      <c r="AXR36" s="219"/>
      <c r="AXS36" s="219"/>
      <c r="AXT36" s="219"/>
      <c r="AXU36" s="219"/>
      <c r="AXV36" s="219"/>
      <c r="AXW36" s="219"/>
      <c r="AXX36" s="219"/>
      <c r="AXY36" s="219"/>
      <c r="AXZ36" s="219"/>
      <c r="AYA36" s="219"/>
      <c r="AYB36" s="219"/>
      <c r="AYC36" s="219"/>
      <c r="AYD36" s="219"/>
      <c r="AYE36" s="219"/>
      <c r="AYF36" s="219"/>
      <c r="AYG36" s="219"/>
      <c r="AYH36" s="219"/>
      <c r="AYI36" s="219"/>
      <c r="AYJ36" s="219"/>
      <c r="AYK36" s="219"/>
      <c r="AYL36" s="219"/>
      <c r="AYM36" s="219"/>
      <c r="AYN36" s="219"/>
      <c r="AYO36" s="219"/>
      <c r="AYP36" s="219"/>
      <c r="AYQ36" s="219"/>
      <c r="AYR36" s="219"/>
      <c r="AYS36" s="219"/>
      <c r="AYT36" s="219"/>
      <c r="AYU36" s="219"/>
      <c r="AYV36" s="219"/>
      <c r="AYW36" s="219"/>
      <c r="AYX36" s="219"/>
      <c r="AYY36" s="219"/>
      <c r="AYZ36" s="219"/>
      <c r="AZA36" s="219"/>
      <c r="AZB36" s="219"/>
      <c r="AZC36" s="219"/>
      <c r="AZD36" s="219"/>
      <c r="AZE36" s="219"/>
      <c r="AZF36" s="219"/>
      <c r="AZG36" s="219"/>
      <c r="AZH36" s="219"/>
      <c r="AZI36" s="219"/>
      <c r="AZJ36" s="219"/>
      <c r="AZK36" s="219"/>
      <c r="AZL36" s="219"/>
      <c r="AZM36" s="219"/>
      <c r="AZN36" s="219"/>
      <c r="AZO36" s="219"/>
      <c r="AZP36" s="219"/>
      <c r="AZQ36" s="219"/>
      <c r="AZR36" s="219"/>
      <c r="AZS36" s="219"/>
      <c r="AZT36" s="219"/>
      <c r="AZU36" s="219"/>
      <c r="AZV36" s="219"/>
      <c r="AZW36" s="219"/>
      <c r="AZX36" s="219"/>
      <c r="AZY36" s="219"/>
      <c r="AZZ36" s="219"/>
      <c r="BAA36" s="219"/>
      <c r="BAB36" s="219"/>
      <c r="BAC36" s="219"/>
      <c r="BAD36" s="219"/>
      <c r="BAE36" s="219"/>
      <c r="BAF36" s="219"/>
      <c r="BAG36" s="219"/>
      <c r="BAH36" s="219"/>
      <c r="BAI36" s="219"/>
      <c r="BAJ36" s="219"/>
      <c r="BAK36" s="219"/>
      <c r="BAL36" s="219"/>
      <c r="BAM36" s="219"/>
      <c r="BAN36" s="219"/>
      <c r="BAO36" s="219"/>
      <c r="BAP36" s="219"/>
      <c r="BAQ36" s="219"/>
      <c r="BAR36" s="219"/>
      <c r="BAS36" s="219"/>
      <c r="BAT36" s="219"/>
      <c r="BAU36" s="219"/>
      <c r="BAV36" s="219"/>
      <c r="BAW36" s="219"/>
      <c r="BAX36" s="219"/>
      <c r="BAY36" s="219"/>
      <c r="BAZ36" s="219"/>
      <c r="BBA36" s="219"/>
      <c r="BBB36" s="219"/>
      <c r="BBC36" s="219"/>
      <c r="BBD36" s="219"/>
      <c r="BBE36" s="219"/>
      <c r="BBF36" s="219"/>
      <c r="BBG36" s="219"/>
      <c r="BBH36" s="219"/>
      <c r="BBI36" s="219"/>
      <c r="BBJ36" s="219"/>
      <c r="BBK36" s="219"/>
      <c r="BBL36" s="219"/>
      <c r="BBM36" s="219"/>
      <c r="BBN36" s="219"/>
      <c r="BBO36" s="219"/>
      <c r="BBP36" s="219"/>
      <c r="BBQ36" s="219"/>
      <c r="BBR36" s="219"/>
      <c r="BBS36" s="219"/>
      <c r="BBT36" s="219"/>
      <c r="BBU36" s="219"/>
      <c r="BBV36" s="219"/>
      <c r="BBW36" s="219"/>
      <c r="BBX36" s="219"/>
      <c r="BBY36" s="219"/>
      <c r="BBZ36" s="219"/>
      <c r="BCA36" s="219"/>
      <c r="BCB36" s="219"/>
      <c r="BCC36" s="219"/>
      <c r="BCD36" s="219"/>
      <c r="BCE36" s="219"/>
      <c r="BCF36" s="219"/>
      <c r="BCG36" s="219"/>
      <c r="BCH36" s="219"/>
      <c r="BCI36" s="219"/>
      <c r="BCJ36" s="219"/>
      <c r="BCK36" s="219"/>
      <c r="BCL36" s="219"/>
      <c r="BCM36" s="219"/>
      <c r="BCN36" s="219"/>
      <c r="BCO36" s="219"/>
      <c r="BCP36" s="219"/>
      <c r="BCQ36" s="219"/>
      <c r="BCR36" s="219"/>
      <c r="BCS36" s="219"/>
      <c r="BCT36" s="219"/>
      <c r="BCU36" s="219"/>
      <c r="BCV36" s="219"/>
      <c r="BCW36" s="219"/>
      <c r="BCX36" s="219"/>
      <c r="BCY36" s="219"/>
      <c r="BCZ36" s="219"/>
      <c r="BDA36" s="219"/>
      <c r="BDB36" s="219"/>
      <c r="BDC36" s="219"/>
      <c r="BDD36" s="219"/>
      <c r="BDE36" s="219"/>
      <c r="BDF36" s="219"/>
      <c r="BDG36" s="219"/>
      <c r="BDH36" s="219"/>
      <c r="BDI36" s="219"/>
      <c r="BDJ36" s="219"/>
      <c r="BDK36" s="219"/>
      <c r="BDL36" s="219"/>
      <c r="BDM36" s="219"/>
      <c r="BDN36" s="219"/>
      <c r="BDO36" s="219"/>
      <c r="BDP36" s="219"/>
      <c r="BDQ36" s="219"/>
      <c r="BDR36" s="219"/>
      <c r="BDS36" s="219"/>
      <c r="BDT36" s="219"/>
      <c r="BDU36" s="219"/>
      <c r="BDV36" s="219"/>
      <c r="BDW36" s="219"/>
      <c r="BDX36" s="219"/>
      <c r="BDY36" s="219"/>
      <c r="BDZ36" s="219"/>
      <c r="BEA36" s="219"/>
      <c r="BEB36" s="219"/>
      <c r="BEC36" s="219"/>
      <c r="BED36" s="219"/>
      <c r="BEE36" s="219"/>
      <c r="BEF36" s="219"/>
      <c r="BEG36" s="219"/>
      <c r="BEH36" s="219"/>
      <c r="BEI36" s="219"/>
      <c r="BEJ36" s="219"/>
      <c r="BEK36" s="219"/>
      <c r="BEL36" s="219"/>
      <c r="BEM36" s="219"/>
      <c r="BEN36" s="219"/>
      <c r="BEO36" s="219"/>
      <c r="BEP36" s="219"/>
      <c r="BEQ36" s="219"/>
      <c r="BER36" s="219"/>
      <c r="BES36" s="219"/>
      <c r="BET36" s="219"/>
      <c r="BEU36" s="219"/>
      <c r="BEV36" s="219"/>
      <c r="BEW36" s="219"/>
      <c r="BEX36" s="219"/>
      <c r="BEY36" s="219"/>
      <c r="BEZ36" s="219"/>
      <c r="BFA36" s="219"/>
      <c r="BFB36" s="219"/>
      <c r="BFC36" s="219"/>
      <c r="BFD36" s="219"/>
      <c r="BFE36" s="219"/>
      <c r="BFF36" s="219"/>
      <c r="BFG36" s="219"/>
      <c r="BFH36" s="219"/>
      <c r="BFI36" s="219"/>
      <c r="BFJ36" s="219"/>
      <c r="BFK36" s="219"/>
      <c r="BFL36" s="219"/>
      <c r="BFM36" s="219"/>
      <c r="BFN36" s="219"/>
      <c r="BFO36" s="219"/>
      <c r="BFP36" s="219"/>
      <c r="BFQ36" s="219"/>
      <c r="BFR36" s="219"/>
      <c r="BFS36" s="219"/>
      <c r="BFT36" s="219"/>
      <c r="BFU36" s="219"/>
      <c r="BFV36" s="219"/>
      <c r="BFW36" s="219"/>
      <c r="BFX36" s="219"/>
      <c r="BFY36" s="219"/>
      <c r="BFZ36" s="219"/>
      <c r="BGA36" s="219"/>
      <c r="BGB36" s="219"/>
      <c r="BGC36" s="219"/>
      <c r="BGD36" s="219"/>
      <c r="BGE36" s="219"/>
      <c r="BGF36" s="219"/>
      <c r="BGG36" s="219"/>
      <c r="BGH36" s="219"/>
      <c r="BGI36" s="219"/>
      <c r="BGJ36" s="219"/>
      <c r="BGK36" s="219"/>
      <c r="BGL36" s="219"/>
      <c r="BGM36" s="219"/>
      <c r="BGN36" s="219"/>
      <c r="BGO36" s="219"/>
      <c r="BGP36" s="219"/>
      <c r="BGQ36" s="219"/>
      <c r="BGR36" s="219"/>
      <c r="BGS36" s="219"/>
      <c r="BGT36" s="219"/>
      <c r="BGU36" s="219"/>
      <c r="BGV36" s="219"/>
      <c r="BGW36" s="219"/>
      <c r="BGX36" s="219"/>
      <c r="BGY36" s="219"/>
      <c r="BGZ36" s="219"/>
      <c r="BHA36" s="219"/>
      <c r="BHB36" s="219"/>
      <c r="BHC36" s="219"/>
      <c r="BHD36" s="219"/>
      <c r="BHE36" s="219"/>
      <c r="BHF36" s="219"/>
      <c r="BHG36" s="219"/>
      <c r="BHH36" s="219"/>
      <c r="BHI36" s="219"/>
      <c r="BHJ36" s="219"/>
      <c r="BHK36" s="219"/>
      <c r="BHL36" s="219"/>
      <c r="BHM36" s="219"/>
      <c r="BHN36" s="219"/>
      <c r="BHO36" s="219"/>
      <c r="BHP36" s="219"/>
      <c r="BHQ36" s="219"/>
      <c r="BHR36" s="219"/>
      <c r="BHS36" s="219"/>
      <c r="BHT36" s="219"/>
      <c r="BHU36" s="219"/>
      <c r="BHV36" s="219"/>
      <c r="BHW36" s="219"/>
      <c r="BHX36" s="219"/>
      <c r="BHY36" s="219"/>
      <c r="BHZ36" s="219"/>
      <c r="BIA36" s="219"/>
      <c r="BIB36" s="219"/>
      <c r="BIC36" s="219"/>
      <c r="BID36" s="219"/>
      <c r="BIE36" s="219"/>
      <c r="BIF36" s="219"/>
      <c r="BIG36" s="219"/>
      <c r="BIH36" s="219"/>
      <c r="BII36" s="219"/>
      <c r="BIJ36" s="219"/>
      <c r="BIK36" s="219"/>
      <c r="BIL36" s="219"/>
      <c r="BIM36" s="219"/>
      <c r="BIN36" s="219"/>
      <c r="BIO36" s="219"/>
      <c r="BIP36" s="219"/>
      <c r="BIQ36" s="219"/>
      <c r="BIR36" s="219"/>
      <c r="BIS36" s="219"/>
      <c r="BIT36" s="219"/>
      <c r="BIU36" s="219"/>
      <c r="BIV36" s="219"/>
      <c r="BIW36" s="219"/>
      <c r="BIX36" s="219"/>
      <c r="BIY36" s="219"/>
      <c r="BIZ36" s="219"/>
      <c r="BJA36" s="219"/>
      <c r="BJB36" s="219"/>
      <c r="BJC36" s="219"/>
      <c r="BJD36" s="219"/>
      <c r="BJE36" s="219"/>
      <c r="BJF36" s="219"/>
      <c r="BJG36" s="219"/>
      <c r="BJH36" s="219"/>
      <c r="BJI36" s="219"/>
      <c r="BJJ36" s="219"/>
      <c r="BJK36" s="219"/>
      <c r="BJL36" s="219"/>
      <c r="BJM36" s="219"/>
      <c r="BJN36" s="219"/>
      <c r="BJO36" s="219"/>
      <c r="BJP36" s="219"/>
      <c r="BJQ36" s="219"/>
      <c r="BJR36" s="219"/>
      <c r="BJS36" s="219"/>
      <c r="BJT36" s="219"/>
      <c r="BJU36" s="219"/>
      <c r="BJV36" s="219"/>
      <c r="BJW36" s="219"/>
      <c r="BJX36" s="219"/>
      <c r="BJY36" s="219"/>
      <c r="BJZ36" s="219"/>
      <c r="BKA36" s="219"/>
      <c r="BKB36" s="219"/>
      <c r="BKC36" s="219"/>
      <c r="BKD36" s="219"/>
      <c r="BKE36" s="219"/>
      <c r="BKF36" s="219"/>
      <c r="BKG36" s="219"/>
      <c r="BKH36" s="219"/>
      <c r="BKI36" s="219"/>
      <c r="BKJ36" s="219"/>
      <c r="BKK36" s="219"/>
      <c r="BKL36" s="219"/>
      <c r="BKM36" s="219"/>
      <c r="BKN36" s="219"/>
      <c r="BKO36" s="219"/>
      <c r="BKP36" s="219"/>
      <c r="BKQ36" s="219"/>
      <c r="BKR36" s="219"/>
      <c r="BKS36" s="219"/>
      <c r="BKT36" s="219"/>
      <c r="BKU36" s="219"/>
      <c r="BKV36" s="219"/>
      <c r="BKW36" s="219"/>
      <c r="BKX36" s="219"/>
      <c r="BKY36" s="219"/>
      <c r="BKZ36" s="219"/>
      <c r="BLA36" s="219"/>
      <c r="BLB36" s="219"/>
      <c r="BLC36" s="219"/>
      <c r="BLD36" s="219"/>
      <c r="BLE36" s="219"/>
      <c r="BLF36" s="219"/>
      <c r="BLG36" s="219"/>
      <c r="BLH36" s="219"/>
      <c r="BLI36" s="219"/>
      <c r="BLJ36" s="219"/>
      <c r="BLK36" s="219"/>
      <c r="BLL36" s="219"/>
      <c r="BLM36" s="219"/>
      <c r="BLN36" s="219"/>
      <c r="BLO36" s="219"/>
      <c r="BLP36" s="219"/>
      <c r="BLQ36" s="219"/>
      <c r="BLR36" s="219"/>
      <c r="BLS36" s="219"/>
      <c r="BLT36" s="219"/>
      <c r="BLU36" s="219"/>
      <c r="BLV36" s="219"/>
      <c r="BLW36" s="219"/>
      <c r="BLX36" s="219"/>
      <c r="BLY36" s="219"/>
      <c r="BLZ36" s="219"/>
      <c r="BMA36" s="219"/>
      <c r="BMB36" s="219"/>
      <c r="BMC36" s="219"/>
      <c r="BMD36" s="219"/>
      <c r="BME36" s="219"/>
      <c r="BMF36" s="219"/>
      <c r="BMG36" s="219"/>
      <c r="BMH36" s="219"/>
      <c r="BMI36" s="219"/>
      <c r="BMJ36" s="219"/>
      <c r="BMK36" s="219"/>
      <c r="BML36" s="219"/>
      <c r="BMM36" s="219"/>
      <c r="BMN36" s="219"/>
      <c r="BMO36" s="219"/>
      <c r="BMP36" s="219"/>
      <c r="BMQ36" s="219"/>
      <c r="BMR36" s="219"/>
      <c r="BMS36" s="219"/>
      <c r="BMT36" s="219"/>
      <c r="BMU36" s="219"/>
      <c r="BMV36" s="219"/>
      <c r="BMW36" s="219"/>
      <c r="BMX36" s="219"/>
      <c r="BMY36" s="219"/>
      <c r="BMZ36" s="219"/>
      <c r="BNA36" s="219"/>
      <c r="BNB36" s="219"/>
      <c r="BNC36" s="219"/>
      <c r="BND36" s="219"/>
      <c r="BNE36" s="219"/>
      <c r="BNF36" s="219"/>
      <c r="BNG36" s="219"/>
      <c r="BNH36" s="219"/>
      <c r="BNI36" s="219"/>
      <c r="BNJ36" s="219"/>
      <c r="BNK36" s="219"/>
      <c r="BNL36" s="219"/>
      <c r="BNM36" s="219"/>
      <c r="BNN36" s="219"/>
      <c r="BNO36" s="219"/>
      <c r="BNP36" s="219"/>
      <c r="BNQ36" s="219"/>
      <c r="BNR36" s="219"/>
      <c r="BNS36" s="219"/>
      <c r="BNT36" s="219"/>
      <c r="BNU36" s="219"/>
      <c r="BNV36" s="219"/>
      <c r="BNW36" s="219"/>
      <c r="BNX36" s="219"/>
      <c r="BNY36" s="219"/>
      <c r="BNZ36" s="219"/>
      <c r="BOA36" s="219"/>
      <c r="BOB36" s="219"/>
      <c r="BOC36" s="219"/>
      <c r="BOD36" s="219"/>
      <c r="BOE36" s="219"/>
      <c r="BOF36" s="219"/>
      <c r="BOG36" s="219"/>
      <c r="BOH36" s="219"/>
      <c r="BOI36" s="219"/>
      <c r="BOJ36" s="219"/>
      <c r="BOK36" s="219"/>
      <c r="BOL36" s="219"/>
      <c r="BOM36" s="219"/>
      <c r="BON36" s="219"/>
      <c r="BOO36" s="219"/>
      <c r="BOP36" s="219"/>
      <c r="BOQ36" s="219"/>
      <c r="BOR36" s="219"/>
      <c r="BOS36" s="219"/>
      <c r="BOT36" s="219"/>
      <c r="BOU36" s="219"/>
      <c r="BOV36" s="219"/>
      <c r="BOW36" s="219"/>
      <c r="BOX36" s="219"/>
      <c r="BOY36" s="219"/>
      <c r="BOZ36" s="219"/>
      <c r="BPA36" s="219"/>
      <c r="BPB36" s="219"/>
      <c r="BPC36" s="219"/>
      <c r="BPD36" s="219"/>
      <c r="BPE36" s="219"/>
      <c r="BPF36" s="219"/>
      <c r="BPG36" s="219"/>
      <c r="BPH36" s="219"/>
      <c r="BPI36" s="219"/>
      <c r="BPJ36" s="219"/>
      <c r="BPK36" s="219"/>
      <c r="BPL36" s="219"/>
      <c r="BPM36" s="219"/>
      <c r="BPN36" s="219"/>
      <c r="BPO36" s="219"/>
      <c r="BPP36" s="219"/>
      <c r="BPQ36" s="219"/>
      <c r="BPR36" s="219"/>
      <c r="BPS36" s="219"/>
      <c r="BPT36" s="219"/>
      <c r="BPU36" s="219"/>
      <c r="BPV36" s="219"/>
      <c r="BPW36" s="219"/>
      <c r="BPX36" s="219"/>
      <c r="BPY36" s="219"/>
      <c r="BPZ36" s="219"/>
      <c r="BQA36" s="219"/>
      <c r="BQB36" s="219"/>
      <c r="BQC36" s="219"/>
      <c r="BQD36" s="219"/>
      <c r="BQE36" s="219"/>
      <c r="BQF36" s="219"/>
      <c r="BQG36" s="219"/>
      <c r="BQH36" s="219"/>
      <c r="BQI36" s="219"/>
      <c r="BQJ36" s="219"/>
      <c r="BQK36" s="219"/>
      <c r="BQL36" s="219"/>
      <c r="BQM36" s="219"/>
      <c r="BQN36" s="219"/>
      <c r="BQO36" s="219"/>
      <c r="BQP36" s="219"/>
      <c r="BQQ36" s="219"/>
      <c r="BQR36" s="219"/>
      <c r="BQS36" s="219"/>
      <c r="BQT36" s="219"/>
      <c r="BQU36" s="219"/>
      <c r="BQV36" s="219"/>
      <c r="BQW36" s="219"/>
      <c r="BQX36" s="219"/>
      <c r="BQY36" s="219"/>
      <c r="BQZ36" s="219"/>
      <c r="BRA36" s="219"/>
      <c r="BRB36" s="219"/>
      <c r="BRC36" s="219"/>
      <c r="BRD36" s="219"/>
      <c r="BRE36" s="219"/>
      <c r="BRF36" s="219"/>
      <c r="BRG36" s="219"/>
      <c r="BRH36" s="219"/>
      <c r="BRI36" s="219"/>
      <c r="BRJ36" s="219"/>
      <c r="BRK36" s="219"/>
      <c r="BRL36" s="219"/>
      <c r="BRM36" s="219"/>
      <c r="BRN36" s="219"/>
      <c r="BRO36" s="219"/>
      <c r="BRP36" s="219"/>
      <c r="BRQ36" s="219"/>
      <c r="BRR36" s="219"/>
      <c r="BRS36" s="219"/>
      <c r="BRT36" s="219"/>
      <c r="BRU36" s="219"/>
      <c r="BRV36" s="219"/>
      <c r="BRW36" s="219"/>
      <c r="BRX36" s="219"/>
      <c r="BRY36" s="219"/>
      <c r="BRZ36" s="219"/>
      <c r="BSA36" s="219"/>
      <c r="BSB36" s="219"/>
      <c r="BSC36" s="219"/>
      <c r="BSD36" s="219"/>
      <c r="BSE36" s="219"/>
      <c r="BSF36" s="219"/>
      <c r="BSG36" s="219"/>
      <c r="BSH36" s="219"/>
      <c r="BSI36" s="219"/>
      <c r="BSJ36" s="219"/>
      <c r="BSK36" s="219"/>
      <c r="BSL36" s="219"/>
      <c r="BSM36" s="219"/>
      <c r="BSN36" s="219"/>
      <c r="BSO36" s="219"/>
      <c r="BSP36" s="219"/>
      <c r="BSQ36" s="219"/>
      <c r="BSR36" s="219"/>
      <c r="BSS36" s="219"/>
      <c r="BST36" s="219"/>
      <c r="BSU36" s="219"/>
      <c r="BSV36" s="219"/>
      <c r="BSW36" s="219"/>
      <c r="BSX36" s="219"/>
      <c r="BSY36" s="219"/>
      <c r="BSZ36" s="219"/>
      <c r="BTA36" s="219"/>
      <c r="BTB36" s="219"/>
      <c r="BTC36" s="219"/>
      <c r="BTD36" s="219"/>
      <c r="BTE36" s="219"/>
      <c r="BTF36" s="219"/>
      <c r="BTG36" s="219"/>
      <c r="BTH36" s="219"/>
      <c r="BTI36" s="219"/>
      <c r="BTJ36" s="219"/>
      <c r="BTK36" s="219"/>
      <c r="BTL36" s="219"/>
      <c r="BTM36" s="219"/>
      <c r="BTN36" s="219"/>
      <c r="BTO36" s="219"/>
      <c r="BTP36" s="219"/>
      <c r="BTQ36" s="219"/>
      <c r="BTR36" s="219"/>
      <c r="BTS36" s="219"/>
      <c r="BTT36" s="219"/>
      <c r="BTU36" s="219"/>
      <c r="BTV36" s="219"/>
      <c r="BTW36" s="219"/>
      <c r="BTX36" s="219"/>
      <c r="BTY36" s="219"/>
      <c r="BTZ36" s="219"/>
      <c r="BUA36" s="219"/>
      <c r="BUB36" s="219"/>
      <c r="BUC36" s="219"/>
      <c r="BUD36" s="219"/>
      <c r="BUE36" s="219"/>
      <c r="BUF36" s="219"/>
      <c r="BUG36" s="219"/>
      <c r="BUH36" s="219"/>
      <c r="BUI36" s="219"/>
      <c r="BUJ36" s="219"/>
      <c r="BUK36" s="219"/>
      <c r="BUL36" s="219"/>
      <c r="BUM36" s="219"/>
      <c r="BUN36" s="219"/>
      <c r="BUO36" s="219"/>
      <c r="BUP36" s="219"/>
      <c r="BUQ36" s="219"/>
      <c r="BUR36" s="219"/>
      <c r="BUS36" s="219"/>
      <c r="BUT36" s="219"/>
      <c r="BUU36" s="219"/>
      <c r="BUV36" s="219"/>
      <c r="BUW36" s="219"/>
      <c r="BUX36" s="219"/>
      <c r="BUY36" s="219"/>
      <c r="BUZ36" s="219"/>
      <c r="BVA36" s="219"/>
      <c r="BVB36" s="219"/>
      <c r="BVC36" s="219"/>
      <c r="BVD36" s="219"/>
      <c r="BVE36" s="219"/>
      <c r="BVF36" s="219"/>
      <c r="BVG36" s="219"/>
      <c r="BVH36" s="219"/>
      <c r="BVI36" s="219"/>
      <c r="BVJ36" s="219"/>
      <c r="BVK36" s="219"/>
      <c r="BVL36" s="219"/>
      <c r="BVM36" s="219"/>
      <c r="BVN36" s="219"/>
      <c r="BVO36" s="219"/>
      <c r="BVP36" s="219"/>
      <c r="BVQ36" s="219"/>
      <c r="BVR36" s="219"/>
      <c r="BVS36" s="219"/>
      <c r="BVT36" s="219"/>
      <c r="BVU36" s="219"/>
      <c r="BVV36" s="219"/>
      <c r="BVW36" s="219"/>
      <c r="BVX36" s="219"/>
      <c r="BVY36" s="219"/>
      <c r="BVZ36" s="219"/>
      <c r="BWA36" s="219"/>
      <c r="BWB36" s="219"/>
      <c r="BWC36" s="219"/>
      <c r="BWD36" s="219"/>
      <c r="BWE36" s="219"/>
      <c r="BWF36" s="219"/>
      <c r="BWG36" s="219"/>
      <c r="BWH36" s="219"/>
      <c r="BWI36" s="219"/>
      <c r="BWJ36" s="219"/>
      <c r="BWK36" s="219"/>
      <c r="BWL36" s="219"/>
      <c r="BWM36" s="219"/>
      <c r="BWN36" s="219"/>
      <c r="BWO36" s="219"/>
      <c r="BWP36" s="219"/>
      <c r="BWQ36" s="219"/>
      <c r="BWR36" s="219"/>
      <c r="BWS36" s="219"/>
      <c r="BWT36" s="219"/>
      <c r="BWU36" s="219"/>
      <c r="BWV36" s="219"/>
      <c r="BWW36" s="219"/>
      <c r="BWX36" s="219"/>
      <c r="BWY36" s="219"/>
      <c r="BWZ36" s="219"/>
      <c r="BXA36" s="219"/>
      <c r="BXB36" s="219"/>
      <c r="BXC36" s="219"/>
      <c r="BXD36" s="219"/>
      <c r="BXE36" s="219"/>
      <c r="BXF36" s="219"/>
      <c r="BXG36" s="219"/>
      <c r="BXH36" s="219"/>
      <c r="BXI36" s="219"/>
      <c r="BXJ36" s="219"/>
      <c r="BXK36" s="219"/>
      <c r="BXL36" s="219"/>
      <c r="BXM36" s="219"/>
      <c r="BXN36" s="219"/>
      <c r="BXO36" s="219"/>
      <c r="BXP36" s="219"/>
      <c r="BXQ36" s="219"/>
      <c r="BXR36" s="219"/>
      <c r="BXS36" s="219"/>
      <c r="BXT36" s="219"/>
      <c r="BXU36" s="219"/>
      <c r="BXV36" s="219"/>
      <c r="BXW36" s="219"/>
      <c r="BXX36" s="219"/>
      <c r="BXY36" s="219"/>
      <c r="BXZ36" s="219"/>
      <c r="BYA36" s="219"/>
      <c r="BYB36" s="219"/>
      <c r="BYC36" s="219"/>
      <c r="BYD36" s="219"/>
      <c r="BYE36" s="219"/>
      <c r="BYF36" s="219"/>
      <c r="BYG36" s="219"/>
    </row>
    <row r="37" spans="1:2009" s="101" customFormat="1" ht="13.5" hidden="1" customHeight="1" thickBot="1" x14ac:dyDescent="0.3">
      <c r="A37" s="98"/>
      <c r="B37" s="98"/>
      <c r="C37" s="170"/>
      <c r="D37" s="170"/>
      <c r="E37" s="170"/>
      <c r="F37" s="170"/>
      <c r="G37" s="69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7"/>
      <c r="D38" s="187"/>
      <c r="E38" s="188"/>
      <c r="F38" s="188"/>
      <c r="G38" s="706"/>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141</v>
      </c>
      <c r="C39" s="189">
        <v>3708.33</v>
      </c>
      <c r="D39" s="189">
        <v>3708.33</v>
      </c>
      <c r="E39" s="190"/>
      <c r="F39" s="190"/>
      <c r="G39" s="707">
        <f>ROUND(SUM(C39:F39),5)</f>
        <v>7416.66</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375</v>
      </c>
      <c r="C40" s="189">
        <v>1083.33</v>
      </c>
      <c r="D40" s="189">
        <v>1083.33</v>
      </c>
      <c r="E40" s="190"/>
      <c r="F40" s="190"/>
      <c r="G40" s="707">
        <f>ROUND(SUM(C40:F40),5)</f>
        <v>2166.66</v>
      </c>
      <c r="H40" s="99"/>
      <c r="I40" s="746"/>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398</v>
      </c>
      <c r="C41" s="189">
        <v>30</v>
      </c>
      <c r="D41" s="189">
        <v>60</v>
      </c>
      <c r="E41" s="190">
        <v>316.72000000000003</v>
      </c>
      <c r="F41" s="190">
        <v>235.32</v>
      </c>
      <c r="G41" s="707">
        <f>ROUND(SUM(C41:F41),5)</f>
        <v>642.04</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17" t="s">
        <v>394</v>
      </c>
      <c r="C42" s="189">
        <v>102.18</v>
      </c>
      <c r="D42" s="189"/>
      <c r="E42" s="190"/>
      <c r="F42" s="190"/>
      <c r="G42" s="707">
        <f>ROUND(SUM(C42:F42),5)</f>
        <v>102.18</v>
      </c>
      <c r="H42" s="99"/>
      <c r="I42" s="746"/>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9">
        <v>15298.97</v>
      </c>
      <c r="D43" s="189">
        <v>11434.9</v>
      </c>
      <c r="E43" s="190"/>
      <c r="F43" s="190"/>
      <c r="G43" s="707">
        <f>ROUND(SUM(C43:F43),5)</f>
        <v>26733.87</v>
      </c>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5" customFormat="1" ht="24.95" customHeight="1" thickBot="1" x14ac:dyDescent="0.3">
      <c r="A44" s="222"/>
      <c r="B44" s="223" t="s">
        <v>50</v>
      </c>
      <c r="C44" s="224">
        <f>SUM(C39:C43)</f>
        <v>20222.809999999998</v>
      </c>
      <c r="D44" s="224">
        <f>SUM(D39:D43)</f>
        <v>16286.56</v>
      </c>
      <c r="E44" s="224">
        <f>SUM(E39:E43)</f>
        <v>316.72000000000003</v>
      </c>
      <c r="F44" s="224">
        <f>F41</f>
        <v>235.32</v>
      </c>
      <c r="G44" s="708">
        <f>SUM(G39:G43)</f>
        <v>37061.410000000003</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70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286</v>
      </c>
      <c r="B46" s="439"/>
      <c r="C46" s="440"/>
      <c r="D46" s="440"/>
      <c r="E46" s="440"/>
      <c r="F46" s="441"/>
      <c r="G46" s="710"/>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85"/>
      <c r="B47" s="446" t="s">
        <v>334</v>
      </c>
      <c r="C47" s="472">
        <v>627.98</v>
      </c>
      <c r="D47" s="472">
        <v>656.09</v>
      </c>
      <c r="E47" s="448"/>
      <c r="F47" s="449"/>
      <c r="G47" s="711">
        <f>ROUND(SUM(C47:F47),5)</f>
        <v>1284.07</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85"/>
      <c r="B48" s="446" t="s">
        <v>300</v>
      </c>
      <c r="C48" s="472"/>
      <c r="D48" s="472"/>
      <c r="E48" s="472"/>
      <c r="F48" s="540"/>
      <c r="G48" s="711">
        <f>ROUND(SUM(C48:F48),5)</f>
        <v>0</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86"/>
      <c r="B49" s="646" t="s">
        <v>396</v>
      </c>
      <c r="C49" s="473">
        <v>11826.34</v>
      </c>
      <c r="D49" s="473">
        <v>12608.61</v>
      </c>
      <c r="E49" s="473">
        <v>10784.12</v>
      </c>
      <c r="F49" s="647">
        <v>22288.799999999999</v>
      </c>
      <c r="G49" s="712">
        <f>ROUND(SUM(C49:F49),5)</f>
        <v>57507.87</v>
      </c>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86"/>
      <c r="B50" s="446" t="s">
        <v>301</v>
      </c>
      <c r="C50" s="473"/>
      <c r="D50" s="473"/>
      <c r="E50" s="473"/>
      <c r="F50" s="450"/>
      <c r="G50" s="712">
        <f>ROUND(SUM(C50:F50),5)</f>
        <v>0</v>
      </c>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7" customFormat="1" ht="24.95" customHeight="1" thickBot="1" x14ac:dyDescent="0.3">
      <c r="A51" s="226"/>
      <c r="B51" s="447" t="s">
        <v>204</v>
      </c>
      <c r="C51" s="442">
        <f>SUM(C46:C50)</f>
        <v>12454.32</v>
      </c>
      <c r="D51" s="442">
        <f t="shared" ref="D51:F51" si="2">SUM(D46:D50)</f>
        <v>13264.7</v>
      </c>
      <c r="E51" s="442">
        <f t="shared" si="2"/>
        <v>10784.12</v>
      </c>
      <c r="F51" s="442">
        <f t="shared" si="2"/>
        <v>22288.799999999999</v>
      </c>
      <c r="G51" s="713">
        <f>ROUND(SUM(C51:F51),5)</f>
        <v>58791.94</v>
      </c>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709"/>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58" t="s">
        <v>185</v>
      </c>
      <c r="B53" s="359"/>
      <c r="C53" s="360"/>
      <c r="D53" s="370"/>
      <c r="E53" s="370"/>
      <c r="F53" s="370"/>
      <c r="G53" s="71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61"/>
      <c r="B54" s="364" t="s">
        <v>224</v>
      </c>
      <c r="C54" s="474"/>
      <c r="D54" s="474"/>
      <c r="E54" s="474"/>
      <c r="F54" s="474"/>
      <c r="G54" s="715">
        <f>SUM(C54:F54)</f>
        <v>0</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62"/>
      <c r="B55" s="365" t="s">
        <v>225</v>
      </c>
      <c r="C55" s="475"/>
      <c r="D55" s="475"/>
      <c r="E55" s="475"/>
      <c r="F55" s="475"/>
      <c r="G55" s="716">
        <f>SUM(C55:F55)</f>
        <v>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37" t="s">
        <v>186</v>
      </c>
      <c r="B56" s="838"/>
      <c r="C56" s="363">
        <f t="shared" ref="C56" si="3">SUM(C53:C55)</f>
        <v>0</v>
      </c>
      <c r="D56" s="363"/>
      <c r="E56" s="363"/>
      <c r="F56" s="363"/>
      <c r="G56" s="717">
        <f t="shared" ref="G56" si="4">SUM(G53:G55)</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98"/>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82" t="s">
        <v>345</v>
      </c>
      <c r="B58" s="479"/>
      <c r="C58" s="480"/>
      <c r="D58" s="481"/>
      <c r="E58" s="481"/>
      <c r="F58" s="481"/>
      <c r="G58" s="718">
        <f>SUM(C58:F58)</f>
        <v>0</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98"/>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24" t="s">
        <v>330</v>
      </c>
      <c r="B60" s="387"/>
      <c r="C60" s="388">
        <v>1017.81</v>
      </c>
      <c r="D60" s="389"/>
      <c r="E60" s="388"/>
      <c r="F60" s="389"/>
      <c r="G60" s="719">
        <f>SUM(C60:F60)</f>
        <v>1017.81</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hidden="1" customHeight="1" thickBot="1" x14ac:dyDescent="0.3">
      <c r="A61" s="111"/>
      <c r="B61" s="111"/>
      <c r="C61" s="451"/>
      <c r="D61" s="176"/>
      <c r="E61" s="176"/>
      <c r="F61" s="176"/>
      <c r="G61" s="698"/>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hidden="1" customHeight="1" thickBot="1" x14ac:dyDescent="0.3">
      <c r="A62" s="478" t="s">
        <v>376</v>
      </c>
      <c r="B62" s="477"/>
      <c r="C62" s="452"/>
      <c r="D62" s="453"/>
      <c r="E62" s="453"/>
      <c r="F62" s="453"/>
      <c r="G62" s="720">
        <f>SUM(C62:F62)</f>
        <v>0</v>
      </c>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hidden="1" customHeight="1" thickBot="1" x14ac:dyDescent="0.3">
      <c r="A63" s="724"/>
      <c r="B63" s="724"/>
      <c r="C63" s="451"/>
      <c r="D63" s="176"/>
      <c r="E63" s="176"/>
      <c r="F63" s="176"/>
      <c r="G63" s="698"/>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hidden="1" customHeight="1" thickBot="1" x14ac:dyDescent="0.3">
      <c r="A64" s="725" t="s">
        <v>395</v>
      </c>
      <c r="B64" s="726"/>
      <c r="C64" s="727"/>
      <c r="D64" s="728"/>
      <c r="E64" s="728"/>
      <c r="F64" s="728"/>
      <c r="G64" s="729">
        <f>SUM(C64:F64)</f>
        <v>0</v>
      </c>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2.75" customHeight="1" thickBot="1" x14ac:dyDescent="0.3">
      <c r="A65" s="120"/>
      <c r="B65" s="120"/>
      <c r="C65" s="171"/>
      <c r="D65" s="171"/>
      <c r="E65" s="171"/>
      <c r="F65" s="171"/>
      <c r="G65" s="709"/>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229" customFormat="1" ht="24.95" customHeight="1" thickBot="1" x14ac:dyDescent="0.3">
      <c r="A66" s="228"/>
      <c r="B66" s="476" t="s">
        <v>477</v>
      </c>
      <c r="C66" s="284">
        <f>SUM(C8+C14+C23+C27+C32+C44+C56)+C36+C51+C60+C62+C58+C64</f>
        <v>95140.13</v>
      </c>
      <c r="D66" s="284">
        <f>SUM(D8+D14+D23+D27+D32+D44+D56)+D36+D51+D60+D58+D62</f>
        <v>87076.18</v>
      </c>
      <c r="E66" s="284">
        <f>SUM(E8+E14+E23+E27+E32+E44+E56)+E36+E51+E60</f>
        <v>44224.970000000008</v>
      </c>
      <c r="F66" s="284">
        <f>SUM(F8+F14+F23+F27+F32+F44+F56)+F36+F51+F60</f>
        <v>22524.12</v>
      </c>
      <c r="G66" s="723">
        <f>SUM(G8+G14+G23+G27+G32+G44+G56)+G36+G51+G60+G62+G58+G64</f>
        <v>248965.4</v>
      </c>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8"/>
      <c r="IZ66" s="198"/>
      <c r="JA66" s="198"/>
      <c r="JB66" s="198"/>
      <c r="JC66" s="198"/>
      <c r="JD66" s="198"/>
      <c r="JE66" s="198"/>
      <c r="JF66" s="198"/>
      <c r="JG66" s="198"/>
      <c r="JH66" s="198"/>
      <c r="JI66" s="198"/>
      <c r="JJ66" s="198"/>
      <c r="JK66" s="198"/>
      <c r="JL66" s="198"/>
      <c r="JM66" s="198"/>
      <c r="JN66" s="198"/>
      <c r="JO66" s="198"/>
      <c r="JP66" s="198"/>
      <c r="JQ66" s="198"/>
      <c r="JR66" s="198"/>
      <c r="JS66" s="198"/>
      <c r="JT66" s="198"/>
      <c r="JU66" s="198"/>
      <c r="JV66" s="198"/>
      <c r="JW66" s="198"/>
      <c r="JX66" s="198"/>
      <c r="JY66" s="198"/>
      <c r="JZ66" s="198"/>
      <c r="KA66" s="198"/>
      <c r="KB66" s="198"/>
      <c r="KC66" s="198"/>
      <c r="KD66" s="198"/>
      <c r="KE66" s="198"/>
      <c r="KF66" s="198"/>
      <c r="KG66" s="198"/>
      <c r="KH66" s="198"/>
      <c r="KI66" s="198"/>
      <c r="KJ66" s="198"/>
      <c r="KK66" s="198"/>
      <c r="KL66" s="198"/>
      <c r="KM66" s="198"/>
      <c r="KN66" s="198"/>
      <c r="KO66" s="198"/>
      <c r="KP66" s="198"/>
      <c r="KQ66" s="198"/>
      <c r="KR66" s="198"/>
      <c r="KS66" s="198"/>
      <c r="KT66" s="198"/>
      <c r="KU66" s="198"/>
      <c r="KV66" s="198"/>
      <c r="KW66" s="198"/>
      <c r="KX66" s="198"/>
      <c r="KY66" s="198"/>
      <c r="KZ66" s="198"/>
      <c r="LA66" s="198"/>
      <c r="LB66" s="198"/>
      <c r="LC66" s="198"/>
      <c r="LD66" s="198"/>
      <c r="LE66" s="198"/>
      <c r="LF66" s="198"/>
      <c r="LG66" s="198"/>
      <c r="LH66" s="198"/>
      <c r="LI66" s="198"/>
      <c r="LJ66" s="198"/>
      <c r="LK66" s="198"/>
      <c r="LL66" s="198"/>
      <c r="LM66" s="198"/>
      <c r="LN66" s="198"/>
      <c r="LO66" s="198"/>
      <c r="LP66" s="198"/>
      <c r="LQ66" s="198"/>
      <c r="LR66" s="198"/>
      <c r="LS66" s="198"/>
      <c r="LT66" s="198"/>
      <c r="LU66" s="198"/>
      <c r="LV66" s="198"/>
      <c r="LW66" s="198"/>
      <c r="LX66" s="198"/>
      <c r="LY66" s="198"/>
      <c r="LZ66" s="198"/>
      <c r="MA66" s="198"/>
      <c r="MB66" s="198"/>
      <c r="MC66" s="198"/>
      <c r="MD66" s="198"/>
      <c r="ME66" s="198"/>
      <c r="MF66" s="198"/>
      <c r="MG66" s="198"/>
      <c r="MH66" s="198"/>
      <c r="MI66" s="198"/>
      <c r="MJ66" s="198"/>
      <c r="MK66" s="198"/>
      <c r="ML66" s="198"/>
      <c r="MM66" s="198"/>
      <c r="MN66" s="198"/>
      <c r="MO66" s="198"/>
      <c r="MP66" s="198"/>
      <c r="MQ66" s="198"/>
      <c r="MR66" s="198"/>
      <c r="MS66" s="198"/>
      <c r="MT66" s="198"/>
      <c r="MU66" s="198"/>
      <c r="MV66" s="198"/>
      <c r="MW66" s="198"/>
      <c r="MX66" s="198"/>
      <c r="MY66" s="198"/>
      <c r="MZ66" s="198"/>
      <c r="NA66" s="198"/>
      <c r="NB66" s="198"/>
      <c r="NC66" s="198"/>
      <c r="ND66" s="198"/>
      <c r="NE66" s="198"/>
      <c r="NF66" s="198"/>
      <c r="NG66" s="198"/>
      <c r="NH66" s="198"/>
      <c r="NI66" s="198"/>
      <c r="NJ66" s="198"/>
      <c r="NK66" s="198"/>
      <c r="NL66" s="198"/>
      <c r="NM66" s="198"/>
      <c r="NN66" s="198"/>
      <c r="NO66" s="198"/>
      <c r="NP66" s="198"/>
      <c r="NQ66" s="198"/>
      <c r="NR66" s="198"/>
      <c r="NS66" s="198"/>
      <c r="NT66" s="198"/>
      <c r="NU66" s="198"/>
      <c r="NV66" s="198"/>
      <c r="NW66" s="198"/>
      <c r="NX66" s="198"/>
      <c r="NY66" s="198"/>
      <c r="NZ66" s="198"/>
      <c r="OA66" s="198"/>
      <c r="OB66" s="198"/>
      <c r="OC66" s="198"/>
      <c r="OD66" s="198"/>
      <c r="OE66" s="198"/>
      <c r="OF66" s="198"/>
      <c r="OG66" s="198"/>
      <c r="OH66" s="198"/>
      <c r="OI66" s="198"/>
      <c r="OJ66" s="198"/>
      <c r="OK66" s="198"/>
      <c r="OL66" s="198"/>
      <c r="OM66" s="198"/>
      <c r="ON66" s="198"/>
      <c r="OO66" s="198"/>
      <c r="OP66" s="198"/>
      <c r="OQ66" s="198"/>
      <c r="OR66" s="198"/>
      <c r="OS66" s="198"/>
      <c r="OT66" s="198"/>
      <c r="OU66" s="198"/>
      <c r="OV66" s="198"/>
      <c r="OW66" s="198"/>
      <c r="OX66" s="198"/>
      <c r="OY66" s="198"/>
      <c r="OZ66" s="198"/>
      <c r="PA66" s="198"/>
      <c r="PB66" s="198"/>
      <c r="PC66" s="198"/>
      <c r="PD66" s="198"/>
      <c r="PE66" s="198"/>
      <c r="PF66" s="198"/>
      <c r="PG66" s="198"/>
      <c r="PH66" s="198"/>
      <c r="PI66" s="198"/>
      <c r="PJ66" s="198"/>
      <c r="PK66" s="198"/>
      <c r="PL66" s="198"/>
      <c r="PM66" s="198"/>
      <c r="PN66" s="198"/>
      <c r="PO66" s="198"/>
      <c r="PP66" s="198"/>
      <c r="PQ66" s="198"/>
      <c r="PR66" s="198"/>
      <c r="PS66" s="198"/>
      <c r="PT66" s="198"/>
      <c r="PU66" s="198"/>
      <c r="PV66" s="198"/>
      <c r="PW66" s="198"/>
      <c r="PX66" s="198"/>
      <c r="PY66" s="198"/>
      <c r="PZ66" s="198"/>
      <c r="QA66" s="198"/>
      <c r="QB66" s="198"/>
      <c r="QC66" s="198"/>
      <c r="QD66" s="198"/>
      <c r="QE66" s="198"/>
      <c r="QF66" s="198"/>
      <c r="QG66" s="198"/>
      <c r="QH66" s="198"/>
      <c r="QI66" s="198"/>
      <c r="QJ66" s="198"/>
      <c r="QK66" s="198"/>
      <c r="QL66" s="198"/>
      <c r="QM66" s="198"/>
      <c r="QN66" s="198"/>
      <c r="QO66" s="198"/>
      <c r="QP66" s="198"/>
      <c r="QQ66" s="198"/>
      <c r="QR66" s="198"/>
      <c r="QS66" s="198"/>
      <c r="QT66" s="198"/>
      <c r="QU66" s="198"/>
      <c r="QV66" s="198"/>
      <c r="QW66" s="198"/>
      <c r="QX66" s="198"/>
      <c r="QY66" s="198"/>
      <c r="QZ66" s="198"/>
      <c r="RA66" s="198"/>
      <c r="RB66" s="198"/>
      <c r="RC66" s="198"/>
      <c r="RD66" s="198"/>
      <c r="RE66" s="198"/>
      <c r="RF66" s="198"/>
      <c r="RG66" s="198"/>
      <c r="RH66" s="198"/>
      <c r="RI66" s="198"/>
      <c r="RJ66" s="198"/>
      <c r="RK66" s="198"/>
      <c r="RL66" s="198"/>
      <c r="RM66" s="198"/>
      <c r="RN66" s="198"/>
      <c r="RO66" s="198"/>
      <c r="RP66" s="198"/>
      <c r="RQ66" s="198"/>
      <c r="RR66" s="198"/>
      <c r="RS66" s="198"/>
      <c r="RT66" s="198"/>
      <c r="RU66" s="198"/>
      <c r="RV66" s="198"/>
      <c r="RW66" s="198"/>
      <c r="RX66" s="198"/>
      <c r="RY66" s="198"/>
      <c r="RZ66" s="198"/>
      <c r="SA66" s="198"/>
      <c r="SB66" s="198"/>
      <c r="SC66" s="198"/>
      <c r="SD66" s="198"/>
      <c r="SE66" s="198"/>
      <c r="SF66" s="198"/>
      <c r="SG66" s="198"/>
      <c r="SH66" s="198"/>
      <c r="SI66" s="198"/>
      <c r="SJ66" s="198"/>
      <c r="SK66" s="198"/>
      <c r="SL66" s="198"/>
      <c r="SM66" s="198"/>
      <c r="SN66" s="198"/>
      <c r="SO66" s="198"/>
      <c r="SP66" s="198"/>
      <c r="SQ66" s="198"/>
      <c r="SR66" s="198"/>
      <c r="SS66" s="198"/>
      <c r="ST66" s="198"/>
      <c r="SU66" s="198"/>
      <c r="SV66" s="198"/>
      <c r="SW66" s="198"/>
      <c r="SX66" s="198"/>
      <c r="SY66" s="198"/>
      <c r="SZ66" s="198"/>
      <c r="TA66" s="198"/>
      <c r="TB66" s="198"/>
      <c r="TC66" s="198"/>
      <c r="TD66" s="198"/>
      <c r="TE66" s="198"/>
      <c r="TF66" s="198"/>
      <c r="TG66" s="198"/>
      <c r="TH66" s="198"/>
      <c r="TI66" s="198"/>
      <c r="TJ66" s="198"/>
      <c r="TK66" s="198"/>
      <c r="TL66" s="198"/>
      <c r="TM66" s="198"/>
      <c r="TN66" s="198"/>
      <c r="TO66" s="198"/>
      <c r="TP66" s="198"/>
      <c r="TQ66" s="198"/>
      <c r="TR66" s="198"/>
      <c r="TS66" s="198"/>
      <c r="TT66" s="198"/>
      <c r="TU66" s="198"/>
      <c r="TV66" s="198"/>
      <c r="TW66" s="198"/>
      <c r="TX66" s="198"/>
      <c r="TY66" s="198"/>
      <c r="TZ66" s="198"/>
      <c r="UA66" s="198"/>
      <c r="UB66" s="198"/>
      <c r="UC66" s="198"/>
      <c r="UD66" s="198"/>
      <c r="UE66" s="198"/>
      <c r="UF66" s="198"/>
      <c r="UG66" s="198"/>
      <c r="UH66" s="198"/>
      <c r="UI66" s="198"/>
      <c r="UJ66" s="198"/>
      <c r="UK66" s="198"/>
      <c r="UL66" s="198"/>
      <c r="UM66" s="198"/>
      <c r="UN66" s="198"/>
      <c r="UO66" s="198"/>
      <c r="UP66" s="198"/>
      <c r="UQ66" s="198"/>
      <c r="UR66" s="198"/>
      <c r="US66" s="198"/>
      <c r="UT66" s="198"/>
      <c r="UU66" s="198"/>
      <c r="UV66" s="198"/>
      <c r="UW66" s="198"/>
      <c r="UX66" s="198"/>
      <c r="UY66" s="198"/>
      <c r="UZ66" s="198"/>
      <c r="VA66" s="198"/>
      <c r="VB66" s="198"/>
      <c r="VC66" s="198"/>
      <c r="VD66" s="198"/>
      <c r="VE66" s="198"/>
      <c r="VF66" s="198"/>
      <c r="VG66" s="198"/>
      <c r="VH66" s="198"/>
      <c r="VI66" s="198"/>
      <c r="VJ66" s="198"/>
      <c r="VK66" s="198"/>
      <c r="VL66" s="198"/>
      <c r="VM66" s="198"/>
      <c r="VN66" s="198"/>
      <c r="VO66" s="198"/>
      <c r="VP66" s="198"/>
      <c r="VQ66" s="198"/>
      <c r="VR66" s="198"/>
      <c r="VS66" s="198"/>
      <c r="VT66" s="198"/>
      <c r="VU66" s="198"/>
      <c r="VV66" s="198"/>
      <c r="VW66" s="198"/>
      <c r="VX66" s="198"/>
      <c r="VY66" s="198"/>
      <c r="VZ66" s="198"/>
      <c r="WA66" s="198"/>
      <c r="WB66" s="198"/>
      <c r="WC66" s="198"/>
      <c r="WD66" s="198"/>
      <c r="WE66" s="198"/>
      <c r="WF66" s="198"/>
      <c r="WG66" s="198"/>
      <c r="WH66" s="198"/>
      <c r="WI66" s="198"/>
      <c r="WJ66" s="198"/>
      <c r="WK66" s="198"/>
      <c r="WL66" s="198"/>
      <c r="WM66" s="198"/>
      <c r="WN66" s="198"/>
      <c r="WO66" s="198"/>
      <c r="WP66" s="198"/>
      <c r="WQ66" s="198"/>
      <c r="WR66" s="198"/>
      <c r="WS66" s="198"/>
      <c r="WT66" s="198"/>
      <c r="WU66" s="198"/>
      <c r="WV66" s="198"/>
      <c r="WW66" s="198"/>
      <c r="WX66" s="198"/>
      <c r="WY66" s="198"/>
      <c r="WZ66" s="198"/>
      <c r="XA66" s="198"/>
      <c r="XB66" s="198"/>
      <c r="XC66" s="198"/>
      <c r="XD66" s="198"/>
      <c r="XE66" s="198"/>
      <c r="XF66" s="198"/>
      <c r="XG66" s="198"/>
      <c r="XH66" s="198"/>
      <c r="XI66" s="198"/>
      <c r="XJ66" s="198"/>
      <c r="XK66" s="198"/>
      <c r="XL66" s="198"/>
      <c r="XM66" s="198"/>
      <c r="XN66" s="198"/>
      <c r="XO66" s="198"/>
      <c r="XP66" s="198"/>
      <c r="XQ66" s="198"/>
      <c r="XR66" s="198"/>
      <c r="XS66" s="198"/>
      <c r="XT66" s="198"/>
      <c r="XU66" s="198"/>
      <c r="XV66" s="198"/>
      <c r="XW66" s="198"/>
      <c r="XX66" s="198"/>
      <c r="XY66" s="198"/>
      <c r="XZ66" s="198"/>
      <c r="YA66" s="198"/>
      <c r="YB66" s="198"/>
      <c r="YC66" s="198"/>
      <c r="YD66" s="198"/>
      <c r="YE66" s="198"/>
      <c r="YF66" s="198"/>
      <c r="YG66" s="198"/>
      <c r="YH66" s="198"/>
      <c r="YI66" s="198"/>
      <c r="YJ66" s="198"/>
      <c r="YK66" s="198"/>
      <c r="YL66" s="198"/>
      <c r="YM66" s="198"/>
      <c r="YN66" s="198"/>
      <c r="YO66" s="198"/>
      <c r="YP66" s="198"/>
      <c r="YQ66" s="198"/>
      <c r="YR66" s="198"/>
      <c r="YS66" s="198"/>
      <c r="YT66" s="198"/>
      <c r="YU66" s="198"/>
      <c r="YV66" s="198"/>
      <c r="YW66" s="198"/>
      <c r="YX66" s="198"/>
      <c r="YY66" s="198"/>
      <c r="YZ66" s="198"/>
      <c r="ZA66" s="198"/>
      <c r="ZB66" s="198"/>
      <c r="ZC66" s="198"/>
      <c r="ZD66" s="198"/>
      <c r="ZE66" s="198"/>
      <c r="ZF66" s="198"/>
      <c r="ZG66" s="198"/>
      <c r="ZH66" s="198"/>
      <c r="ZI66" s="198"/>
      <c r="ZJ66" s="198"/>
      <c r="ZK66" s="198"/>
      <c r="ZL66" s="198"/>
      <c r="ZM66" s="198"/>
      <c r="ZN66" s="198"/>
      <c r="ZO66" s="198"/>
      <c r="ZP66" s="198"/>
      <c r="ZQ66" s="198"/>
      <c r="ZR66" s="198"/>
      <c r="ZS66" s="198"/>
      <c r="ZT66" s="198"/>
      <c r="ZU66" s="198"/>
      <c r="ZV66" s="198"/>
      <c r="ZW66" s="198"/>
      <c r="ZX66" s="198"/>
      <c r="ZY66" s="198"/>
      <c r="ZZ66" s="198"/>
      <c r="AAA66" s="198"/>
      <c r="AAB66" s="198"/>
      <c r="AAC66" s="198"/>
      <c r="AAD66" s="198"/>
      <c r="AAE66" s="198"/>
      <c r="AAF66" s="198"/>
      <c r="AAG66" s="198"/>
      <c r="AAH66" s="198"/>
      <c r="AAI66" s="198"/>
      <c r="AAJ66" s="198"/>
      <c r="AAK66" s="198"/>
      <c r="AAL66" s="198"/>
      <c r="AAM66" s="198"/>
      <c r="AAN66" s="198"/>
      <c r="AAO66" s="198"/>
      <c r="AAP66" s="198"/>
      <c r="AAQ66" s="198"/>
      <c r="AAR66" s="198"/>
      <c r="AAS66" s="198"/>
      <c r="AAT66" s="198"/>
      <c r="AAU66" s="198"/>
      <c r="AAV66" s="198"/>
      <c r="AAW66" s="198"/>
      <c r="AAX66" s="198"/>
      <c r="AAY66" s="198"/>
      <c r="AAZ66" s="198"/>
      <c r="ABA66" s="198"/>
      <c r="ABB66" s="198"/>
      <c r="ABC66" s="198"/>
      <c r="ABD66" s="198"/>
      <c r="ABE66" s="198"/>
      <c r="ABF66" s="198"/>
      <c r="ABG66" s="198"/>
      <c r="ABH66" s="198"/>
      <c r="ABI66" s="198"/>
      <c r="ABJ66" s="198"/>
      <c r="ABK66" s="198"/>
      <c r="ABL66" s="198"/>
      <c r="ABM66" s="198"/>
      <c r="ABN66" s="198"/>
      <c r="ABO66" s="198"/>
      <c r="ABP66" s="198"/>
      <c r="ABQ66" s="198"/>
      <c r="ABR66" s="198"/>
      <c r="ABS66" s="198"/>
      <c r="ABT66" s="198"/>
      <c r="ABU66" s="198"/>
      <c r="ABV66" s="198"/>
      <c r="ABW66" s="198"/>
      <c r="ABX66" s="198"/>
      <c r="ABY66" s="198"/>
      <c r="ABZ66" s="198"/>
      <c r="ACA66" s="198"/>
      <c r="ACB66" s="198"/>
      <c r="ACC66" s="198"/>
      <c r="ACD66" s="198"/>
      <c r="ACE66" s="198"/>
      <c r="ACF66" s="198"/>
      <c r="ACG66" s="198"/>
      <c r="ACH66" s="198"/>
      <c r="ACI66" s="198"/>
      <c r="ACJ66" s="198"/>
      <c r="ACK66" s="198"/>
      <c r="ACL66" s="198"/>
      <c r="ACM66" s="198"/>
      <c r="ACN66" s="198"/>
      <c r="ACO66" s="198"/>
      <c r="ACP66" s="198"/>
      <c r="ACQ66" s="198"/>
      <c r="ACR66" s="198"/>
      <c r="ACS66" s="198"/>
      <c r="ACT66" s="198"/>
      <c r="ACU66" s="198"/>
      <c r="ACV66" s="198"/>
      <c r="ACW66" s="198"/>
      <c r="ACX66" s="198"/>
      <c r="ACY66" s="198"/>
      <c r="ACZ66" s="198"/>
      <c r="ADA66" s="198"/>
      <c r="ADB66" s="198"/>
      <c r="ADC66" s="198"/>
      <c r="ADD66" s="198"/>
      <c r="ADE66" s="198"/>
      <c r="ADF66" s="198"/>
      <c r="ADG66" s="198"/>
      <c r="ADH66" s="198"/>
      <c r="ADI66" s="198"/>
      <c r="ADJ66" s="198"/>
      <c r="ADK66" s="198"/>
      <c r="ADL66" s="198"/>
      <c r="ADM66" s="198"/>
      <c r="ADN66" s="198"/>
      <c r="ADO66" s="198"/>
      <c r="ADP66" s="198"/>
      <c r="ADQ66" s="198"/>
      <c r="ADR66" s="198"/>
      <c r="ADS66" s="198"/>
      <c r="ADT66" s="198"/>
      <c r="ADU66" s="198"/>
      <c r="ADV66" s="198"/>
      <c r="ADW66" s="198"/>
      <c r="ADX66" s="198"/>
      <c r="ADY66" s="198"/>
      <c r="ADZ66" s="198"/>
      <c r="AEA66" s="198"/>
      <c r="AEB66" s="198"/>
      <c r="AEC66" s="198"/>
      <c r="AED66" s="198"/>
      <c r="AEE66" s="198"/>
      <c r="AEF66" s="198"/>
      <c r="AEG66" s="198"/>
      <c r="AEH66" s="198"/>
      <c r="AEI66" s="198"/>
      <c r="AEJ66" s="198"/>
      <c r="AEK66" s="198"/>
      <c r="AEL66" s="198"/>
      <c r="AEM66" s="198"/>
      <c r="AEN66" s="198"/>
      <c r="AEO66" s="198"/>
      <c r="AEP66" s="198"/>
      <c r="AEQ66" s="198"/>
      <c r="AER66" s="198"/>
      <c r="AES66" s="198"/>
      <c r="AET66" s="198"/>
      <c r="AEU66" s="198"/>
      <c r="AEV66" s="198"/>
      <c r="AEW66" s="198"/>
      <c r="AEX66" s="198"/>
      <c r="AEY66" s="198"/>
      <c r="AEZ66" s="198"/>
      <c r="AFA66" s="198"/>
      <c r="AFB66" s="198"/>
      <c r="AFC66" s="198"/>
      <c r="AFD66" s="198"/>
      <c r="AFE66" s="198"/>
      <c r="AFF66" s="198"/>
      <c r="AFG66" s="198"/>
      <c r="AFH66" s="198"/>
      <c r="AFI66" s="198"/>
      <c r="AFJ66" s="198"/>
      <c r="AFK66" s="198"/>
      <c r="AFL66" s="198"/>
      <c r="AFM66" s="198"/>
      <c r="AFN66" s="198"/>
      <c r="AFO66" s="198"/>
      <c r="AFP66" s="198"/>
      <c r="AFQ66" s="198"/>
      <c r="AFR66" s="198"/>
      <c r="AFS66" s="198"/>
      <c r="AFT66" s="198"/>
      <c r="AFU66" s="198"/>
      <c r="AFV66" s="198"/>
      <c r="AFW66" s="198"/>
      <c r="AFX66" s="198"/>
      <c r="AFY66" s="198"/>
      <c r="AFZ66" s="198"/>
      <c r="AGA66" s="198"/>
      <c r="AGB66" s="198"/>
      <c r="AGC66" s="198"/>
      <c r="AGD66" s="198"/>
      <c r="AGE66" s="198"/>
      <c r="AGF66" s="198"/>
      <c r="AGG66" s="198"/>
      <c r="AGH66" s="198"/>
      <c r="AGI66" s="198"/>
      <c r="AGJ66" s="198"/>
      <c r="AGK66" s="198"/>
      <c r="AGL66" s="198"/>
      <c r="AGM66" s="198"/>
      <c r="AGN66" s="198"/>
      <c r="AGO66" s="198"/>
      <c r="AGP66" s="198"/>
      <c r="AGQ66" s="198"/>
      <c r="AGR66" s="198"/>
      <c r="AGS66" s="198"/>
      <c r="AGT66" s="198"/>
      <c r="AGU66" s="198"/>
      <c r="AGV66" s="198"/>
      <c r="AGW66" s="198"/>
      <c r="AGX66" s="198"/>
      <c r="AGY66" s="198"/>
      <c r="AGZ66" s="198"/>
      <c r="AHA66" s="198"/>
      <c r="AHB66" s="198"/>
      <c r="AHC66" s="198"/>
      <c r="AHD66" s="198"/>
      <c r="AHE66" s="198"/>
      <c r="AHF66" s="198"/>
      <c r="AHG66" s="198"/>
      <c r="AHH66" s="198"/>
      <c r="AHI66" s="198"/>
      <c r="AHJ66" s="198"/>
      <c r="AHK66" s="198"/>
      <c r="AHL66" s="198"/>
      <c r="AHM66" s="198"/>
      <c r="AHN66" s="198"/>
      <c r="AHO66" s="198"/>
      <c r="AHP66" s="198"/>
      <c r="AHQ66" s="198"/>
      <c r="AHR66" s="198"/>
      <c r="AHS66" s="198"/>
      <c r="AHT66" s="198"/>
      <c r="AHU66" s="198"/>
      <c r="AHV66" s="198"/>
      <c r="AHW66" s="198"/>
      <c r="AHX66" s="198"/>
      <c r="AHY66" s="198"/>
      <c r="AHZ66" s="198"/>
      <c r="AIA66" s="198"/>
      <c r="AIB66" s="198"/>
      <c r="AIC66" s="198"/>
      <c r="AID66" s="198"/>
      <c r="AIE66" s="198"/>
      <c r="AIF66" s="198"/>
      <c r="AIG66" s="198"/>
      <c r="AIH66" s="198"/>
      <c r="AII66" s="198"/>
      <c r="AIJ66" s="198"/>
      <c r="AIK66" s="198"/>
      <c r="AIL66" s="198"/>
      <c r="AIM66" s="198"/>
      <c r="AIN66" s="198"/>
      <c r="AIO66" s="198"/>
      <c r="AIP66" s="198"/>
      <c r="AIQ66" s="198"/>
      <c r="AIR66" s="198"/>
      <c r="AIS66" s="198"/>
      <c r="AIT66" s="198"/>
      <c r="AIU66" s="198"/>
      <c r="AIV66" s="198"/>
      <c r="AIW66" s="198"/>
      <c r="AIX66" s="198"/>
      <c r="AIY66" s="198"/>
      <c r="AIZ66" s="198"/>
      <c r="AJA66" s="198"/>
      <c r="AJB66" s="198"/>
      <c r="AJC66" s="198"/>
      <c r="AJD66" s="198"/>
      <c r="AJE66" s="198"/>
      <c r="AJF66" s="198"/>
      <c r="AJG66" s="198"/>
      <c r="AJH66" s="198"/>
      <c r="AJI66" s="198"/>
      <c r="AJJ66" s="198"/>
      <c r="AJK66" s="198"/>
      <c r="AJL66" s="198"/>
      <c r="AJM66" s="198"/>
      <c r="AJN66" s="198"/>
      <c r="AJO66" s="198"/>
      <c r="AJP66" s="198"/>
      <c r="AJQ66" s="198"/>
      <c r="AJR66" s="198"/>
      <c r="AJS66" s="198"/>
      <c r="AJT66" s="198"/>
      <c r="AJU66" s="198"/>
      <c r="AJV66" s="198"/>
      <c r="AJW66" s="198"/>
      <c r="AJX66" s="198"/>
      <c r="AJY66" s="198"/>
      <c r="AJZ66" s="198"/>
      <c r="AKA66" s="198"/>
      <c r="AKB66" s="198"/>
      <c r="AKC66" s="198"/>
      <c r="AKD66" s="198"/>
      <c r="AKE66" s="198"/>
      <c r="AKF66" s="198"/>
      <c r="AKG66" s="198"/>
      <c r="AKH66" s="198"/>
      <c r="AKI66" s="198"/>
      <c r="AKJ66" s="198"/>
      <c r="AKK66" s="198"/>
      <c r="AKL66" s="198"/>
      <c r="AKM66" s="198"/>
      <c r="AKN66" s="198"/>
      <c r="AKO66" s="198"/>
      <c r="AKP66" s="198"/>
      <c r="AKQ66" s="198"/>
      <c r="AKR66" s="198"/>
      <c r="AKS66" s="198"/>
      <c r="AKT66" s="198"/>
      <c r="AKU66" s="198"/>
      <c r="AKV66" s="198"/>
      <c r="AKW66" s="198"/>
      <c r="AKX66" s="198"/>
      <c r="AKY66" s="198"/>
      <c r="AKZ66" s="198"/>
      <c r="ALA66" s="198"/>
      <c r="ALB66" s="198"/>
      <c r="ALC66" s="198"/>
      <c r="ALD66" s="198"/>
      <c r="ALE66" s="198"/>
      <c r="ALF66" s="198"/>
      <c r="ALG66" s="198"/>
      <c r="ALH66" s="198"/>
      <c r="ALI66" s="198"/>
      <c r="ALJ66" s="198"/>
      <c r="ALK66" s="198"/>
      <c r="ALL66" s="198"/>
      <c r="ALM66" s="198"/>
      <c r="ALN66" s="198"/>
      <c r="ALO66" s="198"/>
      <c r="ALP66" s="198"/>
      <c r="ALQ66" s="198"/>
      <c r="ALR66" s="198"/>
      <c r="ALS66" s="198"/>
      <c r="ALT66" s="198"/>
      <c r="ALU66" s="198"/>
      <c r="ALV66" s="198"/>
      <c r="ALW66" s="198"/>
      <c r="ALX66" s="198"/>
      <c r="ALY66" s="198"/>
      <c r="ALZ66" s="198"/>
      <c r="AMA66" s="198"/>
      <c r="AMB66" s="198"/>
      <c r="AMC66" s="198"/>
      <c r="AMD66" s="198"/>
      <c r="AME66" s="198"/>
      <c r="AMF66" s="198"/>
      <c r="AMG66" s="198"/>
      <c r="AMH66" s="198"/>
      <c r="AMI66" s="198"/>
      <c r="AMJ66" s="198"/>
      <c r="AMK66" s="198"/>
      <c r="AML66" s="198"/>
      <c r="AMM66" s="198"/>
      <c r="AMN66" s="198"/>
      <c r="AMO66" s="198"/>
      <c r="AMP66" s="198"/>
      <c r="AMQ66" s="198"/>
      <c r="AMR66" s="198"/>
      <c r="AMS66" s="198"/>
      <c r="AMT66" s="198"/>
      <c r="AMU66" s="198"/>
      <c r="AMV66" s="198"/>
      <c r="AMW66" s="198"/>
      <c r="AMX66" s="198"/>
      <c r="AMY66" s="198"/>
      <c r="AMZ66" s="198"/>
      <c r="ANA66" s="198"/>
      <c r="ANB66" s="198"/>
      <c r="ANC66" s="198"/>
      <c r="AND66" s="198"/>
      <c r="ANE66" s="198"/>
      <c r="ANF66" s="198"/>
      <c r="ANG66" s="198"/>
      <c r="ANH66" s="198"/>
      <c r="ANI66" s="198"/>
      <c r="ANJ66" s="198"/>
      <c r="ANK66" s="198"/>
      <c r="ANL66" s="198"/>
      <c r="ANM66" s="198"/>
      <c r="ANN66" s="198"/>
      <c r="ANO66" s="198"/>
      <c r="ANP66" s="198"/>
      <c r="ANQ66" s="198"/>
      <c r="ANR66" s="198"/>
      <c r="ANS66" s="198"/>
      <c r="ANT66" s="198"/>
      <c r="ANU66" s="198"/>
      <c r="ANV66" s="198"/>
      <c r="ANW66" s="198"/>
      <c r="ANX66" s="198"/>
      <c r="ANY66" s="198"/>
      <c r="ANZ66" s="198"/>
      <c r="AOA66" s="198"/>
      <c r="AOB66" s="198"/>
      <c r="AOC66" s="198"/>
      <c r="AOD66" s="198"/>
      <c r="AOE66" s="198"/>
      <c r="AOF66" s="198"/>
      <c r="AOG66" s="198"/>
      <c r="AOH66" s="198"/>
      <c r="AOI66" s="198"/>
      <c r="AOJ66" s="198"/>
      <c r="AOK66" s="198"/>
      <c r="AOL66" s="198"/>
      <c r="AOM66" s="198"/>
      <c r="AON66" s="198"/>
      <c r="AOO66" s="198"/>
      <c r="AOP66" s="198"/>
      <c r="AOQ66" s="198"/>
      <c r="AOR66" s="198"/>
      <c r="AOS66" s="198"/>
      <c r="AOT66" s="198"/>
      <c r="AOU66" s="198"/>
      <c r="AOV66" s="198"/>
      <c r="AOW66" s="198"/>
      <c r="AOX66" s="198"/>
      <c r="AOY66" s="198"/>
      <c r="AOZ66" s="198"/>
      <c r="APA66" s="198"/>
      <c r="APB66" s="198"/>
      <c r="APC66" s="198"/>
      <c r="APD66" s="198"/>
      <c r="APE66" s="198"/>
      <c r="APF66" s="198"/>
      <c r="APG66" s="198"/>
      <c r="APH66" s="198"/>
      <c r="API66" s="198"/>
      <c r="APJ66" s="198"/>
      <c r="APK66" s="198"/>
      <c r="APL66" s="198"/>
      <c r="APM66" s="198"/>
      <c r="APN66" s="198"/>
      <c r="APO66" s="198"/>
      <c r="APP66" s="198"/>
      <c r="APQ66" s="198"/>
      <c r="APR66" s="198"/>
      <c r="APS66" s="198"/>
      <c r="APT66" s="198"/>
      <c r="APU66" s="198"/>
      <c r="APV66" s="198"/>
      <c r="APW66" s="198"/>
      <c r="APX66" s="198"/>
      <c r="APY66" s="198"/>
      <c r="APZ66" s="198"/>
      <c r="AQA66" s="198"/>
      <c r="AQB66" s="198"/>
      <c r="AQC66" s="198"/>
      <c r="AQD66" s="198"/>
      <c r="AQE66" s="198"/>
      <c r="AQF66" s="198"/>
      <c r="AQG66" s="198"/>
      <c r="AQH66" s="198"/>
      <c r="AQI66" s="198"/>
      <c r="AQJ66" s="198"/>
      <c r="AQK66" s="198"/>
      <c r="AQL66" s="198"/>
      <c r="AQM66" s="198"/>
      <c r="AQN66" s="198"/>
      <c r="AQO66" s="198"/>
      <c r="AQP66" s="198"/>
      <c r="AQQ66" s="198"/>
      <c r="AQR66" s="198"/>
      <c r="AQS66" s="198"/>
      <c r="AQT66" s="198"/>
      <c r="AQU66" s="198"/>
      <c r="AQV66" s="198"/>
      <c r="AQW66" s="198"/>
      <c r="AQX66" s="198"/>
      <c r="AQY66" s="198"/>
      <c r="AQZ66" s="198"/>
      <c r="ARA66" s="198"/>
      <c r="ARB66" s="198"/>
      <c r="ARC66" s="198"/>
      <c r="ARD66" s="198"/>
      <c r="ARE66" s="198"/>
      <c r="ARF66" s="198"/>
      <c r="ARG66" s="198"/>
      <c r="ARH66" s="198"/>
      <c r="ARI66" s="198"/>
      <c r="ARJ66" s="198"/>
      <c r="ARK66" s="198"/>
      <c r="ARL66" s="198"/>
      <c r="ARM66" s="198"/>
      <c r="ARN66" s="198"/>
      <c r="ARO66" s="198"/>
      <c r="ARP66" s="198"/>
      <c r="ARQ66" s="198"/>
      <c r="ARR66" s="198"/>
      <c r="ARS66" s="198"/>
      <c r="ART66" s="198"/>
      <c r="ARU66" s="198"/>
      <c r="ARV66" s="198"/>
      <c r="ARW66" s="198"/>
      <c r="ARX66" s="198"/>
      <c r="ARY66" s="198"/>
      <c r="ARZ66" s="198"/>
      <c r="ASA66" s="198"/>
      <c r="ASB66" s="198"/>
      <c r="ASC66" s="198"/>
      <c r="ASD66" s="198"/>
      <c r="ASE66" s="198"/>
      <c r="ASF66" s="198"/>
      <c r="ASG66" s="198"/>
      <c r="ASH66" s="198"/>
      <c r="ASI66" s="198"/>
      <c r="ASJ66" s="198"/>
      <c r="ASK66" s="198"/>
      <c r="ASL66" s="198"/>
      <c r="ASM66" s="198"/>
      <c r="ASN66" s="198"/>
      <c r="ASO66" s="198"/>
      <c r="ASP66" s="198"/>
      <c r="ASQ66" s="198"/>
      <c r="ASR66" s="198"/>
      <c r="ASS66" s="198"/>
      <c r="AST66" s="198"/>
      <c r="ASU66" s="198"/>
      <c r="ASV66" s="198"/>
      <c r="ASW66" s="198"/>
      <c r="ASX66" s="198"/>
      <c r="ASY66" s="198"/>
      <c r="ASZ66" s="198"/>
      <c r="ATA66" s="198"/>
      <c r="ATB66" s="198"/>
      <c r="ATC66" s="198"/>
      <c r="ATD66" s="198"/>
      <c r="ATE66" s="198"/>
      <c r="ATF66" s="198"/>
      <c r="ATG66" s="198"/>
      <c r="ATH66" s="198"/>
      <c r="ATI66" s="198"/>
      <c r="ATJ66" s="198"/>
      <c r="ATK66" s="198"/>
      <c r="ATL66" s="198"/>
      <c r="ATM66" s="198"/>
      <c r="ATN66" s="198"/>
      <c r="ATO66" s="198"/>
      <c r="ATP66" s="198"/>
      <c r="ATQ66" s="198"/>
      <c r="ATR66" s="198"/>
      <c r="ATS66" s="198"/>
      <c r="ATT66" s="198"/>
      <c r="ATU66" s="198"/>
      <c r="ATV66" s="198"/>
      <c r="ATW66" s="198"/>
      <c r="ATX66" s="198"/>
      <c r="ATY66" s="198"/>
      <c r="ATZ66" s="198"/>
      <c r="AUA66" s="198"/>
      <c r="AUB66" s="198"/>
      <c r="AUC66" s="198"/>
      <c r="AUD66" s="198"/>
      <c r="AUE66" s="198"/>
      <c r="AUF66" s="198"/>
      <c r="AUG66" s="198"/>
      <c r="AUH66" s="198"/>
      <c r="AUI66" s="198"/>
      <c r="AUJ66" s="198"/>
      <c r="AUK66" s="198"/>
      <c r="AUL66" s="198"/>
      <c r="AUM66" s="198"/>
      <c r="AUN66" s="198"/>
      <c r="AUO66" s="198"/>
      <c r="AUP66" s="198"/>
      <c r="AUQ66" s="198"/>
      <c r="AUR66" s="198"/>
      <c r="AUS66" s="198"/>
      <c r="AUT66" s="198"/>
      <c r="AUU66" s="198"/>
      <c r="AUV66" s="198"/>
      <c r="AUW66" s="198"/>
      <c r="AUX66" s="198"/>
      <c r="AUY66" s="198"/>
      <c r="AUZ66" s="198"/>
      <c r="AVA66" s="198"/>
      <c r="AVB66" s="198"/>
      <c r="AVC66" s="198"/>
      <c r="AVD66" s="198"/>
      <c r="AVE66" s="198"/>
      <c r="AVF66" s="198"/>
      <c r="AVG66" s="198"/>
      <c r="AVH66" s="198"/>
      <c r="AVI66" s="198"/>
      <c r="AVJ66" s="198"/>
      <c r="AVK66" s="198"/>
      <c r="AVL66" s="198"/>
      <c r="AVM66" s="198"/>
      <c r="AVN66" s="198"/>
      <c r="AVO66" s="198"/>
      <c r="AVP66" s="198"/>
      <c r="AVQ66" s="198"/>
      <c r="AVR66" s="198"/>
      <c r="AVS66" s="198"/>
      <c r="AVT66" s="198"/>
      <c r="AVU66" s="198"/>
      <c r="AVV66" s="198"/>
      <c r="AVW66" s="198"/>
      <c r="AVX66" s="198"/>
      <c r="AVY66" s="198"/>
      <c r="AVZ66" s="198"/>
      <c r="AWA66" s="198"/>
      <c r="AWB66" s="198"/>
      <c r="AWC66" s="198"/>
      <c r="AWD66" s="198"/>
      <c r="AWE66" s="198"/>
      <c r="AWF66" s="198"/>
      <c r="AWG66" s="198"/>
      <c r="AWH66" s="198"/>
      <c r="AWI66" s="198"/>
      <c r="AWJ66" s="198"/>
      <c r="AWK66" s="198"/>
      <c r="AWL66" s="198"/>
      <c r="AWM66" s="198"/>
      <c r="AWN66" s="198"/>
      <c r="AWO66" s="198"/>
      <c r="AWP66" s="198"/>
      <c r="AWQ66" s="198"/>
      <c r="AWR66" s="198"/>
      <c r="AWS66" s="198"/>
      <c r="AWT66" s="198"/>
      <c r="AWU66" s="198"/>
      <c r="AWV66" s="198"/>
      <c r="AWW66" s="198"/>
      <c r="AWX66" s="198"/>
      <c r="AWY66" s="198"/>
      <c r="AWZ66" s="198"/>
      <c r="AXA66" s="198"/>
      <c r="AXB66" s="198"/>
      <c r="AXC66" s="198"/>
      <c r="AXD66" s="198"/>
      <c r="AXE66" s="198"/>
      <c r="AXF66" s="198"/>
      <c r="AXG66" s="198"/>
      <c r="AXH66" s="198"/>
      <c r="AXI66" s="198"/>
      <c r="AXJ66" s="198"/>
      <c r="AXK66" s="198"/>
      <c r="AXL66" s="198"/>
      <c r="AXM66" s="198"/>
      <c r="AXN66" s="198"/>
      <c r="AXO66" s="198"/>
      <c r="AXP66" s="198"/>
      <c r="AXQ66" s="198"/>
      <c r="AXR66" s="198"/>
      <c r="AXS66" s="198"/>
      <c r="AXT66" s="198"/>
      <c r="AXU66" s="198"/>
      <c r="AXV66" s="198"/>
      <c r="AXW66" s="198"/>
      <c r="AXX66" s="198"/>
      <c r="AXY66" s="198"/>
      <c r="AXZ66" s="198"/>
      <c r="AYA66" s="198"/>
      <c r="AYB66" s="198"/>
      <c r="AYC66" s="198"/>
      <c r="AYD66" s="198"/>
      <c r="AYE66" s="198"/>
      <c r="AYF66" s="198"/>
      <c r="AYG66" s="198"/>
      <c r="AYH66" s="198"/>
      <c r="AYI66" s="198"/>
      <c r="AYJ66" s="198"/>
      <c r="AYK66" s="198"/>
      <c r="AYL66" s="198"/>
      <c r="AYM66" s="198"/>
      <c r="AYN66" s="198"/>
      <c r="AYO66" s="198"/>
      <c r="AYP66" s="198"/>
      <c r="AYQ66" s="198"/>
      <c r="AYR66" s="198"/>
      <c r="AYS66" s="198"/>
      <c r="AYT66" s="198"/>
      <c r="AYU66" s="198"/>
      <c r="AYV66" s="198"/>
      <c r="AYW66" s="198"/>
      <c r="AYX66" s="198"/>
      <c r="AYY66" s="198"/>
      <c r="AYZ66" s="198"/>
      <c r="AZA66" s="198"/>
      <c r="AZB66" s="198"/>
      <c r="AZC66" s="198"/>
      <c r="AZD66" s="198"/>
      <c r="AZE66" s="198"/>
      <c r="AZF66" s="198"/>
      <c r="AZG66" s="198"/>
      <c r="AZH66" s="198"/>
      <c r="AZI66" s="198"/>
      <c r="AZJ66" s="198"/>
      <c r="AZK66" s="198"/>
      <c r="AZL66" s="198"/>
      <c r="AZM66" s="198"/>
      <c r="AZN66" s="198"/>
      <c r="AZO66" s="198"/>
      <c r="AZP66" s="198"/>
      <c r="AZQ66" s="198"/>
      <c r="AZR66" s="198"/>
      <c r="AZS66" s="198"/>
      <c r="AZT66" s="198"/>
      <c r="AZU66" s="198"/>
      <c r="AZV66" s="198"/>
      <c r="AZW66" s="198"/>
      <c r="AZX66" s="198"/>
      <c r="AZY66" s="198"/>
      <c r="AZZ66" s="198"/>
      <c r="BAA66" s="198"/>
      <c r="BAB66" s="198"/>
      <c r="BAC66" s="198"/>
      <c r="BAD66" s="198"/>
      <c r="BAE66" s="198"/>
      <c r="BAF66" s="198"/>
      <c r="BAG66" s="198"/>
      <c r="BAH66" s="198"/>
      <c r="BAI66" s="198"/>
      <c r="BAJ66" s="198"/>
      <c r="BAK66" s="198"/>
      <c r="BAL66" s="198"/>
      <c r="BAM66" s="198"/>
      <c r="BAN66" s="198"/>
      <c r="BAO66" s="198"/>
      <c r="BAP66" s="198"/>
      <c r="BAQ66" s="198"/>
      <c r="BAR66" s="198"/>
      <c r="BAS66" s="198"/>
      <c r="BAT66" s="198"/>
      <c r="BAU66" s="198"/>
      <c r="BAV66" s="198"/>
      <c r="BAW66" s="198"/>
      <c r="BAX66" s="198"/>
      <c r="BAY66" s="198"/>
      <c r="BAZ66" s="198"/>
      <c r="BBA66" s="198"/>
      <c r="BBB66" s="198"/>
      <c r="BBC66" s="198"/>
      <c r="BBD66" s="198"/>
      <c r="BBE66" s="198"/>
      <c r="BBF66" s="198"/>
      <c r="BBG66" s="198"/>
      <c r="BBH66" s="198"/>
      <c r="BBI66" s="198"/>
      <c r="BBJ66" s="198"/>
      <c r="BBK66" s="198"/>
      <c r="BBL66" s="198"/>
      <c r="BBM66" s="198"/>
      <c r="BBN66" s="198"/>
      <c r="BBO66" s="198"/>
      <c r="BBP66" s="198"/>
      <c r="BBQ66" s="198"/>
      <c r="BBR66" s="198"/>
      <c r="BBS66" s="198"/>
      <c r="BBT66" s="198"/>
      <c r="BBU66" s="198"/>
      <c r="BBV66" s="198"/>
      <c r="BBW66" s="198"/>
      <c r="BBX66" s="198"/>
      <c r="BBY66" s="198"/>
      <c r="BBZ66" s="198"/>
      <c r="BCA66" s="198"/>
      <c r="BCB66" s="198"/>
      <c r="BCC66" s="198"/>
      <c r="BCD66" s="198"/>
      <c r="BCE66" s="198"/>
      <c r="BCF66" s="198"/>
      <c r="BCG66" s="198"/>
      <c r="BCH66" s="198"/>
      <c r="BCI66" s="198"/>
      <c r="BCJ66" s="198"/>
      <c r="BCK66" s="198"/>
      <c r="BCL66" s="198"/>
      <c r="BCM66" s="198"/>
      <c r="BCN66" s="198"/>
      <c r="BCO66" s="198"/>
      <c r="BCP66" s="198"/>
      <c r="BCQ66" s="198"/>
      <c r="BCR66" s="198"/>
      <c r="BCS66" s="198"/>
      <c r="BCT66" s="198"/>
      <c r="BCU66" s="198"/>
      <c r="BCV66" s="198"/>
      <c r="BCW66" s="198"/>
      <c r="BCX66" s="198"/>
      <c r="BCY66" s="198"/>
      <c r="BCZ66" s="198"/>
      <c r="BDA66" s="198"/>
      <c r="BDB66" s="198"/>
      <c r="BDC66" s="198"/>
      <c r="BDD66" s="198"/>
      <c r="BDE66" s="198"/>
      <c r="BDF66" s="198"/>
      <c r="BDG66" s="198"/>
      <c r="BDH66" s="198"/>
      <c r="BDI66" s="198"/>
      <c r="BDJ66" s="198"/>
      <c r="BDK66" s="198"/>
      <c r="BDL66" s="198"/>
      <c r="BDM66" s="198"/>
      <c r="BDN66" s="198"/>
      <c r="BDO66" s="198"/>
      <c r="BDP66" s="198"/>
      <c r="BDQ66" s="198"/>
      <c r="BDR66" s="198"/>
      <c r="BDS66" s="198"/>
      <c r="BDT66" s="198"/>
      <c r="BDU66" s="198"/>
      <c r="BDV66" s="198"/>
      <c r="BDW66" s="198"/>
      <c r="BDX66" s="198"/>
      <c r="BDY66" s="198"/>
      <c r="BDZ66" s="198"/>
      <c r="BEA66" s="198"/>
      <c r="BEB66" s="198"/>
      <c r="BEC66" s="198"/>
      <c r="BED66" s="198"/>
      <c r="BEE66" s="198"/>
      <c r="BEF66" s="198"/>
      <c r="BEG66" s="198"/>
      <c r="BEH66" s="198"/>
      <c r="BEI66" s="198"/>
      <c r="BEJ66" s="198"/>
      <c r="BEK66" s="198"/>
      <c r="BEL66" s="198"/>
      <c r="BEM66" s="198"/>
      <c r="BEN66" s="198"/>
      <c r="BEO66" s="198"/>
      <c r="BEP66" s="198"/>
      <c r="BEQ66" s="198"/>
      <c r="BER66" s="198"/>
      <c r="BES66" s="198"/>
      <c r="BET66" s="198"/>
      <c r="BEU66" s="198"/>
      <c r="BEV66" s="198"/>
      <c r="BEW66" s="198"/>
      <c r="BEX66" s="198"/>
      <c r="BEY66" s="198"/>
      <c r="BEZ66" s="198"/>
      <c r="BFA66" s="198"/>
      <c r="BFB66" s="198"/>
      <c r="BFC66" s="198"/>
      <c r="BFD66" s="198"/>
      <c r="BFE66" s="198"/>
      <c r="BFF66" s="198"/>
      <c r="BFG66" s="198"/>
      <c r="BFH66" s="198"/>
      <c r="BFI66" s="198"/>
      <c r="BFJ66" s="198"/>
      <c r="BFK66" s="198"/>
      <c r="BFL66" s="198"/>
      <c r="BFM66" s="198"/>
      <c r="BFN66" s="198"/>
      <c r="BFO66" s="198"/>
      <c r="BFP66" s="198"/>
      <c r="BFQ66" s="198"/>
      <c r="BFR66" s="198"/>
      <c r="BFS66" s="198"/>
      <c r="BFT66" s="198"/>
      <c r="BFU66" s="198"/>
      <c r="BFV66" s="198"/>
      <c r="BFW66" s="198"/>
      <c r="BFX66" s="198"/>
      <c r="BFY66" s="198"/>
      <c r="BFZ66" s="198"/>
      <c r="BGA66" s="198"/>
      <c r="BGB66" s="198"/>
      <c r="BGC66" s="198"/>
      <c r="BGD66" s="198"/>
      <c r="BGE66" s="198"/>
      <c r="BGF66" s="198"/>
      <c r="BGG66" s="198"/>
      <c r="BGH66" s="198"/>
      <c r="BGI66" s="198"/>
      <c r="BGJ66" s="198"/>
      <c r="BGK66" s="198"/>
      <c r="BGL66" s="198"/>
      <c r="BGM66" s="198"/>
      <c r="BGN66" s="198"/>
      <c r="BGO66" s="198"/>
      <c r="BGP66" s="198"/>
      <c r="BGQ66" s="198"/>
      <c r="BGR66" s="198"/>
      <c r="BGS66" s="198"/>
      <c r="BGT66" s="198"/>
      <c r="BGU66" s="198"/>
      <c r="BGV66" s="198"/>
      <c r="BGW66" s="198"/>
      <c r="BGX66" s="198"/>
      <c r="BGY66" s="198"/>
      <c r="BGZ66" s="198"/>
      <c r="BHA66" s="198"/>
      <c r="BHB66" s="198"/>
      <c r="BHC66" s="198"/>
      <c r="BHD66" s="198"/>
      <c r="BHE66" s="198"/>
      <c r="BHF66" s="198"/>
      <c r="BHG66" s="198"/>
      <c r="BHH66" s="198"/>
      <c r="BHI66" s="198"/>
      <c r="BHJ66" s="198"/>
      <c r="BHK66" s="198"/>
      <c r="BHL66" s="198"/>
      <c r="BHM66" s="198"/>
      <c r="BHN66" s="198"/>
      <c r="BHO66" s="198"/>
      <c r="BHP66" s="198"/>
      <c r="BHQ66" s="198"/>
      <c r="BHR66" s="198"/>
      <c r="BHS66" s="198"/>
      <c r="BHT66" s="198"/>
      <c r="BHU66" s="198"/>
      <c r="BHV66" s="198"/>
      <c r="BHW66" s="198"/>
      <c r="BHX66" s="198"/>
      <c r="BHY66" s="198"/>
      <c r="BHZ66" s="198"/>
      <c r="BIA66" s="198"/>
      <c r="BIB66" s="198"/>
      <c r="BIC66" s="198"/>
      <c r="BID66" s="198"/>
      <c r="BIE66" s="198"/>
      <c r="BIF66" s="198"/>
      <c r="BIG66" s="198"/>
      <c r="BIH66" s="198"/>
      <c r="BII66" s="198"/>
      <c r="BIJ66" s="198"/>
      <c r="BIK66" s="198"/>
      <c r="BIL66" s="198"/>
      <c r="BIM66" s="198"/>
      <c r="BIN66" s="198"/>
      <c r="BIO66" s="198"/>
      <c r="BIP66" s="198"/>
      <c r="BIQ66" s="198"/>
      <c r="BIR66" s="198"/>
      <c r="BIS66" s="198"/>
      <c r="BIT66" s="198"/>
      <c r="BIU66" s="198"/>
      <c r="BIV66" s="198"/>
      <c r="BIW66" s="198"/>
      <c r="BIX66" s="198"/>
      <c r="BIY66" s="198"/>
      <c r="BIZ66" s="198"/>
      <c r="BJA66" s="198"/>
      <c r="BJB66" s="198"/>
      <c r="BJC66" s="198"/>
      <c r="BJD66" s="198"/>
      <c r="BJE66" s="198"/>
      <c r="BJF66" s="198"/>
      <c r="BJG66" s="198"/>
      <c r="BJH66" s="198"/>
      <c r="BJI66" s="198"/>
      <c r="BJJ66" s="198"/>
      <c r="BJK66" s="198"/>
      <c r="BJL66" s="198"/>
      <c r="BJM66" s="198"/>
      <c r="BJN66" s="198"/>
      <c r="BJO66" s="198"/>
      <c r="BJP66" s="198"/>
      <c r="BJQ66" s="198"/>
      <c r="BJR66" s="198"/>
      <c r="BJS66" s="198"/>
      <c r="BJT66" s="198"/>
      <c r="BJU66" s="198"/>
      <c r="BJV66" s="198"/>
      <c r="BJW66" s="198"/>
      <c r="BJX66" s="198"/>
      <c r="BJY66" s="198"/>
      <c r="BJZ66" s="198"/>
      <c r="BKA66" s="198"/>
      <c r="BKB66" s="198"/>
      <c r="BKC66" s="198"/>
      <c r="BKD66" s="198"/>
      <c r="BKE66" s="198"/>
      <c r="BKF66" s="198"/>
      <c r="BKG66" s="198"/>
      <c r="BKH66" s="198"/>
      <c r="BKI66" s="198"/>
      <c r="BKJ66" s="198"/>
      <c r="BKK66" s="198"/>
      <c r="BKL66" s="198"/>
      <c r="BKM66" s="198"/>
      <c r="BKN66" s="198"/>
      <c r="BKO66" s="198"/>
      <c r="BKP66" s="198"/>
      <c r="BKQ66" s="198"/>
      <c r="BKR66" s="198"/>
      <c r="BKS66" s="198"/>
      <c r="BKT66" s="198"/>
      <c r="BKU66" s="198"/>
      <c r="BKV66" s="198"/>
      <c r="BKW66" s="198"/>
      <c r="BKX66" s="198"/>
      <c r="BKY66" s="198"/>
      <c r="BKZ66" s="198"/>
      <c r="BLA66" s="198"/>
      <c r="BLB66" s="198"/>
      <c r="BLC66" s="198"/>
      <c r="BLD66" s="198"/>
      <c r="BLE66" s="198"/>
      <c r="BLF66" s="198"/>
      <c r="BLG66" s="198"/>
      <c r="BLH66" s="198"/>
      <c r="BLI66" s="198"/>
      <c r="BLJ66" s="198"/>
      <c r="BLK66" s="198"/>
      <c r="BLL66" s="198"/>
      <c r="BLM66" s="198"/>
      <c r="BLN66" s="198"/>
      <c r="BLO66" s="198"/>
      <c r="BLP66" s="198"/>
      <c r="BLQ66" s="198"/>
      <c r="BLR66" s="198"/>
      <c r="BLS66" s="198"/>
      <c r="BLT66" s="198"/>
      <c r="BLU66" s="198"/>
      <c r="BLV66" s="198"/>
      <c r="BLW66" s="198"/>
      <c r="BLX66" s="198"/>
      <c r="BLY66" s="198"/>
      <c r="BLZ66" s="198"/>
      <c r="BMA66" s="198"/>
      <c r="BMB66" s="198"/>
      <c r="BMC66" s="198"/>
      <c r="BMD66" s="198"/>
      <c r="BME66" s="198"/>
      <c r="BMF66" s="198"/>
      <c r="BMG66" s="198"/>
      <c r="BMH66" s="198"/>
      <c r="BMI66" s="198"/>
      <c r="BMJ66" s="198"/>
      <c r="BMK66" s="198"/>
      <c r="BML66" s="198"/>
      <c r="BMM66" s="198"/>
      <c r="BMN66" s="198"/>
      <c r="BMO66" s="198"/>
      <c r="BMP66" s="198"/>
      <c r="BMQ66" s="198"/>
      <c r="BMR66" s="198"/>
      <c r="BMS66" s="198"/>
      <c r="BMT66" s="198"/>
      <c r="BMU66" s="198"/>
      <c r="BMV66" s="198"/>
      <c r="BMW66" s="198"/>
      <c r="BMX66" s="198"/>
      <c r="BMY66" s="198"/>
      <c r="BMZ66" s="198"/>
      <c r="BNA66" s="198"/>
      <c r="BNB66" s="198"/>
      <c r="BNC66" s="198"/>
      <c r="BND66" s="198"/>
      <c r="BNE66" s="198"/>
      <c r="BNF66" s="198"/>
      <c r="BNG66" s="198"/>
      <c r="BNH66" s="198"/>
      <c r="BNI66" s="198"/>
      <c r="BNJ66" s="198"/>
      <c r="BNK66" s="198"/>
      <c r="BNL66" s="198"/>
      <c r="BNM66" s="198"/>
      <c r="BNN66" s="198"/>
      <c r="BNO66" s="198"/>
      <c r="BNP66" s="198"/>
      <c r="BNQ66" s="198"/>
      <c r="BNR66" s="198"/>
      <c r="BNS66" s="198"/>
      <c r="BNT66" s="198"/>
      <c r="BNU66" s="198"/>
      <c r="BNV66" s="198"/>
      <c r="BNW66" s="198"/>
      <c r="BNX66" s="198"/>
      <c r="BNY66" s="198"/>
      <c r="BNZ66" s="198"/>
      <c r="BOA66" s="198"/>
      <c r="BOB66" s="198"/>
      <c r="BOC66" s="198"/>
      <c r="BOD66" s="198"/>
      <c r="BOE66" s="198"/>
      <c r="BOF66" s="198"/>
      <c r="BOG66" s="198"/>
      <c r="BOH66" s="198"/>
      <c r="BOI66" s="198"/>
      <c r="BOJ66" s="198"/>
      <c r="BOK66" s="198"/>
      <c r="BOL66" s="198"/>
      <c r="BOM66" s="198"/>
      <c r="BON66" s="198"/>
      <c r="BOO66" s="198"/>
      <c r="BOP66" s="198"/>
      <c r="BOQ66" s="198"/>
      <c r="BOR66" s="198"/>
      <c r="BOS66" s="198"/>
      <c r="BOT66" s="198"/>
      <c r="BOU66" s="198"/>
      <c r="BOV66" s="198"/>
      <c r="BOW66" s="198"/>
      <c r="BOX66" s="198"/>
      <c r="BOY66" s="198"/>
      <c r="BOZ66" s="198"/>
      <c r="BPA66" s="198"/>
      <c r="BPB66" s="198"/>
      <c r="BPC66" s="198"/>
      <c r="BPD66" s="198"/>
      <c r="BPE66" s="198"/>
      <c r="BPF66" s="198"/>
      <c r="BPG66" s="198"/>
      <c r="BPH66" s="198"/>
      <c r="BPI66" s="198"/>
      <c r="BPJ66" s="198"/>
      <c r="BPK66" s="198"/>
      <c r="BPL66" s="198"/>
      <c r="BPM66" s="198"/>
      <c r="BPN66" s="198"/>
      <c r="BPO66" s="198"/>
      <c r="BPP66" s="198"/>
      <c r="BPQ66" s="198"/>
      <c r="BPR66" s="198"/>
      <c r="BPS66" s="198"/>
      <c r="BPT66" s="198"/>
      <c r="BPU66" s="198"/>
      <c r="BPV66" s="198"/>
      <c r="BPW66" s="198"/>
      <c r="BPX66" s="198"/>
      <c r="BPY66" s="198"/>
      <c r="BPZ66" s="198"/>
      <c r="BQA66" s="198"/>
      <c r="BQB66" s="198"/>
      <c r="BQC66" s="198"/>
      <c r="BQD66" s="198"/>
      <c r="BQE66" s="198"/>
      <c r="BQF66" s="198"/>
      <c r="BQG66" s="198"/>
      <c r="BQH66" s="198"/>
      <c r="BQI66" s="198"/>
      <c r="BQJ66" s="198"/>
      <c r="BQK66" s="198"/>
      <c r="BQL66" s="198"/>
      <c r="BQM66" s="198"/>
      <c r="BQN66" s="198"/>
      <c r="BQO66" s="198"/>
      <c r="BQP66" s="198"/>
      <c r="BQQ66" s="198"/>
      <c r="BQR66" s="198"/>
      <c r="BQS66" s="198"/>
      <c r="BQT66" s="198"/>
      <c r="BQU66" s="198"/>
      <c r="BQV66" s="198"/>
      <c r="BQW66" s="198"/>
      <c r="BQX66" s="198"/>
      <c r="BQY66" s="198"/>
      <c r="BQZ66" s="198"/>
      <c r="BRA66" s="198"/>
      <c r="BRB66" s="198"/>
      <c r="BRC66" s="198"/>
      <c r="BRD66" s="198"/>
      <c r="BRE66" s="198"/>
      <c r="BRF66" s="198"/>
      <c r="BRG66" s="198"/>
      <c r="BRH66" s="198"/>
      <c r="BRI66" s="198"/>
      <c r="BRJ66" s="198"/>
      <c r="BRK66" s="198"/>
      <c r="BRL66" s="198"/>
      <c r="BRM66" s="198"/>
      <c r="BRN66" s="198"/>
      <c r="BRO66" s="198"/>
      <c r="BRP66" s="198"/>
      <c r="BRQ66" s="198"/>
      <c r="BRR66" s="198"/>
      <c r="BRS66" s="198"/>
      <c r="BRT66" s="198"/>
      <c r="BRU66" s="198"/>
      <c r="BRV66" s="198"/>
      <c r="BRW66" s="198"/>
      <c r="BRX66" s="198"/>
      <c r="BRY66" s="198"/>
      <c r="BRZ66" s="198"/>
      <c r="BSA66" s="198"/>
      <c r="BSB66" s="198"/>
      <c r="BSC66" s="198"/>
      <c r="BSD66" s="198"/>
      <c r="BSE66" s="198"/>
      <c r="BSF66" s="198"/>
      <c r="BSG66" s="198"/>
      <c r="BSH66" s="198"/>
      <c r="BSI66" s="198"/>
      <c r="BSJ66" s="198"/>
      <c r="BSK66" s="198"/>
      <c r="BSL66" s="198"/>
      <c r="BSM66" s="198"/>
      <c r="BSN66" s="198"/>
      <c r="BSO66" s="198"/>
      <c r="BSP66" s="198"/>
      <c r="BSQ66" s="198"/>
      <c r="BSR66" s="198"/>
      <c r="BSS66" s="198"/>
      <c r="BST66" s="198"/>
      <c r="BSU66" s="198"/>
      <c r="BSV66" s="198"/>
      <c r="BSW66" s="198"/>
      <c r="BSX66" s="198"/>
      <c r="BSY66" s="198"/>
      <c r="BSZ66" s="198"/>
      <c r="BTA66" s="198"/>
      <c r="BTB66" s="198"/>
      <c r="BTC66" s="198"/>
      <c r="BTD66" s="198"/>
      <c r="BTE66" s="198"/>
      <c r="BTF66" s="198"/>
      <c r="BTG66" s="198"/>
      <c r="BTH66" s="198"/>
      <c r="BTI66" s="198"/>
      <c r="BTJ66" s="198"/>
      <c r="BTK66" s="198"/>
      <c r="BTL66" s="198"/>
      <c r="BTM66" s="198"/>
      <c r="BTN66" s="198"/>
      <c r="BTO66" s="198"/>
      <c r="BTP66" s="198"/>
      <c r="BTQ66" s="198"/>
      <c r="BTR66" s="198"/>
      <c r="BTS66" s="198"/>
      <c r="BTT66" s="198"/>
      <c r="BTU66" s="198"/>
      <c r="BTV66" s="198"/>
      <c r="BTW66" s="198"/>
      <c r="BTX66" s="198"/>
      <c r="BTY66" s="198"/>
      <c r="BTZ66" s="198"/>
      <c r="BUA66" s="198"/>
      <c r="BUB66" s="198"/>
      <c r="BUC66" s="198"/>
      <c r="BUD66" s="198"/>
      <c r="BUE66" s="198"/>
      <c r="BUF66" s="198"/>
      <c r="BUG66" s="198"/>
      <c r="BUH66" s="198"/>
      <c r="BUI66" s="198"/>
      <c r="BUJ66" s="198"/>
      <c r="BUK66" s="198"/>
      <c r="BUL66" s="198"/>
      <c r="BUM66" s="198"/>
      <c r="BUN66" s="198"/>
      <c r="BUO66" s="198"/>
      <c r="BUP66" s="198"/>
      <c r="BUQ66" s="198"/>
      <c r="BUR66" s="198"/>
      <c r="BUS66" s="198"/>
      <c r="BUT66" s="198"/>
      <c r="BUU66" s="198"/>
      <c r="BUV66" s="198"/>
      <c r="BUW66" s="198"/>
      <c r="BUX66" s="198"/>
      <c r="BUY66" s="198"/>
      <c r="BUZ66" s="198"/>
      <c r="BVA66" s="198"/>
      <c r="BVB66" s="198"/>
      <c r="BVC66" s="198"/>
      <c r="BVD66" s="198"/>
      <c r="BVE66" s="198"/>
      <c r="BVF66" s="198"/>
      <c r="BVG66" s="198"/>
      <c r="BVH66" s="198"/>
      <c r="BVI66" s="198"/>
      <c r="BVJ66" s="198"/>
      <c r="BVK66" s="198"/>
      <c r="BVL66" s="198"/>
      <c r="BVM66" s="198"/>
      <c r="BVN66" s="198"/>
      <c r="BVO66" s="198"/>
      <c r="BVP66" s="198"/>
      <c r="BVQ66" s="198"/>
      <c r="BVR66" s="198"/>
      <c r="BVS66" s="198"/>
      <c r="BVT66" s="198"/>
      <c r="BVU66" s="198"/>
      <c r="BVV66" s="198"/>
      <c r="BVW66" s="198"/>
      <c r="BVX66" s="198"/>
      <c r="BVY66" s="198"/>
      <c r="BVZ66" s="198"/>
      <c r="BWA66" s="198"/>
      <c r="BWB66" s="198"/>
      <c r="BWC66" s="198"/>
      <c r="BWD66" s="198"/>
      <c r="BWE66" s="198"/>
      <c r="BWF66" s="198"/>
      <c r="BWG66" s="198"/>
      <c r="BWH66" s="198"/>
      <c r="BWI66" s="198"/>
      <c r="BWJ66" s="198"/>
      <c r="BWK66" s="198"/>
      <c r="BWL66" s="198"/>
      <c r="BWM66" s="198"/>
      <c r="BWN66" s="198"/>
      <c r="BWO66" s="198"/>
      <c r="BWP66" s="198"/>
      <c r="BWQ66" s="198"/>
      <c r="BWR66" s="198"/>
      <c r="BWS66" s="198"/>
      <c r="BWT66" s="198"/>
      <c r="BWU66" s="198"/>
      <c r="BWV66" s="198"/>
      <c r="BWW66" s="198"/>
      <c r="BWX66" s="198"/>
      <c r="BWY66" s="198"/>
      <c r="BWZ66" s="198"/>
      <c r="BXA66" s="198"/>
      <c r="BXB66" s="198"/>
      <c r="BXC66" s="198"/>
      <c r="BXD66" s="198"/>
      <c r="BXE66" s="198"/>
      <c r="BXF66" s="198"/>
      <c r="BXG66" s="198"/>
      <c r="BXH66" s="198"/>
      <c r="BXI66" s="198"/>
      <c r="BXJ66" s="198"/>
      <c r="BXK66" s="198"/>
      <c r="BXL66" s="198"/>
      <c r="BXM66" s="198"/>
      <c r="BXN66" s="198"/>
      <c r="BXO66" s="198"/>
      <c r="BXP66" s="198"/>
      <c r="BXQ66" s="198"/>
      <c r="BXR66" s="198"/>
      <c r="BXS66" s="198"/>
      <c r="BXT66" s="198"/>
      <c r="BXU66" s="198"/>
      <c r="BXV66" s="198"/>
      <c r="BXW66" s="198"/>
      <c r="BXX66" s="198"/>
      <c r="BXY66" s="198"/>
      <c r="BXZ66" s="198"/>
      <c r="BYA66" s="198"/>
      <c r="BYB66" s="198"/>
      <c r="BYC66" s="198"/>
      <c r="BYD66" s="198"/>
      <c r="BYE66" s="198"/>
      <c r="BYF66" s="198"/>
      <c r="BYG66" s="198"/>
    </row>
    <row r="67" spans="1:2009" s="198" customFormat="1" ht="9" customHeight="1" x14ac:dyDescent="0.25">
      <c r="A67" s="758"/>
      <c r="B67" s="759"/>
      <c r="C67" s="760"/>
      <c r="D67" s="760"/>
      <c r="E67" s="760"/>
      <c r="F67" s="760"/>
      <c r="G67" s="761"/>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row>
    <row r="68" spans="1:2009" s="96" customFormat="1" ht="22.5" customHeight="1" x14ac:dyDescent="0.25">
      <c r="A68" s="122"/>
      <c r="B68" s="756" t="s">
        <v>430</v>
      </c>
      <c r="C68" s="757">
        <f>C66/G$66</f>
        <v>0.38214197635494734</v>
      </c>
      <c r="D68" s="757">
        <f>D66/$G66</f>
        <v>0.34975213423230694</v>
      </c>
      <c r="E68" s="757">
        <f t="shared" ref="E68:G68" si="5">E66/$G66</f>
        <v>0.17763500470346485</v>
      </c>
      <c r="F68" s="757">
        <f t="shared" si="5"/>
        <v>9.0470884709280885E-2</v>
      </c>
      <c r="G68" s="757">
        <f t="shared" si="5"/>
        <v>1</v>
      </c>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c r="IW68" s="95"/>
      <c r="IX68" s="95"/>
      <c r="IY68" s="95"/>
      <c r="IZ68" s="95"/>
      <c r="JA68" s="95"/>
      <c r="JB68" s="95"/>
      <c r="JC68" s="95"/>
      <c r="JD68" s="95"/>
      <c r="JE68" s="95"/>
      <c r="JF68" s="95"/>
      <c r="JG68" s="95"/>
      <c r="JH68" s="95"/>
      <c r="JI68" s="95"/>
      <c r="JJ68" s="95"/>
      <c r="JK68" s="95"/>
      <c r="JL68" s="95"/>
      <c r="JM68" s="95"/>
      <c r="JN68" s="95"/>
      <c r="JO68" s="95"/>
      <c r="JP68" s="95"/>
      <c r="JQ68" s="95"/>
      <c r="JR68" s="95"/>
      <c r="JS68" s="95"/>
      <c r="JT68" s="95"/>
      <c r="JU68" s="95"/>
      <c r="JV68" s="95"/>
      <c r="JW68" s="95"/>
      <c r="JX68" s="95"/>
      <c r="JY68" s="95"/>
      <c r="JZ68" s="95"/>
      <c r="KA68" s="95"/>
      <c r="KB68" s="95"/>
      <c r="KC68" s="95"/>
      <c r="KD68" s="95"/>
      <c r="KE68" s="95"/>
      <c r="KF68" s="95"/>
      <c r="KG68" s="95"/>
      <c r="KH68" s="95"/>
      <c r="KI68" s="95"/>
      <c r="KJ68" s="95"/>
      <c r="KK68" s="95"/>
      <c r="KL68" s="95"/>
      <c r="KM68" s="95"/>
      <c r="KN68" s="95"/>
      <c r="KO68" s="95"/>
      <c r="KP68" s="95"/>
      <c r="KQ68" s="95"/>
      <c r="KR68" s="95"/>
      <c r="KS68" s="95"/>
      <c r="KT68" s="95"/>
      <c r="KU68" s="95"/>
      <c r="KV68" s="95"/>
      <c r="KW68" s="95"/>
      <c r="KX68" s="95"/>
      <c r="KY68" s="95"/>
      <c r="KZ68" s="95"/>
      <c r="LA68" s="95"/>
      <c r="LB68" s="95"/>
      <c r="LC68" s="95"/>
      <c r="LD68" s="95"/>
      <c r="LE68" s="95"/>
      <c r="LF68" s="95"/>
      <c r="LG68" s="95"/>
      <c r="LH68" s="95"/>
      <c r="LI68" s="95"/>
      <c r="LJ68" s="95"/>
      <c r="LK68" s="95"/>
      <c r="LL68" s="95"/>
      <c r="LM68" s="95"/>
      <c r="LN68" s="95"/>
      <c r="LO68" s="95"/>
      <c r="LP68" s="95"/>
      <c r="LQ68" s="95"/>
      <c r="LR68" s="95"/>
      <c r="LS68" s="95"/>
      <c r="LT68" s="95"/>
      <c r="LU68" s="95"/>
      <c r="LV68" s="95"/>
      <c r="LW68" s="95"/>
      <c r="LX68" s="95"/>
      <c r="LY68" s="95"/>
      <c r="LZ68" s="95"/>
      <c r="MA68" s="95"/>
      <c r="MB68" s="95"/>
      <c r="MC68" s="95"/>
      <c r="MD68" s="95"/>
      <c r="ME68" s="95"/>
      <c r="MF68" s="95"/>
      <c r="MG68" s="95"/>
      <c r="MH68" s="95"/>
      <c r="MI68" s="95"/>
      <c r="MJ68" s="95"/>
      <c r="MK68" s="95"/>
      <c r="ML68" s="95"/>
      <c r="MM68" s="95"/>
      <c r="MN68" s="95"/>
      <c r="MO68" s="95"/>
      <c r="MP68" s="95"/>
      <c r="MQ68" s="95"/>
      <c r="MR68" s="95"/>
      <c r="MS68" s="95"/>
      <c r="MT68" s="95"/>
      <c r="MU68" s="95"/>
      <c r="MV68" s="95"/>
      <c r="MW68" s="95"/>
      <c r="MX68" s="95"/>
      <c r="MY68" s="95"/>
      <c r="MZ68" s="95"/>
      <c r="NA68" s="95"/>
      <c r="NB68" s="95"/>
      <c r="NC68" s="95"/>
      <c r="ND68" s="95"/>
      <c r="NE68" s="95"/>
      <c r="NF68" s="95"/>
      <c r="NG68" s="95"/>
      <c r="NH68" s="95"/>
      <c r="NI68" s="95"/>
      <c r="NJ68" s="95"/>
      <c r="NK68" s="95"/>
      <c r="NL68" s="95"/>
      <c r="NM68" s="95"/>
      <c r="NN68" s="95"/>
      <c r="NO68" s="95"/>
      <c r="NP68" s="95"/>
      <c r="NQ68" s="95"/>
      <c r="NR68" s="95"/>
      <c r="NS68" s="95"/>
      <c r="NT68" s="95"/>
      <c r="NU68" s="95"/>
      <c r="NV68" s="95"/>
      <c r="NW68" s="95"/>
      <c r="NX68" s="95"/>
      <c r="NY68" s="95"/>
      <c r="NZ68" s="95"/>
      <c r="OA68" s="95"/>
      <c r="OB68" s="95"/>
      <c r="OC68" s="95"/>
      <c r="OD68" s="95"/>
      <c r="OE68" s="95"/>
      <c r="OF68" s="95"/>
      <c r="OG68" s="95"/>
      <c r="OH68" s="95"/>
      <c r="OI68" s="95"/>
      <c r="OJ68" s="95"/>
      <c r="OK68" s="95"/>
      <c r="OL68" s="95"/>
      <c r="OM68" s="95"/>
      <c r="ON68" s="95"/>
      <c r="OO68" s="95"/>
      <c r="OP68" s="95"/>
      <c r="OQ68" s="95"/>
      <c r="OR68" s="95"/>
      <c r="OS68" s="95"/>
      <c r="OT68" s="95"/>
      <c r="OU68" s="95"/>
      <c r="OV68" s="95"/>
      <c r="OW68" s="95"/>
      <c r="OX68" s="95"/>
      <c r="OY68" s="95"/>
      <c r="OZ68" s="95"/>
      <c r="PA68" s="95"/>
      <c r="PB68" s="95"/>
      <c r="PC68" s="95"/>
      <c r="PD68" s="95"/>
      <c r="PE68" s="95"/>
      <c r="PF68" s="95"/>
      <c r="PG68" s="95"/>
      <c r="PH68" s="95"/>
      <c r="PI68" s="95"/>
      <c r="PJ68" s="95"/>
      <c r="PK68" s="95"/>
      <c r="PL68" s="95"/>
      <c r="PM68" s="95"/>
      <c r="PN68" s="95"/>
      <c r="PO68" s="95"/>
      <c r="PP68" s="95"/>
      <c r="PQ68" s="95"/>
      <c r="PR68" s="95"/>
      <c r="PS68" s="95"/>
      <c r="PT68" s="95"/>
      <c r="PU68" s="95"/>
      <c r="PV68" s="95"/>
      <c r="PW68" s="95"/>
      <c r="PX68" s="95"/>
      <c r="PY68" s="95"/>
      <c r="PZ68" s="95"/>
      <c r="QA68" s="95"/>
      <c r="QB68" s="95"/>
      <c r="QC68" s="95"/>
      <c r="QD68" s="95"/>
      <c r="QE68" s="95"/>
      <c r="QF68" s="95"/>
      <c r="QG68" s="95"/>
      <c r="QH68" s="95"/>
      <c r="QI68" s="95"/>
      <c r="QJ68" s="95"/>
      <c r="QK68" s="95"/>
      <c r="QL68" s="95"/>
      <c r="QM68" s="95"/>
      <c r="QN68" s="95"/>
      <c r="QO68" s="95"/>
      <c r="QP68" s="95"/>
      <c r="QQ68" s="95"/>
      <c r="QR68" s="95"/>
      <c r="QS68" s="95"/>
      <c r="QT68" s="95"/>
      <c r="QU68" s="95"/>
      <c r="QV68" s="95"/>
      <c r="QW68" s="95"/>
      <c r="QX68" s="95"/>
      <c r="QY68" s="95"/>
      <c r="QZ68" s="95"/>
      <c r="RA68" s="95"/>
      <c r="RB68" s="95"/>
      <c r="RC68" s="95"/>
      <c r="RD68" s="95"/>
      <c r="RE68" s="95"/>
      <c r="RF68" s="95"/>
      <c r="RG68" s="95"/>
      <c r="RH68" s="95"/>
      <c r="RI68" s="95"/>
      <c r="RJ68" s="95"/>
      <c r="RK68" s="95"/>
      <c r="RL68" s="95"/>
      <c r="RM68" s="95"/>
      <c r="RN68" s="95"/>
      <c r="RO68" s="95"/>
      <c r="RP68" s="95"/>
      <c r="RQ68" s="95"/>
      <c r="RR68" s="95"/>
      <c r="RS68" s="95"/>
      <c r="RT68" s="95"/>
      <c r="RU68" s="95"/>
      <c r="RV68" s="95"/>
      <c r="RW68" s="95"/>
      <c r="RX68" s="95"/>
      <c r="RY68" s="95"/>
      <c r="RZ68" s="95"/>
      <c r="SA68" s="95"/>
      <c r="SB68" s="95"/>
      <c r="SC68" s="95"/>
      <c r="SD68" s="95"/>
      <c r="SE68" s="95"/>
      <c r="SF68" s="95"/>
      <c r="SG68" s="95"/>
      <c r="SH68" s="95"/>
      <c r="SI68" s="95"/>
      <c r="SJ68" s="95"/>
      <c r="SK68" s="95"/>
      <c r="SL68" s="95"/>
      <c r="SM68" s="95"/>
      <c r="SN68" s="95"/>
      <c r="SO68" s="95"/>
      <c r="SP68" s="95"/>
      <c r="SQ68" s="95"/>
      <c r="SR68" s="95"/>
      <c r="SS68" s="95"/>
      <c r="ST68" s="95"/>
      <c r="SU68" s="95"/>
      <c r="SV68" s="95"/>
      <c r="SW68" s="95"/>
      <c r="SX68" s="95"/>
      <c r="SY68" s="95"/>
      <c r="SZ68" s="95"/>
      <c r="TA68" s="95"/>
      <c r="TB68" s="95"/>
      <c r="TC68" s="95"/>
      <c r="TD68" s="95"/>
      <c r="TE68" s="95"/>
      <c r="TF68" s="95"/>
      <c r="TG68" s="95"/>
      <c r="TH68" s="95"/>
      <c r="TI68" s="95"/>
      <c r="TJ68" s="95"/>
      <c r="TK68" s="95"/>
      <c r="TL68" s="95"/>
      <c r="TM68" s="95"/>
      <c r="TN68" s="95"/>
      <c r="TO68" s="95"/>
      <c r="TP68" s="95"/>
      <c r="TQ68" s="95"/>
      <c r="TR68" s="95"/>
      <c r="TS68" s="95"/>
      <c r="TT68" s="95"/>
      <c r="TU68" s="95"/>
      <c r="TV68" s="95"/>
      <c r="TW68" s="95"/>
      <c r="TX68" s="95"/>
      <c r="TY68" s="95"/>
      <c r="TZ68" s="95"/>
      <c r="UA68" s="95"/>
      <c r="UB68" s="95"/>
      <c r="UC68" s="95"/>
      <c r="UD68" s="95"/>
      <c r="UE68" s="95"/>
      <c r="UF68" s="95"/>
      <c r="UG68" s="95"/>
      <c r="UH68" s="95"/>
      <c r="UI68" s="95"/>
      <c r="UJ68" s="95"/>
      <c r="UK68" s="95"/>
      <c r="UL68" s="95"/>
      <c r="UM68" s="95"/>
      <c r="UN68" s="95"/>
      <c r="UO68" s="95"/>
      <c r="UP68" s="95"/>
      <c r="UQ68" s="95"/>
      <c r="UR68" s="95"/>
      <c r="US68" s="95"/>
      <c r="UT68" s="95"/>
      <c r="UU68" s="95"/>
      <c r="UV68" s="95"/>
      <c r="UW68" s="95"/>
      <c r="UX68" s="95"/>
      <c r="UY68" s="95"/>
      <c r="UZ68" s="95"/>
      <c r="VA68" s="95"/>
      <c r="VB68" s="95"/>
      <c r="VC68" s="95"/>
      <c r="VD68" s="95"/>
      <c r="VE68" s="95"/>
      <c r="VF68" s="95"/>
      <c r="VG68" s="95"/>
      <c r="VH68" s="95"/>
      <c r="VI68" s="95"/>
      <c r="VJ68" s="95"/>
      <c r="VK68" s="95"/>
      <c r="VL68" s="95"/>
      <c r="VM68" s="95"/>
      <c r="VN68" s="95"/>
      <c r="VO68" s="95"/>
      <c r="VP68" s="95"/>
      <c r="VQ68" s="95"/>
      <c r="VR68" s="95"/>
      <c r="VS68" s="95"/>
      <c r="VT68" s="95"/>
      <c r="VU68" s="95"/>
      <c r="VV68" s="95"/>
      <c r="VW68" s="95"/>
      <c r="VX68" s="95"/>
      <c r="VY68" s="95"/>
      <c r="VZ68" s="95"/>
      <c r="WA68" s="95"/>
      <c r="WB68" s="95"/>
      <c r="WC68" s="95"/>
      <c r="WD68" s="95"/>
      <c r="WE68" s="95"/>
      <c r="WF68" s="95"/>
      <c r="WG68" s="95"/>
      <c r="WH68" s="95"/>
      <c r="WI68" s="95"/>
      <c r="WJ68" s="95"/>
      <c r="WK68" s="95"/>
      <c r="WL68" s="95"/>
      <c r="WM68" s="95"/>
      <c r="WN68" s="95"/>
      <c r="WO68" s="95"/>
      <c r="WP68" s="95"/>
      <c r="WQ68" s="95"/>
      <c r="WR68" s="95"/>
      <c r="WS68" s="95"/>
      <c r="WT68" s="95"/>
      <c r="WU68" s="95"/>
      <c r="WV68" s="95"/>
      <c r="WW68" s="95"/>
      <c r="WX68" s="95"/>
      <c r="WY68" s="95"/>
      <c r="WZ68" s="95"/>
      <c r="XA68" s="95"/>
      <c r="XB68" s="95"/>
      <c r="XC68" s="95"/>
      <c r="XD68" s="95"/>
      <c r="XE68" s="95"/>
      <c r="XF68" s="95"/>
      <c r="XG68" s="95"/>
      <c r="XH68" s="95"/>
      <c r="XI68" s="95"/>
      <c r="XJ68" s="95"/>
      <c r="XK68" s="95"/>
      <c r="XL68" s="95"/>
      <c r="XM68" s="95"/>
      <c r="XN68" s="95"/>
      <c r="XO68" s="95"/>
      <c r="XP68" s="95"/>
      <c r="XQ68" s="95"/>
      <c r="XR68" s="95"/>
      <c r="XS68" s="95"/>
      <c r="XT68" s="95"/>
      <c r="XU68" s="95"/>
      <c r="XV68" s="95"/>
      <c r="XW68" s="95"/>
      <c r="XX68" s="95"/>
      <c r="XY68" s="95"/>
      <c r="XZ68" s="95"/>
      <c r="YA68" s="95"/>
      <c r="YB68" s="95"/>
      <c r="YC68" s="95"/>
      <c r="YD68" s="95"/>
      <c r="YE68" s="95"/>
      <c r="YF68" s="95"/>
      <c r="YG68" s="95"/>
      <c r="YH68" s="95"/>
      <c r="YI68" s="95"/>
      <c r="YJ68" s="95"/>
      <c r="YK68" s="95"/>
      <c r="YL68" s="95"/>
      <c r="YM68" s="95"/>
      <c r="YN68" s="95"/>
      <c r="YO68" s="95"/>
      <c r="YP68" s="95"/>
      <c r="YQ68" s="95"/>
      <c r="YR68" s="95"/>
      <c r="YS68" s="95"/>
      <c r="YT68" s="95"/>
      <c r="YU68" s="95"/>
      <c r="YV68" s="95"/>
      <c r="YW68" s="95"/>
      <c r="YX68" s="95"/>
      <c r="YY68" s="95"/>
      <c r="YZ68" s="95"/>
      <c r="ZA68" s="95"/>
      <c r="ZB68" s="95"/>
      <c r="ZC68" s="95"/>
      <c r="ZD68" s="95"/>
      <c r="ZE68" s="95"/>
      <c r="ZF68" s="95"/>
      <c r="ZG68" s="95"/>
      <c r="ZH68" s="95"/>
      <c r="ZI68" s="95"/>
      <c r="ZJ68" s="95"/>
      <c r="ZK68" s="95"/>
      <c r="ZL68" s="95"/>
      <c r="ZM68" s="95"/>
      <c r="ZN68" s="95"/>
      <c r="ZO68" s="95"/>
      <c r="ZP68" s="95"/>
      <c r="ZQ68" s="95"/>
      <c r="ZR68" s="95"/>
      <c r="ZS68" s="95"/>
      <c r="ZT68" s="95"/>
      <c r="ZU68" s="95"/>
      <c r="ZV68" s="95"/>
      <c r="ZW68" s="95"/>
      <c r="ZX68" s="95"/>
      <c r="ZY68" s="95"/>
      <c r="ZZ68" s="95"/>
      <c r="AAA68" s="95"/>
      <c r="AAB68" s="95"/>
      <c r="AAC68" s="95"/>
      <c r="AAD68" s="95"/>
      <c r="AAE68" s="95"/>
      <c r="AAF68" s="95"/>
      <c r="AAG68" s="95"/>
      <c r="AAH68" s="95"/>
      <c r="AAI68" s="95"/>
      <c r="AAJ68" s="95"/>
      <c r="AAK68" s="95"/>
      <c r="AAL68" s="95"/>
      <c r="AAM68" s="95"/>
      <c r="AAN68" s="95"/>
      <c r="AAO68" s="95"/>
      <c r="AAP68" s="95"/>
      <c r="AAQ68" s="95"/>
      <c r="AAR68" s="95"/>
      <c r="AAS68" s="95"/>
      <c r="AAT68" s="95"/>
      <c r="AAU68" s="95"/>
      <c r="AAV68" s="95"/>
      <c r="AAW68" s="95"/>
      <c r="AAX68" s="95"/>
      <c r="AAY68" s="95"/>
      <c r="AAZ68" s="95"/>
      <c r="ABA68" s="95"/>
      <c r="ABB68" s="95"/>
      <c r="ABC68" s="95"/>
      <c r="ABD68" s="95"/>
      <c r="ABE68" s="95"/>
      <c r="ABF68" s="95"/>
      <c r="ABG68" s="95"/>
      <c r="ABH68" s="95"/>
      <c r="ABI68" s="95"/>
      <c r="ABJ68" s="95"/>
      <c r="ABK68" s="95"/>
      <c r="ABL68" s="95"/>
      <c r="ABM68" s="95"/>
      <c r="ABN68" s="95"/>
      <c r="ABO68" s="95"/>
      <c r="ABP68" s="95"/>
      <c r="ABQ68" s="95"/>
      <c r="ABR68" s="95"/>
      <c r="ABS68" s="95"/>
      <c r="ABT68" s="95"/>
      <c r="ABU68" s="95"/>
      <c r="ABV68" s="95"/>
      <c r="ABW68" s="95"/>
      <c r="ABX68" s="95"/>
      <c r="ABY68" s="95"/>
      <c r="ABZ68" s="95"/>
      <c r="ACA68" s="95"/>
      <c r="ACB68" s="95"/>
      <c r="ACC68" s="95"/>
      <c r="ACD68" s="95"/>
      <c r="ACE68" s="95"/>
      <c r="ACF68" s="95"/>
      <c r="ACG68" s="95"/>
      <c r="ACH68" s="95"/>
      <c r="ACI68" s="95"/>
      <c r="ACJ68" s="95"/>
      <c r="ACK68" s="95"/>
      <c r="ACL68" s="95"/>
      <c r="ACM68" s="95"/>
      <c r="ACN68" s="95"/>
      <c r="ACO68" s="95"/>
      <c r="ACP68" s="95"/>
      <c r="ACQ68" s="95"/>
      <c r="ACR68" s="95"/>
      <c r="ACS68" s="95"/>
      <c r="ACT68" s="95"/>
      <c r="ACU68" s="95"/>
      <c r="ACV68" s="95"/>
      <c r="ACW68" s="95"/>
      <c r="ACX68" s="95"/>
      <c r="ACY68" s="95"/>
      <c r="ACZ68" s="95"/>
      <c r="ADA68" s="95"/>
      <c r="ADB68" s="95"/>
      <c r="ADC68" s="95"/>
      <c r="ADD68" s="95"/>
      <c r="ADE68" s="95"/>
      <c r="ADF68" s="95"/>
      <c r="ADG68" s="95"/>
      <c r="ADH68" s="95"/>
      <c r="ADI68" s="95"/>
      <c r="ADJ68" s="95"/>
      <c r="ADK68" s="95"/>
      <c r="ADL68" s="95"/>
      <c r="ADM68" s="95"/>
      <c r="ADN68" s="95"/>
      <c r="ADO68" s="95"/>
      <c r="ADP68" s="95"/>
      <c r="ADQ68" s="95"/>
      <c r="ADR68" s="95"/>
      <c r="ADS68" s="95"/>
      <c r="ADT68" s="95"/>
      <c r="ADU68" s="95"/>
      <c r="ADV68" s="95"/>
      <c r="ADW68" s="95"/>
      <c r="ADX68" s="95"/>
      <c r="ADY68" s="95"/>
      <c r="ADZ68" s="95"/>
      <c r="AEA68" s="95"/>
      <c r="AEB68" s="95"/>
      <c r="AEC68" s="95"/>
      <c r="AED68" s="95"/>
      <c r="AEE68" s="95"/>
      <c r="AEF68" s="95"/>
      <c r="AEG68" s="95"/>
      <c r="AEH68" s="95"/>
      <c r="AEI68" s="95"/>
      <c r="AEJ68" s="95"/>
      <c r="AEK68" s="95"/>
      <c r="AEL68" s="95"/>
      <c r="AEM68" s="95"/>
      <c r="AEN68" s="95"/>
      <c r="AEO68" s="95"/>
      <c r="AEP68" s="95"/>
      <c r="AEQ68" s="95"/>
      <c r="AER68" s="95"/>
      <c r="AES68" s="95"/>
      <c r="AET68" s="95"/>
      <c r="AEU68" s="95"/>
      <c r="AEV68" s="95"/>
      <c r="AEW68" s="95"/>
      <c r="AEX68" s="95"/>
      <c r="AEY68" s="95"/>
      <c r="AEZ68" s="95"/>
      <c r="AFA68" s="95"/>
      <c r="AFB68" s="95"/>
      <c r="AFC68" s="95"/>
      <c r="AFD68" s="95"/>
      <c r="AFE68" s="95"/>
      <c r="AFF68" s="95"/>
      <c r="AFG68" s="95"/>
      <c r="AFH68" s="95"/>
      <c r="AFI68" s="95"/>
      <c r="AFJ68" s="95"/>
      <c r="AFK68" s="95"/>
      <c r="AFL68" s="95"/>
      <c r="AFM68" s="95"/>
      <c r="AFN68" s="95"/>
      <c r="AFO68" s="95"/>
      <c r="AFP68" s="95"/>
      <c r="AFQ68" s="95"/>
      <c r="AFR68" s="95"/>
      <c r="AFS68" s="95"/>
      <c r="AFT68" s="95"/>
      <c r="AFU68" s="95"/>
      <c r="AFV68" s="95"/>
      <c r="AFW68" s="95"/>
      <c r="AFX68" s="95"/>
      <c r="AFY68" s="95"/>
      <c r="AFZ68" s="95"/>
      <c r="AGA68" s="95"/>
      <c r="AGB68" s="95"/>
      <c r="AGC68" s="95"/>
      <c r="AGD68" s="95"/>
      <c r="AGE68" s="95"/>
      <c r="AGF68" s="95"/>
      <c r="AGG68" s="95"/>
      <c r="AGH68" s="95"/>
      <c r="AGI68" s="95"/>
      <c r="AGJ68" s="95"/>
      <c r="AGK68" s="95"/>
      <c r="AGL68" s="95"/>
      <c r="AGM68" s="95"/>
      <c r="AGN68" s="95"/>
      <c r="AGO68" s="95"/>
      <c r="AGP68" s="95"/>
      <c r="AGQ68" s="95"/>
      <c r="AGR68" s="95"/>
      <c r="AGS68" s="95"/>
      <c r="AGT68" s="95"/>
      <c r="AGU68" s="95"/>
      <c r="AGV68" s="95"/>
      <c r="AGW68" s="95"/>
      <c r="AGX68" s="95"/>
      <c r="AGY68" s="95"/>
      <c r="AGZ68" s="95"/>
      <c r="AHA68" s="95"/>
      <c r="AHB68" s="95"/>
      <c r="AHC68" s="95"/>
      <c r="AHD68" s="95"/>
      <c r="AHE68" s="95"/>
      <c r="AHF68" s="95"/>
      <c r="AHG68" s="95"/>
      <c r="AHH68" s="95"/>
      <c r="AHI68" s="95"/>
      <c r="AHJ68" s="95"/>
      <c r="AHK68" s="95"/>
      <c r="AHL68" s="95"/>
      <c r="AHM68" s="95"/>
      <c r="AHN68" s="95"/>
      <c r="AHO68" s="95"/>
      <c r="AHP68" s="95"/>
      <c r="AHQ68" s="95"/>
      <c r="AHR68" s="95"/>
      <c r="AHS68" s="95"/>
      <c r="AHT68" s="95"/>
      <c r="AHU68" s="95"/>
      <c r="AHV68" s="95"/>
      <c r="AHW68" s="95"/>
      <c r="AHX68" s="95"/>
      <c r="AHY68" s="95"/>
      <c r="AHZ68" s="95"/>
      <c r="AIA68" s="95"/>
      <c r="AIB68" s="95"/>
      <c r="AIC68" s="95"/>
      <c r="AID68" s="95"/>
      <c r="AIE68" s="95"/>
      <c r="AIF68" s="95"/>
      <c r="AIG68" s="95"/>
      <c r="AIH68" s="95"/>
      <c r="AII68" s="95"/>
      <c r="AIJ68" s="95"/>
      <c r="AIK68" s="95"/>
      <c r="AIL68" s="95"/>
      <c r="AIM68" s="95"/>
      <c r="AIN68" s="95"/>
      <c r="AIO68" s="95"/>
      <c r="AIP68" s="95"/>
      <c r="AIQ68" s="95"/>
      <c r="AIR68" s="95"/>
      <c r="AIS68" s="95"/>
      <c r="AIT68" s="95"/>
      <c r="AIU68" s="95"/>
      <c r="AIV68" s="95"/>
      <c r="AIW68" s="95"/>
      <c r="AIX68" s="95"/>
      <c r="AIY68" s="95"/>
      <c r="AIZ68" s="95"/>
      <c r="AJA68" s="95"/>
      <c r="AJB68" s="95"/>
      <c r="AJC68" s="95"/>
      <c r="AJD68" s="95"/>
      <c r="AJE68" s="95"/>
      <c r="AJF68" s="95"/>
      <c r="AJG68" s="95"/>
      <c r="AJH68" s="95"/>
      <c r="AJI68" s="95"/>
      <c r="AJJ68" s="95"/>
      <c r="AJK68" s="95"/>
      <c r="AJL68" s="95"/>
      <c r="AJM68" s="95"/>
      <c r="AJN68" s="95"/>
      <c r="AJO68" s="95"/>
      <c r="AJP68" s="95"/>
      <c r="AJQ68" s="95"/>
      <c r="AJR68" s="95"/>
      <c r="AJS68" s="95"/>
      <c r="AJT68" s="95"/>
      <c r="AJU68" s="95"/>
      <c r="AJV68" s="95"/>
      <c r="AJW68" s="95"/>
      <c r="AJX68" s="95"/>
      <c r="AJY68" s="95"/>
      <c r="AJZ68" s="95"/>
      <c r="AKA68" s="95"/>
      <c r="AKB68" s="95"/>
      <c r="AKC68" s="95"/>
      <c r="AKD68" s="95"/>
      <c r="AKE68" s="95"/>
      <c r="AKF68" s="95"/>
      <c r="AKG68" s="95"/>
      <c r="AKH68" s="95"/>
      <c r="AKI68" s="95"/>
      <c r="AKJ68" s="95"/>
      <c r="AKK68" s="95"/>
      <c r="AKL68" s="95"/>
      <c r="AKM68" s="95"/>
      <c r="AKN68" s="95"/>
      <c r="AKO68" s="95"/>
      <c r="AKP68" s="95"/>
      <c r="AKQ68" s="95"/>
      <c r="AKR68" s="95"/>
      <c r="AKS68" s="95"/>
      <c r="AKT68" s="95"/>
      <c r="AKU68" s="95"/>
      <c r="AKV68" s="95"/>
      <c r="AKW68" s="95"/>
      <c r="AKX68" s="95"/>
      <c r="AKY68" s="95"/>
      <c r="AKZ68" s="95"/>
      <c r="ALA68" s="95"/>
      <c r="ALB68" s="95"/>
      <c r="ALC68" s="95"/>
      <c r="ALD68" s="95"/>
      <c r="ALE68" s="95"/>
      <c r="ALF68" s="95"/>
      <c r="ALG68" s="95"/>
      <c r="ALH68" s="95"/>
      <c r="ALI68" s="95"/>
      <c r="ALJ68" s="95"/>
      <c r="ALK68" s="95"/>
      <c r="ALL68" s="95"/>
      <c r="ALM68" s="95"/>
      <c r="ALN68" s="95"/>
      <c r="ALO68" s="95"/>
      <c r="ALP68" s="95"/>
      <c r="ALQ68" s="95"/>
      <c r="ALR68" s="95"/>
      <c r="ALS68" s="95"/>
      <c r="ALT68" s="95"/>
      <c r="ALU68" s="95"/>
      <c r="ALV68" s="95"/>
      <c r="ALW68" s="95"/>
      <c r="ALX68" s="95"/>
      <c r="ALY68" s="95"/>
      <c r="ALZ68" s="95"/>
      <c r="AMA68" s="95"/>
      <c r="AMB68" s="95"/>
      <c r="AMC68" s="95"/>
      <c r="AMD68" s="95"/>
      <c r="AME68" s="95"/>
      <c r="AMF68" s="95"/>
      <c r="AMG68" s="95"/>
      <c r="AMH68" s="95"/>
      <c r="AMI68" s="95"/>
      <c r="AMJ68" s="95"/>
      <c r="AMK68" s="95"/>
      <c r="AML68" s="95"/>
      <c r="AMM68" s="95"/>
      <c r="AMN68" s="95"/>
      <c r="AMO68" s="95"/>
      <c r="AMP68" s="95"/>
      <c r="AMQ68" s="95"/>
      <c r="AMR68" s="95"/>
      <c r="AMS68" s="95"/>
      <c r="AMT68" s="95"/>
      <c r="AMU68" s="95"/>
      <c r="AMV68" s="95"/>
      <c r="AMW68" s="95"/>
      <c r="AMX68" s="95"/>
      <c r="AMY68" s="95"/>
      <c r="AMZ68" s="95"/>
      <c r="ANA68" s="95"/>
      <c r="ANB68" s="95"/>
      <c r="ANC68" s="95"/>
      <c r="AND68" s="95"/>
      <c r="ANE68" s="95"/>
      <c r="ANF68" s="95"/>
      <c r="ANG68" s="95"/>
      <c r="ANH68" s="95"/>
      <c r="ANI68" s="95"/>
      <c r="ANJ68" s="95"/>
      <c r="ANK68" s="95"/>
      <c r="ANL68" s="95"/>
      <c r="ANM68" s="95"/>
      <c r="ANN68" s="95"/>
      <c r="ANO68" s="95"/>
      <c r="ANP68" s="95"/>
      <c r="ANQ68" s="95"/>
      <c r="ANR68" s="95"/>
      <c r="ANS68" s="95"/>
      <c r="ANT68" s="95"/>
      <c r="ANU68" s="95"/>
      <c r="ANV68" s="95"/>
      <c r="ANW68" s="95"/>
      <c r="ANX68" s="95"/>
      <c r="ANY68" s="95"/>
      <c r="ANZ68" s="95"/>
      <c r="AOA68" s="95"/>
      <c r="AOB68" s="95"/>
      <c r="AOC68" s="95"/>
      <c r="AOD68" s="95"/>
      <c r="AOE68" s="95"/>
      <c r="AOF68" s="95"/>
      <c r="AOG68" s="95"/>
      <c r="AOH68" s="95"/>
      <c r="AOI68" s="95"/>
      <c r="AOJ68" s="95"/>
      <c r="AOK68" s="95"/>
      <c r="AOL68" s="95"/>
      <c r="AOM68" s="95"/>
      <c r="AON68" s="95"/>
      <c r="AOO68" s="95"/>
      <c r="AOP68" s="95"/>
      <c r="AOQ68" s="95"/>
      <c r="AOR68" s="95"/>
      <c r="AOS68" s="95"/>
      <c r="AOT68" s="95"/>
      <c r="AOU68" s="95"/>
      <c r="AOV68" s="95"/>
      <c r="AOW68" s="95"/>
      <c r="AOX68" s="95"/>
      <c r="AOY68" s="95"/>
      <c r="AOZ68" s="95"/>
      <c r="APA68" s="95"/>
      <c r="APB68" s="95"/>
      <c r="APC68" s="95"/>
      <c r="APD68" s="95"/>
      <c r="APE68" s="95"/>
      <c r="APF68" s="95"/>
      <c r="APG68" s="95"/>
      <c r="APH68" s="95"/>
      <c r="API68" s="95"/>
      <c r="APJ68" s="95"/>
      <c r="APK68" s="95"/>
      <c r="APL68" s="95"/>
      <c r="APM68" s="95"/>
      <c r="APN68" s="95"/>
      <c r="APO68" s="95"/>
      <c r="APP68" s="95"/>
      <c r="APQ68" s="95"/>
      <c r="APR68" s="95"/>
      <c r="APS68" s="95"/>
      <c r="APT68" s="95"/>
      <c r="APU68" s="95"/>
      <c r="APV68" s="95"/>
      <c r="APW68" s="95"/>
      <c r="APX68" s="95"/>
      <c r="APY68" s="95"/>
      <c r="APZ68" s="95"/>
      <c r="AQA68" s="95"/>
      <c r="AQB68" s="95"/>
      <c r="AQC68" s="95"/>
      <c r="AQD68" s="95"/>
      <c r="AQE68" s="95"/>
      <c r="AQF68" s="95"/>
      <c r="AQG68" s="95"/>
      <c r="AQH68" s="95"/>
      <c r="AQI68" s="95"/>
      <c r="AQJ68" s="95"/>
      <c r="AQK68" s="95"/>
      <c r="AQL68" s="95"/>
      <c r="AQM68" s="95"/>
      <c r="AQN68" s="95"/>
      <c r="AQO68" s="95"/>
      <c r="AQP68" s="95"/>
      <c r="AQQ68" s="95"/>
      <c r="AQR68" s="95"/>
      <c r="AQS68" s="95"/>
      <c r="AQT68" s="95"/>
      <c r="AQU68" s="95"/>
      <c r="AQV68" s="95"/>
      <c r="AQW68" s="95"/>
      <c r="AQX68" s="95"/>
      <c r="AQY68" s="95"/>
      <c r="AQZ68" s="95"/>
      <c r="ARA68" s="95"/>
      <c r="ARB68" s="95"/>
      <c r="ARC68" s="95"/>
      <c r="ARD68" s="95"/>
      <c r="ARE68" s="95"/>
      <c r="ARF68" s="95"/>
      <c r="ARG68" s="95"/>
      <c r="ARH68" s="95"/>
      <c r="ARI68" s="95"/>
      <c r="ARJ68" s="95"/>
      <c r="ARK68" s="95"/>
      <c r="ARL68" s="95"/>
      <c r="ARM68" s="95"/>
      <c r="ARN68" s="95"/>
      <c r="ARO68" s="95"/>
      <c r="ARP68" s="95"/>
      <c r="ARQ68" s="95"/>
      <c r="ARR68" s="95"/>
      <c r="ARS68" s="95"/>
      <c r="ART68" s="95"/>
      <c r="ARU68" s="95"/>
      <c r="ARV68" s="95"/>
      <c r="ARW68" s="95"/>
      <c r="ARX68" s="95"/>
      <c r="ARY68" s="95"/>
      <c r="ARZ68" s="95"/>
      <c r="ASA68" s="95"/>
      <c r="ASB68" s="95"/>
      <c r="ASC68" s="95"/>
      <c r="ASD68" s="95"/>
      <c r="ASE68" s="95"/>
      <c r="ASF68" s="95"/>
      <c r="ASG68" s="95"/>
      <c r="ASH68" s="95"/>
      <c r="ASI68" s="95"/>
      <c r="ASJ68" s="95"/>
      <c r="ASK68" s="95"/>
      <c r="ASL68" s="95"/>
      <c r="ASM68" s="95"/>
      <c r="ASN68" s="95"/>
      <c r="ASO68" s="95"/>
      <c r="ASP68" s="95"/>
      <c r="ASQ68" s="95"/>
      <c r="ASR68" s="95"/>
      <c r="ASS68" s="95"/>
      <c r="AST68" s="95"/>
      <c r="ASU68" s="95"/>
      <c r="ASV68" s="95"/>
      <c r="ASW68" s="95"/>
      <c r="ASX68" s="95"/>
      <c r="ASY68" s="95"/>
      <c r="ASZ68" s="95"/>
      <c r="ATA68" s="95"/>
      <c r="ATB68" s="95"/>
      <c r="ATC68" s="95"/>
      <c r="ATD68" s="95"/>
      <c r="ATE68" s="95"/>
      <c r="ATF68" s="95"/>
      <c r="ATG68" s="95"/>
      <c r="ATH68" s="95"/>
      <c r="ATI68" s="95"/>
      <c r="ATJ68" s="95"/>
      <c r="ATK68" s="95"/>
      <c r="ATL68" s="95"/>
      <c r="ATM68" s="95"/>
      <c r="ATN68" s="95"/>
      <c r="ATO68" s="95"/>
      <c r="ATP68" s="95"/>
      <c r="ATQ68" s="95"/>
      <c r="ATR68" s="95"/>
      <c r="ATS68" s="95"/>
      <c r="ATT68" s="95"/>
      <c r="ATU68" s="95"/>
      <c r="ATV68" s="95"/>
      <c r="ATW68" s="95"/>
      <c r="ATX68" s="95"/>
      <c r="ATY68" s="95"/>
      <c r="ATZ68" s="95"/>
      <c r="AUA68" s="95"/>
      <c r="AUB68" s="95"/>
      <c r="AUC68" s="95"/>
      <c r="AUD68" s="95"/>
      <c r="AUE68" s="95"/>
      <c r="AUF68" s="95"/>
      <c r="AUG68" s="95"/>
      <c r="AUH68" s="95"/>
      <c r="AUI68" s="95"/>
      <c r="AUJ68" s="95"/>
      <c r="AUK68" s="95"/>
      <c r="AUL68" s="95"/>
      <c r="AUM68" s="95"/>
      <c r="AUN68" s="95"/>
      <c r="AUO68" s="95"/>
      <c r="AUP68" s="95"/>
      <c r="AUQ68" s="95"/>
      <c r="AUR68" s="95"/>
      <c r="AUS68" s="95"/>
      <c r="AUT68" s="95"/>
      <c r="AUU68" s="95"/>
      <c r="AUV68" s="95"/>
      <c r="AUW68" s="95"/>
      <c r="AUX68" s="95"/>
      <c r="AUY68" s="95"/>
      <c r="AUZ68" s="95"/>
      <c r="AVA68" s="95"/>
      <c r="AVB68" s="95"/>
      <c r="AVC68" s="95"/>
      <c r="AVD68" s="95"/>
      <c r="AVE68" s="95"/>
      <c r="AVF68" s="95"/>
      <c r="AVG68" s="95"/>
      <c r="AVH68" s="95"/>
      <c r="AVI68" s="95"/>
      <c r="AVJ68" s="95"/>
      <c r="AVK68" s="95"/>
      <c r="AVL68" s="95"/>
      <c r="AVM68" s="95"/>
      <c r="AVN68" s="95"/>
      <c r="AVO68" s="95"/>
      <c r="AVP68" s="95"/>
      <c r="AVQ68" s="95"/>
      <c r="AVR68" s="95"/>
      <c r="AVS68" s="95"/>
      <c r="AVT68" s="95"/>
      <c r="AVU68" s="95"/>
      <c r="AVV68" s="95"/>
      <c r="AVW68" s="95"/>
      <c r="AVX68" s="95"/>
      <c r="AVY68" s="95"/>
      <c r="AVZ68" s="95"/>
      <c r="AWA68" s="95"/>
      <c r="AWB68" s="95"/>
      <c r="AWC68" s="95"/>
      <c r="AWD68" s="95"/>
      <c r="AWE68" s="95"/>
      <c r="AWF68" s="95"/>
      <c r="AWG68" s="95"/>
      <c r="AWH68" s="95"/>
      <c r="AWI68" s="95"/>
      <c r="AWJ68" s="95"/>
      <c r="AWK68" s="95"/>
      <c r="AWL68" s="95"/>
      <c r="AWM68" s="95"/>
      <c r="AWN68" s="95"/>
      <c r="AWO68" s="95"/>
      <c r="AWP68" s="95"/>
      <c r="AWQ68" s="95"/>
      <c r="AWR68" s="95"/>
      <c r="AWS68" s="95"/>
      <c r="AWT68" s="95"/>
      <c r="AWU68" s="95"/>
      <c r="AWV68" s="95"/>
      <c r="AWW68" s="95"/>
      <c r="AWX68" s="95"/>
      <c r="AWY68" s="95"/>
      <c r="AWZ68" s="95"/>
      <c r="AXA68" s="95"/>
      <c r="AXB68" s="95"/>
      <c r="AXC68" s="95"/>
      <c r="AXD68" s="95"/>
      <c r="AXE68" s="95"/>
      <c r="AXF68" s="95"/>
      <c r="AXG68" s="95"/>
      <c r="AXH68" s="95"/>
      <c r="AXI68" s="95"/>
      <c r="AXJ68" s="95"/>
      <c r="AXK68" s="95"/>
      <c r="AXL68" s="95"/>
      <c r="AXM68" s="95"/>
      <c r="AXN68" s="95"/>
      <c r="AXO68" s="95"/>
      <c r="AXP68" s="95"/>
      <c r="AXQ68" s="95"/>
      <c r="AXR68" s="95"/>
      <c r="AXS68" s="95"/>
      <c r="AXT68" s="95"/>
      <c r="AXU68" s="95"/>
      <c r="AXV68" s="95"/>
      <c r="AXW68" s="95"/>
      <c r="AXX68" s="95"/>
      <c r="AXY68" s="95"/>
      <c r="AXZ68" s="95"/>
      <c r="AYA68" s="95"/>
      <c r="AYB68" s="95"/>
      <c r="AYC68" s="95"/>
      <c r="AYD68" s="95"/>
      <c r="AYE68" s="95"/>
      <c r="AYF68" s="95"/>
      <c r="AYG68" s="95"/>
      <c r="AYH68" s="95"/>
      <c r="AYI68" s="95"/>
      <c r="AYJ68" s="95"/>
      <c r="AYK68" s="95"/>
      <c r="AYL68" s="95"/>
      <c r="AYM68" s="95"/>
      <c r="AYN68" s="95"/>
      <c r="AYO68" s="95"/>
      <c r="AYP68" s="95"/>
      <c r="AYQ68" s="95"/>
      <c r="AYR68" s="95"/>
      <c r="AYS68" s="95"/>
      <c r="AYT68" s="95"/>
      <c r="AYU68" s="95"/>
      <c r="AYV68" s="95"/>
      <c r="AYW68" s="95"/>
      <c r="AYX68" s="95"/>
      <c r="AYY68" s="95"/>
      <c r="AYZ68" s="95"/>
      <c r="AZA68" s="95"/>
      <c r="AZB68" s="95"/>
      <c r="AZC68" s="95"/>
      <c r="AZD68" s="95"/>
      <c r="AZE68" s="95"/>
      <c r="AZF68" s="95"/>
      <c r="AZG68" s="95"/>
      <c r="AZH68" s="95"/>
      <c r="AZI68" s="95"/>
      <c r="AZJ68" s="95"/>
      <c r="AZK68" s="95"/>
      <c r="AZL68" s="95"/>
      <c r="AZM68" s="95"/>
      <c r="AZN68" s="95"/>
      <c r="AZO68" s="95"/>
      <c r="AZP68" s="95"/>
      <c r="AZQ68" s="95"/>
      <c r="AZR68" s="95"/>
      <c r="AZS68" s="95"/>
      <c r="AZT68" s="95"/>
      <c r="AZU68" s="95"/>
      <c r="AZV68" s="95"/>
      <c r="AZW68" s="95"/>
      <c r="AZX68" s="95"/>
      <c r="AZY68" s="95"/>
      <c r="AZZ68" s="95"/>
      <c r="BAA68" s="95"/>
      <c r="BAB68" s="95"/>
      <c r="BAC68" s="95"/>
      <c r="BAD68" s="95"/>
      <c r="BAE68" s="95"/>
      <c r="BAF68" s="95"/>
      <c r="BAG68" s="95"/>
      <c r="BAH68" s="95"/>
      <c r="BAI68" s="95"/>
      <c r="BAJ68" s="95"/>
      <c r="BAK68" s="95"/>
      <c r="BAL68" s="95"/>
      <c r="BAM68" s="95"/>
      <c r="BAN68" s="95"/>
      <c r="BAO68" s="95"/>
      <c r="BAP68" s="95"/>
      <c r="BAQ68" s="95"/>
      <c r="BAR68" s="95"/>
      <c r="BAS68" s="95"/>
      <c r="BAT68" s="95"/>
      <c r="BAU68" s="95"/>
      <c r="BAV68" s="95"/>
      <c r="BAW68" s="95"/>
      <c r="BAX68" s="95"/>
      <c r="BAY68" s="95"/>
      <c r="BAZ68" s="95"/>
      <c r="BBA68" s="95"/>
      <c r="BBB68" s="95"/>
      <c r="BBC68" s="95"/>
      <c r="BBD68" s="95"/>
      <c r="BBE68" s="95"/>
      <c r="BBF68" s="95"/>
      <c r="BBG68" s="95"/>
      <c r="BBH68" s="95"/>
      <c r="BBI68" s="95"/>
      <c r="BBJ68" s="95"/>
      <c r="BBK68" s="95"/>
      <c r="BBL68" s="95"/>
      <c r="BBM68" s="95"/>
      <c r="BBN68" s="95"/>
      <c r="BBO68" s="95"/>
      <c r="BBP68" s="95"/>
      <c r="BBQ68" s="95"/>
      <c r="BBR68" s="95"/>
      <c r="BBS68" s="95"/>
      <c r="BBT68" s="95"/>
      <c r="BBU68" s="95"/>
      <c r="BBV68" s="95"/>
      <c r="BBW68" s="95"/>
      <c r="BBX68" s="95"/>
      <c r="BBY68" s="95"/>
      <c r="BBZ68" s="95"/>
      <c r="BCA68" s="95"/>
      <c r="BCB68" s="95"/>
      <c r="BCC68" s="95"/>
      <c r="BCD68" s="95"/>
      <c r="BCE68" s="95"/>
      <c r="BCF68" s="95"/>
      <c r="BCG68" s="95"/>
      <c r="BCH68" s="95"/>
      <c r="BCI68" s="95"/>
      <c r="BCJ68" s="95"/>
      <c r="BCK68" s="95"/>
      <c r="BCL68" s="95"/>
      <c r="BCM68" s="95"/>
      <c r="BCN68" s="95"/>
      <c r="BCO68" s="95"/>
      <c r="BCP68" s="95"/>
      <c r="BCQ68" s="95"/>
      <c r="BCR68" s="95"/>
      <c r="BCS68" s="95"/>
      <c r="BCT68" s="95"/>
      <c r="BCU68" s="95"/>
      <c r="BCV68" s="95"/>
      <c r="BCW68" s="95"/>
      <c r="BCX68" s="95"/>
      <c r="BCY68" s="95"/>
      <c r="BCZ68" s="95"/>
      <c r="BDA68" s="95"/>
      <c r="BDB68" s="95"/>
      <c r="BDC68" s="95"/>
      <c r="BDD68" s="95"/>
      <c r="BDE68" s="95"/>
      <c r="BDF68" s="95"/>
      <c r="BDG68" s="95"/>
      <c r="BDH68" s="95"/>
      <c r="BDI68" s="95"/>
      <c r="BDJ68" s="95"/>
      <c r="BDK68" s="95"/>
      <c r="BDL68" s="95"/>
      <c r="BDM68" s="95"/>
      <c r="BDN68" s="95"/>
      <c r="BDO68" s="95"/>
      <c r="BDP68" s="95"/>
      <c r="BDQ68" s="95"/>
      <c r="BDR68" s="95"/>
      <c r="BDS68" s="95"/>
      <c r="BDT68" s="95"/>
      <c r="BDU68" s="95"/>
      <c r="BDV68" s="95"/>
      <c r="BDW68" s="95"/>
      <c r="BDX68" s="95"/>
      <c r="BDY68" s="95"/>
      <c r="BDZ68" s="95"/>
      <c r="BEA68" s="95"/>
      <c r="BEB68" s="95"/>
      <c r="BEC68" s="95"/>
      <c r="BED68" s="95"/>
      <c r="BEE68" s="95"/>
      <c r="BEF68" s="95"/>
      <c r="BEG68" s="95"/>
      <c r="BEH68" s="95"/>
      <c r="BEI68" s="95"/>
      <c r="BEJ68" s="95"/>
      <c r="BEK68" s="95"/>
      <c r="BEL68" s="95"/>
      <c r="BEM68" s="95"/>
      <c r="BEN68" s="95"/>
      <c r="BEO68" s="95"/>
      <c r="BEP68" s="95"/>
      <c r="BEQ68" s="95"/>
      <c r="BER68" s="95"/>
      <c r="BES68" s="95"/>
      <c r="BET68" s="95"/>
      <c r="BEU68" s="95"/>
      <c r="BEV68" s="95"/>
      <c r="BEW68" s="95"/>
      <c r="BEX68" s="95"/>
      <c r="BEY68" s="95"/>
      <c r="BEZ68" s="95"/>
      <c r="BFA68" s="95"/>
      <c r="BFB68" s="95"/>
      <c r="BFC68" s="95"/>
      <c r="BFD68" s="95"/>
      <c r="BFE68" s="95"/>
      <c r="BFF68" s="95"/>
      <c r="BFG68" s="95"/>
      <c r="BFH68" s="95"/>
      <c r="BFI68" s="95"/>
      <c r="BFJ68" s="95"/>
      <c r="BFK68" s="95"/>
      <c r="BFL68" s="95"/>
      <c r="BFM68" s="95"/>
      <c r="BFN68" s="95"/>
      <c r="BFO68" s="95"/>
      <c r="BFP68" s="95"/>
      <c r="BFQ68" s="95"/>
      <c r="BFR68" s="95"/>
      <c r="BFS68" s="95"/>
      <c r="BFT68" s="95"/>
      <c r="BFU68" s="95"/>
      <c r="BFV68" s="95"/>
      <c r="BFW68" s="95"/>
      <c r="BFX68" s="95"/>
      <c r="BFY68" s="95"/>
      <c r="BFZ68" s="95"/>
      <c r="BGA68" s="95"/>
      <c r="BGB68" s="95"/>
      <c r="BGC68" s="95"/>
      <c r="BGD68" s="95"/>
      <c r="BGE68" s="95"/>
      <c r="BGF68" s="95"/>
      <c r="BGG68" s="95"/>
      <c r="BGH68" s="95"/>
      <c r="BGI68" s="95"/>
      <c r="BGJ68" s="95"/>
      <c r="BGK68" s="95"/>
      <c r="BGL68" s="95"/>
      <c r="BGM68" s="95"/>
      <c r="BGN68" s="95"/>
      <c r="BGO68" s="95"/>
      <c r="BGP68" s="95"/>
      <c r="BGQ68" s="95"/>
      <c r="BGR68" s="95"/>
      <c r="BGS68" s="95"/>
      <c r="BGT68" s="95"/>
      <c r="BGU68" s="95"/>
      <c r="BGV68" s="95"/>
      <c r="BGW68" s="95"/>
      <c r="BGX68" s="95"/>
      <c r="BGY68" s="95"/>
      <c r="BGZ68" s="95"/>
      <c r="BHA68" s="95"/>
      <c r="BHB68" s="95"/>
      <c r="BHC68" s="95"/>
      <c r="BHD68" s="95"/>
      <c r="BHE68" s="95"/>
      <c r="BHF68" s="95"/>
      <c r="BHG68" s="95"/>
      <c r="BHH68" s="95"/>
      <c r="BHI68" s="95"/>
      <c r="BHJ68" s="95"/>
      <c r="BHK68" s="95"/>
      <c r="BHL68" s="95"/>
      <c r="BHM68" s="95"/>
      <c r="BHN68" s="95"/>
      <c r="BHO68" s="95"/>
      <c r="BHP68" s="95"/>
      <c r="BHQ68" s="95"/>
      <c r="BHR68" s="95"/>
      <c r="BHS68" s="95"/>
      <c r="BHT68" s="95"/>
      <c r="BHU68" s="95"/>
      <c r="BHV68" s="95"/>
      <c r="BHW68" s="95"/>
      <c r="BHX68" s="95"/>
      <c r="BHY68" s="95"/>
      <c r="BHZ68" s="95"/>
      <c r="BIA68" s="95"/>
      <c r="BIB68" s="95"/>
      <c r="BIC68" s="95"/>
      <c r="BID68" s="95"/>
      <c r="BIE68" s="95"/>
      <c r="BIF68" s="95"/>
      <c r="BIG68" s="95"/>
      <c r="BIH68" s="95"/>
      <c r="BII68" s="95"/>
      <c r="BIJ68" s="95"/>
      <c r="BIK68" s="95"/>
      <c r="BIL68" s="95"/>
      <c r="BIM68" s="95"/>
      <c r="BIN68" s="95"/>
      <c r="BIO68" s="95"/>
      <c r="BIP68" s="95"/>
      <c r="BIQ68" s="95"/>
      <c r="BIR68" s="95"/>
      <c r="BIS68" s="95"/>
      <c r="BIT68" s="95"/>
      <c r="BIU68" s="95"/>
      <c r="BIV68" s="95"/>
      <c r="BIW68" s="95"/>
      <c r="BIX68" s="95"/>
      <c r="BIY68" s="95"/>
      <c r="BIZ68" s="95"/>
      <c r="BJA68" s="95"/>
      <c r="BJB68" s="95"/>
      <c r="BJC68" s="95"/>
      <c r="BJD68" s="95"/>
      <c r="BJE68" s="95"/>
      <c r="BJF68" s="95"/>
      <c r="BJG68" s="95"/>
      <c r="BJH68" s="95"/>
      <c r="BJI68" s="95"/>
      <c r="BJJ68" s="95"/>
      <c r="BJK68" s="95"/>
      <c r="BJL68" s="95"/>
      <c r="BJM68" s="95"/>
      <c r="BJN68" s="95"/>
      <c r="BJO68" s="95"/>
      <c r="BJP68" s="95"/>
      <c r="BJQ68" s="95"/>
      <c r="BJR68" s="95"/>
      <c r="BJS68" s="95"/>
      <c r="BJT68" s="95"/>
      <c r="BJU68" s="95"/>
      <c r="BJV68" s="95"/>
      <c r="BJW68" s="95"/>
      <c r="BJX68" s="95"/>
      <c r="BJY68" s="95"/>
      <c r="BJZ68" s="95"/>
      <c r="BKA68" s="95"/>
      <c r="BKB68" s="95"/>
      <c r="BKC68" s="95"/>
      <c r="BKD68" s="95"/>
      <c r="BKE68" s="95"/>
      <c r="BKF68" s="95"/>
      <c r="BKG68" s="95"/>
      <c r="BKH68" s="95"/>
      <c r="BKI68" s="95"/>
      <c r="BKJ68" s="95"/>
      <c r="BKK68" s="95"/>
      <c r="BKL68" s="95"/>
      <c r="BKM68" s="95"/>
      <c r="BKN68" s="95"/>
      <c r="BKO68" s="95"/>
      <c r="BKP68" s="95"/>
      <c r="BKQ68" s="95"/>
      <c r="BKR68" s="95"/>
      <c r="BKS68" s="95"/>
      <c r="BKT68" s="95"/>
      <c r="BKU68" s="95"/>
      <c r="BKV68" s="95"/>
      <c r="BKW68" s="95"/>
      <c r="BKX68" s="95"/>
      <c r="BKY68" s="95"/>
      <c r="BKZ68" s="95"/>
      <c r="BLA68" s="95"/>
      <c r="BLB68" s="95"/>
      <c r="BLC68" s="95"/>
      <c r="BLD68" s="95"/>
      <c r="BLE68" s="95"/>
      <c r="BLF68" s="95"/>
      <c r="BLG68" s="95"/>
      <c r="BLH68" s="95"/>
      <c r="BLI68" s="95"/>
      <c r="BLJ68" s="95"/>
      <c r="BLK68" s="95"/>
      <c r="BLL68" s="95"/>
      <c r="BLM68" s="95"/>
      <c r="BLN68" s="95"/>
      <c r="BLO68" s="95"/>
      <c r="BLP68" s="95"/>
      <c r="BLQ68" s="95"/>
      <c r="BLR68" s="95"/>
      <c r="BLS68" s="95"/>
      <c r="BLT68" s="95"/>
      <c r="BLU68" s="95"/>
      <c r="BLV68" s="95"/>
      <c r="BLW68" s="95"/>
      <c r="BLX68" s="95"/>
      <c r="BLY68" s="95"/>
      <c r="BLZ68" s="95"/>
      <c r="BMA68" s="95"/>
      <c r="BMB68" s="95"/>
      <c r="BMC68" s="95"/>
      <c r="BMD68" s="95"/>
      <c r="BME68" s="95"/>
      <c r="BMF68" s="95"/>
      <c r="BMG68" s="95"/>
      <c r="BMH68" s="95"/>
      <c r="BMI68" s="95"/>
      <c r="BMJ68" s="95"/>
      <c r="BMK68" s="95"/>
      <c r="BML68" s="95"/>
      <c r="BMM68" s="95"/>
      <c r="BMN68" s="95"/>
      <c r="BMO68" s="95"/>
      <c r="BMP68" s="95"/>
      <c r="BMQ68" s="95"/>
      <c r="BMR68" s="95"/>
      <c r="BMS68" s="95"/>
      <c r="BMT68" s="95"/>
      <c r="BMU68" s="95"/>
      <c r="BMV68" s="95"/>
      <c r="BMW68" s="95"/>
      <c r="BMX68" s="95"/>
      <c r="BMY68" s="95"/>
      <c r="BMZ68" s="95"/>
      <c r="BNA68" s="95"/>
      <c r="BNB68" s="95"/>
      <c r="BNC68" s="95"/>
      <c r="BND68" s="95"/>
      <c r="BNE68" s="95"/>
      <c r="BNF68" s="95"/>
      <c r="BNG68" s="95"/>
      <c r="BNH68" s="95"/>
      <c r="BNI68" s="95"/>
      <c r="BNJ68" s="95"/>
      <c r="BNK68" s="95"/>
      <c r="BNL68" s="95"/>
      <c r="BNM68" s="95"/>
      <c r="BNN68" s="95"/>
      <c r="BNO68" s="95"/>
      <c r="BNP68" s="95"/>
      <c r="BNQ68" s="95"/>
      <c r="BNR68" s="95"/>
      <c r="BNS68" s="95"/>
      <c r="BNT68" s="95"/>
      <c r="BNU68" s="95"/>
      <c r="BNV68" s="95"/>
      <c r="BNW68" s="95"/>
      <c r="BNX68" s="95"/>
      <c r="BNY68" s="95"/>
      <c r="BNZ68" s="95"/>
      <c r="BOA68" s="95"/>
      <c r="BOB68" s="95"/>
      <c r="BOC68" s="95"/>
      <c r="BOD68" s="95"/>
      <c r="BOE68" s="95"/>
      <c r="BOF68" s="95"/>
      <c r="BOG68" s="95"/>
      <c r="BOH68" s="95"/>
      <c r="BOI68" s="95"/>
      <c r="BOJ68" s="95"/>
      <c r="BOK68" s="95"/>
      <c r="BOL68" s="95"/>
      <c r="BOM68" s="95"/>
      <c r="BON68" s="95"/>
      <c r="BOO68" s="95"/>
      <c r="BOP68" s="95"/>
      <c r="BOQ68" s="95"/>
      <c r="BOR68" s="95"/>
      <c r="BOS68" s="95"/>
      <c r="BOT68" s="95"/>
      <c r="BOU68" s="95"/>
      <c r="BOV68" s="95"/>
      <c r="BOW68" s="95"/>
      <c r="BOX68" s="95"/>
      <c r="BOY68" s="95"/>
      <c r="BOZ68" s="95"/>
      <c r="BPA68" s="95"/>
      <c r="BPB68" s="95"/>
      <c r="BPC68" s="95"/>
      <c r="BPD68" s="95"/>
      <c r="BPE68" s="95"/>
      <c r="BPF68" s="95"/>
      <c r="BPG68" s="95"/>
      <c r="BPH68" s="95"/>
      <c r="BPI68" s="95"/>
      <c r="BPJ68" s="95"/>
      <c r="BPK68" s="95"/>
      <c r="BPL68" s="95"/>
      <c r="BPM68" s="95"/>
      <c r="BPN68" s="95"/>
      <c r="BPO68" s="95"/>
      <c r="BPP68" s="95"/>
      <c r="BPQ68" s="95"/>
      <c r="BPR68" s="95"/>
      <c r="BPS68" s="95"/>
      <c r="BPT68" s="95"/>
      <c r="BPU68" s="95"/>
      <c r="BPV68" s="95"/>
      <c r="BPW68" s="95"/>
      <c r="BPX68" s="95"/>
      <c r="BPY68" s="95"/>
      <c r="BPZ68" s="95"/>
      <c r="BQA68" s="95"/>
      <c r="BQB68" s="95"/>
      <c r="BQC68" s="95"/>
      <c r="BQD68" s="95"/>
      <c r="BQE68" s="95"/>
      <c r="BQF68" s="95"/>
      <c r="BQG68" s="95"/>
      <c r="BQH68" s="95"/>
      <c r="BQI68" s="95"/>
      <c r="BQJ68" s="95"/>
      <c r="BQK68" s="95"/>
      <c r="BQL68" s="95"/>
      <c r="BQM68" s="95"/>
      <c r="BQN68" s="95"/>
      <c r="BQO68" s="95"/>
      <c r="BQP68" s="95"/>
      <c r="BQQ68" s="95"/>
      <c r="BQR68" s="95"/>
      <c r="BQS68" s="95"/>
      <c r="BQT68" s="95"/>
      <c r="BQU68" s="95"/>
      <c r="BQV68" s="95"/>
      <c r="BQW68" s="95"/>
      <c r="BQX68" s="95"/>
      <c r="BQY68" s="95"/>
      <c r="BQZ68" s="95"/>
      <c r="BRA68" s="95"/>
      <c r="BRB68" s="95"/>
      <c r="BRC68" s="95"/>
      <c r="BRD68" s="95"/>
      <c r="BRE68" s="95"/>
      <c r="BRF68" s="95"/>
      <c r="BRG68" s="95"/>
      <c r="BRH68" s="95"/>
      <c r="BRI68" s="95"/>
      <c r="BRJ68" s="95"/>
      <c r="BRK68" s="95"/>
      <c r="BRL68" s="95"/>
      <c r="BRM68" s="95"/>
      <c r="BRN68" s="95"/>
      <c r="BRO68" s="95"/>
      <c r="BRP68" s="95"/>
      <c r="BRQ68" s="95"/>
      <c r="BRR68" s="95"/>
      <c r="BRS68" s="95"/>
      <c r="BRT68" s="95"/>
      <c r="BRU68" s="95"/>
      <c r="BRV68" s="95"/>
      <c r="BRW68" s="95"/>
      <c r="BRX68" s="95"/>
      <c r="BRY68" s="95"/>
      <c r="BRZ68" s="95"/>
      <c r="BSA68" s="95"/>
      <c r="BSB68" s="95"/>
      <c r="BSC68" s="95"/>
      <c r="BSD68" s="95"/>
      <c r="BSE68" s="95"/>
      <c r="BSF68" s="95"/>
      <c r="BSG68" s="95"/>
      <c r="BSH68" s="95"/>
      <c r="BSI68" s="95"/>
      <c r="BSJ68" s="95"/>
      <c r="BSK68" s="95"/>
      <c r="BSL68" s="95"/>
      <c r="BSM68" s="95"/>
      <c r="BSN68" s="95"/>
      <c r="BSO68" s="95"/>
      <c r="BSP68" s="95"/>
      <c r="BSQ68" s="95"/>
      <c r="BSR68" s="95"/>
      <c r="BSS68" s="95"/>
      <c r="BST68" s="95"/>
      <c r="BSU68" s="95"/>
      <c r="BSV68" s="95"/>
      <c r="BSW68" s="95"/>
      <c r="BSX68" s="95"/>
      <c r="BSY68" s="95"/>
      <c r="BSZ68" s="95"/>
      <c r="BTA68" s="95"/>
      <c r="BTB68" s="95"/>
      <c r="BTC68" s="95"/>
      <c r="BTD68" s="95"/>
      <c r="BTE68" s="95"/>
      <c r="BTF68" s="95"/>
      <c r="BTG68" s="95"/>
      <c r="BTH68" s="95"/>
      <c r="BTI68" s="95"/>
      <c r="BTJ68" s="95"/>
      <c r="BTK68" s="95"/>
      <c r="BTL68" s="95"/>
      <c r="BTM68" s="95"/>
      <c r="BTN68" s="95"/>
      <c r="BTO68" s="95"/>
      <c r="BTP68" s="95"/>
      <c r="BTQ68" s="95"/>
      <c r="BTR68" s="95"/>
      <c r="BTS68" s="95"/>
      <c r="BTT68" s="95"/>
      <c r="BTU68" s="95"/>
      <c r="BTV68" s="95"/>
      <c r="BTW68" s="95"/>
      <c r="BTX68" s="95"/>
      <c r="BTY68" s="95"/>
      <c r="BTZ68" s="95"/>
      <c r="BUA68" s="95"/>
      <c r="BUB68" s="95"/>
      <c r="BUC68" s="95"/>
      <c r="BUD68" s="95"/>
      <c r="BUE68" s="95"/>
      <c r="BUF68" s="95"/>
      <c r="BUG68" s="95"/>
      <c r="BUH68" s="95"/>
      <c r="BUI68" s="95"/>
      <c r="BUJ68" s="95"/>
      <c r="BUK68" s="95"/>
      <c r="BUL68" s="95"/>
      <c r="BUM68" s="95"/>
      <c r="BUN68" s="95"/>
      <c r="BUO68" s="95"/>
      <c r="BUP68" s="95"/>
      <c r="BUQ68" s="95"/>
      <c r="BUR68" s="95"/>
      <c r="BUS68" s="95"/>
      <c r="BUT68" s="95"/>
      <c r="BUU68" s="95"/>
      <c r="BUV68" s="95"/>
      <c r="BUW68" s="95"/>
      <c r="BUX68" s="95"/>
      <c r="BUY68" s="95"/>
      <c r="BUZ68" s="95"/>
      <c r="BVA68" s="95"/>
      <c r="BVB68" s="95"/>
      <c r="BVC68" s="95"/>
      <c r="BVD68" s="95"/>
      <c r="BVE68" s="95"/>
      <c r="BVF68" s="95"/>
      <c r="BVG68" s="95"/>
      <c r="BVH68" s="95"/>
      <c r="BVI68" s="95"/>
      <c r="BVJ68" s="95"/>
      <c r="BVK68" s="95"/>
      <c r="BVL68" s="95"/>
      <c r="BVM68" s="95"/>
      <c r="BVN68" s="95"/>
      <c r="BVO68" s="95"/>
      <c r="BVP68" s="95"/>
      <c r="BVQ68" s="95"/>
      <c r="BVR68" s="95"/>
      <c r="BVS68" s="95"/>
      <c r="BVT68" s="95"/>
      <c r="BVU68" s="95"/>
      <c r="BVV68" s="95"/>
      <c r="BVW68" s="95"/>
      <c r="BVX68" s="95"/>
      <c r="BVY68" s="95"/>
      <c r="BVZ68" s="95"/>
      <c r="BWA68" s="95"/>
      <c r="BWB68" s="95"/>
      <c r="BWC68" s="95"/>
      <c r="BWD68" s="95"/>
      <c r="BWE68" s="95"/>
      <c r="BWF68" s="95"/>
      <c r="BWG68" s="95"/>
      <c r="BWH68" s="95"/>
      <c r="BWI68" s="95"/>
      <c r="BWJ68" s="95"/>
      <c r="BWK68" s="95"/>
      <c r="BWL68" s="95"/>
      <c r="BWM68" s="95"/>
      <c r="BWN68" s="95"/>
      <c r="BWO68" s="95"/>
      <c r="BWP68" s="95"/>
      <c r="BWQ68" s="95"/>
      <c r="BWR68" s="95"/>
      <c r="BWS68" s="95"/>
      <c r="BWT68" s="95"/>
      <c r="BWU68" s="95"/>
      <c r="BWV68" s="95"/>
      <c r="BWW68" s="95"/>
      <c r="BWX68" s="95"/>
      <c r="BWY68" s="95"/>
      <c r="BWZ68" s="95"/>
      <c r="BXA68" s="95"/>
      <c r="BXB68" s="95"/>
      <c r="BXC68" s="95"/>
      <c r="BXD68" s="95"/>
      <c r="BXE68" s="95"/>
      <c r="BXF68" s="95"/>
      <c r="BXG68" s="95"/>
      <c r="BXH68" s="95"/>
      <c r="BXI68" s="95"/>
      <c r="BXJ68" s="95"/>
      <c r="BXK68" s="95"/>
      <c r="BXL68" s="95"/>
      <c r="BXM68" s="95"/>
      <c r="BXN68" s="95"/>
      <c r="BXO68" s="95"/>
      <c r="BXP68" s="95"/>
      <c r="BXQ68" s="95"/>
      <c r="BXR68" s="95"/>
      <c r="BXS68" s="95"/>
      <c r="BXT68" s="95"/>
      <c r="BXU68" s="95"/>
      <c r="BXV68" s="95"/>
      <c r="BXW68" s="95"/>
      <c r="BXX68" s="95"/>
      <c r="BXY68" s="95"/>
      <c r="BXZ68" s="95"/>
      <c r="BYA68" s="95"/>
      <c r="BYB68" s="95"/>
      <c r="BYC68" s="95"/>
      <c r="BYD68" s="95"/>
      <c r="BYE68" s="95"/>
      <c r="BYF68" s="95"/>
      <c r="BYG68" s="95"/>
    </row>
    <row r="69" spans="1:2009" s="96" customFormat="1" ht="10.5" customHeight="1" x14ac:dyDescent="0.25">
      <c r="A69" s="122"/>
      <c r="B69" s="122"/>
      <c r="C69" s="191"/>
      <c r="D69" s="191"/>
      <c r="E69" s="191"/>
      <c r="F69" s="191"/>
      <c r="G69" s="721"/>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ht="15" customHeight="1" x14ac:dyDescent="0.25">
      <c r="A70" s="123"/>
      <c r="B70" s="323" t="s">
        <v>465</v>
      </c>
      <c r="C70" s="192"/>
      <c r="D70" s="192"/>
      <c r="E70" s="192"/>
      <c r="F70" s="192"/>
      <c r="G70" s="722"/>
    </row>
    <row r="71" spans="1:2009" ht="8.25" customHeight="1" x14ac:dyDescent="0.25">
      <c r="A71" s="123"/>
      <c r="B71" s="161"/>
      <c r="C71" s="641"/>
      <c r="D71" s="192"/>
      <c r="E71" s="192"/>
      <c r="F71" s="192"/>
      <c r="G71" s="722"/>
    </row>
    <row r="72" spans="1:2009" ht="14.25" customHeight="1" x14ac:dyDescent="0.25">
      <c r="A72" s="123"/>
      <c r="B72" s="575" t="s">
        <v>49</v>
      </c>
      <c r="C72" s="629">
        <v>9198.08</v>
      </c>
      <c r="D72" s="192"/>
      <c r="E72" s="192"/>
      <c r="F72" s="192"/>
      <c r="G72" s="722"/>
    </row>
    <row r="73" spans="1:2009" ht="14.25" hidden="1" customHeight="1" x14ac:dyDescent="0.25">
      <c r="A73" s="123"/>
      <c r="B73" s="575" t="s">
        <v>441</v>
      </c>
      <c r="C73" s="193"/>
      <c r="D73" s="192"/>
      <c r="E73" s="192"/>
      <c r="F73" s="192"/>
      <c r="G73" s="722"/>
    </row>
    <row r="74" spans="1:2009" ht="14.25" hidden="1" customHeight="1" x14ac:dyDescent="0.25">
      <c r="A74" s="123"/>
      <c r="B74" s="575" t="s">
        <v>442</v>
      </c>
      <c r="C74" s="629"/>
      <c r="D74" s="192"/>
      <c r="E74" s="192"/>
      <c r="F74" s="192"/>
      <c r="G74" s="722"/>
    </row>
    <row r="75" spans="1:2009" ht="14.25" customHeight="1" x14ac:dyDescent="0.25">
      <c r="A75" s="123"/>
      <c r="B75" s="575" t="s">
        <v>470</v>
      </c>
      <c r="C75" s="629">
        <v>656.09</v>
      </c>
      <c r="D75" s="192"/>
      <c r="E75" s="192"/>
      <c r="F75" s="192"/>
      <c r="G75" s="722"/>
    </row>
    <row r="76" spans="1:2009" ht="14.25" customHeight="1" x14ac:dyDescent="0.25">
      <c r="A76" s="123"/>
      <c r="B76" s="575" t="s">
        <v>443</v>
      </c>
      <c r="C76" s="629">
        <v>3708.33</v>
      </c>
      <c r="D76" s="192"/>
      <c r="E76" s="192"/>
      <c r="F76" s="192"/>
      <c r="G76" s="722"/>
    </row>
    <row r="77" spans="1:2009" ht="14.25" customHeight="1" x14ac:dyDescent="0.25">
      <c r="A77" s="123"/>
      <c r="B77" s="575" t="s">
        <v>471</v>
      </c>
      <c r="C77" s="629">
        <v>11136.63</v>
      </c>
      <c r="D77" s="192"/>
      <c r="E77" s="192"/>
      <c r="F77" s="192"/>
      <c r="G77" s="722"/>
    </row>
    <row r="78" spans="1:2009" ht="14.25" customHeight="1" x14ac:dyDescent="0.25">
      <c r="A78" s="123"/>
      <c r="B78" s="575" t="s">
        <v>472</v>
      </c>
      <c r="C78" s="629">
        <v>11152.17</v>
      </c>
      <c r="D78" s="192"/>
      <c r="E78" s="192"/>
      <c r="F78" s="192"/>
      <c r="G78" s="722"/>
    </row>
    <row r="79" spans="1:2009" ht="14.25" customHeight="1" x14ac:dyDescent="0.25">
      <c r="A79" s="123"/>
      <c r="B79" s="575" t="s">
        <v>473</v>
      </c>
      <c r="C79" s="629">
        <v>10784.12</v>
      </c>
      <c r="D79" s="192"/>
      <c r="E79" s="192"/>
      <c r="F79" s="192"/>
      <c r="G79" s="722"/>
    </row>
    <row r="80" spans="1:2009" ht="14.25" customHeight="1" x14ac:dyDescent="0.25">
      <c r="A80" s="123"/>
      <c r="B80" s="575" t="s">
        <v>397</v>
      </c>
      <c r="C80" s="629">
        <v>102.18</v>
      </c>
      <c r="D80" s="192"/>
      <c r="E80" s="192"/>
      <c r="F80" s="192"/>
      <c r="G80" s="722"/>
    </row>
    <row r="81" spans="1:7" ht="14.25" customHeight="1" x14ac:dyDescent="0.25">
      <c r="A81" s="123"/>
      <c r="B81" s="575" t="s">
        <v>474</v>
      </c>
      <c r="C81" s="629">
        <v>1017.81</v>
      </c>
      <c r="D81" s="192"/>
      <c r="E81" s="192"/>
      <c r="F81" s="192"/>
      <c r="G81" s="722"/>
    </row>
    <row r="82" spans="1:7" ht="14.25" customHeight="1" x14ac:dyDescent="0.25">
      <c r="A82" s="123"/>
      <c r="B82" s="575"/>
      <c r="C82" s="629"/>
      <c r="D82" s="192"/>
      <c r="E82" s="192"/>
      <c r="F82" s="192"/>
      <c r="G82" s="722"/>
    </row>
    <row r="83" spans="1:7" ht="14.25" hidden="1" customHeight="1" x14ac:dyDescent="0.25">
      <c r="A83" s="123"/>
      <c r="B83" s="575"/>
      <c r="C83" s="629"/>
      <c r="D83" s="192"/>
      <c r="E83" s="192"/>
      <c r="F83" s="192"/>
      <c r="G83" s="722"/>
    </row>
    <row r="84" spans="1:7" ht="14.25" hidden="1" customHeight="1" x14ac:dyDescent="0.25">
      <c r="A84" s="123"/>
      <c r="B84" s="575"/>
      <c r="C84" s="629"/>
      <c r="D84" s="192"/>
      <c r="E84" s="192"/>
      <c r="F84" s="192"/>
      <c r="G84" s="722"/>
    </row>
    <row r="85" spans="1:7" ht="14.25" hidden="1" customHeight="1" x14ac:dyDescent="0.25">
      <c r="A85" s="123"/>
      <c r="B85" s="575"/>
      <c r="C85" s="629"/>
      <c r="D85" s="192"/>
      <c r="E85" s="192"/>
      <c r="F85" s="192"/>
      <c r="G85" s="722"/>
    </row>
    <row r="86" spans="1:7" ht="15" x14ac:dyDescent="0.25">
      <c r="A86" s="414"/>
      <c r="B86" s="162" t="s">
        <v>466</v>
      </c>
      <c r="C86" s="367">
        <f>SUM(C71:C85)</f>
        <v>47755.409999999996</v>
      </c>
      <c r="D86" s="193"/>
      <c r="E86" s="193"/>
      <c r="F86" s="193"/>
    </row>
    <row r="87" spans="1:7" ht="5.25" customHeight="1" x14ac:dyDescent="0.2">
      <c r="C87" s="193"/>
      <c r="D87" s="193"/>
      <c r="E87" s="193"/>
      <c r="F87" s="193"/>
    </row>
    <row r="88" spans="1:7" ht="15.75" thickBot="1" x14ac:dyDescent="0.3">
      <c r="B88" s="162" t="s">
        <v>468</v>
      </c>
      <c r="C88" s="400">
        <f>G66-C86</f>
        <v>201209.99</v>
      </c>
      <c r="D88" s="193"/>
      <c r="E88" s="193"/>
      <c r="F88" s="193"/>
    </row>
    <row r="89" spans="1:7" ht="12" customHeight="1" thickTop="1" x14ac:dyDescent="0.2">
      <c r="C89" s="193"/>
      <c r="D89" s="193"/>
      <c r="E89" s="193"/>
      <c r="F89" s="193"/>
    </row>
    <row r="90" spans="1:7" ht="15.75" x14ac:dyDescent="0.25">
      <c r="B90" s="323" t="s">
        <v>184</v>
      </c>
      <c r="C90" s="193"/>
      <c r="D90" s="193"/>
      <c r="E90" s="193"/>
      <c r="F90" s="193"/>
    </row>
    <row r="91" spans="1:7" ht="16.5" hidden="1" customHeight="1" x14ac:dyDescent="0.2">
      <c r="B91" s="576"/>
      <c r="C91" s="577"/>
      <c r="D91" s="193"/>
      <c r="E91" s="193"/>
      <c r="F91" s="193"/>
    </row>
    <row r="92" spans="1:7" ht="16.5" hidden="1" customHeight="1" x14ac:dyDescent="0.2">
      <c r="B92" s="576"/>
      <c r="C92" s="577"/>
      <c r="D92" s="193"/>
      <c r="E92" s="193"/>
      <c r="F92" s="193"/>
    </row>
    <row r="93" spans="1:7" ht="16.5" hidden="1" customHeight="1" x14ac:dyDescent="0.2">
      <c r="B93" s="576"/>
      <c r="C93" s="577"/>
      <c r="D93" s="193"/>
      <c r="E93" s="193"/>
      <c r="F93" s="193"/>
    </row>
    <row r="94" spans="1:7" ht="16.5" hidden="1" customHeight="1" x14ac:dyDescent="0.2">
      <c r="B94" s="576"/>
      <c r="C94" s="577"/>
      <c r="D94" s="193"/>
      <c r="E94" s="193"/>
      <c r="F94" s="193"/>
    </row>
    <row r="95" spans="1:7" ht="15" hidden="1" x14ac:dyDescent="0.2">
      <c r="B95" s="549"/>
      <c r="C95" s="193"/>
      <c r="D95" s="193"/>
      <c r="E95" s="193"/>
      <c r="F95" s="193"/>
    </row>
    <row r="96" spans="1:7" hidden="1" x14ac:dyDescent="0.2">
      <c r="B96" s="444"/>
      <c r="C96" s="193"/>
      <c r="D96" s="193"/>
      <c r="E96" s="193"/>
      <c r="F96" s="193"/>
    </row>
    <row r="97" spans="2:6" hidden="1" x14ac:dyDescent="0.2">
      <c r="B97" s="444"/>
      <c r="C97" s="193"/>
      <c r="D97" s="193"/>
      <c r="E97" s="193"/>
      <c r="F97" s="193"/>
    </row>
    <row r="98" spans="2:6" hidden="1" x14ac:dyDescent="0.2">
      <c r="B98" s="444"/>
      <c r="C98" s="193"/>
      <c r="D98" s="193"/>
      <c r="E98" s="193"/>
      <c r="F98" s="193"/>
    </row>
    <row r="99" spans="2:6" hidden="1" x14ac:dyDescent="0.2">
      <c r="B99" s="444"/>
      <c r="C99" s="193"/>
      <c r="D99" s="193"/>
      <c r="E99" s="193"/>
      <c r="F99" s="193"/>
    </row>
    <row r="100" spans="2:6" hidden="1" x14ac:dyDescent="0.2">
      <c r="B100" s="444"/>
      <c r="C100" s="193"/>
      <c r="D100" s="193"/>
      <c r="E100" s="193"/>
      <c r="F100" s="193"/>
    </row>
    <row r="101" spans="2:6" hidden="1" x14ac:dyDescent="0.2">
      <c r="B101" s="444"/>
      <c r="C101" s="372"/>
      <c r="D101" s="193"/>
      <c r="E101" s="193"/>
      <c r="F101" s="193"/>
    </row>
    <row r="102" spans="2:6" x14ac:dyDescent="0.2">
      <c r="B102" s="444" t="s">
        <v>475</v>
      </c>
      <c r="C102" s="372">
        <v>5000</v>
      </c>
      <c r="D102" s="193"/>
      <c r="E102" s="193"/>
      <c r="F102" s="193"/>
    </row>
    <row r="103" spans="2:6" hidden="1" x14ac:dyDescent="0.2">
      <c r="B103" s="444"/>
      <c r="C103" s="372"/>
      <c r="D103" s="193"/>
      <c r="E103" s="193"/>
      <c r="F103" s="193"/>
    </row>
    <row r="104" spans="2:6" x14ac:dyDescent="0.2">
      <c r="B104" s="444" t="s">
        <v>446</v>
      </c>
      <c r="C104" s="372">
        <v>1000</v>
      </c>
      <c r="D104" s="193"/>
      <c r="E104" s="193"/>
      <c r="F104" s="193"/>
    </row>
    <row r="105" spans="2:6" hidden="1" x14ac:dyDescent="0.2">
      <c r="B105" s="444"/>
      <c r="C105" s="372"/>
      <c r="D105" s="193"/>
      <c r="E105" s="193"/>
      <c r="F105" s="193"/>
    </row>
    <row r="106" spans="2:6" hidden="1" x14ac:dyDescent="0.2">
      <c r="B106" s="444"/>
      <c r="C106" s="372"/>
      <c r="D106" s="193"/>
      <c r="E106" s="193"/>
      <c r="F106" s="193"/>
    </row>
    <row r="107" spans="2:6" x14ac:dyDescent="0.2">
      <c r="B107" s="444" t="s">
        <v>483</v>
      </c>
      <c r="C107" s="372">
        <v>350</v>
      </c>
      <c r="D107" s="193"/>
      <c r="E107" s="193"/>
      <c r="F107" s="193"/>
    </row>
    <row r="108" spans="2:6" x14ac:dyDescent="0.2">
      <c r="B108" s="444"/>
      <c r="C108" s="372"/>
      <c r="D108" s="193"/>
      <c r="E108" s="193"/>
      <c r="F108" s="193"/>
    </row>
    <row r="109" spans="2:6" ht="16.5" customHeight="1" x14ac:dyDescent="0.25">
      <c r="B109" s="454" t="s">
        <v>297</v>
      </c>
      <c r="C109" s="372"/>
      <c r="D109" s="193"/>
      <c r="E109" s="193"/>
      <c r="F109" s="193"/>
    </row>
    <row r="110" spans="2:6" ht="16.5" customHeight="1" x14ac:dyDescent="0.25">
      <c r="B110" s="575" t="s">
        <v>476</v>
      </c>
      <c r="C110" s="577">
        <v>25756.36</v>
      </c>
      <c r="D110" s="193"/>
      <c r="E110" s="193"/>
      <c r="F110" s="193"/>
    </row>
    <row r="111" spans="2:6" ht="18.75" customHeight="1" x14ac:dyDescent="0.25">
      <c r="B111" s="575" t="s">
        <v>508</v>
      </c>
      <c r="C111" s="193">
        <v>33175.879999999997</v>
      </c>
      <c r="D111" s="193"/>
      <c r="E111" s="193"/>
      <c r="F111" s="193"/>
    </row>
    <row r="112" spans="2:6" ht="17.25" customHeight="1" thickBot="1" x14ac:dyDescent="0.25">
      <c r="C112" s="660">
        <f>SUM(C110:C111)</f>
        <v>58932.24</v>
      </c>
      <c r="D112" s="193"/>
      <c r="E112" s="193"/>
      <c r="F112" s="193"/>
    </row>
    <row r="113" spans="3:6" ht="12" customHeight="1" thickTop="1" x14ac:dyDescent="0.2">
      <c r="C113" s="193"/>
      <c r="D113" s="193"/>
      <c r="E113" s="193"/>
      <c r="F113" s="193"/>
    </row>
    <row r="114" spans="3:6" ht="12" customHeight="1" x14ac:dyDescent="0.2">
      <c r="C114" s="193"/>
      <c r="D114" s="193"/>
      <c r="E114" s="193"/>
      <c r="F114" s="193"/>
    </row>
    <row r="115" spans="3:6" ht="12" customHeight="1" x14ac:dyDescent="0.2">
      <c r="C115" s="193"/>
      <c r="D115" s="193"/>
      <c r="E115" s="193"/>
      <c r="F115" s="193"/>
    </row>
    <row r="116" spans="3:6" ht="12" customHeight="1" x14ac:dyDescent="0.2">
      <c r="C116" s="193"/>
      <c r="D116" s="193"/>
      <c r="E116" s="193"/>
      <c r="F116" s="193"/>
    </row>
    <row r="117" spans="3:6" ht="12" customHeight="1" x14ac:dyDescent="0.2">
      <c r="C117" s="193"/>
      <c r="D117" s="193"/>
      <c r="E117" s="193"/>
      <c r="F117" s="193"/>
    </row>
    <row r="118" spans="3:6" ht="12" customHeight="1" x14ac:dyDescent="0.2">
      <c r="C118" s="193"/>
      <c r="D118" s="193"/>
      <c r="E118" s="193"/>
      <c r="F118" s="193"/>
    </row>
    <row r="119" spans="3:6" ht="12" customHeight="1" x14ac:dyDescent="0.2">
      <c r="C119" s="193"/>
      <c r="D119" s="193"/>
      <c r="E119" s="193"/>
      <c r="F119" s="193"/>
    </row>
    <row r="120" spans="3:6" ht="12" customHeight="1" x14ac:dyDescent="0.2">
      <c r="C120" s="193"/>
      <c r="D120" s="193"/>
      <c r="E120" s="193"/>
      <c r="F120" s="193"/>
    </row>
    <row r="121" spans="3:6" ht="12" customHeight="1" x14ac:dyDescent="0.2">
      <c r="C121" s="193"/>
      <c r="D121" s="193"/>
      <c r="E121" s="193"/>
      <c r="F121" s="193"/>
    </row>
    <row r="122" spans="3:6" ht="12" customHeight="1" x14ac:dyDescent="0.2">
      <c r="C122" s="193"/>
      <c r="D122" s="193"/>
      <c r="E122" s="193"/>
      <c r="F122" s="193"/>
    </row>
    <row r="123" spans="3:6" ht="12" customHeight="1" x14ac:dyDescent="0.2">
      <c r="C123" s="193"/>
      <c r="D123" s="193"/>
      <c r="E123" s="193"/>
      <c r="F123" s="193"/>
    </row>
    <row r="124" spans="3:6" ht="12" customHeight="1" x14ac:dyDescent="0.2">
      <c r="C124" s="193"/>
      <c r="D124" s="193"/>
      <c r="E124" s="193"/>
      <c r="F124" s="193"/>
    </row>
    <row r="125" spans="3:6" ht="12" customHeight="1" x14ac:dyDescent="0.2">
      <c r="C125" s="193"/>
      <c r="D125" s="193"/>
      <c r="E125" s="193"/>
      <c r="F125" s="193"/>
    </row>
    <row r="126" spans="3:6" ht="12" customHeight="1" x14ac:dyDescent="0.2">
      <c r="C126" s="193"/>
      <c r="D126" s="193"/>
      <c r="E126" s="193"/>
      <c r="F126" s="193"/>
    </row>
    <row r="127" spans="3:6" ht="12" customHeight="1" x14ac:dyDescent="0.2">
      <c r="C127" s="193"/>
      <c r="D127" s="193"/>
      <c r="E127" s="193"/>
      <c r="F127" s="193"/>
    </row>
    <row r="128" spans="3: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2:6" ht="12" customHeight="1" x14ac:dyDescent="0.2">
      <c r="C161" s="193"/>
      <c r="D161" s="193"/>
      <c r="E161" s="193"/>
      <c r="F161" s="193"/>
    </row>
    <row r="162" spans="2:6" ht="12" customHeight="1" x14ac:dyDescent="0.2">
      <c r="C162" s="193"/>
      <c r="D162" s="193"/>
      <c r="E162" s="193"/>
      <c r="F162" s="193"/>
    </row>
    <row r="163" spans="2:6" ht="12" customHeight="1" x14ac:dyDescent="0.2">
      <c r="C163" s="193"/>
      <c r="D163" s="193"/>
      <c r="E163" s="193"/>
      <c r="F163" s="193"/>
    </row>
    <row r="164" spans="2:6" ht="12" customHeight="1" x14ac:dyDescent="0.2">
      <c r="C164" s="193"/>
      <c r="D164" s="193"/>
      <c r="E164" s="193"/>
      <c r="F164" s="193"/>
    </row>
    <row r="165" spans="2:6" ht="12" customHeight="1" x14ac:dyDescent="0.2">
      <c r="C165" s="193"/>
      <c r="D165" s="193"/>
      <c r="E165" s="193"/>
      <c r="F165" s="193"/>
    </row>
    <row r="166" spans="2:6" ht="12" customHeight="1" x14ac:dyDescent="0.2">
      <c r="C166" s="193"/>
      <c r="D166" s="193"/>
      <c r="E166" s="193"/>
      <c r="F166" s="193"/>
    </row>
    <row r="167" spans="2:6" ht="12" customHeight="1" x14ac:dyDescent="0.2">
      <c r="C167" s="193"/>
      <c r="D167" s="193"/>
      <c r="E167" s="193"/>
      <c r="F167" s="193"/>
    </row>
    <row r="168" spans="2:6" ht="12" customHeight="1" x14ac:dyDescent="0.2">
      <c r="C168" s="193"/>
      <c r="D168" s="193"/>
      <c r="E168" s="193"/>
      <c r="F168" s="193"/>
    </row>
    <row r="169" spans="2:6" ht="12" customHeight="1" x14ac:dyDescent="0.2">
      <c r="C169" s="193"/>
      <c r="D169" s="193"/>
      <c r="E169" s="193"/>
      <c r="F169" s="193"/>
    </row>
    <row r="170" spans="2:6" ht="12" customHeight="1" x14ac:dyDescent="0.2">
      <c r="C170" s="193"/>
      <c r="D170" s="193"/>
      <c r="E170" s="193"/>
      <c r="F170" s="193"/>
    </row>
    <row r="171" spans="2:6" ht="12" customHeight="1" x14ac:dyDescent="0.2">
      <c r="C171" s="193"/>
      <c r="D171" s="193"/>
      <c r="E171" s="193"/>
      <c r="F171" s="193"/>
    </row>
    <row r="172" spans="2:6" ht="12" customHeight="1" x14ac:dyDescent="0.2">
      <c r="C172" s="193"/>
      <c r="D172" s="193"/>
      <c r="E172" s="193"/>
      <c r="F172" s="193"/>
    </row>
    <row r="173" spans="2:6" ht="12" customHeight="1" x14ac:dyDescent="0.2">
      <c r="C173" s="193"/>
      <c r="D173" s="193"/>
      <c r="E173" s="193"/>
      <c r="F173" s="193"/>
    </row>
    <row r="174" spans="2:6" ht="12" customHeight="1" x14ac:dyDescent="0.2">
      <c r="C174" s="193"/>
      <c r="D174" s="193"/>
      <c r="E174" s="193"/>
      <c r="F174" s="193"/>
    </row>
    <row r="175" spans="2:6" ht="14.25" customHeight="1" x14ac:dyDescent="0.2"/>
    <row r="176" spans="2:6" ht="15.75" hidden="1" x14ac:dyDescent="0.25">
      <c r="B176" s="366"/>
      <c r="C176" s="230"/>
    </row>
    <row r="177" spans="2:14" ht="15" hidden="1" x14ac:dyDescent="0.25">
      <c r="B177" s="324"/>
      <c r="C177" s="368"/>
    </row>
    <row r="178" spans="2:14" ht="15" hidden="1" x14ac:dyDescent="0.25">
      <c r="B178" s="324"/>
      <c r="C178" s="372"/>
    </row>
    <row r="179" spans="2:14" ht="15" hidden="1" x14ac:dyDescent="0.25">
      <c r="B179" s="324"/>
      <c r="C179" s="193"/>
    </row>
    <row r="180" spans="2:14" hidden="1" x14ac:dyDescent="0.2">
      <c r="B180" s="285"/>
    </row>
    <row r="181" spans="2:14" hidden="1" x14ac:dyDescent="0.2">
      <c r="B181" s="285"/>
    </row>
    <row r="182" spans="2:14" hidden="1" x14ac:dyDescent="0.2">
      <c r="B182" s="285"/>
    </row>
    <row r="183" spans="2:14" hidden="1" x14ac:dyDescent="0.2"/>
    <row r="184" spans="2:14" hidden="1" x14ac:dyDescent="0.2"/>
    <row r="185" spans="2:14" hidden="1" x14ac:dyDescent="0.2">
      <c r="C185" s="321">
        <v>41698</v>
      </c>
      <c r="D185" s="321">
        <v>41609</v>
      </c>
      <c r="E185" s="321">
        <v>41548</v>
      </c>
      <c r="F185" s="321">
        <v>41487</v>
      </c>
      <c r="G185" s="685">
        <v>41426</v>
      </c>
      <c r="H185" s="321">
        <v>41365</v>
      </c>
      <c r="I185" s="321">
        <v>41306</v>
      </c>
      <c r="J185" s="321">
        <v>41274</v>
      </c>
      <c r="K185" s="321">
        <v>41213</v>
      </c>
      <c r="L185" s="321">
        <v>41152</v>
      </c>
      <c r="M185" s="322">
        <v>41090</v>
      </c>
      <c r="N185" s="321">
        <v>41029</v>
      </c>
    </row>
    <row r="186" spans="2:14" hidden="1" x14ac:dyDescent="0.2">
      <c r="B186" s="58" t="s">
        <v>137</v>
      </c>
      <c r="C186" s="230">
        <f>C66</f>
        <v>95140.13</v>
      </c>
      <c r="D186" s="230">
        <f>105452.64+311868.06-305987</f>
        <v>111333.70000000001</v>
      </c>
      <c r="E186" s="230">
        <v>85798.300000000017</v>
      </c>
      <c r="F186" s="193">
        <f>53253.08+18642.89</f>
        <v>71895.97</v>
      </c>
      <c r="G186" s="685">
        <v>126315</v>
      </c>
      <c r="H186" s="193">
        <v>69404</v>
      </c>
      <c r="I186" s="193">
        <v>75744</v>
      </c>
      <c r="J186" s="193">
        <v>119840.47</v>
      </c>
      <c r="K186" s="193">
        <v>120024</v>
      </c>
      <c r="L186" s="193">
        <v>109142</v>
      </c>
      <c r="M186" s="320">
        <v>142216.66</v>
      </c>
      <c r="N186" s="193">
        <v>104785.62</v>
      </c>
    </row>
    <row r="187" spans="2:14" hidden="1" x14ac:dyDescent="0.2">
      <c r="B187" s="58" t="s">
        <v>138</v>
      </c>
      <c r="C187" s="230">
        <f>D66</f>
        <v>87076.18</v>
      </c>
      <c r="D187" s="230">
        <f>74767.18-13600.56</f>
        <v>61166.619999999995</v>
      </c>
      <c r="E187" s="230">
        <v>86248.31</v>
      </c>
      <c r="F187" s="193">
        <v>43187.16</v>
      </c>
      <c r="G187" s="685">
        <v>60049</v>
      </c>
      <c r="H187" s="193">
        <v>101941</v>
      </c>
      <c r="I187" s="193">
        <v>43152</v>
      </c>
      <c r="J187" s="193">
        <v>58938.2</v>
      </c>
      <c r="K187" s="193">
        <v>85767</v>
      </c>
      <c r="L187" s="193">
        <v>119436</v>
      </c>
      <c r="M187" s="320">
        <v>73223.850000000006</v>
      </c>
      <c r="N187" s="193">
        <v>86907.23</v>
      </c>
    </row>
    <row r="188" spans="2:14" hidden="1" x14ac:dyDescent="0.2">
      <c r="B188" s="58" t="s">
        <v>139</v>
      </c>
      <c r="C188" s="230">
        <f>E66</f>
        <v>44224.970000000008</v>
      </c>
      <c r="D188" s="230">
        <f>66720.93-13675.33</f>
        <v>53045.599999999991</v>
      </c>
      <c r="E188" s="230">
        <v>32950.589999999997</v>
      </c>
      <c r="F188" s="193">
        <v>65970.55</v>
      </c>
      <c r="G188" s="685">
        <v>18719</v>
      </c>
      <c r="H188" s="193">
        <v>3668</v>
      </c>
      <c r="I188" s="193">
        <v>50430</v>
      </c>
      <c r="J188" s="193">
        <v>88408.17</v>
      </c>
      <c r="K188" s="193">
        <v>26680</v>
      </c>
      <c r="L188" s="193">
        <v>51922</v>
      </c>
      <c r="M188" s="320">
        <v>77261.37</v>
      </c>
      <c r="N188" s="193">
        <v>11021.67</v>
      </c>
    </row>
    <row r="189" spans="2:14" hidden="1" x14ac:dyDescent="0.2">
      <c r="B189" s="58" t="s">
        <v>140</v>
      </c>
      <c r="C189" s="230">
        <f>F66</f>
        <v>22524.12</v>
      </c>
      <c r="D189" s="230">
        <v>86322.43</v>
      </c>
      <c r="E189" s="230">
        <v>66109.450000000012</v>
      </c>
      <c r="F189" s="193">
        <v>56011.13</v>
      </c>
      <c r="G189" s="685">
        <v>1250</v>
      </c>
      <c r="H189" s="193">
        <v>0</v>
      </c>
      <c r="I189" s="193">
        <v>9959</v>
      </c>
      <c r="J189" s="193">
        <v>18374.45</v>
      </c>
      <c r="K189" s="193">
        <v>22103</v>
      </c>
      <c r="L189" s="193">
        <v>71168</v>
      </c>
      <c r="M189" s="320">
        <v>55167.87</v>
      </c>
      <c r="N189" s="193"/>
    </row>
    <row r="190" spans="2:14" hidden="1" x14ac:dyDescent="0.2">
      <c r="C190" s="230">
        <f>SUM(C186:C189)</f>
        <v>248965.4</v>
      </c>
      <c r="D190" s="230">
        <f>SUM(D186:D189)</f>
        <v>311868.34999999998</v>
      </c>
      <c r="E190" s="230">
        <v>271106.65000000002</v>
      </c>
      <c r="F190" s="193">
        <f>SUM(F186:F189)</f>
        <v>237064.81</v>
      </c>
      <c r="G190" s="685">
        <f t="shared" ref="G190:N190" si="6">SUM(G186:G189)</f>
        <v>206333</v>
      </c>
      <c r="H190" s="193">
        <f t="shared" si="6"/>
        <v>175013</v>
      </c>
      <c r="I190" s="193">
        <f t="shared" si="6"/>
        <v>179285</v>
      </c>
      <c r="J190" s="193">
        <f t="shared" si="6"/>
        <v>285561.28999999998</v>
      </c>
      <c r="K190" s="193">
        <f t="shared" si="6"/>
        <v>254574</v>
      </c>
      <c r="L190" s="193">
        <f t="shared" si="6"/>
        <v>351668</v>
      </c>
      <c r="M190" s="193">
        <f t="shared" si="6"/>
        <v>347869.75</v>
      </c>
      <c r="N190" s="193">
        <f t="shared" si="6"/>
        <v>202714.52</v>
      </c>
    </row>
    <row r="191" spans="2:14" hidden="1" x14ac:dyDescent="0.2">
      <c r="D191" s="193"/>
      <c r="E191" s="193"/>
      <c r="F191" s="193"/>
      <c r="H191" s="193"/>
      <c r="I191" s="193"/>
      <c r="J191" s="193"/>
      <c r="K191" s="193"/>
      <c r="L191" s="320"/>
    </row>
    <row r="192" spans="2:14" hidden="1" x14ac:dyDescent="0.2">
      <c r="C192" s="193"/>
      <c r="D192" s="193"/>
      <c r="E192" s="193"/>
      <c r="F192" s="193"/>
      <c r="H192" s="320"/>
      <c r="I192" s="320"/>
      <c r="J192" s="320"/>
      <c r="K192" s="320"/>
    </row>
    <row r="193" spans="3:11" hidden="1" x14ac:dyDescent="0.2">
      <c r="C193" s="193"/>
      <c r="D193" s="193"/>
      <c r="E193" s="193"/>
      <c r="F193" s="193"/>
      <c r="H193" s="320"/>
      <c r="I193" s="320"/>
      <c r="J193" s="320"/>
      <c r="K193" s="320"/>
    </row>
    <row r="194" spans="3:11" hidden="1" x14ac:dyDescent="0.2"/>
    <row r="195" spans="3:11" hidden="1" x14ac:dyDescent="0.2"/>
    <row r="196" spans="3:11" hidden="1" x14ac:dyDescent="0.2"/>
    <row r="197" spans="3:11" hidden="1" x14ac:dyDescent="0.2"/>
    <row r="198" spans="3:11" hidden="1" x14ac:dyDescent="0.2"/>
    <row r="199" spans="3:11" hidden="1" x14ac:dyDescent="0.2"/>
    <row r="200" spans="3:11" hidden="1" x14ac:dyDescent="0.2"/>
    <row r="201" spans="3:11" hidden="1" x14ac:dyDescent="0.2"/>
    <row r="202" spans="3:11" hidden="1" x14ac:dyDescent="0.2"/>
    <row r="203" spans="3:11" hidden="1" x14ac:dyDescent="0.2"/>
    <row r="204" spans="3:11" hidden="1" x14ac:dyDescent="0.2"/>
    <row r="205" spans="3:11" hidden="1" x14ac:dyDescent="0.2"/>
    <row r="206" spans="3:11" hidden="1" x14ac:dyDescent="0.2"/>
    <row r="207" spans="3:11" hidden="1" x14ac:dyDescent="0.2"/>
    <row r="208" spans="3:1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sheetData>
  <sortState ref="A82:J85">
    <sortCondition ref="A82:A85"/>
  </sortState>
  <mergeCells count="2">
    <mergeCell ref="A5:B5"/>
    <mergeCell ref="A56:B56"/>
  </mergeCells>
  <pageMargins left="0.45" right="0.25" top="0.75" bottom="0"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election activeCell="L61" sqref="L61"/>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37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4"/>
      <c r="H6" s="244"/>
      <c r="I6" s="244" t="s">
        <v>54</v>
      </c>
      <c r="J6" s="244"/>
      <c r="K6" s="244"/>
      <c r="L6" s="244"/>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36"/>
      <c r="H8" s="287">
        <v>43708</v>
      </c>
      <c r="I8" s="287"/>
      <c r="J8" s="287">
        <v>43465</v>
      </c>
      <c r="K8" s="72"/>
      <c r="L8" s="287">
        <f>H8-365</f>
        <v>43343</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82</v>
      </c>
      <c r="E11" s="76"/>
      <c r="F11" s="76"/>
      <c r="G11" s="266"/>
      <c r="H11" s="266" t="s">
        <v>105</v>
      </c>
      <c r="I11" s="266"/>
      <c r="J11" s="266" t="s">
        <v>105</v>
      </c>
      <c r="K11" s="77"/>
      <c r="L11" s="266" t="s">
        <v>105</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83</v>
      </c>
      <c r="E12" s="76"/>
      <c r="F12" s="76"/>
      <c r="G12" s="266"/>
      <c r="H12" s="266" t="s">
        <v>105</v>
      </c>
      <c r="I12" s="266"/>
      <c r="J12" s="266" t="s">
        <v>105</v>
      </c>
      <c r="K12" s="77"/>
      <c r="L12" s="266" t="s">
        <v>105</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188</v>
      </c>
      <c r="E13" s="76"/>
      <c r="F13" s="76"/>
      <c r="G13" s="248"/>
      <c r="H13" s="248">
        <v>249899.19</v>
      </c>
      <c r="I13" s="248"/>
      <c r="J13" s="248">
        <v>274101.40000000002</v>
      </c>
      <c r="K13" s="77"/>
      <c r="L13" s="248">
        <v>276773.33</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189</v>
      </c>
      <c r="E14" s="76"/>
      <c r="F14" s="76"/>
      <c r="G14" s="237"/>
      <c r="H14" s="237">
        <v>199.98</v>
      </c>
      <c r="I14" s="237"/>
      <c r="J14" s="237">
        <v>199.98</v>
      </c>
      <c r="K14" s="77"/>
      <c r="L14" s="237">
        <v>199.99</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84</v>
      </c>
      <c r="E15" s="79"/>
      <c r="F15" s="79"/>
      <c r="G15" s="235"/>
      <c r="H15" s="238">
        <v>200</v>
      </c>
      <c r="I15" s="235"/>
      <c r="J15" s="238">
        <v>200</v>
      </c>
      <c r="K15" s="77"/>
      <c r="L15" s="238">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9"/>
      <c r="H16" s="239">
        <f>ROUND(SUM(H10:H15),5)</f>
        <v>250299.17</v>
      </c>
      <c r="I16" s="239"/>
      <c r="J16" s="239">
        <f>ROUND(SUM(J10:J15),5)</f>
        <v>274501.38</v>
      </c>
      <c r="K16" s="69"/>
      <c r="L16" s="239">
        <f>ROUND(SUM(L10:L15),5)</f>
        <v>277173.32</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7"/>
      <c r="H17" s="237"/>
      <c r="I17" s="237"/>
      <c r="J17" s="237"/>
      <c r="K17" s="69"/>
      <c r="L17" s="237"/>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7"/>
      <c r="H18" s="237"/>
      <c r="I18" s="237"/>
      <c r="J18" s="237"/>
      <c r="K18" s="69"/>
      <c r="L18" s="237"/>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155</v>
      </c>
      <c r="E19" s="80"/>
      <c r="F19" s="80"/>
      <c r="G19" s="286"/>
      <c r="H19" s="286">
        <f>'August''19 AR Aging '!G66</f>
        <v>248965.4</v>
      </c>
      <c r="I19" s="286"/>
      <c r="J19" s="286">
        <v>245292.72</v>
      </c>
      <c r="K19" s="251"/>
      <c r="L19" s="286">
        <v>287391.78999999998</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06"/>
      <c r="B20" s="408"/>
      <c r="C20" s="80"/>
      <c r="D20" s="80" t="s">
        <v>169</v>
      </c>
      <c r="E20" s="80"/>
      <c r="F20" s="80"/>
      <c r="G20" s="286"/>
      <c r="H20" s="235">
        <v>0</v>
      </c>
      <c r="I20" s="286"/>
      <c r="J20" s="286"/>
      <c r="K20" s="251"/>
      <c r="L20" s="286"/>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08"/>
      <c r="C21" s="76"/>
      <c r="D21" s="76" t="s">
        <v>226</v>
      </c>
      <c r="E21" s="76"/>
      <c r="F21" s="76"/>
      <c r="G21" s="237"/>
      <c r="H21" s="237">
        <v>174581.16</v>
      </c>
      <c r="I21" s="237"/>
      <c r="J21" s="237">
        <v>159621.23000000001</v>
      </c>
      <c r="K21" s="251"/>
      <c r="L21" s="237">
        <v>169314.31</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08"/>
      <c r="C22" s="79"/>
      <c r="D22" s="79" t="s">
        <v>85</v>
      </c>
      <c r="E22" s="79"/>
      <c r="F22" s="79"/>
      <c r="G22" s="235"/>
      <c r="H22" s="238">
        <f>5846.17+1858.56</f>
        <v>7704.73</v>
      </c>
      <c r="I22" s="235"/>
      <c r="J22" s="415">
        <f>3160.78+1098.06</f>
        <v>4258.84</v>
      </c>
      <c r="K22" s="251"/>
      <c r="L22" s="238">
        <f>6418.68+1136.06</f>
        <v>7554.74</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40"/>
      <c r="H23" s="240">
        <f>SUM(H19:H22)</f>
        <v>431251.29</v>
      </c>
      <c r="I23" s="240"/>
      <c r="J23" s="240">
        <f>SUM(J19:J22)</f>
        <v>409172.79000000004</v>
      </c>
      <c r="K23" s="267"/>
      <c r="L23" s="240">
        <f>SUM(L19:L22)</f>
        <v>464260.83999999997</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5"/>
      <c r="H24" s="235"/>
      <c r="I24" s="235"/>
      <c r="J24" s="235"/>
      <c r="K24" s="69"/>
      <c r="L24" s="235"/>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61</v>
      </c>
      <c r="C25" s="81"/>
      <c r="D25" s="81"/>
      <c r="E25" s="81"/>
      <c r="F25" s="81"/>
      <c r="G25" s="240"/>
      <c r="H25" s="241">
        <f>H16+H23</f>
        <v>681550.46</v>
      </c>
      <c r="I25" s="240"/>
      <c r="J25" s="241">
        <f>J16+J23</f>
        <v>683674.17</v>
      </c>
      <c r="K25" s="69"/>
      <c r="L25" s="241">
        <f>L16+L23</f>
        <v>741434.15999999992</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40"/>
      <c r="H26" s="239"/>
      <c r="I26" s="240"/>
      <c r="J26" s="239"/>
      <c r="K26" s="69"/>
      <c r="L26" s="23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72"/>
      <c r="H27" s="242"/>
      <c r="I27" s="272"/>
      <c r="J27" s="242"/>
      <c r="K27" s="72"/>
      <c r="L27" s="24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08"/>
      <c r="C28" s="76"/>
      <c r="D28" s="76" t="s">
        <v>86</v>
      </c>
      <c r="E28" s="76"/>
      <c r="F28" s="76"/>
      <c r="G28" s="235"/>
      <c r="H28" s="237">
        <v>221731.4</v>
      </c>
      <c r="I28" s="235"/>
      <c r="J28" s="237">
        <v>192474.47</v>
      </c>
      <c r="K28" s="251"/>
      <c r="L28" s="237">
        <v>192474.47</v>
      </c>
      <c r="M28" s="77"/>
      <c r="N28" s="77"/>
      <c r="O28" s="77"/>
      <c r="P28" s="251"/>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08"/>
      <c r="C29" s="76"/>
      <c r="D29" s="76" t="s">
        <v>87</v>
      </c>
      <c r="E29" s="76"/>
      <c r="F29" s="76"/>
      <c r="G29" s="235"/>
      <c r="H29" s="237">
        <v>49562</v>
      </c>
      <c r="I29" s="235"/>
      <c r="J29" s="237">
        <v>49562</v>
      </c>
      <c r="K29" s="251"/>
      <c r="L29" s="237">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08"/>
      <c r="C30" s="76"/>
      <c r="D30" s="76" t="s">
        <v>88</v>
      </c>
      <c r="E30" s="76"/>
      <c r="F30" s="76"/>
      <c r="G30" s="235"/>
      <c r="H30" s="237">
        <v>207734.77</v>
      </c>
      <c r="I30" s="235"/>
      <c r="J30" s="237">
        <v>162848.99</v>
      </c>
      <c r="K30" s="251"/>
      <c r="L30" s="237">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89</v>
      </c>
      <c r="E31" s="80"/>
      <c r="F31" s="80"/>
      <c r="G31" s="235"/>
      <c r="H31" s="235">
        <v>-324036.03999999998</v>
      </c>
      <c r="I31" s="235"/>
      <c r="J31" s="235">
        <v>-285865.03999999998</v>
      </c>
      <c r="K31" s="251"/>
      <c r="L31" s="235">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372</v>
      </c>
      <c r="C32" s="81"/>
      <c r="D32" s="81"/>
      <c r="E32" s="81"/>
      <c r="F32" s="81"/>
      <c r="G32" s="240"/>
      <c r="H32" s="243">
        <v>134265.60000000001</v>
      </c>
      <c r="I32" s="240"/>
      <c r="J32" s="243">
        <v>155171.13</v>
      </c>
      <c r="K32" s="69"/>
      <c r="L32" s="243">
        <v>120145.17</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40"/>
      <c r="H33" s="239"/>
      <c r="I33" s="240"/>
      <c r="J33" s="239"/>
      <c r="K33" s="69"/>
      <c r="L33" s="23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5"/>
      <c r="H34" s="235"/>
      <c r="I34" s="235"/>
      <c r="J34" s="235"/>
      <c r="K34" s="69"/>
      <c r="L34" s="235"/>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4"/>
      <c r="H35" s="249">
        <f>H25+H32</f>
        <v>815816.05999999994</v>
      </c>
      <c r="I35" s="274"/>
      <c r="J35" s="249">
        <f>J25+J32</f>
        <v>838845.3</v>
      </c>
      <c r="K35" s="83"/>
      <c r="L35" s="249">
        <f>L25+L32</f>
        <v>861579.33</v>
      </c>
      <c r="M35" s="83"/>
      <c r="N35" s="83"/>
      <c r="O35" s="83"/>
      <c r="P35" s="679"/>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8"/>
      <c r="H36" s="240"/>
      <c r="I36" s="240"/>
      <c r="J36" s="240"/>
      <c r="K36" s="85"/>
      <c r="L36" s="240"/>
      <c r="M36" s="85"/>
      <c r="N36" s="85"/>
      <c r="O36" s="85"/>
      <c r="P36" s="419"/>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7"/>
      <c r="H37" s="244"/>
      <c r="I37" s="244"/>
      <c r="J37" s="244"/>
      <c r="K37" s="66"/>
      <c r="L37" s="244"/>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7"/>
      <c r="H38" s="237"/>
      <c r="I38" s="235"/>
      <c r="J38" s="237"/>
      <c r="K38" s="69"/>
      <c r="L38" s="237"/>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5"/>
      <c r="H39" s="245"/>
      <c r="I39" s="245"/>
      <c r="J39" s="245"/>
      <c r="K39" s="69"/>
      <c r="L39" s="245"/>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5"/>
      <c r="H40" s="237"/>
      <c r="I40" s="235"/>
      <c r="J40" s="237"/>
      <c r="K40" s="69"/>
      <c r="L40" s="237"/>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72"/>
      <c r="H41" s="236"/>
      <c r="I41" s="272"/>
      <c r="J41" s="236"/>
      <c r="K41" s="72"/>
      <c r="L41" s="236"/>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156</v>
      </c>
      <c r="F42" s="76"/>
      <c r="G42" s="250"/>
      <c r="H42" s="250">
        <f>7522.91</f>
        <v>7522.91</v>
      </c>
      <c r="I42" s="250"/>
      <c r="J42" s="250">
        <f>43238.03</f>
        <v>43238.03</v>
      </c>
      <c r="K42" s="396"/>
      <c r="L42" s="250">
        <f>11846.16+566.49+4236.35+1255.49</f>
        <v>17904.490000000002</v>
      </c>
      <c r="M42" s="77"/>
      <c r="N42" s="396"/>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102</v>
      </c>
      <c r="F43" s="76"/>
      <c r="G43" s="235"/>
      <c r="H43" s="235">
        <v>463.39</v>
      </c>
      <c r="I43" s="235"/>
      <c r="J43" s="235">
        <v>139.85</v>
      </c>
      <c r="K43" s="77"/>
      <c r="L43" s="235">
        <v>698.16</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90</v>
      </c>
      <c r="F44" s="76"/>
      <c r="G44" s="235"/>
      <c r="H44" s="237">
        <v>1725</v>
      </c>
      <c r="I44" s="237"/>
      <c r="J44" s="237">
        <v>21393</v>
      </c>
      <c r="K44" s="77"/>
      <c r="L44" s="237">
        <v>0</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164</v>
      </c>
      <c r="F45" s="76"/>
      <c r="G45" s="235"/>
      <c r="H45" s="237">
        <v>0</v>
      </c>
      <c r="I45" s="237"/>
      <c r="J45" s="237">
        <v>0</v>
      </c>
      <c r="K45" s="77"/>
      <c r="L45" s="237">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101</v>
      </c>
      <c r="E46" s="153"/>
      <c r="F46" s="79"/>
      <c r="G46" s="235"/>
      <c r="H46" s="237">
        <f>'August''19 Revenues &amp; Expenses'!L41</f>
        <v>52832.710000000006</v>
      </c>
      <c r="I46" s="335"/>
      <c r="J46" s="237">
        <v>45765.85</v>
      </c>
      <c r="K46" s="251"/>
      <c r="L46" s="237">
        <v>102381.95</v>
      </c>
      <c r="M46" s="77"/>
      <c r="N46" s="77"/>
      <c r="O46" s="77"/>
      <c r="P46" s="251"/>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77</v>
      </c>
      <c r="D47" s="76"/>
      <c r="F47" s="76"/>
      <c r="G47" s="235"/>
      <c r="H47" s="246">
        <f>SUM(H42:H46)</f>
        <v>62544.010000000009</v>
      </c>
      <c r="I47" s="335"/>
      <c r="J47" s="246">
        <f>SUM(J42:J46)</f>
        <v>110536.73</v>
      </c>
      <c r="K47" s="77"/>
      <c r="L47" s="246">
        <f>SUM(L42:L46)</f>
        <v>120984.6</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5"/>
      <c r="H48" s="237"/>
      <c r="I48" s="335"/>
      <c r="J48" s="237"/>
      <c r="K48" s="77"/>
      <c r="L48" s="23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79</v>
      </c>
      <c r="D49" s="89"/>
      <c r="E49" s="153"/>
      <c r="F49" s="153"/>
      <c r="G49" s="235"/>
      <c r="H49" s="238"/>
      <c r="I49" s="335"/>
      <c r="J49" s="238"/>
      <c r="K49" s="77"/>
      <c r="L49" s="238"/>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93</v>
      </c>
      <c r="E50" s="76"/>
      <c r="F50" s="76"/>
      <c r="G50" s="235"/>
      <c r="H50" s="235">
        <f>35642.56+2296.58-H52-H53</f>
        <v>36337.019999999997</v>
      </c>
      <c r="I50" s="335"/>
      <c r="J50" s="235">
        <f>21018.38+1995.43-J52-J53</f>
        <v>21333.690000000002</v>
      </c>
      <c r="K50" s="77"/>
      <c r="L50" s="235">
        <f>36470.36+2313.45-L52-L53</f>
        <v>37040.14</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94</v>
      </c>
      <c r="E51" s="76"/>
      <c r="F51" s="76"/>
      <c r="G51" s="235"/>
      <c r="H51" s="235">
        <v>26811.3</v>
      </c>
      <c r="I51" s="335"/>
      <c r="J51" s="235">
        <v>19121.490000000002</v>
      </c>
      <c r="K51" s="77"/>
      <c r="L51" s="235">
        <v>27016.04</v>
      </c>
      <c r="M51" s="77"/>
      <c r="N51" s="77"/>
      <c r="O51" s="77"/>
      <c r="P51" s="77"/>
      <c r="Q51" s="251"/>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95</v>
      </c>
      <c r="E52" s="76"/>
      <c r="F52" s="76"/>
      <c r="G52" s="235"/>
      <c r="H52" s="237">
        <v>1475</v>
      </c>
      <c r="I52" s="335"/>
      <c r="J52" s="237">
        <v>1527.8</v>
      </c>
      <c r="K52" s="77"/>
      <c r="L52" s="237">
        <v>1601.64</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96</v>
      </c>
      <c r="E53" s="76"/>
      <c r="F53" s="76"/>
      <c r="G53" s="235"/>
      <c r="H53" s="238">
        <v>127.12</v>
      </c>
      <c r="I53" s="335"/>
      <c r="J53" s="238">
        <v>152.32</v>
      </c>
      <c r="K53" s="77"/>
      <c r="L53" s="238">
        <v>142.03</v>
      </c>
      <c r="M53" s="77"/>
      <c r="N53" s="77"/>
      <c r="O53" s="77"/>
      <c r="P53" s="77"/>
      <c r="Q53" s="251"/>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78</v>
      </c>
      <c r="D54" s="76"/>
      <c r="F54" s="80"/>
      <c r="G54" s="235"/>
      <c r="H54" s="235">
        <f>ROUND(SUM(H49:H53),5)</f>
        <v>64750.44</v>
      </c>
      <c r="I54" s="335"/>
      <c r="J54" s="235">
        <f>ROUND(SUM(J49:J53),5)</f>
        <v>42135.3</v>
      </c>
      <c r="K54" s="77"/>
      <c r="L54" s="235">
        <f>ROUND(SUM(L49:L53),5)</f>
        <v>65799.850000000006</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5"/>
      <c r="H55" s="238"/>
      <c r="I55" s="335"/>
      <c r="J55" s="238"/>
      <c r="K55" s="77"/>
      <c r="L55" s="238"/>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80</v>
      </c>
      <c r="D56" s="74"/>
      <c r="E56" s="74"/>
      <c r="F56" s="74"/>
      <c r="G56" s="240"/>
      <c r="H56" s="239">
        <f>H47+H54</f>
        <v>127294.45000000001</v>
      </c>
      <c r="I56" s="401"/>
      <c r="J56" s="239">
        <f>J47+J54</f>
        <v>152672.03</v>
      </c>
      <c r="K56" s="267"/>
      <c r="L56" s="239">
        <f>L47+L54</f>
        <v>186784.45</v>
      </c>
      <c r="M56" s="69"/>
      <c r="N56" s="356"/>
      <c r="O56" s="69"/>
      <c r="P56" s="356"/>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40"/>
      <c r="H57" s="239"/>
      <c r="I57" s="401"/>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67</v>
      </c>
      <c r="C58" s="88"/>
      <c r="D58" s="88"/>
      <c r="E58" s="88"/>
      <c r="F58" s="88"/>
      <c r="G58" s="235"/>
      <c r="H58" s="245"/>
      <c r="I58" s="335"/>
      <c r="J58" s="245"/>
      <c r="K58" s="69"/>
      <c r="L58" s="245"/>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379</v>
      </c>
      <c r="E59" s="76"/>
      <c r="F59" s="76"/>
      <c r="G59" s="235"/>
      <c r="H59" s="237">
        <f>J59+J61</f>
        <v>654189.64</v>
      </c>
      <c r="I59" s="335"/>
      <c r="J59" s="237">
        <f>686173.27-J61-J60</f>
        <v>630809.30000000005</v>
      </c>
      <c r="K59" s="251"/>
      <c r="L59" s="237">
        <f>J59</f>
        <v>630809.30000000005</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380</v>
      </c>
      <c r="E60" s="76"/>
      <c r="F60" s="76"/>
      <c r="G60" s="235"/>
      <c r="H60" s="237">
        <f>'August''19 Revenues &amp; Expenses'!L61</f>
        <v>52327.843333333331</v>
      </c>
      <c r="I60" s="335"/>
      <c r="J60" s="237">
        <v>31983.63</v>
      </c>
      <c r="K60" s="251"/>
      <c r="L60" s="237">
        <v>54938.98</v>
      </c>
      <c r="M60" s="77"/>
      <c r="N60" s="77"/>
      <c r="O60" s="251"/>
      <c r="P60" s="251"/>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135</v>
      </c>
      <c r="E61" s="74"/>
      <c r="F61" s="88"/>
      <c r="G61" s="335"/>
      <c r="H61" s="245">
        <f>'August''19 State of Activities'!G59</f>
        <v>-17995.920000000275</v>
      </c>
      <c r="I61" s="335"/>
      <c r="J61" s="245">
        <v>23380.34</v>
      </c>
      <c r="K61" s="69"/>
      <c r="L61" s="245">
        <f>'August''19 State of Activities'!J59</f>
        <v>-10953.399999999674</v>
      </c>
      <c r="M61" s="69"/>
      <c r="N61" s="69"/>
      <c r="O61" s="69"/>
      <c r="P61" s="405"/>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68</v>
      </c>
      <c r="C62" s="91"/>
      <c r="D62" s="91"/>
      <c r="E62" s="91"/>
      <c r="F62" s="68"/>
      <c r="G62" s="401"/>
      <c r="H62" s="240">
        <f>ROUND(SUM(H58:H61),5)</f>
        <v>688521.56333000003</v>
      </c>
      <c r="I62" s="401"/>
      <c r="J62" s="240">
        <f>ROUND(SUM(J58:J61),5)</f>
        <v>686173.27</v>
      </c>
      <c r="K62" s="69"/>
      <c r="L62" s="240">
        <f>ROUND(SUM(L58:L61),5)</f>
        <v>674794.88</v>
      </c>
      <c r="M62" s="69"/>
      <c r="N62" s="69"/>
      <c r="O62" s="69"/>
      <c r="P62" s="40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35"/>
      <c r="H63" s="238"/>
      <c r="I63" s="335"/>
      <c r="J63" s="238"/>
      <c r="K63" s="69"/>
      <c r="L63" s="238"/>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69</v>
      </c>
      <c r="B64" s="82"/>
      <c r="C64" s="82"/>
      <c r="D64" s="82"/>
      <c r="E64" s="82"/>
      <c r="F64" s="82"/>
      <c r="G64" s="402"/>
      <c r="H64" s="369">
        <f>SUM(H56+H62)</f>
        <v>815816.01332999999</v>
      </c>
      <c r="I64" s="402"/>
      <c r="J64" s="369">
        <f>SUM(J56+J62)</f>
        <v>838845.3</v>
      </c>
      <c r="K64" s="83"/>
      <c r="L64" s="369">
        <f>SUM(L56+L62)</f>
        <v>861579.33000000007</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7"/>
      <c r="G65" s="1"/>
      <c r="I65" s="1"/>
    </row>
    <row r="66" spans="3:12" hidden="1" x14ac:dyDescent="0.2">
      <c r="G66" s="403"/>
      <c r="H66" s="253"/>
      <c r="I66" s="253"/>
      <c r="J66" s="253"/>
      <c r="L66" s="253"/>
    </row>
    <row r="67" spans="3:12" ht="14.25" customHeight="1" x14ac:dyDescent="0.2">
      <c r="C67" s="839" t="s">
        <v>211</v>
      </c>
      <c r="D67" s="839"/>
      <c r="E67" s="839"/>
      <c r="F67" s="839"/>
      <c r="G67" s="1"/>
      <c r="H67" s="456">
        <f>(H19+H16)/H56</f>
        <v>3.9221236275422844</v>
      </c>
      <c r="J67" s="456">
        <f>(J19+J16)/J56</f>
        <v>3.4046452385548287</v>
      </c>
      <c r="K67" s="267"/>
      <c r="L67" s="456">
        <f>(L19+L16)/L56</f>
        <v>3.0225487721274438</v>
      </c>
    </row>
    <row r="70" spans="3:12" x14ac:dyDescent="0.2">
      <c r="G70" s="277"/>
      <c r="H70" s="253">
        <f>H64-H35</f>
        <v>-4.6669999952428043E-2</v>
      </c>
      <c r="I70" s="277"/>
      <c r="J70" s="253">
        <f>J64-J35</f>
        <v>0</v>
      </c>
      <c r="L70" s="253">
        <f>L64-L35</f>
        <v>0</v>
      </c>
    </row>
    <row r="71" spans="3:12" x14ac:dyDescent="0.2">
      <c r="L71" s="642"/>
    </row>
    <row r="75" spans="3:12" x14ac:dyDescent="0.2">
      <c r="H75" s="277"/>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4"/>
  <sheetViews>
    <sheetView topLeftCell="A25" zoomScale="75" zoomScaleNormal="75" workbookViewId="0">
      <selection activeCell="C55" sqref="C55"/>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23.125" style="18" customWidth="1"/>
    <col min="9" max="9" width="1.625" style="18" customWidth="1"/>
    <col min="10" max="10" width="23" style="18" customWidth="1"/>
    <col min="11" max="11" width="1.875" style="382" customWidth="1"/>
    <col min="12" max="12" width="17.25" style="18" customWidth="1"/>
    <col min="13" max="13" width="10" style="18" customWidth="1"/>
    <col min="14" max="14" width="88.625" style="558"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100</v>
      </c>
      <c r="B1" s="60"/>
      <c r="C1" s="61"/>
      <c r="D1" s="61"/>
      <c r="E1" s="61"/>
      <c r="F1" s="60"/>
      <c r="G1" s="233"/>
      <c r="H1" s="60"/>
      <c r="I1" s="60"/>
      <c r="J1" s="60"/>
      <c r="K1" s="374"/>
      <c r="L1" s="60"/>
      <c r="M1" s="60"/>
      <c r="N1" s="550"/>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386</v>
      </c>
      <c r="B2" s="60"/>
      <c r="C2" s="61"/>
      <c r="D2" s="61"/>
      <c r="E2" s="61"/>
      <c r="F2" s="60"/>
      <c r="G2" s="233"/>
      <c r="H2" s="60"/>
      <c r="I2" s="60"/>
      <c r="J2" s="233"/>
      <c r="K2" s="374"/>
      <c r="L2" s="60"/>
      <c r="M2" s="60"/>
      <c r="N2" s="550"/>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482</v>
      </c>
      <c r="B3" s="60"/>
      <c r="C3" s="61"/>
      <c r="D3" s="61"/>
      <c r="E3" s="61"/>
      <c r="F3" s="60"/>
      <c r="G3" s="233"/>
      <c r="H3" s="60"/>
      <c r="I3" s="60"/>
      <c r="J3" s="60"/>
      <c r="K3" s="374"/>
      <c r="L3" s="60"/>
      <c r="M3" s="60"/>
      <c r="N3" s="550"/>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385</v>
      </c>
      <c r="B4" s="60"/>
      <c r="C4" s="61"/>
      <c r="D4" s="61"/>
      <c r="E4" s="61"/>
      <c r="F4" s="60"/>
      <c r="G4" s="233"/>
      <c r="H4" s="60"/>
      <c r="I4" s="60"/>
      <c r="J4" s="60"/>
      <c r="K4" s="374"/>
      <c r="L4" s="60"/>
      <c r="M4" s="60"/>
      <c r="N4" s="550"/>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4"/>
      <c r="H5" s="63"/>
      <c r="I5" s="63"/>
      <c r="J5" s="63"/>
      <c r="K5" s="375"/>
      <c r="L5" s="63"/>
      <c r="M5" s="63"/>
      <c r="N5" s="551"/>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114</v>
      </c>
      <c r="B6" s="65"/>
      <c r="C6" s="65"/>
      <c r="D6" s="65"/>
      <c r="E6" s="65"/>
      <c r="F6" s="65"/>
      <c r="G6" s="841" t="s">
        <v>54</v>
      </c>
      <c r="H6" s="841"/>
      <c r="I6" s="841"/>
      <c r="J6" s="841"/>
      <c r="K6" s="376"/>
      <c r="L6" s="433" t="s">
        <v>192</v>
      </c>
      <c r="M6" s="430" t="s">
        <v>205</v>
      </c>
      <c r="N6" s="655" t="s">
        <v>191</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5"/>
      <c r="K7" s="377"/>
      <c r="N7" s="552"/>
    </row>
    <row r="8" spans="1:113" s="73" customFormat="1" ht="21" thickBot="1" x14ac:dyDescent="0.35">
      <c r="A8" s="70"/>
      <c r="B8" s="154" t="s">
        <v>106</v>
      </c>
      <c r="C8" s="154"/>
      <c r="D8" s="154"/>
      <c r="E8" s="154"/>
      <c r="F8" s="154"/>
      <c r="G8" s="287">
        <f>'August''19 Financial Position'!H8</f>
        <v>43708</v>
      </c>
      <c r="H8" s="287">
        <v>43465</v>
      </c>
      <c r="I8" s="336"/>
      <c r="J8" s="287">
        <f>G8-365</f>
        <v>43343</v>
      </c>
      <c r="K8" s="378"/>
      <c r="L8" s="840" t="s">
        <v>484</v>
      </c>
      <c r="M8" s="840"/>
      <c r="N8" s="553"/>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107</v>
      </c>
      <c r="D9" s="76"/>
      <c r="E9" s="76"/>
      <c r="F9" s="74"/>
      <c r="G9" s="268">
        <v>546444.32999999996</v>
      </c>
      <c r="H9" s="268">
        <v>942891.49</v>
      </c>
      <c r="I9" s="339"/>
      <c r="J9" s="268">
        <v>651366.87</v>
      </c>
      <c r="K9" s="377"/>
      <c r="L9" s="395">
        <f t="shared" ref="L9:L28" si="0">G9-J9</f>
        <v>-104922.54000000004</v>
      </c>
      <c r="M9" s="457">
        <f>L9/J9</f>
        <v>-0.16108055971590945</v>
      </c>
      <c r="N9" s="552" t="s">
        <v>502</v>
      </c>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183</v>
      </c>
      <c r="D10" s="76"/>
      <c r="E10" s="76"/>
      <c r="F10" s="74"/>
      <c r="G10" s="269"/>
      <c r="H10" s="269">
        <v>4698.29</v>
      </c>
      <c r="I10" s="335"/>
      <c r="J10" s="269">
        <v>4384.68</v>
      </c>
      <c r="K10" s="377"/>
      <c r="L10" s="280">
        <f t="shared" si="0"/>
        <v>-4384.68</v>
      </c>
      <c r="M10" s="457">
        <f>L10/J10</f>
        <v>-1</v>
      </c>
      <c r="N10" s="552" t="s">
        <v>485</v>
      </c>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09"/>
      <c r="C11" s="76" t="s">
        <v>157</v>
      </c>
      <c r="D11" s="76"/>
      <c r="E11" s="76"/>
      <c r="F11" s="74"/>
      <c r="G11" s="269">
        <v>108480.31</v>
      </c>
      <c r="H11" s="269">
        <v>153461.26</v>
      </c>
      <c r="I11" s="335"/>
      <c r="J11" s="269">
        <v>101077.3</v>
      </c>
      <c r="K11" s="377"/>
      <c r="L11" s="280">
        <f t="shared" si="0"/>
        <v>7403.0099999999948</v>
      </c>
      <c r="M11" s="457">
        <f>L11/J11</f>
        <v>7.3241073910759333E-2</v>
      </c>
      <c r="N11" s="552" t="s">
        <v>449</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09"/>
      <c r="C12" s="438" t="s">
        <v>448</v>
      </c>
      <c r="D12" s="438"/>
      <c r="E12" s="438"/>
      <c r="F12" s="74"/>
      <c r="G12" s="269">
        <f>1029.43+1670.95</f>
        <v>2700.38</v>
      </c>
      <c r="H12" s="269"/>
      <c r="I12" s="335"/>
      <c r="J12" s="269"/>
      <c r="K12" s="377"/>
      <c r="L12" s="280">
        <f t="shared" ref="L12" si="1">G12-J12</f>
        <v>2700.38</v>
      </c>
      <c r="M12" s="457"/>
      <c r="N12" s="552" t="s">
        <v>450</v>
      </c>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09"/>
      <c r="C13" s="76" t="s">
        <v>190</v>
      </c>
      <c r="D13" s="76"/>
      <c r="E13" s="76"/>
      <c r="F13" s="74"/>
      <c r="G13" s="269">
        <v>25250.01</v>
      </c>
      <c r="H13" s="269">
        <v>44022.26</v>
      </c>
      <c r="I13" s="335"/>
      <c r="J13" s="269">
        <v>26464.38</v>
      </c>
      <c r="K13" s="377"/>
      <c r="L13" s="280">
        <f t="shared" si="0"/>
        <v>-1214.3700000000026</v>
      </c>
      <c r="M13" s="457">
        <f>L13/J13</f>
        <v>-4.5886962022159694E-2</v>
      </c>
      <c r="N13" s="552" t="s">
        <v>503</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09"/>
      <c r="C14" s="76" t="s">
        <v>108</v>
      </c>
      <c r="D14" s="76"/>
      <c r="E14" s="76"/>
      <c r="F14" s="74"/>
      <c r="G14" s="269"/>
      <c r="H14" s="269"/>
      <c r="I14" s="335"/>
      <c r="J14" s="269"/>
      <c r="K14" s="377"/>
      <c r="L14" s="280">
        <f t="shared" si="0"/>
        <v>0</v>
      </c>
      <c r="M14" s="457"/>
      <c r="N14" s="552"/>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09"/>
      <c r="C15" s="78"/>
      <c r="D15" s="76" t="s">
        <v>146</v>
      </c>
      <c r="E15" s="76"/>
      <c r="F15" s="74"/>
      <c r="G15" s="269">
        <v>134943.75</v>
      </c>
      <c r="H15" s="269">
        <v>163055.43</v>
      </c>
      <c r="I15" s="335"/>
      <c r="J15" s="269">
        <v>97687.51</v>
      </c>
      <c r="K15" s="377"/>
      <c r="L15" s="280">
        <f t="shared" si="0"/>
        <v>37256.240000000005</v>
      </c>
      <c r="M15" s="457">
        <f>L15/J15</f>
        <v>0.38138181636526519</v>
      </c>
      <c r="N15" s="552" t="s">
        <v>504</v>
      </c>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09"/>
      <c r="C16" s="78"/>
      <c r="D16" s="76" t="s">
        <v>167</v>
      </c>
      <c r="E16" s="76"/>
      <c r="F16" s="74"/>
      <c r="G16" s="269">
        <v>8666.66</v>
      </c>
      <c r="H16" s="269">
        <v>13000</v>
      </c>
      <c r="I16" s="335"/>
      <c r="J16" s="269">
        <v>9740</v>
      </c>
      <c r="K16" s="377"/>
      <c r="L16" s="280">
        <f t="shared" si="0"/>
        <v>-1073.3400000000001</v>
      </c>
      <c r="M16" s="457">
        <f>L16/J16</f>
        <v>-0.11019917864476388</v>
      </c>
      <c r="N16" s="552"/>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09"/>
      <c r="C17" s="438" t="s">
        <v>276</v>
      </c>
      <c r="D17" s="510"/>
      <c r="E17" s="510"/>
      <c r="F17" s="510"/>
      <c r="G17" s="269"/>
      <c r="H17" s="269">
        <f>12556+7711</f>
        <v>20267</v>
      </c>
      <c r="I17" s="335"/>
      <c r="J17" s="269"/>
      <c r="K17" s="377"/>
      <c r="L17" s="280">
        <f t="shared" si="0"/>
        <v>0</v>
      </c>
      <c r="M17" s="457"/>
      <c r="N17" s="552"/>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09"/>
      <c r="C18" s="76" t="s">
        <v>109</v>
      </c>
      <c r="D18" s="76"/>
      <c r="E18" s="76"/>
      <c r="F18" s="74"/>
      <c r="G18" s="269">
        <f>'August''19 Revenues &amp; Expenses'!J52</f>
        <v>8398.4599999999991</v>
      </c>
      <c r="H18" s="269">
        <v>12796</v>
      </c>
      <c r="I18" s="335"/>
      <c r="J18" s="269">
        <v>8858</v>
      </c>
      <c r="K18" s="377"/>
      <c r="L18" s="280">
        <f t="shared" si="0"/>
        <v>-459.54000000000087</v>
      </c>
      <c r="M18" s="457">
        <f t="shared" ref="M18:M24" si="2">L18/J18</f>
        <v>-5.1878527884398382E-2</v>
      </c>
      <c r="N18" s="554"/>
      <c r="O18" s="69"/>
      <c r="P18" s="69"/>
      <c r="Q18" s="267"/>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09"/>
      <c r="C19" s="406" t="s">
        <v>170</v>
      </c>
      <c r="D19" s="406"/>
      <c r="E19" s="406"/>
      <c r="F19" s="74"/>
      <c r="G19" s="269">
        <v>488.7</v>
      </c>
      <c r="H19" s="269">
        <v>446.1</v>
      </c>
      <c r="I19" s="335"/>
      <c r="J19" s="269">
        <f>250+97.5</f>
        <v>347.5</v>
      </c>
      <c r="K19" s="377"/>
      <c r="L19" s="280">
        <f t="shared" si="0"/>
        <v>141.19999999999999</v>
      </c>
      <c r="M19" s="457">
        <f t="shared" si="2"/>
        <v>0.40633093525179853</v>
      </c>
      <c r="N19" s="554"/>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09"/>
      <c r="C20" s="76" t="s">
        <v>116</v>
      </c>
      <c r="D20" s="76"/>
      <c r="E20" s="76"/>
      <c r="F20" s="74"/>
      <c r="G20" s="269">
        <v>903.47</v>
      </c>
      <c r="H20" s="269">
        <v>963.93</v>
      </c>
      <c r="I20" s="335"/>
      <c r="J20" s="269">
        <v>641.07000000000005</v>
      </c>
      <c r="K20" s="377"/>
      <c r="L20" s="280">
        <f t="shared" si="0"/>
        <v>262.39999999999998</v>
      </c>
      <c r="M20" s="457">
        <f t="shared" si="2"/>
        <v>0.40931567535526536</v>
      </c>
      <c r="N20" s="552"/>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09"/>
      <c r="C21" s="406" t="s">
        <v>253</v>
      </c>
      <c r="D21" s="406"/>
      <c r="E21" s="406"/>
      <c r="F21" s="74"/>
      <c r="G21" s="269">
        <v>2974.19</v>
      </c>
      <c r="H21" s="269">
        <v>5181.0200000000004</v>
      </c>
      <c r="I21" s="335"/>
      <c r="J21" s="269">
        <v>2622.52</v>
      </c>
      <c r="K21" s="377"/>
      <c r="L21" s="280">
        <f t="shared" si="0"/>
        <v>351.67000000000007</v>
      </c>
      <c r="M21" s="457">
        <f t="shared" si="2"/>
        <v>0.13409621280295292</v>
      </c>
      <c r="N21" s="552"/>
      <c r="O21" s="69"/>
      <c r="P21" s="69"/>
      <c r="Q21" s="267"/>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09"/>
      <c r="C22" s="76" t="s">
        <v>326</v>
      </c>
      <c r="D22" s="76"/>
      <c r="E22" s="76"/>
      <c r="F22" s="74"/>
      <c r="G22" s="269">
        <v>11985.74</v>
      </c>
      <c r="H22" s="269">
        <v>-10497.66</v>
      </c>
      <c r="I22" s="335"/>
      <c r="J22" s="269">
        <v>1753.92</v>
      </c>
      <c r="K22" s="377"/>
      <c r="L22" s="280">
        <f t="shared" si="0"/>
        <v>10231.82</v>
      </c>
      <c r="M22" s="457">
        <f t="shared" si="2"/>
        <v>5.8336868272213094</v>
      </c>
      <c r="N22" s="552" t="s">
        <v>505</v>
      </c>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09"/>
      <c r="C23" s="76" t="s">
        <v>254</v>
      </c>
      <c r="D23" s="76"/>
      <c r="E23" s="76"/>
      <c r="F23" s="74"/>
      <c r="G23" s="269">
        <v>37758.5</v>
      </c>
      <c r="H23" s="269">
        <v>63217.86</v>
      </c>
      <c r="I23" s="335"/>
      <c r="J23" s="269">
        <v>38522.68</v>
      </c>
      <c r="K23" s="377"/>
      <c r="L23" s="280">
        <f t="shared" si="0"/>
        <v>-764.18000000000029</v>
      </c>
      <c r="M23" s="457">
        <f t="shared" si="2"/>
        <v>-1.983714528688036E-2</v>
      </c>
      <c r="N23" s="552"/>
      <c r="O23" s="69"/>
      <c r="P23" s="69"/>
      <c r="Q23" s="267"/>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09"/>
      <c r="C24" s="76" t="s">
        <v>152</v>
      </c>
      <c r="D24" s="76"/>
      <c r="E24" s="76"/>
      <c r="F24" s="74"/>
      <c r="G24" s="269">
        <f>50+2500+104.13</f>
        <v>2654.13</v>
      </c>
      <c r="H24" s="269">
        <f>25028.83-H17</f>
        <v>4761.8300000000017</v>
      </c>
      <c r="I24" s="335"/>
      <c r="J24" s="269">
        <v>3310.52</v>
      </c>
      <c r="K24" s="377"/>
      <c r="L24" s="280">
        <f t="shared" si="0"/>
        <v>-656.38999999999987</v>
      </c>
      <c r="M24" s="457">
        <f t="shared" si="2"/>
        <v>-0.19827398716817898</v>
      </c>
      <c r="N24" s="682"/>
      <c r="O24" s="69"/>
      <c r="P24" s="69"/>
      <c r="Q24" s="267"/>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0.25" x14ac:dyDescent="0.2">
      <c r="A25" s="74"/>
      <c r="B25" s="409"/>
      <c r="C25" s="76" t="s">
        <v>353</v>
      </c>
      <c r="D25" s="76"/>
      <c r="E25" s="76"/>
      <c r="F25" s="74"/>
      <c r="G25" s="269">
        <v>2300</v>
      </c>
      <c r="H25" s="269"/>
      <c r="I25" s="335"/>
      <c r="J25" s="269"/>
      <c r="K25" s="377"/>
      <c r="L25" s="280">
        <f t="shared" si="0"/>
        <v>2300</v>
      </c>
      <c r="M25" s="457">
        <v>1</v>
      </c>
      <c r="N25" s="552" t="s">
        <v>417</v>
      </c>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1" thickBot="1" x14ac:dyDescent="0.25">
      <c r="A26" s="74"/>
      <c r="B26" s="409"/>
      <c r="C26" s="76" t="s">
        <v>115</v>
      </c>
      <c r="D26" s="76"/>
      <c r="E26" s="76"/>
      <c r="F26" s="74"/>
      <c r="G26" s="270">
        <v>31050</v>
      </c>
      <c r="H26" s="270">
        <v>46575</v>
      </c>
      <c r="I26" s="335"/>
      <c r="J26" s="270">
        <f>G26</f>
        <v>31050</v>
      </c>
      <c r="K26" s="377"/>
      <c r="L26" s="394">
        <f t="shared" si="0"/>
        <v>0</v>
      </c>
      <c r="M26" s="485">
        <f>L26/J26</f>
        <v>0</v>
      </c>
      <c r="N26" s="552"/>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0.25" x14ac:dyDescent="0.2">
      <c r="A27" s="74"/>
      <c r="B27" s="409"/>
      <c r="C27" s="76"/>
      <c r="D27" s="74" t="s">
        <v>111</v>
      </c>
      <c r="E27" s="76"/>
      <c r="F27" s="74"/>
      <c r="G27" s="237">
        <f>SUM(G9:G26)</f>
        <v>924998.62999999977</v>
      </c>
      <c r="H27" s="237">
        <f>SUM(H9:H26)</f>
        <v>1464839.8100000003</v>
      </c>
      <c r="I27" s="235"/>
      <c r="J27" s="237">
        <f>SUM(J9:J26)</f>
        <v>977826.95000000019</v>
      </c>
      <c r="K27" s="377"/>
      <c r="L27" s="237">
        <f t="shared" si="0"/>
        <v>-52828.320000000414</v>
      </c>
      <c r="M27" s="457">
        <f>L27/J27</f>
        <v>-5.4026246668697771E-2</v>
      </c>
      <c r="N27" s="552"/>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1" thickBot="1" x14ac:dyDescent="0.25">
      <c r="A28" s="74"/>
      <c r="B28" s="409"/>
      <c r="C28" s="74" t="s">
        <v>112</v>
      </c>
      <c r="D28" s="76"/>
      <c r="E28" s="76"/>
      <c r="F28" s="74"/>
      <c r="G28" s="245">
        <v>58405.760000000002</v>
      </c>
      <c r="H28" s="245">
        <v>91220.14</v>
      </c>
      <c r="I28" s="235"/>
      <c r="J28" s="245">
        <v>60484.79</v>
      </c>
      <c r="K28" s="377"/>
      <c r="L28" s="245">
        <f t="shared" si="0"/>
        <v>-2079.0299999999988</v>
      </c>
      <c r="M28" s="485">
        <f>L28/J28</f>
        <v>-3.4372773717160937E-2</v>
      </c>
      <c r="N28" s="554"/>
      <c r="O28" s="69"/>
      <c r="P28" s="69"/>
      <c r="Q28" s="356"/>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20.25" x14ac:dyDescent="0.2">
      <c r="A29" s="74"/>
      <c r="B29" s="409"/>
      <c r="C29" s="76"/>
      <c r="D29" s="74" t="s">
        <v>113</v>
      </c>
      <c r="E29" s="76"/>
      <c r="F29" s="74"/>
      <c r="G29" s="237">
        <f>SUM(G27:G28)</f>
        <v>983404.38999999978</v>
      </c>
      <c r="H29" s="237">
        <f>SUM(H27:H28)</f>
        <v>1556059.9500000002</v>
      </c>
      <c r="I29" s="235"/>
      <c r="J29" s="237">
        <f>SUM(J27:J28)</f>
        <v>1038311.7400000002</v>
      </c>
      <c r="K29" s="267"/>
      <c r="L29" s="237">
        <f>SUM(L27:L28)</f>
        <v>-54907.350000000413</v>
      </c>
      <c r="M29" s="457">
        <f>L29/J29</f>
        <v>-5.2881372602028368E-2</v>
      </c>
      <c r="N29" s="554"/>
      <c r="O29" s="267"/>
      <c r="P29" s="69"/>
      <c r="Q29" s="356"/>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6" customHeight="1" x14ac:dyDescent="0.2">
      <c r="A30" s="74"/>
      <c r="B30" s="409"/>
      <c r="C30" s="76"/>
      <c r="D30" s="74"/>
      <c r="E30" s="76"/>
      <c r="F30" s="74"/>
      <c r="G30" s="237"/>
      <c r="H30" s="237"/>
      <c r="I30" s="235"/>
      <c r="J30" s="237"/>
      <c r="K30" s="377"/>
      <c r="L30" s="420"/>
      <c r="M30" s="537"/>
      <c r="N30" s="552"/>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75" customFormat="1" ht="21" thickBot="1" x14ac:dyDescent="0.25">
      <c r="A31" s="74"/>
      <c r="B31" s="410" t="s">
        <v>117</v>
      </c>
      <c r="C31" s="88"/>
      <c r="D31" s="88"/>
      <c r="E31" s="88"/>
      <c r="F31" s="88"/>
      <c r="G31" s="245"/>
      <c r="H31" s="245"/>
      <c r="I31" s="69"/>
      <c r="J31" s="356"/>
      <c r="K31" s="377"/>
      <c r="L31" s="420"/>
      <c r="M31" s="537"/>
      <c r="N31" s="554"/>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row>
    <row r="32" spans="1:46" s="69" customFormat="1" ht="20.25" x14ac:dyDescent="0.2">
      <c r="A32" s="68"/>
      <c r="B32" s="411"/>
      <c r="C32" s="80" t="s">
        <v>118</v>
      </c>
      <c r="D32" s="80"/>
      <c r="E32" s="80"/>
      <c r="F32" s="80"/>
      <c r="G32" s="235">
        <v>596489.81000000006</v>
      </c>
      <c r="H32" s="235">
        <v>891243.26</v>
      </c>
      <c r="I32" s="280"/>
      <c r="J32" s="416">
        <v>599979.66</v>
      </c>
      <c r="K32" s="377"/>
      <c r="L32" s="280">
        <f t="shared" ref="L32:L55" si="3">G32-J32</f>
        <v>-3489.8499999999767</v>
      </c>
      <c r="M32" s="457">
        <f t="shared" ref="M32:M43" si="4">L32/J32</f>
        <v>-5.8166138498761382E-3</v>
      </c>
      <c r="N32" s="554"/>
    </row>
    <row r="33" spans="1:16" s="69" customFormat="1" ht="20.25" x14ac:dyDescent="0.2">
      <c r="A33" s="68"/>
      <c r="B33" s="411"/>
      <c r="C33" s="80" t="s">
        <v>119</v>
      </c>
      <c r="D33" s="80"/>
      <c r="E33" s="80"/>
      <c r="F33" s="80"/>
      <c r="G33" s="235">
        <v>124545.47</v>
      </c>
      <c r="H33" s="235">
        <v>166570.20000000001</v>
      </c>
      <c r="I33" s="280"/>
      <c r="J33" s="416">
        <v>104522.93</v>
      </c>
      <c r="K33" s="377"/>
      <c r="L33" s="280">
        <f t="shared" si="3"/>
        <v>20022.540000000008</v>
      </c>
      <c r="M33" s="457">
        <f t="shared" si="4"/>
        <v>0.19156122010739662</v>
      </c>
      <c r="N33" s="554" t="s">
        <v>506</v>
      </c>
    </row>
    <row r="34" spans="1:16" s="69" customFormat="1" ht="20.25" x14ac:dyDescent="0.2">
      <c r="A34" s="68"/>
      <c r="B34" s="411"/>
      <c r="C34" s="80" t="s">
        <v>120</v>
      </c>
      <c r="D34" s="80"/>
      <c r="E34" s="80"/>
      <c r="F34" s="80"/>
      <c r="G34" s="235">
        <f>32250-G26</f>
        <v>1200</v>
      </c>
      <c r="H34" s="235">
        <f>48375-H26</f>
        <v>1800</v>
      </c>
      <c r="I34" s="280"/>
      <c r="J34" s="280">
        <f>32250-J35</f>
        <v>1200</v>
      </c>
      <c r="K34" s="377"/>
      <c r="L34" s="280">
        <f t="shared" si="3"/>
        <v>0</v>
      </c>
      <c r="M34" s="457">
        <f t="shared" si="4"/>
        <v>0</v>
      </c>
      <c r="N34" s="552"/>
    </row>
    <row r="35" spans="1:16" s="69" customFormat="1" ht="20.25" x14ac:dyDescent="0.2">
      <c r="A35" s="68"/>
      <c r="B35" s="411"/>
      <c r="C35" s="80" t="s">
        <v>110</v>
      </c>
      <c r="D35" s="80"/>
      <c r="E35" s="80"/>
      <c r="F35" s="80"/>
      <c r="G35" s="235">
        <f>G26</f>
        <v>31050</v>
      </c>
      <c r="H35" s="235">
        <f>H26</f>
        <v>46575</v>
      </c>
      <c r="I35" s="280"/>
      <c r="J35" s="280">
        <f>J26</f>
        <v>31050</v>
      </c>
      <c r="K35" s="377"/>
      <c r="L35" s="280">
        <f t="shared" si="3"/>
        <v>0</v>
      </c>
      <c r="M35" s="457">
        <f t="shared" si="4"/>
        <v>0</v>
      </c>
      <c r="N35" s="552"/>
    </row>
    <row r="36" spans="1:16" s="69" customFormat="1" ht="20.25" x14ac:dyDescent="0.2">
      <c r="A36" s="68"/>
      <c r="B36" s="411"/>
      <c r="C36" s="80" t="s">
        <v>121</v>
      </c>
      <c r="D36" s="80"/>
      <c r="E36" s="80"/>
      <c r="F36" s="80"/>
      <c r="G36" s="235">
        <v>10250.6</v>
      </c>
      <c r="H36" s="235">
        <v>15894.29</v>
      </c>
      <c r="I36" s="280"/>
      <c r="J36" s="280">
        <v>10551.62</v>
      </c>
      <c r="K36" s="377"/>
      <c r="L36" s="280">
        <f t="shared" si="3"/>
        <v>-301.02000000000044</v>
      </c>
      <c r="M36" s="457">
        <f t="shared" si="4"/>
        <v>-2.8528320769701753E-2</v>
      </c>
      <c r="N36" s="552"/>
    </row>
    <row r="37" spans="1:16" s="69" customFormat="1" ht="20.25" x14ac:dyDescent="0.2">
      <c r="A37" s="68"/>
      <c r="B37" s="411"/>
      <c r="C37" s="80" t="s">
        <v>122</v>
      </c>
      <c r="D37" s="80"/>
      <c r="E37" s="80"/>
      <c r="F37" s="80"/>
      <c r="G37" s="235">
        <v>1479.07</v>
      </c>
      <c r="H37" s="235">
        <v>2345.11</v>
      </c>
      <c r="I37" s="280"/>
      <c r="J37" s="280">
        <v>1760.11</v>
      </c>
      <c r="K37" s="377"/>
      <c r="L37" s="280">
        <f t="shared" si="3"/>
        <v>-281.03999999999996</v>
      </c>
      <c r="M37" s="457">
        <f t="shared" si="4"/>
        <v>-0.15967183869189994</v>
      </c>
      <c r="N37" s="552"/>
    </row>
    <row r="38" spans="1:16" s="69" customFormat="1" ht="20.25" x14ac:dyDescent="0.2">
      <c r="A38" s="68"/>
      <c r="B38" s="411"/>
      <c r="C38" s="80" t="s">
        <v>123</v>
      </c>
      <c r="D38" s="80"/>
      <c r="E38" s="80"/>
      <c r="F38" s="80"/>
      <c r="G38" s="235">
        <v>1933.26</v>
      </c>
      <c r="H38" s="235">
        <v>4227.7299999999996</v>
      </c>
      <c r="I38" s="280"/>
      <c r="J38" s="280">
        <v>3395.17</v>
      </c>
      <c r="K38" s="377"/>
      <c r="L38" s="280">
        <f t="shared" si="3"/>
        <v>-1461.91</v>
      </c>
      <c r="M38" s="457">
        <f t="shared" si="4"/>
        <v>-0.43058521370063946</v>
      </c>
      <c r="N38" s="552"/>
    </row>
    <row r="39" spans="1:16" s="69" customFormat="1" ht="20.25" x14ac:dyDescent="0.2">
      <c r="A39" s="68"/>
      <c r="B39" s="411"/>
      <c r="C39" s="80" t="s">
        <v>124</v>
      </c>
      <c r="D39" s="80"/>
      <c r="E39" s="80"/>
      <c r="F39" s="80"/>
      <c r="G39" s="235">
        <v>4663.2</v>
      </c>
      <c r="H39" s="235">
        <v>9338.58</v>
      </c>
      <c r="I39" s="280"/>
      <c r="J39" s="280">
        <v>7630.19</v>
      </c>
      <c r="K39" s="377"/>
      <c r="L39" s="280">
        <f t="shared" si="3"/>
        <v>-2966.99</v>
      </c>
      <c r="M39" s="457">
        <f t="shared" si="4"/>
        <v>-0.38884877047622668</v>
      </c>
      <c r="N39" s="552" t="s">
        <v>507</v>
      </c>
    </row>
    <row r="40" spans="1:16" s="69" customFormat="1" ht="20.25" x14ac:dyDescent="0.2">
      <c r="A40" s="68"/>
      <c r="B40" s="411"/>
      <c r="C40" s="80" t="s">
        <v>125</v>
      </c>
      <c r="D40" s="80"/>
      <c r="E40" s="80"/>
      <c r="F40" s="80"/>
      <c r="G40" s="235">
        <f>18176.8+6128.53</f>
        <v>24305.329999999998</v>
      </c>
      <c r="H40" s="235">
        <f>24380.78+15438.57</f>
        <v>39819.35</v>
      </c>
      <c r="I40" s="280"/>
      <c r="J40" s="280">
        <f>15971.48+9449.76</f>
        <v>25421.239999999998</v>
      </c>
      <c r="K40" s="377"/>
      <c r="L40" s="280">
        <f t="shared" si="3"/>
        <v>-1115.9099999999999</v>
      </c>
      <c r="M40" s="457">
        <f t="shared" si="4"/>
        <v>-4.3896757199884819E-2</v>
      </c>
      <c r="N40" s="552"/>
    </row>
    <row r="41" spans="1:16" s="69" customFormat="1" ht="20.25" x14ac:dyDescent="0.2">
      <c r="A41" s="68"/>
      <c r="B41" s="411"/>
      <c r="C41" s="80" t="s">
        <v>126</v>
      </c>
      <c r="D41" s="80"/>
      <c r="E41" s="80"/>
      <c r="F41" s="80"/>
      <c r="G41" s="235">
        <v>2836.55</v>
      </c>
      <c r="H41" s="235">
        <v>4148.79</v>
      </c>
      <c r="I41" s="280"/>
      <c r="J41" s="280">
        <v>2983.22</v>
      </c>
      <c r="K41" s="377"/>
      <c r="L41" s="280">
        <f t="shared" si="3"/>
        <v>-146.66999999999962</v>
      </c>
      <c r="M41" s="457">
        <f t="shared" si="4"/>
        <v>-4.9164996212146483E-2</v>
      </c>
      <c r="N41" s="552"/>
    </row>
    <row r="42" spans="1:16" s="69" customFormat="1" ht="20.25" x14ac:dyDescent="0.2">
      <c r="A42" s="68"/>
      <c r="B42" s="411"/>
      <c r="C42" s="80" t="s">
        <v>127</v>
      </c>
      <c r="D42" s="80"/>
      <c r="E42" s="80"/>
      <c r="F42" s="80"/>
      <c r="G42" s="235">
        <v>606.5</v>
      </c>
      <c r="H42" s="235">
        <v>1685</v>
      </c>
      <c r="I42" s="280"/>
      <c r="J42" s="280">
        <v>1205</v>
      </c>
      <c r="K42" s="377"/>
      <c r="L42" s="280">
        <f t="shared" si="3"/>
        <v>-598.5</v>
      </c>
      <c r="M42" s="457">
        <f t="shared" si="4"/>
        <v>-0.49668049792531122</v>
      </c>
      <c r="N42" s="552"/>
    </row>
    <row r="43" spans="1:16" s="69" customFormat="1" ht="20.25" x14ac:dyDescent="0.2">
      <c r="A43" s="68"/>
      <c r="B43" s="411"/>
      <c r="C43" s="80" t="s">
        <v>176</v>
      </c>
      <c r="D43" s="80"/>
      <c r="E43" s="80"/>
      <c r="F43" s="80"/>
      <c r="G43" s="235">
        <v>8625</v>
      </c>
      <c r="H43" s="235">
        <v>14944</v>
      </c>
      <c r="I43" s="280"/>
      <c r="J43" s="280">
        <v>11444</v>
      </c>
      <c r="K43" s="377"/>
      <c r="L43" s="280">
        <f t="shared" si="3"/>
        <v>-2819</v>
      </c>
      <c r="M43" s="457">
        <f t="shared" si="4"/>
        <v>-0.24632995456134218</v>
      </c>
      <c r="N43" s="552"/>
    </row>
    <row r="44" spans="1:16" s="69" customFormat="1" ht="20.25" x14ac:dyDescent="0.2">
      <c r="A44" s="68"/>
      <c r="B44" s="411"/>
      <c r="C44" s="842" t="s">
        <v>360</v>
      </c>
      <c r="D44" s="842"/>
      <c r="E44" s="842"/>
      <c r="F44" s="842"/>
      <c r="G44" s="235">
        <v>201</v>
      </c>
      <c r="H44" s="235">
        <v>1100</v>
      </c>
      <c r="I44" s="280"/>
      <c r="J44" s="280">
        <v>0</v>
      </c>
      <c r="K44" s="377"/>
      <c r="L44" s="280">
        <f t="shared" si="3"/>
        <v>201</v>
      </c>
      <c r="M44" s="457">
        <v>1</v>
      </c>
      <c r="N44" s="552" t="s">
        <v>408</v>
      </c>
    </row>
    <row r="45" spans="1:16" s="77" customFormat="1" ht="20.25" x14ac:dyDescent="0.2">
      <c r="A45" s="80"/>
      <c r="B45" s="407"/>
      <c r="C45" s="80" t="s">
        <v>128</v>
      </c>
      <c r="D45" s="80"/>
      <c r="E45" s="80"/>
      <c r="F45" s="80"/>
      <c r="G45" s="335">
        <v>10006.030000000001</v>
      </c>
      <c r="H45" s="335">
        <v>14050.28</v>
      </c>
      <c r="I45" s="417"/>
      <c r="J45" s="417">
        <v>10997.47</v>
      </c>
      <c r="K45" s="379"/>
      <c r="L45" s="280">
        <f t="shared" si="3"/>
        <v>-991.43999999999869</v>
      </c>
      <c r="M45" s="457">
        <f>L45/J45</f>
        <v>-9.0151643969021852E-2</v>
      </c>
      <c r="N45" s="552"/>
    </row>
    <row r="46" spans="1:16" s="77" customFormat="1" ht="20.25" x14ac:dyDescent="0.2">
      <c r="A46" s="80"/>
      <c r="B46" s="407"/>
      <c r="C46" s="80" t="s">
        <v>129</v>
      </c>
      <c r="D46" s="80"/>
      <c r="E46" s="80"/>
      <c r="F46" s="80"/>
      <c r="G46" s="235">
        <v>7280.37</v>
      </c>
      <c r="H46" s="235">
        <v>14224.05</v>
      </c>
      <c r="I46" s="235"/>
      <c r="J46" s="335">
        <v>9448.73</v>
      </c>
      <c r="K46" s="379"/>
      <c r="L46" s="280">
        <f t="shared" si="3"/>
        <v>-2168.3599999999997</v>
      </c>
      <c r="M46" s="457">
        <f>L46/J46</f>
        <v>-0.22948692575615981</v>
      </c>
      <c r="N46" s="552"/>
    </row>
    <row r="47" spans="1:16" s="77" customFormat="1" ht="20.25" x14ac:dyDescent="0.2">
      <c r="A47" s="80"/>
      <c r="B47" s="407"/>
      <c r="C47" s="80" t="s">
        <v>136</v>
      </c>
      <c r="D47" s="80"/>
      <c r="E47" s="80"/>
      <c r="F47" s="80"/>
      <c r="G47" s="235">
        <f>20+34</f>
        <v>54</v>
      </c>
      <c r="H47" s="235">
        <f>2769+495.99</f>
        <v>3264.99</v>
      </c>
      <c r="I47" s="235"/>
      <c r="J47" s="335">
        <f>195+190</f>
        <v>385</v>
      </c>
      <c r="K47" s="379"/>
      <c r="L47" s="280">
        <f t="shared" si="3"/>
        <v>-331</v>
      </c>
      <c r="M47" s="457"/>
      <c r="N47" s="555"/>
      <c r="P47" s="251"/>
    </row>
    <row r="48" spans="1:16" s="77" customFormat="1" ht="20.25" x14ac:dyDescent="0.2">
      <c r="A48" s="80"/>
      <c r="B48" s="407"/>
      <c r="C48" s="80" t="s">
        <v>130</v>
      </c>
      <c r="D48" s="80"/>
      <c r="E48" s="80"/>
      <c r="F48" s="80"/>
      <c r="G48" s="335">
        <f>1610+5454.62</f>
        <v>7064.62</v>
      </c>
      <c r="H48" s="335">
        <f>2210+14879.75</f>
        <v>17089.75</v>
      </c>
      <c r="I48" s="235"/>
      <c r="J48" s="235">
        <f>2210+12717.84</f>
        <v>14927.84</v>
      </c>
      <c r="K48" s="379"/>
      <c r="L48" s="280">
        <f t="shared" si="3"/>
        <v>-7863.22</v>
      </c>
      <c r="M48" s="457">
        <f t="shared" ref="M48:M54" si="5">L48/J48</f>
        <v>-0.52674867897833844</v>
      </c>
      <c r="N48" s="552" t="s">
        <v>451</v>
      </c>
      <c r="P48" s="251"/>
    </row>
    <row r="49" spans="1:18" s="69" customFormat="1" ht="20.25" x14ac:dyDescent="0.2">
      <c r="A49" s="68"/>
      <c r="B49" s="411"/>
      <c r="C49" s="80" t="s">
        <v>212</v>
      </c>
      <c r="D49" s="80"/>
      <c r="E49" s="80"/>
      <c r="F49" s="80"/>
      <c r="G49" s="235">
        <v>9950.41</v>
      </c>
      <c r="H49" s="235">
        <v>15509.31</v>
      </c>
      <c r="I49" s="235"/>
      <c r="J49" s="235">
        <v>11683.25</v>
      </c>
      <c r="K49" s="377"/>
      <c r="L49" s="280">
        <f t="shared" si="3"/>
        <v>-1732.8400000000001</v>
      </c>
      <c r="M49" s="457">
        <f t="shared" si="5"/>
        <v>-0.14831831896090558</v>
      </c>
      <c r="N49" s="552"/>
    </row>
    <row r="50" spans="1:18" s="77" customFormat="1" ht="20.25" x14ac:dyDescent="0.2">
      <c r="A50" s="80"/>
      <c r="B50" s="407"/>
      <c r="C50" s="80" t="s">
        <v>131</v>
      </c>
      <c r="D50" s="80"/>
      <c r="E50" s="80"/>
      <c r="F50" s="80"/>
      <c r="G50" s="335">
        <v>22597.52</v>
      </c>
      <c r="H50" s="335">
        <v>37992</v>
      </c>
      <c r="I50" s="235"/>
      <c r="J50" s="235">
        <v>24769</v>
      </c>
      <c r="K50" s="379"/>
      <c r="L50" s="280">
        <f t="shared" si="3"/>
        <v>-2171.4799999999996</v>
      </c>
      <c r="M50" s="457">
        <f t="shared" si="5"/>
        <v>-8.7669263999354013E-2</v>
      </c>
      <c r="N50" s="552"/>
    </row>
    <row r="51" spans="1:18" s="77" customFormat="1" ht="20.25" x14ac:dyDescent="0.2">
      <c r="A51" s="80"/>
      <c r="B51" s="407"/>
      <c r="C51" s="80" t="s">
        <v>132</v>
      </c>
      <c r="D51" s="80"/>
      <c r="E51" s="80"/>
      <c r="F51" s="80"/>
      <c r="G51" s="335">
        <f>14000+2845</f>
        <v>16845</v>
      </c>
      <c r="H51" s="335">
        <f>19870+4075+6282.5</f>
        <v>30227.5</v>
      </c>
      <c r="I51" s="235"/>
      <c r="J51" s="235">
        <f>9000+2725+2380</f>
        <v>14105</v>
      </c>
      <c r="K51" s="379"/>
      <c r="L51" s="280">
        <f t="shared" si="3"/>
        <v>2740</v>
      </c>
      <c r="M51" s="457">
        <f t="shared" si="5"/>
        <v>0.19425735554767812</v>
      </c>
      <c r="N51" s="753" t="s">
        <v>407</v>
      </c>
    </row>
    <row r="52" spans="1:18" s="77" customFormat="1" ht="20.25" x14ac:dyDescent="0.2">
      <c r="A52" s="80"/>
      <c r="B52" s="407"/>
      <c r="C52" s="80" t="s">
        <v>177</v>
      </c>
      <c r="D52" s="80"/>
      <c r="E52" s="80"/>
      <c r="F52" s="80"/>
      <c r="G52" s="235">
        <v>0</v>
      </c>
      <c r="H52" s="235">
        <v>15857.57</v>
      </c>
      <c r="I52" s="235"/>
      <c r="J52" s="235">
        <v>15543.96</v>
      </c>
      <c r="K52" s="379"/>
      <c r="L52" s="280">
        <f t="shared" si="3"/>
        <v>-15543.96</v>
      </c>
      <c r="M52" s="457">
        <f t="shared" si="5"/>
        <v>-1</v>
      </c>
      <c r="N52" s="753" t="s">
        <v>389</v>
      </c>
    </row>
    <row r="53" spans="1:18" s="77" customFormat="1" ht="20.25" x14ac:dyDescent="0.2">
      <c r="A53" s="80"/>
      <c r="B53" s="407"/>
      <c r="C53" s="80" t="s">
        <v>175</v>
      </c>
      <c r="D53" s="80"/>
      <c r="E53" s="80"/>
      <c r="F53" s="80"/>
      <c r="G53" s="235">
        <v>40115.269999999997</v>
      </c>
      <c r="H53" s="235">
        <v>55522.01</v>
      </c>
      <c r="I53" s="235"/>
      <c r="J53" s="235">
        <v>36110.379999999997</v>
      </c>
      <c r="K53" s="379"/>
      <c r="L53" s="280">
        <f t="shared" si="3"/>
        <v>4004.8899999999994</v>
      </c>
      <c r="M53" s="457">
        <f t="shared" si="5"/>
        <v>0.11090689159183591</v>
      </c>
      <c r="N53" s="753" t="s">
        <v>452</v>
      </c>
    </row>
    <row r="54" spans="1:18" s="77" customFormat="1" ht="20.25" x14ac:dyDescent="0.2">
      <c r="A54" s="80"/>
      <c r="B54" s="407"/>
      <c r="C54" s="80" t="s">
        <v>133</v>
      </c>
      <c r="D54" s="80"/>
      <c r="E54" s="80"/>
      <c r="F54" s="80"/>
      <c r="G54" s="235">
        <f>77812+1489.3</f>
        <v>79301.3</v>
      </c>
      <c r="H54" s="235">
        <f>1929.47+127221.37</f>
        <v>129150.84</v>
      </c>
      <c r="I54" s="235"/>
      <c r="J54" s="235">
        <f>440+109611.37</f>
        <v>110051.37</v>
      </c>
      <c r="K54" s="379"/>
      <c r="L54" s="280">
        <f t="shared" si="3"/>
        <v>-30750.069999999992</v>
      </c>
      <c r="M54" s="457">
        <f t="shared" si="5"/>
        <v>-0.27941560382210595</v>
      </c>
      <c r="N54" s="753" t="s">
        <v>453</v>
      </c>
    </row>
    <row r="55" spans="1:18" s="77" customFormat="1" ht="21" thickBot="1" x14ac:dyDescent="0.25">
      <c r="A55" s="80"/>
      <c r="B55" s="407"/>
      <c r="C55" s="80" t="s">
        <v>336</v>
      </c>
      <c r="D55" s="80"/>
      <c r="E55" s="80"/>
      <c r="F55" s="80"/>
      <c r="G55" s="245"/>
      <c r="H55" s="245">
        <v>100</v>
      </c>
      <c r="I55" s="235"/>
      <c r="J55" s="245">
        <v>100</v>
      </c>
      <c r="K55" s="737"/>
      <c r="L55" s="394">
        <f t="shared" si="3"/>
        <v>-100</v>
      </c>
      <c r="M55" s="485"/>
      <c r="N55" s="552"/>
    </row>
    <row r="56" spans="1:18" s="77" customFormat="1" ht="21" hidden="1" thickBot="1" x14ac:dyDescent="0.25">
      <c r="A56" s="80"/>
      <c r="B56" s="407"/>
      <c r="C56" s="80"/>
      <c r="D56" s="80"/>
      <c r="E56" s="80"/>
      <c r="F56" s="80"/>
      <c r="G56" s="245"/>
      <c r="H56" s="245"/>
      <c r="I56" s="235"/>
      <c r="J56" s="245"/>
      <c r="K56" s="379"/>
      <c r="L56" s="394"/>
      <c r="M56" s="485"/>
      <c r="N56" s="552"/>
    </row>
    <row r="57" spans="1:18" s="69" customFormat="1" ht="20.25" x14ac:dyDescent="0.2">
      <c r="A57" s="68"/>
      <c r="B57" s="411"/>
      <c r="C57" s="68"/>
      <c r="D57" s="74" t="s">
        <v>134</v>
      </c>
      <c r="E57" s="68"/>
      <c r="F57" s="68"/>
      <c r="G57" s="240">
        <f>SUM(G32:G55)</f>
        <v>1001400.31</v>
      </c>
      <c r="H57" s="240">
        <f>SUM(H32:H55)</f>
        <v>1532679.6100000006</v>
      </c>
      <c r="I57" s="235"/>
      <c r="J57" s="240">
        <f>SUM(J32:J55)</f>
        <v>1049265.1399999999</v>
      </c>
      <c r="K57" s="377"/>
      <c r="L57" s="237">
        <f>SUM(L32:L55)</f>
        <v>-47864.829999999958</v>
      </c>
      <c r="M57" s="457">
        <f>L57/J57</f>
        <v>-4.5617478533595393E-2</v>
      </c>
      <c r="N57" s="556"/>
    </row>
    <row r="58" spans="1:18" s="69" customFormat="1" ht="10.5" customHeight="1" thickBot="1" x14ac:dyDescent="0.25">
      <c r="A58" s="68"/>
      <c r="B58" s="411"/>
      <c r="C58" s="68"/>
      <c r="D58" s="74"/>
      <c r="E58" s="68"/>
      <c r="F58" s="68"/>
      <c r="G58" s="245"/>
      <c r="H58" s="245"/>
      <c r="I58" s="235"/>
      <c r="J58" s="245"/>
      <c r="K58" s="377"/>
      <c r="L58" s="422"/>
      <c r="M58" s="538"/>
      <c r="N58" s="556"/>
    </row>
    <row r="59" spans="1:18" s="69" customFormat="1" ht="21" thickBot="1" x14ac:dyDescent="0.25">
      <c r="A59" s="68"/>
      <c r="B59" s="411"/>
      <c r="C59" s="68"/>
      <c r="D59" s="68" t="s">
        <v>135</v>
      </c>
      <c r="E59" s="68"/>
      <c r="F59" s="68"/>
      <c r="G59" s="245">
        <f>G29-G57</f>
        <v>-17995.920000000275</v>
      </c>
      <c r="H59" s="245">
        <f>H29-H57</f>
        <v>23380.339999999618</v>
      </c>
      <c r="I59" s="235"/>
      <c r="J59" s="245">
        <f>J29-J57</f>
        <v>-10953.399999999674</v>
      </c>
      <c r="K59" s="377"/>
      <c r="L59" s="245">
        <f>L29-L57</f>
        <v>-7042.5200000004552</v>
      </c>
      <c r="M59" s="532">
        <f>L59/J59</f>
        <v>0.64295287308056537</v>
      </c>
      <c r="N59" s="556"/>
    </row>
    <row r="60" spans="1:18" s="69" customFormat="1" ht="11.25" customHeight="1" x14ac:dyDescent="0.2">
      <c r="A60" s="68"/>
      <c r="B60" s="411"/>
      <c r="C60" s="68"/>
      <c r="D60" s="68"/>
      <c r="E60" s="68"/>
      <c r="F60" s="68"/>
      <c r="G60" s="235"/>
      <c r="H60" s="235"/>
      <c r="I60" s="235"/>
      <c r="J60" s="235"/>
      <c r="K60" s="377"/>
      <c r="L60" s="420"/>
      <c r="M60" s="537"/>
      <c r="N60" s="552"/>
    </row>
    <row r="61" spans="1:18" s="77" customFormat="1" ht="21" thickBot="1" x14ac:dyDescent="0.25">
      <c r="A61" s="80"/>
      <c r="B61" s="410" t="s">
        <v>388</v>
      </c>
      <c r="C61" s="88"/>
      <c r="D61" s="88"/>
      <c r="E61" s="88"/>
      <c r="F61" s="88"/>
      <c r="G61" s="736"/>
      <c r="H61" s="245"/>
      <c r="I61" s="235"/>
      <c r="J61" s="235"/>
      <c r="K61" s="379"/>
      <c r="L61" s="420"/>
      <c r="M61" s="537"/>
      <c r="N61" s="552"/>
    </row>
    <row r="62" spans="1:18" s="77" customFormat="1" ht="20.25" x14ac:dyDescent="0.2">
      <c r="A62" s="80"/>
      <c r="B62" s="411"/>
      <c r="C62" s="68"/>
      <c r="D62" s="68" t="s">
        <v>148</v>
      </c>
      <c r="E62" s="68"/>
      <c r="F62" s="68"/>
      <c r="G62" s="235"/>
      <c r="H62" s="235"/>
      <c r="I62" s="235"/>
      <c r="J62" s="235"/>
      <c r="K62" s="379"/>
      <c r="L62" s="420"/>
      <c r="M62" s="537"/>
      <c r="N62" s="552"/>
    </row>
    <row r="63" spans="1:18" s="77" customFormat="1" ht="20.25" x14ac:dyDescent="0.2">
      <c r="A63" s="80"/>
      <c r="B63" s="411"/>
      <c r="C63" s="68"/>
      <c r="D63" s="68"/>
      <c r="E63" s="80" t="s">
        <v>149</v>
      </c>
      <c r="F63" s="68"/>
      <c r="G63" s="235">
        <v>51000</v>
      </c>
      <c r="H63" s="235">
        <v>50000</v>
      </c>
      <c r="I63" s="235"/>
      <c r="J63" s="235">
        <v>50000</v>
      </c>
      <c r="K63" s="379"/>
      <c r="L63" s="280">
        <f>G63-J63</f>
        <v>1000</v>
      </c>
      <c r="M63" s="457">
        <f>L63/J63</f>
        <v>0.02</v>
      </c>
      <c r="N63" s="552"/>
      <c r="R63" s="251"/>
    </row>
    <row r="64" spans="1:18" s="77" customFormat="1" ht="20.25" x14ac:dyDescent="0.2">
      <c r="A64" s="80"/>
      <c r="B64" s="411"/>
      <c r="C64" s="68"/>
      <c r="D64" s="68"/>
      <c r="E64" s="80" t="s">
        <v>179</v>
      </c>
      <c r="F64" s="68"/>
      <c r="G64" s="235">
        <v>19000</v>
      </c>
      <c r="H64" s="235">
        <v>19000</v>
      </c>
      <c r="I64" s="235"/>
      <c r="J64" s="235">
        <f>G64</f>
        <v>19000</v>
      </c>
      <c r="K64" s="379"/>
      <c r="L64" s="280">
        <f>G64-J64</f>
        <v>0</v>
      </c>
      <c r="M64" s="457">
        <f>L64/J64</f>
        <v>0</v>
      </c>
      <c r="N64" s="552"/>
    </row>
    <row r="65" spans="1:14" s="77" customFormat="1" ht="20.25" x14ac:dyDescent="0.2">
      <c r="A65" s="80"/>
      <c r="B65" s="411"/>
      <c r="C65" s="68"/>
      <c r="D65" s="68"/>
      <c r="E65" s="80" t="s">
        <v>147</v>
      </c>
      <c r="F65" s="68"/>
      <c r="G65" s="238">
        <f>'August''19 Revenues &amp; Expenses'!H54+'August''19 Revenues &amp; Expenses'!H55+'August''19 Revenues &amp; Expenses'!H53+'August''19 Revenues &amp; Expenses'!H56</f>
        <v>8750</v>
      </c>
      <c r="H65" s="238">
        <f>84365-H63-H64</f>
        <v>15365</v>
      </c>
      <c r="I65" s="238"/>
      <c r="J65" s="238">
        <f>5250+2335</f>
        <v>7585</v>
      </c>
      <c r="K65" s="665"/>
      <c r="L65" s="666">
        <f>G65-J65</f>
        <v>1165</v>
      </c>
      <c r="M65" s="535">
        <f>L65/J65</f>
        <v>0.15359261700725116</v>
      </c>
      <c r="N65" s="552"/>
    </row>
    <row r="66" spans="1:14" s="77" customFormat="1" ht="21" thickBot="1" x14ac:dyDescent="0.25">
      <c r="A66" s="80"/>
      <c r="B66" s="411"/>
      <c r="C66" s="68"/>
      <c r="D66" s="68" t="s">
        <v>112</v>
      </c>
      <c r="E66" s="68"/>
      <c r="F66" s="68"/>
      <c r="G66" s="245">
        <f>-G28</f>
        <v>-58405.760000000002</v>
      </c>
      <c r="H66" s="245">
        <f>-H28</f>
        <v>-91220.14</v>
      </c>
      <c r="I66" s="235"/>
      <c r="J66" s="245">
        <f>-J28</f>
        <v>-60484.79</v>
      </c>
      <c r="K66" s="379"/>
      <c r="L66" s="394">
        <f>G66-J66</f>
        <v>2079.0299999999988</v>
      </c>
      <c r="M66" s="485">
        <f>L66/J66</f>
        <v>-3.4372773717160937E-2</v>
      </c>
      <c r="N66" s="552"/>
    </row>
    <row r="67" spans="1:14" s="77" customFormat="1" ht="21" thickBot="1" x14ac:dyDescent="0.25">
      <c r="A67" s="80"/>
      <c r="B67" s="411"/>
      <c r="C67" s="68"/>
      <c r="D67" s="68"/>
      <c r="E67" s="68" t="s">
        <v>387</v>
      </c>
      <c r="F67" s="68"/>
      <c r="G67" s="245">
        <f>SUM(G62:G66)</f>
        <v>20344.239999999998</v>
      </c>
      <c r="H67" s="245">
        <f>SUM(H62:H66)</f>
        <v>-6855.1399999999994</v>
      </c>
      <c r="I67" s="235"/>
      <c r="J67" s="245">
        <f>SUM(J62:J66)</f>
        <v>16100.21</v>
      </c>
      <c r="K67" s="379"/>
      <c r="L67" s="245">
        <f>SUM(L63:L66)</f>
        <v>4244.0299999999988</v>
      </c>
      <c r="M67" s="485">
        <f>L67/J67</f>
        <v>0.26360090955335358</v>
      </c>
      <c r="N67" s="552"/>
    </row>
    <row r="68" spans="1:14" s="69" customFormat="1" ht="7.5" customHeight="1" x14ac:dyDescent="0.2">
      <c r="A68" s="68"/>
      <c r="B68" s="411"/>
      <c r="C68" s="68"/>
      <c r="D68" s="68"/>
      <c r="E68" s="68"/>
      <c r="F68" s="68"/>
      <c r="G68" s="278"/>
      <c r="H68" s="278"/>
      <c r="I68" s="278"/>
      <c r="J68" s="278"/>
      <c r="K68" s="377"/>
      <c r="L68" s="420"/>
      <c r="M68" s="420"/>
      <c r="N68" s="552"/>
    </row>
    <row r="69" spans="1:14" s="69" customFormat="1" ht="20.25" x14ac:dyDescent="0.2">
      <c r="A69" s="68"/>
      <c r="B69" s="411"/>
      <c r="C69" s="68"/>
      <c r="D69" s="68"/>
      <c r="E69" s="68" t="s">
        <v>92</v>
      </c>
      <c r="F69" s="68"/>
      <c r="G69" s="240">
        <f>G59+G67</f>
        <v>2348.3199999997232</v>
      </c>
      <c r="H69" s="240">
        <f>H59+H67</f>
        <v>16525.199999999619</v>
      </c>
      <c r="I69" s="240"/>
      <c r="J69" s="240">
        <f>J59+J67</f>
        <v>5146.8100000003251</v>
      </c>
      <c r="K69" s="377"/>
      <c r="L69" s="240">
        <f>L59+L67</f>
        <v>-2798.4900000004563</v>
      </c>
      <c r="M69" s="240"/>
      <c r="N69" s="552"/>
    </row>
    <row r="70" spans="1:14" s="69" customFormat="1" ht="8.25" customHeight="1" x14ac:dyDescent="0.2">
      <c r="A70" s="68"/>
      <c r="B70" s="411"/>
      <c r="C70" s="68"/>
      <c r="D70" s="68"/>
      <c r="E70" s="68"/>
      <c r="F70" s="68"/>
      <c r="G70" s="235"/>
      <c r="H70" s="235"/>
      <c r="I70" s="235"/>
      <c r="J70" s="235"/>
      <c r="K70" s="377"/>
      <c r="L70" s="420"/>
      <c r="M70" s="420"/>
      <c r="N70" s="552"/>
    </row>
    <row r="71" spans="1:14" s="83" customFormat="1" ht="26.25" x14ac:dyDescent="0.2">
      <c r="A71" s="273"/>
      <c r="B71" s="412"/>
      <c r="C71" s="68"/>
      <c r="D71" s="68" t="s">
        <v>151</v>
      </c>
      <c r="E71" s="68"/>
      <c r="F71" s="68"/>
      <c r="G71" s="240">
        <f>H72</f>
        <v>686173.26999999955</v>
      </c>
      <c r="H71" s="240">
        <v>669648.06999999995</v>
      </c>
      <c r="I71" s="240"/>
      <c r="J71" s="240">
        <f>H71</f>
        <v>669648.06999999995</v>
      </c>
      <c r="K71" s="380"/>
      <c r="L71" s="421"/>
      <c r="M71" s="421"/>
      <c r="N71" s="557"/>
    </row>
    <row r="72" spans="1:14" s="85" customFormat="1" ht="21" thickBot="1" x14ac:dyDescent="0.25">
      <c r="A72" s="68"/>
      <c r="B72" s="411"/>
      <c r="C72" s="68"/>
      <c r="E72" s="68" t="s">
        <v>150</v>
      </c>
      <c r="F72" s="68"/>
      <c r="G72" s="334">
        <f>G69+G71</f>
        <v>688521.58999999927</v>
      </c>
      <c r="H72" s="334">
        <f>H69+H71</f>
        <v>686173.26999999955</v>
      </c>
      <c r="I72" s="278"/>
      <c r="J72" s="334">
        <f>J69+J71</f>
        <v>674794.88000000024</v>
      </c>
      <c r="K72" s="381"/>
      <c r="L72" s="278"/>
      <c r="M72" s="421"/>
      <c r="N72" s="557"/>
    </row>
    <row r="73" spans="1:14" s="66" customFormat="1" ht="6.75" customHeight="1" thickTop="1" x14ac:dyDescent="0.2">
      <c r="A73" s="273"/>
      <c r="B73" s="412"/>
      <c r="C73" s="68"/>
      <c r="D73" s="273"/>
      <c r="E73" s="273"/>
      <c r="F73" s="273"/>
      <c r="G73" s="275"/>
      <c r="H73" s="235"/>
      <c r="I73" s="235"/>
      <c r="J73" s="235"/>
      <c r="K73" s="376"/>
      <c r="L73" s="420"/>
      <c r="M73" s="420"/>
      <c r="N73" s="552"/>
    </row>
    <row r="74" spans="1:14" s="69" customFormat="1" ht="16.5" customHeight="1" x14ac:dyDescent="0.2">
      <c r="A74" s="68"/>
      <c r="B74" s="411"/>
      <c r="D74" s="357"/>
      <c r="E74" s="68"/>
      <c r="G74" s="235"/>
      <c r="H74" s="235"/>
      <c r="I74" s="235"/>
      <c r="J74" s="235"/>
      <c r="K74" s="377"/>
      <c r="L74" s="420"/>
      <c r="M74" s="420"/>
      <c r="N74" s="552"/>
    </row>
    <row r="75" spans="1:14" s="69" customFormat="1" ht="23.25" x14ac:dyDescent="0.2">
      <c r="A75" s="68"/>
      <c r="B75" s="413"/>
      <c r="C75" s="68"/>
      <c r="D75" s="68"/>
      <c r="E75" s="68"/>
      <c r="F75" s="68"/>
      <c r="G75" s="235"/>
      <c r="H75" s="235"/>
      <c r="I75" s="235"/>
      <c r="J75" s="235"/>
      <c r="K75" s="377"/>
      <c r="L75" s="420"/>
      <c r="M75" s="420"/>
      <c r="N75" s="552"/>
    </row>
    <row r="76" spans="1:14" s="69" customFormat="1" ht="20.25" x14ac:dyDescent="0.2">
      <c r="A76" s="68"/>
      <c r="B76" s="411"/>
      <c r="C76" s="68"/>
      <c r="D76" s="68"/>
      <c r="E76" s="68"/>
      <c r="F76" s="68"/>
      <c r="G76" s="235"/>
      <c r="H76" s="235">
        <f>H72-'August''19 Financial Position'!J62</f>
        <v>0</v>
      </c>
      <c r="I76" s="235"/>
      <c r="J76" s="235">
        <f>J72-'August''19 Financial Position'!L62</f>
        <v>0</v>
      </c>
      <c r="K76" s="377"/>
      <c r="L76" s="420"/>
      <c r="M76" s="420"/>
      <c r="N76" s="552"/>
    </row>
    <row r="77" spans="1:14" s="77" customFormat="1" ht="20.25" x14ac:dyDescent="0.2">
      <c r="A77" s="80"/>
      <c r="B77" s="407"/>
      <c r="C77" s="80"/>
      <c r="D77" s="80"/>
      <c r="F77" s="80"/>
      <c r="G77" s="250"/>
      <c r="H77" s="235"/>
      <c r="I77" s="235"/>
      <c r="J77" s="235"/>
      <c r="K77" s="379"/>
      <c r="L77" s="420"/>
      <c r="M77" s="420"/>
      <c r="N77" s="552"/>
    </row>
    <row r="78" spans="1:14" s="77" customFormat="1" ht="20.25" x14ac:dyDescent="0.2">
      <c r="A78" s="80"/>
      <c r="B78" s="407"/>
      <c r="C78" s="80"/>
      <c r="D78" s="80"/>
      <c r="F78" s="80"/>
      <c r="G78" s="235"/>
      <c r="H78" s="235"/>
      <c r="I78" s="235"/>
      <c r="J78" s="235"/>
      <c r="K78" s="379"/>
      <c r="L78" s="420"/>
      <c r="M78" s="420"/>
      <c r="N78" s="552"/>
    </row>
    <row r="79" spans="1:14" s="77" customFormat="1" ht="20.25" x14ac:dyDescent="0.2">
      <c r="A79" s="80"/>
      <c r="B79" s="407"/>
      <c r="C79" s="80"/>
      <c r="D79" s="80"/>
      <c r="F79" s="80"/>
      <c r="G79" s="235"/>
      <c r="H79" s="235"/>
      <c r="I79" s="235"/>
      <c r="J79" s="235"/>
      <c r="K79" s="379"/>
      <c r="L79" s="420"/>
      <c r="M79" s="420"/>
      <c r="N79" s="552"/>
    </row>
    <row r="80" spans="1:14" s="77" customFormat="1" ht="20.25" x14ac:dyDescent="0.2">
      <c r="A80" s="80"/>
      <c r="B80" s="80"/>
      <c r="C80" s="80"/>
      <c r="D80" s="80"/>
      <c r="F80" s="80"/>
      <c r="G80" s="235"/>
      <c r="H80" s="235"/>
      <c r="I80" s="235"/>
      <c r="J80" s="235"/>
      <c r="K80" s="379"/>
      <c r="L80" s="420"/>
      <c r="M80" s="420"/>
      <c r="N80" s="552"/>
    </row>
    <row r="81" spans="1:14" s="77" customFormat="1" ht="20.25" x14ac:dyDescent="0.2">
      <c r="A81" s="80"/>
      <c r="B81" s="80"/>
      <c r="C81" s="80"/>
      <c r="D81" s="80"/>
      <c r="F81" s="80"/>
      <c r="G81" s="235"/>
      <c r="H81" s="235"/>
      <c r="I81" s="235"/>
      <c r="J81" s="235"/>
      <c r="K81" s="379"/>
      <c r="L81" s="420"/>
      <c r="M81" s="420"/>
      <c r="N81" s="552"/>
    </row>
    <row r="82" spans="1:14" s="77" customFormat="1" ht="20.25" x14ac:dyDescent="0.2">
      <c r="A82" s="80"/>
      <c r="B82" s="80"/>
      <c r="C82" s="80"/>
      <c r="D82" s="80"/>
      <c r="F82" s="80"/>
      <c r="G82" s="235"/>
      <c r="H82" s="235"/>
      <c r="I82" s="235"/>
      <c r="J82" s="235"/>
      <c r="K82" s="379"/>
      <c r="L82" s="420"/>
      <c r="M82" s="420"/>
      <c r="N82" s="552"/>
    </row>
    <row r="83" spans="1:14" s="77" customFormat="1" ht="20.25" x14ac:dyDescent="0.2">
      <c r="A83" s="80"/>
      <c r="B83" s="80"/>
      <c r="C83" s="68"/>
      <c r="D83" s="80"/>
      <c r="F83" s="80"/>
      <c r="G83" s="235"/>
      <c r="H83" s="235"/>
      <c r="I83" s="235"/>
      <c r="J83" s="235"/>
      <c r="K83" s="379"/>
      <c r="L83" s="420"/>
      <c r="M83" s="420"/>
      <c r="N83" s="552"/>
    </row>
    <row r="84" spans="1:14" s="77" customFormat="1" ht="20.25" x14ac:dyDescent="0.2">
      <c r="A84" s="80"/>
      <c r="B84" s="80"/>
      <c r="C84" s="80"/>
      <c r="D84" s="80"/>
      <c r="E84" s="80"/>
      <c r="F84" s="80"/>
      <c r="G84" s="235"/>
      <c r="H84" s="235"/>
      <c r="I84" s="235"/>
      <c r="J84" s="235"/>
      <c r="K84" s="379"/>
      <c r="L84" s="420"/>
      <c r="M84" s="420"/>
      <c r="N84" s="552"/>
    </row>
    <row r="85" spans="1:14" s="77" customFormat="1" ht="20.25" x14ac:dyDescent="0.2">
      <c r="A85" s="80"/>
      <c r="B85" s="80"/>
      <c r="C85" s="68"/>
      <c r="D85" s="68"/>
      <c r="G85" s="235"/>
      <c r="H85" s="235"/>
      <c r="I85" s="235"/>
      <c r="J85" s="235"/>
      <c r="K85" s="379"/>
      <c r="L85" s="420"/>
      <c r="M85" s="420"/>
      <c r="N85" s="552"/>
    </row>
    <row r="86" spans="1:14" s="77" customFormat="1" ht="20.25" x14ac:dyDescent="0.2">
      <c r="A86" s="80"/>
      <c r="B86" s="80"/>
      <c r="C86" s="80"/>
      <c r="D86" s="80"/>
      <c r="E86" s="80"/>
      <c r="F86" s="80"/>
      <c r="G86" s="235"/>
      <c r="H86" s="235"/>
      <c r="I86" s="235"/>
      <c r="J86" s="235"/>
      <c r="K86" s="379"/>
      <c r="L86" s="420"/>
      <c r="M86" s="420"/>
      <c r="N86" s="552"/>
    </row>
    <row r="87" spans="1:14" s="77" customFormat="1" ht="20.25" x14ac:dyDescent="0.2">
      <c r="A87" s="80"/>
      <c r="B87" s="80"/>
      <c r="C87" s="80"/>
      <c r="D87" s="80"/>
      <c r="E87" s="80"/>
      <c r="F87" s="80"/>
      <c r="G87" s="235"/>
      <c r="H87" s="235"/>
      <c r="I87" s="235"/>
      <c r="J87" s="235"/>
      <c r="K87" s="379"/>
      <c r="L87" s="420"/>
      <c r="M87" s="420"/>
      <c r="N87" s="552"/>
    </row>
    <row r="88" spans="1:14" s="77" customFormat="1" ht="20.25" x14ac:dyDescent="0.2">
      <c r="A88" s="80"/>
      <c r="B88" s="80"/>
      <c r="C88" s="80"/>
      <c r="D88" s="80"/>
      <c r="E88" s="80"/>
      <c r="F88" s="80"/>
      <c r="G88" s="235"/>
      <c r="H88" s="235"/>
      <c r="I88" s="235"/>
      <c r="J88" s="235"/>
      <c r="K88" s="379"/>
      <c r="L88" s="420"/>
      <c r="M88" s="420"/>
      <c r="N88" s="552"/>
    </row>
    <row r="89" spans="1:14" s="77" customFormat="1" ht="20.25" x14ac:dyDescent="0.2">
      <c r="A89" s="80"/>
      <c r="B89" s="80"/>
      <c r="C89" s="80"/>
      <c r="D89" s="80"/>
      <c r="E89" s="80"/>
      <c r="F89" s="80"/>
      <c r="G89" s="235"/>
      <c r="H89" s="235"/>
      <c r="I89" s="235"/>
      <c r="J89" s="235"/>
      <c r="K89" s="379"/>
      <c r="L89" s="420"/>
      <c r="M89" s="420"/>
      <c r="N89" s="552"/>
    </row>
    <row r="90" spans="1:14" s="77" customFormat="1" ht="20.25" x14ac:dyDescent="0.2">
      <c r="A90" s="80"/>
      <c r="B90" s="80"/>
      <c r="C90" s="68"/>
      <c r="D90" s="80"/>
      <c r="F90" s="80"/>
      <c r="G90" s="235"/>
      <c r="H90" s="235"/>
      <c r="I90" s="235"/>
      <c r="J90" s="235"/>
      <c r="K90" s="379"/>
      <c r="L90" s="420"/>
      <c r="M90" s="420"/>
      <c r="N90" s="552"/>
    </row>
    <row r="91" spans="1:14" s="77" customFormat="1" ht="20.25" x14ac:dyDescent="0.2">
      <c r="A91" s="80"/>
      <c r="B91" s="80"/>
      <c r="C91" s="80"/>
      <c r="D91" s="80"/>
      <c r="E91" s="80"/>
      <c r="F91" s="80"/>
      <c r="G91" s="235"/>
      <c r="H91" s="235"/>
      <c r="I91" s="235"/>
      <c r="J91" s="235"/>
      <c r="K91" s="379"/>
      <c r="L91" s="420"/>
      <c r="M91" s="420"/>
      <c r="N91" s="552"/>
    </row>
    <row r="92" spans="1:14" s="69" customFormat="1" ht="20.25" x14ac:dyDescent="0.2">
      <c r="A92" s="68"/>
      <c r="B92" s="68"/>
      <c r="C92" s="68"/>
      <c r="D92" s="68"/>
      <c r="E92" s="68"/>
      <c r="F92" s="68"/>
      <c r="G92" s="240"/>
      <c r="H92" s="240"/>
      <c r="I92" s="240"/>
      <c r="J92" s="240"/>
      <c r="K92" s="377"/>
      <c r="N92" s="552"/>
    </row>
    <row r="93" spans="1:14" s="69" customFormat="1" ht="20.25" x14ac:dyDescent="0.2">
      <c r="A93" s="68"/>
      <c r="B93" s="68"/>
      <c r="C93" s="68"/>
      <c r="D93" s="68"/>
      <c r="E93" s="68"/>
      <c r="F93" s="68"/>
      <c r="G93" s="240"/>
      <c r="H93" s="240"/>
      <c r="I93" s="240"/>
      <c r="J93" s="240"/>
      <c r="K93" s="377"/>
      <c r="N93" s="552"/>
    </row>
    <row r="94" spans="1:14" s="69" customFormat="1" ht="23.25" x14ac:dyDescent="0.2">
      <c r="A94" s="68"/>
      <c r="B94" s="276"/>
      <c r="C94" s="68"/>
      <c r="D94" s="68"/>
      <c r="E94" s="68"/>
      <c r="F94" s="68"/>
      <c r="G94" s="235"/>
      <c r="H94" s="235"/>
      <c r="I94" s="235"/>
      <c r="J94" s="235"/>
      <c r="K94" s="377"/>
      <c r="N94" s="552"/>
    </row>
    <row r="95" spans="1:14" s="77" customFormat="1" ht="20.25" x14ac:dyDescent="0.2">
      <c r="A95" s="80"/>
      <c r="B95" s="80"/>
      <c r="D95" s="80"/>
      <c r="E95" s="80"/>
      <c r="F95" s="80"/>
      <c r="G95" s="235"/>
      <c r="H95" s="235"/>
      <c r="I95" s="235"/>
      <c r="J95" s="235"/>
      <c r="K95" s="379"/>
      <c r="N95" s="552"/>
    </row>
    <row r="96" spans="1:14" s="77" customFormat="1" ht="20.25" x14ac:dyDescent="0.2">
      <c r="A96" s="80"/>
      <c r="B96" s="80"/>
      <c r="D96" s="80"/>
      <c r="E96" s="80"/>
      <c r="F96" s="80"/>
      <c r="G96" s="235"/>
      <c r="H96" s="235"/>
      <c r="I96" s="235"/>
      <c r="J96" s="235"/>
      <c r="K96" s="379"/>
      <c r="N96" s="552"/>
    </row>
    <row r="97" spans="1:14" s="69" customFormat="1" ht="20.25" x14ac:dyDescent="0.2">
      <c r="A97" s="68"/>
      <c r="B97" s="68"/>
      <c r="D97" s="80"/>
      <c r="E97" s="68"/>
      <c r="F97" s="68"/>
      <c r="G97" s="235"/>
      <c r="H97" s="235"/>
      <c r="I97" s="235"/>
      <c r="J97" s="235"/>
      <c r="K97" s="377"/>
      <c r="N97" s="552"/>
    </row>
    <row r="98" spans="1:14" s="69" customFormat="1" ht="23.25" x14ac:dyDescent="0.2">
      <c r="A98" s="68"/>
      <c r="B98" s="276"/>
      <c r="C98" s="68"/>
      <c r="D98" s="68"/>
      <c r="E98" s="68"/>
      <c r="F98" s="68"/>
      <c r="G98" s="240"/>
      <c r="H98" s="240"/>
      <c r="I98" s="240"/>
      <c r="J98" s="240"/>
      <c r="K98" s="377"/>
      <c r="N98" s="552"/>
    </row>
    <row r="99" spans="1:14" s="69" customFormat="1" ht="20.25" x14ac:dyDescent="0.2">
      <c r="A99" s="68"/>
      <c r="B99" s="68"/>
      <c r="C99" s="68"/>
      <c r="D99" s="68"/>
      <c r="E99" s="68"/>
      <c r="F99" s="68"/>
      <c r="G99" s="235"/>
      <c r="H99" s="235"/>
      <c r="I99" s="235"/>
      <c r="J99" s="235"/>
      <c r="K99" s="377"/>
      <c r="N99" s="552"/>
    </row>
    <row r="100" spans="1:14" s="83" customFormat="1" ht="26.25" x14ac:dyDescent="0.2">
      <c r="A100" s="273"/>
      <c r="B100" s="273"/>
      <c r="C100" s="273"/>
      <c r="D100" s="273"/>
      <c r="E100" s="273"/>
      <c r="F100" s="273"/>
      <c r="G100" s="274"/>
      <c r="H100" s="240"/>
      <c r="I100" s="240"/>
      <c r="J100" s="240"/>
      <c r="K100" s="380"/>
      <c r="N100" s="557"/>
    </row>
    <row r="101" spans="1:14" s="18" customFormat="1" ht="20.25" x14ac:dyDescent="0.3">
      <c r="A101" s="123"/>
      <c r="B101" s="123"/>
      <c r="C101" s="123"/>
      <c r="D101" s="123"/>
      <c r="E101" s="123"/>
      <c r="F101" s="123"/>
      <c r="G101" s="277"/>
      <c r="H101" s="282"/>
      <c r="I101" s="282"/>
      <c r="J101" s="282"/>
      <c r="K101" s="382"/>
      <c r="N101" s="558"/>
    </row>
    <row r="102" spans="1:14" ht="20.25" x14ac:dyDescent="0.3">
      <c r="H102" s="282"/>
      <c r="I102" s="282"/>
      <c r="J102" s="282"/>
    </row>
    <row r="103" spans="1:14" ht="20.25" x14ac:dyDescent="0.3">
      <c r="H103" s="282"/>
      <c r="I103" s="282"/>
      <c r="J103" s="282"/>
    </row>
    <row r="104" spans="1:14" ht="20.25" x14ac:dyDescent="0.3">
      <c r="H104" s="279"/>
      <c r="I104" s="279"/>
      <c r="J104" s="279"/>
    </row>
  </sheetData>
  <mergeCells count="3">
    <mergeCell ref="L8:M8"/>
    <mergeCell ref="G6:J6"/>
    <mergeCell ref="C44:F44"/>
  </mergeCells>
  <pageMargins left="0.65" right="0.15" top="0.25" bottom="0.25" header="0.3" footer="0.3"/>
  <pageSetup scale="4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80"/>
  <sheetViews>
    <sheetView zoomScale="75" zoomScaleNormal="75" workbookViewId="0">
      <selection activeCell="R9" sqref="R9"/>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4"/>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227</v>
      </c>
      <c r="B2" s="60"/>
      <c r="C2" s="61"/>
      <c r="D2" s="61"/>
      <c r="E2" s="61"/>
      <c r="F2" s="60"/>
      <c r="G2" s="233"/>
      <c r="H2" s="60"/>
      <c r="I2" s="60"/>
      <c r="J2" s="60"/>
      <c r="K2" s="60"/>
      <c r="L2" s="484"/>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'August''19 State of Activities'!A3</f>
        <v>Eight Months Ended August 31, 2019 and 2018</v>
      </c>
      <c r="B3" s="60"/>
      <c r="C3" s="61"/>
      <c r="D3" s="61"/>
      <c r="E3" s="61"/>
      <c r="F3" s="60"/>
      <c r="G3" s="233"/>
      <c r="H3" s="60"/>
      <c r="I3" s="60"/>
      <c r="J3" s="60"/>
      <c r="K3" s="60"/>
      <c r="L3" s="48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'August''19 State of Activities'!A4</f>
        <v>For the Year Ended December 31, 2018</v>
      </c>
      <c r="B4" s="60"/>
      <c r="C4" s="61"/>
      <c r="D4" s="61"/>
      <c r="E4" s="61"/>
      <c r="F4" s="60"/>
      <c r="G4" s="233"/>
      <c r="H4" s="60"/>
      <c r="I4" s="60"/>
      <c r="J4" s="60"/>
      <c r="K4" s="60"/>
      <c r="L4" s="484"/>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530"/>
      <c r="H6" s="244" t="s">
        <v>54</v>
      </c>
      <c r="I6" s="244"/>
      <c r="J6" s="841" t="s">
        <v>54</v>
      </c>
      <c r="K6" s="841"/>
      <c r="L6" s="841"/>
      <c r="M6" s="841"/>
      <c r="N6" s="66"/>
      <c r="O6" s="433" t="s">
        <v>192</v>
      </c>
      <c r="P6" s="430" t="s">
        <v>205</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7">
        <v>41090</v>
      </c>
      <c r="H8" s="287">
        <v>41274</v>
      </c>
      <c r="I8" s="336"/>
      <c r="J8" s="749">
        <f>'August''19 State of Activities'!G8</f>
        <v>43708</v>
      </c>
      <c r="K8" s="750">
        <f>'August''19 State of Activities'!H8</f>
        <v>43465</v>
      </c>
      <c r="L8" s="751"/>
      <c r="M8" s="749">
        <f>'August''19 State of Activities'!J8</f>
        <v>43343</v>
      </c>
      <c r="N8" s="72"/>
      <c r="O8" s="840" t="s">
        <v>486</v>
      </c>
      <c r="P8" s="84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8" t="s">
        <v>157</v>
      </c>
      <c r="D9" s="438"/>
      <c r="E9" s="438"/>
      <c r="F9" s="74"/>
      <c r="G9" s="269">
        <v>127719</v>
      </c>
      <c r="H9" s="269">
        <v>67566.5</v>
      </c>
      <c r="I9" s="335"/>
      <c r="J9" s="339">
        <f>'August''19 State of Activities'!G11</f>
        <v>108480.31</v>
      </c>
      <c r="K9" s="339">
        <f>'August''19 State of Activities'!H11</f>
        <v>153461.26</v>
      </c>
      <c r="L9" s="339"/>
      <c r="M9" s="339">
        <f>'August''19 State of Activities'!J11</f>
        <v>101077.3</v>
      </c>
      <c r="N9" s="69"/>
      <c r="O9" s="395">
        <f>J9-M9</f>
        <v>7403.0099999999948</v>
      </c>
      <c r="P9" s="431">
        <f>O9/M9</f>
        <v>7.3241073910759333E-2</v>
      </c>
      <c r="Q9" s="69"/>
      <c r="R9" s="405"/>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844" t="s">
        <v>340</v>
      </c>
      <c r="D10" s="844"/>
      <c r="E10" s="844"/>
      <c r="F10" s="844"/>
      <c r="G10" s="269"/>
      <c r="H10" s="269"/>
      <c r="I10" s="335"/>
      <c r="J10" s="741"/>
      <c r="K10" s="335">
        <v>3122.52</v>
      </c>
      <c r="L10" s="335"/>
      <c r="M10" s="335">
        <f>K10</f>
        <v>3122.52</v>
      </c>
      <c r="N10" s="69"/>
      <c r="O10" s="533">
        <f>J10-M10</f>
        <v>-3122.52</v>
      </c>
      <c r="P10" s="457"/>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8" t="s">
        <v>228</v>
      </c>
      <c r="D11" s="438"/>
      <c r="E11" s="438"/>
      <c r="F11" s="74"/>
      <c r="G11" s="268">
        <v>875436</v>
      </c>
      <c r="H11" s="268">
        <v>372424.1</v>
      </c>
      <c r="I11" s="339"/>
      <c r="J11" s="335"/>
      <c r="K11" s="335">
        <f>10471.96+(5268.48+3381.01)*1.14</f>
        <v>20332.378599999996</v>
      </c>
      <c r="L11" s="339"/>
      <c r="M11" s="335">
        <f>6907.78+(2956.8+1897.5)*1.14</f>
        <v>12441.682000000001</v>
      </c>
      <c r="N11" s="69"/>
      <c r="O11" s="533">
        <f>J11-M11</f>
        <v>-12441.682000000001</v>
      </c>
      <c r="P11" s="457">
        <f>O11/M11</f>
        <v>-1</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38" t="s">
        <v>108</v>
      </c>
      <c r="D12" s="438"/>
      <c r="E12" s="438"/>
      <c r="F12" s="74"/>
      <c r="G12" s="269"/>
      <c r="H12" s="269"/>
      <c r="I12" s="335"/>
      <c r="J12" s="335"/>
      <c r="K12" s="335"/>
      <c r="L12" s="335"/>
      <c r="M12" s="335"/>
      <c r="N12" s="69"/>
      <c r="O12" s="533"/>
      <c r="P12" s="443"/>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8" t="s">
        <v>229</v>
      </c>
      <c r="E13" s="438"/>
      <c r="F13" s="74"/>
      <c r="G13" s="269">
        <v>94235.25</v>
      </c>
      <c r="H13" s="269">
        <v>37190.379999999997</v>
      </c>
      <c r="I13" s="335"/>
      <c r="J13" s="335">
        <f>3708.33*8</f>
        <v>29666.639999999999</v>
      </c>
      <c r="K13" s="335">
        <f>3541.67*12</f>
        <v>42500.04</v>
      </c>
      <c r="L13" s="335"/>
      <c r="M13" s="335">
        <f>3541.67*8</f>
        <v>28333.360000000001</v>
      </c>
      <c r="N13" s="69"/>
      <c r="O13" s="533">
        <f>J13-M13</f>
        <v>1333.2799999999988</v>
      </c>
      <c r="P13" s="457">
        <f>O13/M13</f>
        <v>4.7056896887626418E-2</v>
      </c>
      <c r="Q13" s="69"/>
      <c r="R13" s="490"/>
      <c r="S13" s="491"/>
      <c r="T13" s="490"/>
      <c r="U13" s="490"/>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38" t="s">
        <v>167</v>
      </c>
      <c r="E14" s="438"/>
      <c r="F14" s="74"/>
      <c r="G14" s="269"/>
      <c r="H14" s="269"/>
      <c r="I14" s="335"/>
      <c r="J14" s="335">
        <f>'August''19 State of Activities'!G16</f>
        <v>8666.66</v>
      </c>
      <c r="K14" s="335">
        <f>750*12</f>
        <v>9000</v>
      </c>
      <c r="L14" s="335"/>
      <c r="M14" s="335">
        <f>750*8</f>
        <v>6000</v>
      </c>
      <c r="N14" s="69"/>
      <c r="O14" s="533">
        <f>J14-M14</f>
        <v>2666.66</v>
      </c>
      <c r="P14" s="457">
        <f>O14/M14</f>
        <v>0.4444433333333333</v>
      </c>
      <c r="Q14" s="69"/>
      <c r="R14" s="69"/>
      <c r="S14" s="404"/>
      <c r="T14" s="492"/>
      <c r="U14" s="37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8" t="s">
        <v>109</v>
      </c>
      <c r="D15" s="438"/>
      <c r="E15" s="438"/>
      <c r="F15" s="74"/>
      <c r="G15" s="269">
        <v>0</v>
      </c>
      <c r="H15" s="269">
        <v>3517</v>
      </c>
      <c r="I15" s="335"/>
      <c r="J15" s="335">
        <f>'August''19 State of Activities'!G18</f>
        <v>8398.4599999999991</v>
      </c>
      <c r="K15" s="335">
        <f>'August''19 State of Activities'!H18</f>
        <v>12796</v>
      </c>
      <c r="L15" s="335"/>
      <c r="M15" s="335">
        <f>'August''19 State of Activities'!J18</f>
        <v>8858</v>
      </c>
      <c r="N15" s="69"/>
      <c r="O15" s="533">
        <f>J15-M15</f>
        <v>-459.54000000000087</v>
      </c>
      <c r="P15" s="457">
        <f>O15/M15</f>
        <v>-5.1878527884398382E-2</v>
      </c>
      <c r="Q15" s="69"/>
      <c r="R15" s="69"/>
      <c r="S15" s="404"/>
      <c r="T15" s="492"/>
      <c r="U15" s="37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8" t="s">
        <v>230</v>
      </c>
      <c r="D16" s="438"/>
      <c r="E16" s="438"/>
      <c r="F16" s="74"/>
      <c r="G16" s="269">
        <v>31459</v>
      </c>
      <c r="H16" s="269">
        <v>13920.35</v>
      </c>
      <c r="I16" s="335"/>
      <c r="J16" s="335">
        <f>'August''19 Revenues &amp; Expenses'!H32</f>
        <v>16321.39</v>
      </c>
      <c r="K16" s="335">
        <v>25000</v>
      </c>
      <c r="L16" s="335"/>
      <c r="M16" s="335">
        <v>16729.68</v>
      </c>
      <c r="N16" s="69"/>
      <c r="O16" s="533">
        <f>J16-M16</f>
        <v>-408.29000000000087</v>
      </c>
      <c r="P16" s="457">
        <f>O16/M16</f>
        <v>-2.4405129087944351E-2</v>
      </c>
      <c r="Q16" s="69"/>
      <c r="R16" s="69"/>
      <c r="S16" s="404"/>
      <c r="T16" s="492"/>
      <c r="U16" s="37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8" t="s">
        <v>390</v>
      </c>
      <c r="D17" s="438"/>
      <c r="E17" s="438"/>
      <c r="F17" s="74"/>
      <c r="G17" s="269"/>
      <c r="H17" s="269"/>
      <c r="I17" s="335"/>
      <c r="J17" s="335">
        <v>1670.95</v>
      </c>
      <c r="K17" s="335"/>
      <c r="L17" s="335"/>
      <c r="M17" s="335"/>
      <c r="N17" s="69"/>
      <c r="O17" s="533">
        <f t="shared" ref="O17:O18" si="0">J17-M17</f>
        <v>1670.95</v>
      </c>
      <c r="P17" s="457"/>
      <c r="Q17" s="69"/>
      <c r="R17" s="69"/>
      <c r="S17" s="404"/>
      <c r="T17" s="492"/>
      <c r="U17" s="37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44" t="s">
        <v>394</v>
      </c>
      <c r="D18" s="844"/>
      <c r="E18" s="844"/>
      <c r="F18" s="844"/>
      <c r="G18" s="269"/>
      <c r="H18" s="269"/>
      <c r="I18" s="335"/>
      <c r="J18" s="335">
        <v>1029.43</v>
      </c>
      <c r="K18" s="335"/>
      <c r="L18" s="335"/>
      <c r="M18" s="335"/>
      <c r="N18" s="69"/>
      <c r="O18" s="533">
        <f t="shared" si="0"/>
        <v>1029.43</v>
      </c>
      <c r="P18" s="457"/>
      <c r="Q18" s="69"/>
      <c r="R18" s="69"/>
      <c r="S18" s="404"/>
      <c r="T18" s="492"/>
      <c r="U18" s="37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8" t="s">
        <v>406</v>
      </c>
      <c r="D19" s="438"/>
      <c r="E19" s="438"/>
      <c r="F19" s="74"/>
      <c r="G19" s="269">
        <v>1125</v>
      </c>
      <c r="H19" s="269">
        <v>6050</v>
      </c>
      <c r="I19" s="335"/>
      <c r="J19" s="335">
        <f>'August''19 State of Activities'!G25</f>
        <v>2300</v>
      </c>
      <c r="K19" s="335">
        <f>'August''19 State of Activities'!H25</f>
        <v>0</v>
      </c>
      <c r="L19" s="335"/>
      <c r="M19" s="335">
        <f>'August''19 State of Activities'!J25</f>
        <v>0</v>
      </c>
      <c r="N19" s="69"/>
      <c r="O19" s="533">
        <f>J19-M19</f>
        <v>2300</v>
      </c>
      <c r="P19" s="457"/>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44" t="s">
        <v>391</v>
      </c>
      <c r="D20" s="844"/>
      <c r="E20" s="844"/>
      <c r="F20" s="844"/>
      <c r="G20" s="269"/>
      <c r="H20" s="269"/>
      <c r="I20" s="335"/>
      <c r="J20" s="335"/>
      <c r="K20" s="335">
        <v>659.25</v>
      </c>
      <c r="L20" s="335"/>
      <c r="M20" s="335"/>
      <c r="N20" s="69"/>
      <c r="O20" s="533">
        <f>J20-M20</f>
        <v>0</v>
      </c>
      <c r="P20" s="457"/>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8" t="s">
        <v>231</v>
      </c>
      <c r="D21" s="438"/>
      <c r="E21" s="438"/>
      <c r="F21" s="74"/>
      <c r="G21" s="270">
        <v>31250</v>
      </c>
      <c r="H21" s="270">
        <v>15624.98</v>
      </c>
      <c r="I21" s="335"/>
      <c r="J21" s="270">
        <f>'August''19 State of Activities'!G26*0.2</f>
        <v>6210</v>
      </c>
      <c r="K21" s="270">
        <f>'August''19 State of Activities'!H26*0.2</f>
        <v>9315</v>
      </c>
      <c r="L21" s="335"/>
      <c r="M21" s="270">
        <f>'August''19 State of Activities'!J26*0.2</f>
        <v>6210</v>
      </c>
      <c r="N21" s="69"/>
      <c r="O21" s="534">
        <f>J21-M21</f>
        <v>0</v>
      </c>
      <c r="P21" s="432">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8"/>
      <c r="D22" s="74" t="s">
        <v>111</v>
      </c>
      <c r="E22" s="438"/>
      <c r="F22" s="74"/>
      <c r="G22" s="237">
        <v>1161224.25</v>
      </c>
      <c r="H22" s="237">
        <v>516293.30999999994</v>
      </c>
      <c r="I22" s="235"/>
      <c r="J22" s="269">
        <f>SUM(J9:J21)</f>
        <v>182743.84000000003</v>
      </c>
      <c r="K22" s="269">
        <f>SUM(K9:K21)</f>
        <v>276186.4486</v>
      </c>
      <c r="L22" s="335"/>
      <c r="M22" s="269">
        <f>SUM(M9:M21)</f>
        <v>182772.54200000002</v>
      </c>
      <c r="N22" s="69"/>
      <c r="O22" s="280">
        <f>SUM(O9:O21)</f>
        <v>-28.702000000009321</v>
      </c>
      <c r="P22" s="457">
        <f>O22/M22</f>
        <v>-1.5703671725487801E-4</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232</v>
      </c>
      <c r="D23" s="438"/>
      <c r="E23" s="438"/>
      <c r="F23" s="74"/>
      <c r="G23" s="245">
        <v>150176</v>
      </c>
      <c r="H23" s="245">
        <v>47700.27</v>
      </c>
      <c r="I23" s="235"/>
      <c r="J23" s="335">
        <f>19000/12*8</f>
        <v>12666.666666666666</v>
      </c>
      <c r="K23" s="335">
        <v>19000</v>
      </c>
      <c r="L23" s="335"/>
      <c r="M23" s="335">
        <f>19000/12*8</f>
        <v>12666.666666666666</v>
      </c>
      <c r="N23" s="69"/>
      <c r="O23" s="533">
        <f>J23-M23</f>
        <v>0</v>
      </c>
      <c r="P23" s="431">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233</v>
      </c>
      <c r="D24" s="438"/>
      <c r="E24" s="438"/>
      <c r="F24" s="74"/>
      <c r="G24" s="235"/>
      <c r="H24" s="235"/>
      <c r="I24" s="235"/>
      <c r="J24" s="270">
        <v>26552.46</v>
      </c>
      <c r="K24" s="270">
        <v>37641.19</v>
      </c>
      <c r="L24" s="335"/>
      <c r="M24" s="270">
        <v>24076.44</v>
      </c>
      <c r="N24" s="69"/>
      <c r="O24" s="394">
        <f>J24-M24</f>
        <v>2476.0200000000004</v>
      </c>
      <c r="P24" s="485">
        <f>O24/M24</f>
        <v>0.10283995474413994</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8"/>
      <c r="D25" s="74" t="s">
        <v>113</v>
      </c>
      <c r="E25" s="438"/>
      <c r="F25" s="74"/>
      <c r="G25" s="237">
        <v>1311400.25</v>
      </c>
      <c r="H25" s="237">
        <v>563993.57999999996</v>
      </c>
      <c r="I25" s="235"/>
      <c r="J25" s="269">
        <f>SUM(J22:J24)</f>
        <v>221962.96666666667</v>
      </c>
      <c r="K25" s="269">
        <f>SUM(K22:K24)</f>
        <v>332827.63860000001</v>
      </c>
      <c r="L25" s="335"/>
      <c r="M25" s="269">
        <f>SUM(M22:M24)</f>
        <v>219515.64866666668</v>
      </c>
      <c r="N25" s="69"/>
      <c r="O25" s="280">
        <f>J25-M25</f>
        <v>2447.3179999999993</v>
      </c>
      <c r="P25" s="457">
        <f>O25/M25</f>
        <v>1.1148717710399948E-2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8"/>
      <c r="D26" s="74"/>
      <c r="E26" s="438"/>
      <c r="F26" s="74"/>
      <c r="G26" s="237"/>
      <c r="H26" s="237"/>
      <c r="I26" s="235"/>
      <c r="J26" s="335"/>
      <c r="K26" s="335"/>
      <c r="L26" s="335"/>
      <c r="M26" s="335"/>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5"/>
      <c r="H27" s="69"/>
      <c r="I27" s="69"/>
      <c r="J27" s="335"/>
      <c r="K27" s="384"/>
      <c r="L27" s="384"/>
      <c r="M27" s="384"/>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234</v>
      </c>
      <c r="D28" s="80"/>
      <c r="E28" s="80"/>
      <c r="F28" s="80"/>
      <c r="G28" s="235">
        <v>733747.79999999993</v>
      </c>
      <c r="H28" s="280">
        <v>361976</v>
      </c>
      <c r="I28" s="280"/>
      <c r="J28" s="335"/>
      <c r="K28" s="416"/>
      <c r="L28" s="416"/>
      <c r="M28" s="416"/>
    </row>
    <row r="29" spans="1:61" s="69" customFormat="1" ht="20.25" x14ac:dyDescent="0.2">
      <c r="A29" s="68"/>
      <c r="B29" s="68"/>
      <c r="C29" s="80"/>
      <c r="D29" s="842" t="s">
        <v>235</v>
      </c>
      <c r="E29" s="842"/>
      <c r="F29" s="842"/>
      <c r="G29" s="235"/>
      <c r="H29" s="280"/>
      <c r="I29" s="280"/>
      <c r="J29" s="335">
        <v>110984.34</v>
      </c>
      <c r="K29" s="335">
        <v>146508.01999999999</v>
      </c>
      <c r="L29" s="416"/>
      <c r="M29" s="416">
        <v>98180.78</v>
      </c>
      <c r="O29" s="280">
        <f t="shared" ref="O29:O49" si="1">J29-M29</f>
        <v>12803.559999999998</v>
      </c>
      <c r="P29" s="457">
        <f>O29/M29</f>
        <v>0.13040800857357213</v>
      </c>
    </row>
    <row r="30" spans="1:61" s="69" customFormat="1" ht="20.25" x14ac:dyDescent="0.2">
      <c r="A30" s="68"/>
      <c r="B30" s="68"/>
      <c r="C30" s="80"/>
      <c r="D30" s="842" t="s">
        <v>236</v>
      </c>
      <c r="E30" s="842"/>
      <c r="F30" s="842"/>
      <c r="G30" s="235"/>
      <c r="H30" s="280"/>
      <c r="I30" s="280"/>
      <c r="J30" s="335">
        <f>25200.43+15880.64+405.98+106.59</f>
        <v>41593.64</v>
      </c>
      <c r="K30" s="335">
        <f>35778.69+23251.49+605.09+292.95</f>
        <v>59928.22</v>
      </c>
      <c r="L30" s="416"/>
      <c r="M30" s="416">
        <f>23884.29+15743.36+188.7+419</f>
        <v>40235.35</v>
      </c>
      <c r="O30" s="280">
        <f t="shared" si="1"/>
        <v>1358.2900000000009</v>
      </c>
      <c r="P30" s="457">
        <f>O30/M30</f>
        <v>3.3758622703667321E-2</v>
      </c>
      <c r="R30" s="267"/>
    </row>
    <row r="31" spans="1:61" s="69" customFormat="1" ht="20.25" x14ac:dyDescent="0.2">
      <c r="A31" s="68"/>
      <c r="B31" s="68"/>
      <c r="C31" s="80"/>
      <c r="D31" s="842" t="s">
        <v>119</v>
      </c>
      <c r="E31" s="842"/>
      <c r="F31" s="842"/>
      <c r="G31" s="235"/>
      <c r="H31" s="280"/>
      <c r="I31" s="280"/>
      <c r="J31" s="335">
        <f>(J29+J30)*0.185</f>
        <v>28226.926299999996</v>
      </c>
      <c r="K31" s="335">
        <f>(K29+K30)*0.192</f>
        <v>39635.75808</v>
      </c>
      <c r="L31" s="416"/>
      <c r="M31" s="335">
        <f>(M29+M30)*0.185</f>
        <v>25606.984049999999</v>
      </c>
      <c r="O31" s="280">
        <f t="shared" si="1"/>
        <v>2619.9422499999964</v>
      </c>
      <c r="P31" s="457">
        <f>O31/M31</f>
        <v>0.10231358151683609</v>
      </c>
    </row>
    <row r="32" spans="1:61" s="69" customFormat="1" ht="20.25" x14ac:dyDescent="0.2">
      <c r="A32" s="68"/>
      <c r="B32" s="68"/>
      <c r="C32" s="80" t="s">
        <v>299</v>
      </c>
      <c r="D32" s="80"/>
      <c r="E32" s="80"/>
      <c r="F32" s="80"/>
      <c r="G32" s="235">
        <v>44745.18</v>
      </c>
      <c r="H32" s="235">
        <v>20974.21</v>
      </c>
      <c r="I32" s="235"/>
      <c r="J32" s="335"/>
      <c r="K32" s="630"/>
      <c r="L32" s="335"/>
      <c r="M32" s="335"/>
      <c r="O32" s="280">
        <f t="shared" si="1"/>
        <v>0</v>
      </c>
      <c r="P32" s="457"/>
    </row>
    <row r="33" spans="1:16" s="69" customFormat="1" ht="20.25" x14ac:dyDescent="0.2">
      <c r="A33" s="68"/>
      <c r="B33" s="68"/>
      <c r="C33" s="80"/>
      <c r="D33" s="842" t="s">
        <v>237</v>
      </c>
      <c r="E33" s="842"/>
      <c r="F33" s="842"/>
      <c r="G33" s="235"/>
      <c r="H33" s="235"/>
      <c r="I33" s="235"/>
      <c r="J33" s="335">
        <v>17368.36</v>
      </c>
      <c r="K33" s="335">
        <v>27183.82</v>
      </c>
      <c r="L33" s="335"/>
      <c r="M33" s="335">
        <v>18531.13</v>
      </c>
      <c r="O33" s="280">
        <f t="shared" si="1"/>
        <v>-1162.7700000000004</v>
      </c>
      <c r="P33" s="457">
        <f t="shared" ref="P33:P40" si="2">O33/M33</f>
        <v>-6.2746848141478712E-2</v>
      </c>
    </row>
    <row r="34" spans="1:16" s="69" customFormat="1" ht="20.25" x14ac:dyDescent="0.2">
      <c r="A34" s="68"/>
      <c r="B34" s="68"/>
      <c r="C34" s="80"/>
      <c r="D34" s="842" t="s">
        <v>238</v>
      </c>
      <c r="E34" s="842"/>
      <c r="F34" s="842"/>
      <c r="G34" s="235"/>
      <c r="H34" s="235"/>
      <c r="I34" s="235"/>
      <c r="J34" s="335">
        <v>12089.81</v>
      </c>
      <c r="K34" s="335">
        <v>15510.83</v>
      </c>
      <c r="L34" s="335"/>
      <c r="M34" s="335">
        <v>10113.33</v>
      </c>
      <c r="O34" s="280">
        <f t="shared" si="1"/>
        <v>1976.4799999999996</v>
      </c>
      <c r="P34" s="457">
        <f t="shared" si="2"/>
        <v>0.19543315604256953</v>
      </c>
    </row>
    <row r="35" spans="1:16" s="69" customFormat="1" ht="20.25" x14ac:dyDescent="0.2">
      <c r="A35" s="68"/>
      <c r="B35" s="68"/>
      <c r="C35" s="80"/>
      <c r="D35" s="842" t="s">
        <v>328</v>
      </c>
      <c r="E35" s="842"/>
      <c r="F35" s="842"/>
      <c r="G35" s="235"/>
      <c r="H35" s="235"/>
      <c r="I35" s="235"/>
      <c r="J35" s="335">
        <v>10143.6</v>
      </c>
      <c r="K35" s="335">
        <v>12450.36</v>
      </c>
      <c r="L35" s="335"/>
      <c r="M35" s="335">
        <v>7246.42</v>
      </c>
      <c r="O35" s="280">
        <f t="shared" si="1"/>
        <v>2897.1800000000003</v>
      </c>
      <c r="P35" s="457">
        <f t="shared" si="2"/>
        <v>0.39980845714159546</v>
      </c>
    </row>
    <row r="36" spans="1:16" s="69" customFormat="1" ht="20.25" x14ac:dyDescent="0.2">
      <c r="A36" s="68"/>
      <c r="B36" s="68"/>
      <c r="C36" s="80"/>
      <c r="D36" s="842" t="s">
        <v>239</v>
      </c>
      <c r="E36" s="842"/>
      <c r="F36" s="842"/>
      <c r="G36" s="235"/>
      <c r="H36" s="235"/>
      <c r="I36" s="235"/>
      <c r="J36" s="335">
        <v>513.5</v>
      </c>
      <c r="K36" s="335">
        <v>377</v>
      </c>
      <c r="L36" s="335"/>
      <c r="M36" s="335">
        <v>219.5</v>
      </c>
      <c r="O36" s="280">
        <f t="shared" si="1"/>
        <v>294</v>
      </c>
      <c r="P36" s="457">
        <f t="shared" si="2"/>
        <v>1.3394077448747153</v>
      </c>
    </row>
    <row r="37" spans="1:16" s="69" customFormat="1" ht="20.25" x14ac:dyDescent="0.2">
      <c r="A37" s="68"/>
      <c r="B37" s="68"/>
      <c r="C37" s="80" t="s">
        <v>240</v>
      </c>
      <c r="D37" s="80"/>
      <c r="E37" s="80"/>
      <c r="F37" s="80"/>
      <c r="G37" s="235">
        <v>27200</v>
      </c>
      <c r="H37" s="235">
        <v>11327</v>
      </c>
      <c r="I37" s="235"/>
      <c r="J37" s="335">
        <f>1060.64+14120.48</f>
        <v>15181.119999999999</v>
      </c>
      <c r="K37" s="335">
        <v>25080</v>
      </c>
      <c r="L37" s="335"/>
      <c r="M37" s="335">
        <f>1112+15162</f>
        <v>16274</v>
      </c>
      <c r="O37" s="280">
        <f t="shared" si="1"/>
        <v>-1092.880000000001</v>
      </c>
      <c r="P37" s="457">
        <f t="shared" si="2"/>
        <v>-6.71549711195773E-2</v>
      </c>
    </row>
    <row r="38" spans="1:16" s="69" customFormat="1" ht="20.25" x14ac:dyDescent="0.2">
      <c r="A38" s="68"/>
      <c r="B38" s="68"/>
      <c r="C38" s="80" t="s">
        <v>110</v>
      </c>
      <c r="D38" s="80"/>
      <c r="E38" s="80"/>
      <c r="F38" s="80"/>
      <c r="G38" s="235">
        <v>150176</v>
      </c>
      <c r="H38" s="280">
        <v>47700.27</v>
      </c>
      <c r="I38" s="280"/>
      <c r="J38" s="335">
        <f>J21</f>
        <v>6210</v>
      </c>
      <c r="K38" s="335">
        <f>K21</f>
        <v>9315</v>
      </c>
      <c r="L38" s="416"/>
      <c r="M38" s="416">
        <f>M21</f>
        <v>6210</v>
      </c>
      <c r="O38" s="280">
        <f t="shared" si="1"/>
        <v>0</v>
      </c>
      <c r="P38" s="457">
        <f t="shared" si="2"/>
        <v>0</v>
      </c>
    </row>
    <row r="39" spans="1:16" s="69" customFormat="1" ht="20.25" x14ac:dyDescent="0.2">
      <c r="A39" s="68"/>
      <c r="B39" s="68"/>
      <c r="C39" s="80" t="s">
        <v>343</v>
      </c>
      <c r="D39" s="80"/>
      <c r="E39" s="80"/>
      <c r="F39" s="80"/>
      <c r="G39" s="235"/>
      <c r="H39" s="280"/>
      <c r="I39" s="280"/>
      <c r="J39" s="335">
        <v>2845</v>
      </c>
      <c r="K39" s="335">
        <v>4075</v>
      </c>
      <c r="L39" s="416"/>
      <c r="M39" s="416">
        <f>2725</f>
        <v>2725</v>
      </c>
      <c r="O39" s="280">
        <f t="shared" si="1"/>
        <v>120</v>
      </c>
      <c r="P39" s="457">
        <f t="shared" si="2"/>
        <v>4.4036697247706424E-2</v>
      </c>
    </row>
    <row r="40" spans="1:16" s="69" customFormat="1" ht="20.25" x14ac:dyDescent="0.2">
      <c r="A40" s="68"/>
      <c r="B40" s="68"/>
      <c r="C40" s="80" t="s">
        <v>241</v>
      </c>
      <c r="D40" s="80"/>
      <c r="E40" s="80"/>
      <c r="F40" s="80"/>
      <c r="G40" s="235"/>
      <c r="H40" s="280"/>
      <c r="I40" s="280"/>
      <c r="J40" s="335">
        <f>393+75</f>
        <v>468</v>
      </c>
      <c r="K40" s="335">
        <v>1496.32</v>
      </c>
      <c r="L40" s="416"/>
      <c r="M40" s="416">
        <f>1290.16+15.2</f>
        <v>1305.3600000000001</v>
      </c>
      <c r="O40" s="280">
        <f t="shared" si="1"/>
        <v>-837.36000000000013</v>
      </c>
      <c r="P40" s="457">
        <f t="shared" si="2"/>
        <v>-0.64147821290678442</v>
      </c>
    </row>
    <row r="41" spans="1:16" s="69" customFormat="1" ht="20.25" x14ac:dyDescent="0.2">
      <c r="A41" s="68"/>
      <c r="B41" s="68"/>
      <c r="C41" s="80" t="s">
        <v>515</v>
      </c>
      <c r="D41" s="80"/>
      <c r="E41" s="80"/>
      <c r="F41" s="80"/>
      <c r="G41" s="235">
        <v>10993.12</v>
      </c>
      <c r="H41" s="280">
        <v>4904.57</v>
      </c>
      <c r="I41" s="280"/>
      <c r="J41" s="335">
        <f>36.97+2376.6</f>
        <v>2413.5699999999997</v>
      </c>
      <c r="K41" s="335">
        <v>3429.9</v>
      </c>
      <c r="L41" s="416"/>
      <c r="M41" s="335">
        <f>37.87+2249.74</f>
        <v>2287.6099999999997</v>
      </c>
      <c r="O41" s="280">
        <f t="shared" si="1"/>
        <v>125.96000000000004</v>
      </c>
      <c r="P41" s="457">
        <f>O41/M41</f>
        <v>5.5061833092179199E-2</v>
      </c>
    </row>
    <row r="42" spans="1:16" s="69" customFormat="1" ht="20.25" x14ac:dyDescent="0.2">
      <c r="A42" s="68"/>
      <c r="B42" s="68"/>
      <c r="C42" s="80" t="s">
        <v>242</v>
      </c>
      <c r="D42" s="80"/>
      <c r="E42" s="80"/>
      <c r="F42" s="80"/>
      <c r="G42" s="235">
        <v>10250.949999999999</v>
      </c>
      <c r="H42" s="280">
        <v>3982.99</v>
      </c>
      <c r="I42" s="280"/>
      <c r="J42" s="335">
        <f>10.6+199.3+53.54+222.93</f>
        <v>486.37</v>
      </c>
      <c r="K42" s="335">
        <f>56.6+402.81</f>
        <v>459.41</v>
      </c>
      <c r="L42" s="416"/>
      <c r="M42" s="335">
        <f>11.1+45.5+31.34+264.46</f>
        <v>352.4</v>
      </c>
      <c r="O42" s="280">
        <f t="shared" si="1"/>
        <v>133.97000000000003</v>
      </c>
      <c r="P42" s="457">
        <f>O42/M42</f>
        <v>0.38016458569807049</v>
      </c>
    </row>
    <row r="43" spans="1:16" s="69" customFormat="1" ht="20.25" x14ac:dyDescent="0.2">
      <c r="A43" s="68"/>
      <c r="B43" s="68"/>
      <c r="C43" s="80" t="s">
        <v>128</v>
      </c>
      <c r="D43" s="80"/>
      <c r="E43" s="80"/>
      <c r="F43" s="80"/>
      <c r="G43" s="235">
        <v>4412.53</v>
      </c>
      <c r="H43" s="281">
        <v>5667</v>
      </c>
      <c r="I43" s="281"/>
      <c r="J43" s="335">
        <f>122.96+1237.38</f>
        <v>1360.3400000000001</v>
      </c>
      <c r="K43" s="335">
        <v>1040.8800000000001</v>
      </c>
      <c r="L43" s="417"/>
      <c r="M43" s="417">
        <f>137.89+607.06</f>
        <v>744.94999999999993</v>
      </c>
      <c r="O43" s="280">
        <f t="shared" si="1"/>
        <v>615.39000000000021</v>
      </c>
      <c r="P43" s="457">
        <f>O43/M43</f>
        <v>0.82608228740183942</v>
      </c>
    </row>
    <row r="44" spans="1:16" s="69" customFormat="1" ht="20.25" x14ac:dyDescent="0.2">
      <c r="A44" s="68"/>
      <c r="B44" s="68"/>
      <c r="C44" s="80" t="s">
        <v>126</v>
      </c>
      <c r="D44" s="80"/>
      <c r="E44" s="80"/>
      <c r="F44" s="80"/>
      <c r="G44" s="235">
        <v>7901</v>
      </c>
      <c r="H44" s="280">
        <v>4149.6000000000004</v>
      </c>
      <c r="I44" s="280"/>
      <c r="J44" s="335">
        <v>367.55</v>
      </c>
      <c r="K44" s="335">
        <v>436.35</v>
      </c>
      <c r="L44" s="416"/>
      <c r="M44" s="416">
        <f>0.02+332.12</f>
        <v>332.14</v>
      </c>
      <c r="O44" s="280">
        <f t="shared" si="1"/>
        <v>35.410000000000025</v>
      </c>
      <c r="P44" s="457">
        <f>O44/M44</f>
        <v>0.10661166977780462</v>
      </c>
    </row>
    <row r="45" spans="1:16" s="69" customFormat="1" ht="20.25" hidden="1" x14ac:dyDescent="0.2">
      <c r="A45" s="68"/>
      <c r="B45" s="68"/>
      <c r="C45" s="80" t="s">
        <v>243</v>
      </c>
      <c r="D45" s="80"/>
      <c r="E45" s="80"/>
      <c r="F45" s="80"/>
      <c r="G45" s="235"/>
      <c r="H45" s="280"/>
      <c r="I45" s="280"/>
      <c r="J45" s="335"/>
      <c r="K45" s="335"/>
      <c r="L45" s="416"/>
      <c r="M45" s="416">
        <v>0</v>
      </c>
      <c r="O45" s="280">
        <f t="shared" si="1"/>
        <v>0</v>
      </c>
      <c r="P45" s="457"/>
    </row>
    <row r="46" spans="1:16" s="77" customFormat="1" ht="20.25" x14ac:dyDescent="0.2">
      <c r="A46" s="80"/>
      <c r="B46" s="80"/>
      <c r="C46" s="80" t="s">
        <v>122</v>
      </c>
      <c r="D46" s="80"/>
      <c r="E46" s="80"/>
      <c r="F46" s="80"/>
      <c r="G46" s="235">
        <v>5428.37</v>
      </c>
      <c r="H46" s="280">
        <v>2024.52</v>
      </c>
      <c r="I46" s="280"/>
      <c r="J46" s="335">
        <v>208.6</v>
      </c>
      <c r="K46" s="335">
        <v>205.44</v>
      </c>
      <c r="L46" s="416"/>
      <c r="M46" s="416">
        <f>175.72+0.75</f>
        <v>176.47</v>
      </c>
      <c r="O46" s="280">
        <f t="shared" si="1"/>
        <v>32.129999999999995</v>
      </c>
      <c r="P46" s="457">
        <f>O46/M46</f>
        <v>0.18207060690202298</v>
      </c>
    </row>
    <row r="47" spans="1:16" s="77" customFormat="1" ht="20.25" x14ac:dyDescent="0.2">
      <c r="A47" s="80"/>
      <c r="B47" s="80"/>
      <c r="C47" s="80" t="s">
        <v>244</v>
      </c>
      <c r="D47" s="80"/>
      <c r="E47" s="80"/>
      <c r="F47" s="80"/>
      <c r="G47" s="235">
        <v>83462.91</v>
      </c>
      <c r="H47" s="235">
        <v>18995.71</v>
      </c>
      <c r="I47" s="235"/>
      <c r="J47" s="415">
        <f>18.56+80+5</f>
        <v>103.56</v>
      </c>
      <c r="K47" s="415">
        <f>201.52+30+216.21+94.56</f>
        <v>542.29</v>
      </c>
      <c r="L47" s="335"/>
      <c r="M47" s="335">
        <f>154+55.86+30</f>
        <v>239.86</v>
      </c>
      <c r="O47" s="536">
        <f t="shared" si="1"/>
        <v>-136.30000000000001</v>
      </c>
      <c r="P47" s="535">
        <f>O47/M47</f>
        <v>-0.56824814475110486</v>
      </c>
    </row>
    <row r="48" spans="1:16" s="69" customFormat="1" ht="21" thickBot="1" x14ac:dyDescent="0.25">
      <c r="A48" s="68"/>
      <c r="B48" s="68"/>
      <c r="C48" s="68"/>
      <c r="D48" s="74" t="s">
        <v>134</v>
      </c>
      <c r="E48" s="68"/>
      <c r="F48" s="68"/>
      <c r="G48" s="245">
        <v>1078317.8599999999</v>
      </c>
      <c r="H48" s="245">
        <v>481701.87000000005</v>
      </c>
      <c r="I48" s="235"/>
      <c r="J48" s="487">
        <f>SUM(J29:J47)</f>
        <v>250564.28629999995</v>
      </c>
      <c r="K48" s="487">
        <f>SUM(K29:K47)</f>
        <v>347674.59807999997</v>
      </c>
      <c r="L48" s="335"/>
      <c r="M48" s="487">
        <f>SUM(M29:M47)</f>
        <v>230781.28404999999</v>
      </c>
      <c r="O48" s="487">
        <f t="shared" si="1"/>
        <v>19783.002249999961</v>
      </c>
      <c r="P48" s="485">
        <f>O48/M48</f>
        <v>8.5721865754563822E-2</v>
      </c>
    </row>
    <row r="49" spans="1:16" s="69" customFormat="1" ht="21" thickBot="1" x14ac:dyDescent="0.25">
      <c r="A49" s="68"/>
      <c r="B49" s="68"/>
      <c r="C49" s="68"/>
      <c r="D49" s="68" t="s">
        <v>135</v>
      </c>
      <c r="E49" s="68"/>
      <c r="F49" s="68"/>
      <c r="G49" s="245">
        <v>233082.39000000013</v>
      </c>
      <c r="H49" s="245">
        <v>82291.709999999905</v>
      </c>
      <c r="I49" s="235"/>
      <c r="J49" s="488">
        <f>J25-J48</f>
        <v>-28601.319633333274</v>
      </c>
      <c r="K49" s="488">
        <f>K25-K48</f>
        <v>-14846.959479999961</v>
      </c>
      <c r="L49" s="335"/>
      <c r="M49" s="488">
        <f>M25-M48</f>
        <v>-11265.635383333312</v>
      </c>
      <c r="O49" s="394">
        <f t="shared" si="1"/>
        <v>-17335.684249999962</v>
      </c>
      <c r="P49" s="485">
        <f>O49/M49</f>
        <v>1.5388110532715131</v>
      </c>
    </row>
    <row r="50" spans="1:16" s="69" customFormat="1" ht="20.25" x14ac:dyDescent="0.2">
      <c r="A50" s="68"/>
      <c r="B50" s="68"/>
      <c r="C50" s="68"/>
      <c r="D50" s="68"/>
      <c r="E50" s="68"/>
      <c r="F50" s="68"/>
      <c r="G50" s="235"/>
      <c r="H50" s="235"/>
      <c r="I50" s="235"/>
      <c r="J50" s="335"/>
      <c r="K50" s="335"/>
      <c r="L50" s="335"/>
      <c r="M50" s="335"/>
    </row>
    <row r="51" spans="1:16" s="66" customFormat="1" ht="26.25" x14ac:dyDescent="0.2">
      <c r="A51" s="273"/>
      <c r="B51" s="273"/>
      <c r="C51" s="80" t="s">
        <v>283</v>
      </c>
      <c r="E51" s="80"/>
      <c r="F51" s="80"/>
      <c r="G51" s="275"/>
      <c r="H51" s="235"/>
      <c r="I51" s="235"/>
      <c r="J51" s="335"/>
      <c r="K51" s="335">
        <v>-44886</v>
      </c>
      <c r="L51" s="335"/>
      <c r="M51" s="335">
        <v>-21893.75</v>
      </c>
      <c r="O51" s="280">
        <f>J51-M51</f>
        <v>21893.75</v>
      </c>
      <c r="P51" s="431"/>
    </row>
    <row r="52" spans="1:16" s="69" customFormat="1" ht="20.25" x14ac:dyDescent="0.2">
      <c r="A52" s="68"/>
      <c r="B52" s="68"/>
      <c r="C52" s="80" t="s">
        <v>245</v>
      </c>
      <c r="E52" s="68"/>
      <c r="G52" s="235"/>
      <c r="H52" s="235"/>
      <c r="I52" s="235"/>
      <c r="J52" s="335">
        <f>J37</f>
        <v>15181.119999999999</v>
      </c>
      <c r="K52" s="335">
        <f>K37</f>
        <v>25080</v>
      </c>
      <c r="L52" s="335"/>
      <c r="M52" s="335">
        <f>M37</f>
        <v>16274</v>
      </c>
      <c r="O52" s="280">
        <f>J52-M52</f>
        <v>-1092.880000000001</v>
      </c>
      <c r="P52" s="431">
        <v>3.5414486921529216E-2</v>
      </c>
    </row>
    <row r="53" spans="1:16" s="69" customFormat="1" ht="24" thickBot="1" x14ac:dyDescent="0.25">
      <c r="A53" s="68"/>
      <c r="B53" s="413"/>
      <c r="C53" s="68"/>
      <c r="D53" s="843" t="s">
        <v>246</v>
      </c>
      <c r="E53" s="843"/>
      <c r="F53" s="843"/>
      <c r="G53" s="235"/>
      <c r="H53" s="235"/>
      <c r="I53" s="235"/>
      <c r="J53" s="489">
        <f>J49+J51+J52</f>
        <v>-13420.199633333275</v>
      </c>
      <c r="K53" s="489">
        <f>K49+K51+K52</f>
        <v>-34652.959479999961</v>
      </c>
      <c r="L53" s="339"/>
      <c r="M53" s="489">
        <f>M49+M51+M52</f>
        <v>-16885.385383333312</v>
      </c>
      <c r="N53" s="404"/>
      <c r="O53" s="486">
        <f>J53-M53</f>
        <v>3465.1857500000369</v>
      </c>
      <c r="P53" s="525">
        <v>2.1062768618503362E-2</v>
      </c>
    </row>
    <row r="54" spans="1:16" s="69" customFormat="1" ht="42" customHeight="1" thickTop="1" x14ac:dyDescent="0.2">
      <c r="A54" s="68"/>
      <c r="B54" s="68"/>
      <c r="C54" s="68"/>
      <c r="D54" s="68"/>
      <c r="E54" s="68"/>
      <c r="F54" s="68"/>
      <c r="G54" s="235"/>
      <c r="H54" s="235"/>
      <c r="I54" s="235"/>
      <c r="J54" s="335"/>
      <c r="K54" s="335"/>
      <c r="L54" s="335"/>
      <c r="M54" s="335"/>
    </row>
    <row r="55" spans="1:16" s="77" customFormat="1" ht="20.25" x14ac:dyDescent="0.2">
      <c r="A55" s="80"/>
      <c r="B55" s="80"/>
      <c r="C55" s="80"/>
      <c r="D55" s="80"/>
      <c r="F55" s="80" t="s">
        <v>337</v>
      </c>
      <c r="G55" s="250"/>
      <c r="H55" s="235"/>
      <c r="I55" s="235"/>
      <c r="J55" s="335">
        <v>154471</v>
      </c>
      <c r="K55" s="335">
        <v>225930</v>
      </c>
      <c r="L55" s="335"/>
      <c r="M55" s="335">
        <v>150474</v>
      </c>
      <c r="O55" s="251"/>
    </row>
    <row r="56" spans="1:16" s="77" customFormat="1" ht="21" thickBot="1" x14ac:dyDescent="0.25">
      <c r="A56" s="80"/>
      <c r="B56" s="80"/>
      <c r="C56" s="80"/>
      <c r="D56" s="80"/>
      <c r="F56" s="80" t="s">
        <v>344</v>
      </c>
      <c r="G56" s="235"/>
      <c r="H56" s="235"/>
      <c r="I56" s="235"/>
      <c r="J56" s="656">
        <f>(J48-J37-J38)/J55</f>
        <v>1.4835999397945243</v>
      </c>
      <c r="K56" s="656">
        <f>(K48-K37-K38)/K55</f>
        <v>1.3866223966715352</v>
      </c>
      <c r="L56" s="657"/>
      <c r="M56" s="656">
        <f>(M48-M37-M38)/M55</f>
        <v>1.3842742536916677</v>
      </c>
    </row>
    <row r="57" spans="1:16" s="77" customFormat="1" ht="20.25" x14ac:dyDescent="0.2">
      <c r="A57" s="80"/>
      <c r="B57" s="80"/>
      <c r="C57" s="80"/>
      <c r="D57" s="80"/>
      <c r="F57" s="80"/>
      <c r="G57" s="235"/>
      <c r="H57" s="235"/>
      <c r="I57" s="235"/>
      <c r="J57" s="335"/>
      <c r="K57" s="335"/>
      <c r="L57" s="335"/>
      <c r="M57" s="335"/>
    </row>
    <row r="58" spans="1:16" s="77" customFormat="1" ht="20.25" x14ac:dyDescent="0.2">
      <c r="A58" s="80"/>
      <c r="B58" s="80"/>
      <c r="C58" s="80"/>
      <c r="D58" s="80"/>
      <c r="F58" s="80" t="s">
        <v>338</v>
      </c>
      <c r="G58" s="235"/>
      <c r="H58" s="235"/>
      <c r="I58" s="235"/>
      <c r="J58" s="335">
        <v>11186</v>
      </c>
      <c r="K58" s="335">
        <v>15755</v>
      </c>
      <c r="L58" s="335"/>
      <c r="M58" s="335">
        <v>10639</v>
      </c>
      <c r="P58" s="251"/>
    </row>
    <row r="59" spans="1:16" s="77" customFormat="1" ht="21" thickBot="1" x14ac:dyDescent="0.25">
      <c r="A59" s="80"/>
      <c r="B59" s="80"/>
      <c r="C59" s="80"/>
      <c r="D59" s="80"/>
      <c r="F59" s="80" t="s">
        <v>462</v>
      </c>
      <c r="G59" s="235"/>
      <c r="H59" s="235"/>
      <c r="I59" s="235"/>
      <c r="J59" s="656">
        <f>(J48-J37-J38)/J58</f>
        <v>20.487499222242086</v>
      </c>
      <c r="K59" s="656">
        <f>(K48-K37-K38)/K58</f>
        <v>19.884455606474134</v>
      </c>
      <c r="L59" s="335"/>
      <c r="M59" s="656">
        <f>(M48-M37-M38)/M58</f>
        <v>19.578652509634363</v>
      </c>
    </row>
    <row r="60" spans="1:16" s="77" customFormat="1" ht="20.25" x14ac:dyDescent="0.2">
      <c r="A60" s="80"/>
      <c r="B60" s="80"/>
      <c r="C60" s="80"/>
      <c r="D60" s="80"/>
      <c r="F60" s="80"/>
      <c r="G60" s="235"/>
      <c r="H60" s="235"/>
      <c r="I60" s="235"/>
      <c r="J60" s="335"/>
      <c r="K60" s="335"/>
      <c r="L60" s="335"/>
      <c r="M60" s="335"/>
    </row>
    <row r="61" spans="1:16" s="77" customFormat="1" ht="20.25" x14ac:dyDescent="0.2">
      <c r="A61" s="80"/>
      <c r="B61" s="80"/>
      <c r="C61" s="68"/>
      <c r="D61" s="80"/>
      <c r="F61" s="80" t="s">
        <v>339</v>
      </c>
      <c r="G61" s="235"/>
      <c r="H61" s="235"/>
      <c r="I61" s="235"/>
      <c r="J61" s="335">
        <v>4913</v>
      </c>
      <c r="K61" s="335">
        <v>7063</v>
      </c>
      <c r="L61" s="335"/>
      <c r="M61" s="335">
        <v>4743</v>
      </c>
    </row>
    <row r="62" spans="1:16" s="77" customFormat="1" ht="21" thickBot="1" x14ac:dyDescent="0.25">
      <c r="A62" s="80"/>
      <c r="B62" s="80"/>
      <c r="C62" s="80"/>
      <c r="D62" s="80"/>
      <c r="E62" s="80"/>
      <c r="F62" s="80" t="s">
        <v>487</v>
      </c>
      <c r="G62" s="235"/>
      <c r="H62" s="235"/>
      <c r="I62" s="235"/>
      <c r="J62" s="656">
        <f>J9/J61</f>
        <v>22.080258497862811</v>
      </c>
      <c r="K62" s="656">
        <f>K9/K61</f>
        <v>21.727489735239985</v>
      </c>
      <c r="L62" s="335"/>
      <c r="M62" s="656">
        <f>M9/M61</f>
        <v>21.310837022981236</v>
      </c>
    </row>
    <row r="63" spans="1:16" s="77" customFormat="1" ht="20.25" x14ac:dyDescent="0.2">
      <c r="A63" s="80"/>
      <c r="B63" s="80"/>
      <c r="C63" s="68"/>
      <c r="D63" s="68"/>
      <c r="G63" s="235"/>
      <c r="H63" s="235"/>
      <c r="I63" s="235"/>
      <c r="J63" s="335"/>
      <c r="K63" s="335"/>
      <c r="L63" s="335"/>
      <c r="M63" s="335"/>
    </row>
    <row r="64" spans="1:16" s="77" customFormat="1" ht="20.25" x14ac:dyDescent="0.2">
      <c r="A64" s="80"/>
      <c r="B64" s="80"/>
      <c r="C64" s="80"/>
      <c r="D64" s="80"/>
      <c r="E64" s="80"/>
      <c r="F64" s="80"/>
      <c r="G64" s="235"/>
      <c r="H64" s="235"/>
      <c r="I64" s="235"/>
      <c r="J64" s="235"/>
      <c r="K64" s="235"/>
      <c r="L64" s="235"/>
      <c r="M64" s="235"/>
    </row>
    <row r="65" spans="1:13" s="77" customFormat="1" ht="20.25" x14ac:dyDescent="0.2">
      <c r="A65" s="80"/>
      <c r="B65" s="80"/>
      <c r="C65" s="80"/>
      <c r="D65" s="80"/>
      <c r="E65" s="80"/>
      <c r="F65" s="80"/>
      <c r="G65" s="235"/>
      <c r="H65" s="235"/>
      <c r="I65" s="235"/>
      <c r="J65" s="235"/>
      <c r="K65" s="235"/>
      <c r="L65" s="235"/>
      <c r="M65" s="235"/>
    </row>
    <row r="66" spans="1:13" s="77" customFormat="1" ht="20.25" x14ac:dyDescent="0.2">
      <c r="A66" s="80"/>
      <c r="B66" s="80"/>
      <c r="C66" s="68"/>
      <c r="D66" s="80"/>
      <c r="F66" s="80"/>
      <c r="G66" s="235"/>
      <c r="H66" s="235"/>
      <c r="I66" s="235"/>
      <c r="J66" s="235"/>
      <c r="K66" s="235"/>
      <c r="L66" s="235"/>
      <c r="M66" s="235"/>
    </row>
    <row r="67" spans="1:13" s="77" customFormat="1" ht="20.25" x14ac:dyDescent="0.2">
      <c r="A67" s="80"/>
      <c r="B67" s="80"/>
      <c r="C67" s="80"/>
      <c r="D67" s="80"/>
      <c r="E67" s="80"/>
      <c r="F67" s="80"/>
      <c r="G67" s="235"/>
      <c r="H67" s="235"/>
      <c r="I67" s="235"/>
      <c r="J67" s="235"/>
      <c r="K67" s="235"/>
      <c r="L67" s="235"/>
      <c r="M67" s="235"/>
    </row>
    <row r="68" spans="1:13" s="69" customFormat="1" ht="20.25" x14ac:dyDescent="0.2">
      <c r="A68" s="68"/>
      <c r="B68" s="68"/>
      <c r="C68" s="68"/>
      <c r="D68" s="68"/>
      <c r="E68" s="68"/>
      <c r="F68" s="68"/>
      <c r="G68" s="240"/>
      <c r="H68" s="240"/>
      <c r="I68" s="240"/>
      <c r="J68" s="240"/>
      <c r="K68" s="240"/>
      <c r="L68" s="240"/>
      <c r="M68" s="240"/>
    </row>
    <row r="69" spans="1:13" s="69" customFormat="1" ht="20.25" x14ac:dyDescent="0.2">
      <c r="A69" s="68"/>
      <c r="B69" s="68"/>
      <c r="C69" s="68"/>
      <c r="D69" s="68"/>
      <c r="E69" s="68"/>
      <c r="F69" s="68"/>
      <c r="G69" s="240"/>
      <c r="H69" s="240"/>
      <c r="I69" s="240"/>
      <c r="J69" s="240"/>
      <c r="K69" s="240"/>
      <c r="L69" s="240"/>
      <c r="M69" s="240"/>
    </row>
    <row r="70" spans="1:13" s="69" customFormat="1" ht="23.25" x14ac:dyDescent="0.2">
      <c r="A70" s="68"/>
      <c r="B70" s="276"/>
      <c r="C70" s="68"/>
      <c r="D70" s="68"/>
      <c r="E70" s="68"/>
      <c r="F70" s="68"/>
      <c r="G70" s="235"/>
      <c r="H70" s="235"/>
      <c r="I70" s="235"/>
      <c r="J70" s="235"/>
      <c r="K70" s="235"/>
      <c r="L70" s="235"/>
      <c r="M70" s="235"/>
    </row>
    <row r="71" spans="1:13" s="77" customFormat="1" ht="20.25" x14ac:dyDescent="0.2">
      <c r="A71" s="80"/>
      <c r="B71" s="80"/>
      <c r="D71" s="80"/>
      <c r="E71" s="80"/>
      <c r="F71" s="80"/>
      <c r="G71" s="235"/>
      <c r="H71" s="235"/>
      <c r="I71" s="235"/>
      <c r="J71" s="235"/>
      <c r="K71" s="235"/>
      <c r="L71" s="235"/>
      <c r="M71" s="235"/>
    </row>
    <row r="72" spans="1:13" s="77" customFormat="1" ht="20.25" x14ac:dyDescent="0.2">
      <c r="A72" s="80"/>
      <c r="B72" s="80"/>
      <c r="D72" s="80"/>
      <c r="E72" s="80"/>
      <c r="F72" s="80"/>
      <c r="G72" s="235"/>
      <c r="H72" s="235"/>
      <c r="I72" s="235"/>
      <c r="J72" s="235"/>
      <c r="K72" s="235"/>
      <c r="L72" s="235"/>
      <c r="M72" s="235"/>
    </row>
    <row r="73" spans="1:13" s="69" customFormat="1" ht="20.25" x14ac:dyDescent="0.2">
      <c r="A73" s="68"/>
      <c r="B73" s="68"/>
      <c r="D73" s="80"/>
      <c r="E73" s="68"/>
      <c r="F73" s="68"/>
      <c r="G73" s="235"/>
      <c r="H73" s="235"/>
      <c r="I73" s="235"/>
      <c r="J73" s="235"/>
      <c r="K73" s="235"/>
      <c r="L73" s="235"/>
      <c r="M73" s="235"/>
    </row>
    <row r="74" spans="1:13" s="69" customFormat="1" ht="23.25" x14ac:dyDescent="0.2">
      <c r="A74" s="68"/>
      <c r="B74" s="276"/>
      <c r="C74" s="68"/>
      <c r="D74" s="68"/>
      <c r="E74" s="68"/>
      <c r="F74" s="68"/>
      <c r="G74" s="240"/>
      <c r="H74" s="240"/>
      <c r="I74" s="240"/>
      <c r="J74" s="240"/>
      <c r="K74" s="240"/>
      <c r="L74" s="240"/>
      <c r="M74" s="240"/>
    </row>
    <row r="75" spans="1:13" s="69" customFormat="1" ht="20.25" x14ac:dyDescent="0.2">
      <c r="A75" s="68"/>
      <c r="B75" s="68"/>
      <c r="C75" s="68"/>
      <c r="D75" s="68"/>
      <c r="E75" s="68"/>
      <c r="F75" s="68"/>
      <c r="G75" s="235"/>
      <c r="H75" s="235"/>
      <c r="I75" s="235"/>
      <c r="J75" s="235"/>
      <c r="K75" s="235"/>
      <c r="L75" s="235"/>
      <c r="M75" s="235"/>
    </row>
    <row r="76" spans="1:13" s="83" customFormat="1" ht="26.25" x14ac:dyDescent="0.2">
      <c r="A76" s="273"/>
      <c r="B76" s="273"/>
      <c r="C76" s="273"/>
      <c r="D76" s="273"/>
      <c r="E76" s="273"/>
      <c r="F76" s="273"/>
      <c r="G76" s="274"/>
      <c r="H76" s="240"/>
      <c r="I76" s="240"/>
      <c r="J76" s="240"/>
      <c r="K76" s="240"/>
      <c r="L76" s="240"/>
      <c r="M76" s="240"/>
    </row>
    <row r="77" spans="1:13" s="18" customFormat="1" ht="20.25" x14ac:dyDescent="0.3">
      <c r="A77" s="123"/>
      <c r="B77" s="123"/>
      <c r="C77" s="123"/>
      <c r="D77" s="123"/>
      <c r="E77" s="123"/>
      <c r="F77" s="123"/>
      <c r="G77" s="277"/>
      <c r="H77" s="282"/>
      <c r="I77" s="282"/>
      <c r="J77" s="282"/>
      <c r="K77" s="282"/>
      <c r="L77" s="282"/>
      <c r="M77" s="282"/>
    </row>
    <row r="78" spans="1:13" ht="20.25" x14ac:dyDescent="0.3">
      <c r="H78" s="282"/>
      <c r="I78" s="282"/>
      <c r="J78" s="282"/>
      <c r="K78" s="282"/>
      <c r="L78" s="282"/>
      <c r="M78" s="282"/>
    </row>
    <row r="79" spans="1:13" ht="20.25" x14ac:dyDescent="0.3">
      <c r="H79" s="282"/>
      <c r="I79" s="282"/>
      <c r="J79" s="282"/>
      <c r="K79" s="282"/>
      <c r="L79" s="282"/>
      <c r="M79" s="282"/>
    </row>
    <row r="80" spans="1:13" ht="20.25" x14ac:dyDescent="0.3">
      <c r="H80" s="279"/>
      <c r="I80" s="279"/>
      <c r="J80" s="279"/>
      <c r="K80" s="279"/>
      <c r="L80" s="279"/>
      <c r="M80" s="279"/>
    </row>
  </sheetData>
  <mergeCells count="13">
    <mergeCell ref="J6:M6"/>
    <mergeCell ref="D34:F34"/>
    <mergeCell ref="D35:F35"/>
    <mergeCell ref="D36:F36"/>
    <mergeCell ref="C10:F10"/>
    <mergeCell ref="C20:F20"/>
    <mergeCell ref="D53:F53"/>
    <mergeCell ref="O8:P8"/>
    <mergeCell ref="D29:F29"/>
    <mergeCell ref="D30:F30"/>
    <mergeCell ref="D31:F31"/>
    <mergeCell ref="D33:F33"/>
    <mergeCell ref="C18:F18"/>
  </mergeCells>
  <pageMargins left="0.2" right="0" top="0.5" bottom="0.5" header="0.3" footer="0.3"/>
  <pageSetup scale="53"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7"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3"/>
      <c r="H1" s="60"/>
      <c r="I1" s="60"/>
      <c r="J1" s="60"/>
      <c r="K1" s="60"/>
      <c r="L1" s="484"/>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227</v>
      </c>
      <c r="B2" s="60"/>
      <c r="C2" s="61"/>
      <c r="D2" s="61"/>
      <c r="E2" s="61"/>
      <c r="F2" s="60"/>
      <c r="G2" s="233"/>
      <c r="H2" s="60"/>
      <c r="I2" s="60"/>
      <c r="J2" s="60"/>
      <c r="K2" s="60"/>
      <c r="L2" s="484"/>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510</v>
      </c>
      <c r="B3" s="60"/>
      <c r="C3" s="61"/>
      <c r="D3" s="61"/>
      <c r="E3" s="61"/>
      <c r="F3" s="60"/>
      <c r="G3" s="233"/>
      <c r="H3" s="60"/>
      <c r="I3" s="60"/>
      <c r="J3" s="60"/>
      <c r="K3" s="60"/>
      <c r="L3" s="48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3"/>
      <c r="H4" s="60"/>
      <c r="I4" s="60"/>
      <c r="J4" s="60"/>
      <c r="K4" s="60"/>
      <c r="L4" s="484"/>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4"/>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778"/>
      <c r="H6" s="244" t="s">
        <v>54</v>
      </c>
      <c r="I6" s="244"/>
      <c r="J6" s="841" t="s">
        <v>54</v>
      </c>
      <c r="K6" s="841"/>
      <c r="L6" s="841"/>
      <c r="M6" s="841"/>
      <c r="N6" s="66"/>
      <c r="O6" s="433" t="s">
        <v>192</v>
      </c>
      <c r="P6" s="430" t="s">
        <v>205</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5"/>
    </row>
    <row r="8" spans="1:128" s="73" customFormat="1" ht="21" thickBot="1" x14ac:dyDescent="0.35">
      <c r="A8" s="70"/>
      <c r="B8" s="154" t="s">
        <v>106</v>
      </c>
      <c r="C8" s="154"/>
      <c r="D8" s="154"/>
      <c r="E8" s="154"/>
      <c r="F8" s="154"/>
      <c r="G8" s="287">
        <v>41090</v>
      </c>
      <c r="H8" s="287">
        <v>41274</v>
      </c>
      <c r="I8" s="336"/>
      <c r="J8" s="749">
        <v>43830</v>
      </c>
      <c r="K8" s="750">
        <f>'August''19 State of Activities'!H8</f>
        <v>43465</v>
      </c>
      <c r="L8" s="751"/>
      <c r="M8" s="749">
        <v>44196</v>
      </c>
      <c r="N8" s="72"/>
      <c r="O8" s="840" t="s">
        <v>513</v>
      </c>
      <c r="P8" s="840"/>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8" t="s">
        <v>157</v>
      </c>
      <c r="D9" s="438"/>
      <c r="E9" s="438"/>
      <c r="F9" s="74"/>
      <c r="G9" s="269">
        <v>127719</v>
      </c>
      <c r="H9" s="269">
        <v>67566.5</v>
      </c>
      <c r="I9" s="335"/>
      <c r="J9" s="339">
        <v>160000</v>
      </c>
      <c r="K9" s="339">
        <f>'August''19 State of Activities'!H11</f>
        <v>153461.26</v>
      </c>
      <c r="L9" s="339"/>
      <c r="M9" s="339">
        <v>160000</v>
      </c>
      <c r="N9" s="69"/>
      <c r="O9" s="395">
        <f>M9-J9</f>
        <v>0</v>
      </c>
      <c r="P9" s="431">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38" t="s">
        <v>228</v>
      </c>
      <c r="D10" s="438"/>
      <c r="E10" s="438"/>
      <c r="F10" s="74"/>
      <c r="G10" s="268">
        <v>875436</v>
      </c>
      <c r="H10" s="268">
        <v>372424.1</v>
      </c>
      <c r="I10" s="339"/>
      <c r="J10" s="335">
        <v>5000</v>
      </c>
      <c r="K10" s="335">
        <f>10471.96+(5268.48+3381.01)*1.14</f>
        <v>20332.378599999996</v>
      </c>
      <c r="L10" s="339"/>
      <c r="M10" s="335">
        <v>10000</v>
      </c>
      <c r="N10" s="69"/>
      <c r="O10" s="533">
        <f>M10-J10</f>
        <v>5000</v>
      </c>
      <c r="P10" s="457">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8" t="s">
        <v>108</v>
      </c>
      <c r="D11" s="438"/>
      <c r="E11" s="438"/>
      <c r="F11" s="74"/>
      <c r="G11" s="269"/>
      <c r="H11" s="269"/>
      <c r="I11" s="335"/>
      <c r="J11" s="335"/>
      <c r="K11" s="335"/>
      <c r="L11" s="335"/>
      <c r="M11" s="335"/>
      <c r="N11" s="69"/>
      <c r="O11" s="533"/>
      <c r="P11" s="443"/>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38" t="s">
        <v>229</v>
      </c>
      <c r="E12" s="438"/>
      <c r="F12" s="74"/>
      <c r="G12" s="269">
        <v>94235.25</v>
      </c>
      <c r="H12" s="269">
        <v>37190.379999999997</v>
      </c>
      <c r="I12" s="335"/>
      <c r="J12" s="335">
        <f>3708.33*12</f>
        <v>44499.96</v>
      </c>
      <c r="K12" s="335">
        <f>3541.67*12</f>
        <v>42500.04</v>
      </c>
      <c r="L12" s="335"/>
      <c r="M12" s="335">
        <v>44500</v>
      </c>
      <c r="N12" s="69"/>
      <c r="O12" s="533">
        <f t="shared" ref="O12:O19" si="0">M12-J12</f>
        <v>4.0000000000873115E-2</v>
      </c>
      <c r="P12" s="457">
        <f t="shared" ref="P12:P18" si="1">O12/M12</f>
        <v>8.9887640451400261E-7</v>
      </c>
      <c r="Q12" s="69"/>
      <c r="R12" s="490"/>
      <c r="S12" s="491"/>
      <c r="T12" s="490"/>
      <c r="U12" s="490"/>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8" t="s">
        <v>167</v>
      </c>
      <c r="E13" s="438"/>
      <c r="F13" s="74"/>
      <c r="G13" s="269"/>
      <c r="H13" s="269"/>
      <c r="I13" s="335"/>
      <c r="J13" s="335">
        <v>13000</v>
      </c>
      <c r="K13" s="335">
        <f>750*12</f>
        <v>9000</v>
      </c>
      <c r="L13" s="335"/>
      <c r="M13" s="335">
        <v>18000</v>
      </c>
      <c r="N13" s="69"/>
      <c r="O13" s="533">
        <f t="shared" si="0"/>
        <v>5000</v>
      </c>
      <c r="P13" s="457">
        <f t="shared" si="1"/>
        <v>0.27777777777777779</v>
      </c>
      <c r="Q13" s="69"/>
      <c r="R13" s="69"/>
      <c r="S13" s="404"/>
      <c r="T13" s="492"/>
      <c r="U13" s="377"/>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38" t="s">
        <v>109</v>
      </c>
      <c r="D14" s="438"/>
      <c r="E14" s="438"/>
      <c r="F14" s="74"/>
      <c r="G14" s="269">
        <v>0</v>
      </c>
      <c r="H14" s="269">
        <v>3517</v>
      </c>
      <c r="I14" s="335"/>
      <c r="J14" s="335">
        <v>15000</v>
      </c>
      <c r="K14" s="335">
        <f>'August''19 State of Activities'!H18</f>
        <v>12796</v>
      </c>
      <c r="L14" s="335"/>
      <c r="M14" s="335">
        <v>20000</v>
      </c>
      <c r="N14" s="69"/>
      <c r="O14" s="533">
        <f t="shared" si="0"/>
        <v>5000</v>
      </c>
      <c r="P14" s="457">
        <f t="shared" si="1"/>
        <v>0.25</v>
      </c>
      <c r="Q14" s="69"/>
      <c r="R14" s="69"/>
      <c r="S14" s="404"/>
      <c r="T14" s="492"/>
      <c r="U14" s="37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8" t="s">
        <v>511</v>
      </c>
      <c r="D15" s="438"/>
      <c r="E15" s="438"/>
      <c r="F15" s="74"/>
      <c r="G15" s="269">
        <v>31459</v>
      </c>
      <c r="H15" s="269">
        <v>13920.35</v>
      </c>
      <c r="I15" s="335"/>
      <c r="J15" s="335">
        <v>25000</v>
      </c>
      <c r="K15" s="335">
        <v>25000</v>
      </c>
      <c r="L15" s="335"/>
      <c r="M15" s="335">
        <v>25000</v>
      </c>
      <c r="N15" s="69"/>
      <c r="O15" s="533">
        <f t="shared" si="0"/>
        <v>0</v>
      </c>
      <c r="P15" s="457">
        <f t="shared" si="1"/>
        <v>0</v>
      </c>
      <c r="Q15" s="69"/>
      <c r="R15" s="69"/>
      <c r="S15" s="404"/>
      <c r="T15" s="492"/>
      <c r="U15" s="37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8" t="s">
        <v>512</v>
      </c>
      <c r="D16" s="438"/>
      <c r="E16" s="438"/>
      <c r="F16" s="74"/>
      <c r="G16" s="269"/>
      <c r="H16" s="269"/>
      <c r="I16" s="335"/>
      <c r="J16" s="335">
        <v>20000</v>
      </c>
      <c r="K16" s="335"/>
      <c r="L16" s="335"/>
      <c r="M16" s="335">
        <v>15000</v>
      </c>
      <c r="N16" s="69"/>
      <c r="O16" s="533">
        <f t="shared" si="0"/>
        <v>-5000</v>
      </c>
      <c r="P16" s="457">
        <f t="shared" si="1"/>
        <v>-0.33333333333333331</v>
      </c>
      <c r="Q16" s="69"/>
      <c r="R16" s="69"/>
      <c r="S16" s="404"/>
      <c r="T16" s="492"/>
      <c r="U16" s="377"/>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8" t="s">
        <v>390</v>
      </c>
      <c r="D17" s="438"/>
      <c r="E17" s="438"/>
      <c r="F17" s="74"/>
      <c r="G17" s="269"/>
      <c r="H17" s="269"/>
      <c r="I17" s="335"/>
      <c r="J17" s="335">
        <v>2000</v>
      </c>
      <c r="K17" s="335"/>
      <c r="L17" s="335"/>
      <c r="M17" s="335">
        <v>1000</v>
      </c>
      <c r="N17" s="69"/>
      <c r="O17" s="533">
        <f t="shared" si="0"/>
        <v>-1000</v>
      </c>
      <c r="P17" s="457">
        <f t="shared" si="1"/>
        <v>-1</v>
      </c>
      <c r="Q17" s="69"/>
      <c r="R17" s="69"/>
      <c r="S17" s="404"/>
      <c r="T17" s="492"/>
      <c r="U17" s="377"/>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44" t="s">
        <v>394</v>
      </c>
      <c r="D18" s="844"/>
      <c r="E18" s="844"/>
      <c r="F18" s="844"/>
      <c r="G18" s="269"/>
      <c r="H18" s="269"/>
      <c r="I18" s="335"/>
      <c r="J18" s="335">
        <v>2000</v>
      </c>
      <c r="K18" s="335"/>
      <c r="L18" s="335"/>
      <c r="M18" s="335">
        <v>3000</v>
      </c>
      <c r="N18" s="69"/>
      <c r="O18" s="533">
        <f t="shared" si="0"/>
        <v>1000</v>
      </c>
      <c r="P18" s="457">
        <f t="shared" si="1"/>
        <v>0.33333333333333331</v>
      </c>
      <c r="Q18" s="69"/>
      <c r="R18" s="69"/>
      <c r="S18" s="404"/>
      <c r="T18" s="492"/>
      <c r="U18" s="37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8" t="s">
        <v>514</v>
      </c>
      <c r="D19" s="438"/>
      <c r="E19" s="438"/>
      <c r="F19" s="74"/>
      <c r="G19" s="269">
        <v>1125</v>
      </c>
      <c r="H19" s="269">
        <v>6050</v>
      </c>
      <c r="I19" s="335"/>
      <c r="J19" s="335">
        <v>2000</v>
      </c>
      <c r="K19" s="335">
        <f>'August''19 State of Activities'!H25</f>
        <v>0</v>
      </c>
      <c r="L19" s="335"/>
      <c r="M19" s="335">
        <f>'August''19 State of Activities'!J25</f>
        <v>0</v>
      </c>
      <c r="N19" s="69"/>
      <c r="O19" s="533">
        <f t="shared" si="0"/>
        <v>-2000</v>
      </c>
      <c r="P19" s="457"/>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44" t="s">
        <v>391</v>
      </c>
      <c r="D20" s="844"/>
      <c r="E20" s="844"/>
      <c r="F20" s="844"/>
      <c r="G20" s="269"/>
      <c r="H20" s="269"/>
      <c r="I20" s="335"/>
      <c r="J20" s="335"/>
      <c r="K20" s="335">
        <v>659.25</v>
      </c>
      <c r="L20" s="335"/>
      <c r="M20" s="335"/>
      <c r="N20" s="69"/>
      <c r="O20" s="533">
        <f>J20-M20</f>
        <v>0</v>
      </c>
      <c r="P20" s="457"/>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8" t="s">
        <v>231</v>
      </c>
      <c r="D21" s="438"/>
      <c r="E21" s="438"/>
      <c r="F21" s="74"/>
      <c r="G21" s="270">
        <v>31250</v>
      </c>
      <c r="H21" s="270">
        <v>15624.98</v>
      </c>
      <c r="I21" s="335"/>
      <c r="J21" s="270">
        <v>9315</v>
      </c>
      <c r="K21" s="270">
        <f>'August''19 State of Activities'!H26*0.2</f>
        <v>9315</v>
      </c>
      <c r="L21" s="335"/>
      <c r="M21" s="270">
        <v>9315</v>
      </c>
      <c r="N21" s="69"/>
      <c r="O21" s="534">
        <f>J21-M21</f>
        <v>0</v>
      </c>
      <c r="P21" s="432">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8"/>
      <c r="D22" s="74" t="s">
        <v>111</v>
      </c>
      <c r="E22" s="438"/>
      <c r="F22" s="74"/>
      <c r="G22" s="237">
        <v>1161224.25</v>
      </c>
      <c r="H22" s="237">
        <v>516293.30999999994</v>
      </c>
      <c r="I22" s="235"/>
      <c r="J22" s="269">
        <f>SUM(J9:J21)</f>
        <v>297814.95999999996</v>
      </c>
      <c r="K22" s="269">
        <f>SUM(K9:K21)</f>
        <v>273063.92859999998</v>
      </c>
      <c r="L22" s="335"/>
      <c r="M22" s="269">
        <f>SUM(M9:M21)</f>
        <v>305815</v>
      </c>
      <c r="N22" s="69"/>
      <c r="O22" s="280">
        <f>SUM(O9:O21)</f>
        <v>8000.0400000000009</v>
      </c>
      <c r="P22" s="457">
        <f>O22/M22</f>
        <v>2.615973709595671E-2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232</v>
      </c>
      <c r="D23" s="438"/>
      <c r="E23" s="438"/>
      <c r="F23" s="74"/>
      <c r="G23" s="245">
        <v>150176</v>
      </c>
      <c r="H23" s="245">
        <v>47700.27</v>
      </c>
      <c r="I23" s="235"/>
      <c r="J23" s="335">
        <v>19000</v>
      </c>
      <c r="K23" s="335">
        <v>19000</v>
      </c>
      <c r="L23" s="335"/>
      <c r="M23" s="335">
        <v>19000</v>
      </c>
      <c r="N23" s="69"/>
      <c r="O23" s="533">
        <f>J23-M23</f>
        <v>0</v>
      </c>
      <c r="P23" s="431">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233</v>
      </c>
      <c r="D24" s="438"/>
      <c r="E24" s="438"/>
      <c r="F24" s="74"/>
      <c r="G24" s="235"/>
      <c r="H24" s="235"/>
      <c r="I24" s="235"/>
      <c r="J24" s="270">
        <v>40000</v>
      </c>
      <c r="K24" s="270">
        <v>37641.19</v>
      </c>
      <c r="L24" s="335"/>
      <c r="M24" s="270">
        <v>38000</v>
      </c>
      <c r="N24" s="69"/>
      <c r="O24" s="394">
        <f>M24-J24</f>
        <v>-2000</v>
      </c>
      <c r="P24" s="485">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8"/>
      <c r="D25" s="74" t="s">
        <v>113</v>
      </c>
      <c r="E25" s="438"/>
      <c r="F25" s="74"/>
      <c r="G25" s="237">
        <v>1311400.25</v>
      </c>
      <c r="H25" s="237">
        <v>563993.57999999996</v>
      </c>
      <c r="I25" s="235"/>
      <c r="J25" s="269">
        <f>SUM(J22:J24)</f>
        <v>356814.95999999996</v>
      </c>
      <c r="K25" s="269">
        <f>SUM(K22:K24)</f>
        <v>329705.11859999999</v>
      </c>
      <c r="L25" s="335"/>
      <c r="M25" s="269">
        <f>SUM(M22:M24)</f>
        <v>362815</v>
      </c>
      <c r="N25" s="69"/>
      <c r="O25" s="280">
        <f>M25-J25</f>
        <v>6000.0400000000373</v>
      </c>
      <c r="P25" s="457">
        <f>O25/M25</f>
        <v>1.6537463996802882E-2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8"/>
      <c r="D26" s="74"/>
      <c r="E26" s="438"/>
      <c r="F26" s="74"/>
      <c r="G26" s="237"/>
      <c r="H26" s="237"/>
      <c r="I26" s="235"/>
      <c r="J26" s="335"/>
      <c r="K26" s="335"/>
      <c r="L26" s="335"/>
      <c r="M26" s="335"/>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5"/>
      <c r="H27" s="69"/>
      <c r="I27" s="69"/>
      <c r="J27" s="335"/>
      <c r="K27" s="384"/>
      <c r="L27" s="384"/>
      <c r="M27" s="384"/>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234</v>
      </c>
      <c r="D28" s="80"/>
      <c r="E28" s="80"/>
      <c r="F28" s="80"/>
      <c r="G28" s="235">
        <v>733747.79999999993</v>
      </c>
      <c r="H28" s="280">
        <v>361976</v>
      </c>
      <c r="I28" s="280"/>
      <c r="J28" s="335"/>
      <c r="K28" s="416"/>
      <c r="L28" s="416"/>
      <c r="M28" s="416"/>
    </row>
    <row r="29" spans="1:61" s="69" customFormat="1" ht="20.25" x14ac:dyDescent="0.2">
      <c r="A29" s="68"/>
      <c r="B29" s="68"/>
      <c r="C29" s="80"/>
      <c r="D29" s="842" t="s">
        <v>235</v>
      </c>
      <c r="E29" s="842"/>
      <c r="F29" s="842"/>
      <c r="G29" s="235"/>
      <c r="H29" s="280"/>
      <c r="I29" s="280"/>
      <c r="J29" s="783">
        <f>110984.34+54648</f>
        <v>165632.34</v>
      </c>
      <c r="K29" s="783">
        <v>146508.01999999999</v>
      </c>
      <c r="L29" s="783"/>
      <c r="M29" s="783">
        <v>170000</v>
      </c>
      <c r="O29" s="533">
        <f t="shared" ref="O29:O47" si="2">M29-J29</f>
        <v>4367.6600000000035</v>
      </c>
      <c r="P29" s="457">
        <f>O29/M29</f>
        <v>2.5692117647058844E-2</v>
      </c>
    </row>
    <row r="30" spans="1:61" s="69" customFormat="1" ht="20.25" x14ac:dyDescent="0.2">
      <c r="A30" s="68"/>
      <c r="B30" s="68"/>
      <c r="C30" s="80"/>
      <c r="D30" s="842" t="s">
        <v>236</v>
      </c>
      <c r="E30" s="842"/>
      <c r="F30" s="842"/>
      <c r="G30" s="235"/>
      <c r="H30" s="280"/>
      <c r="I30" s="280"/>
      <c r="J30" s="783">
        <v>63684</v>
      </c>
      <c r="K30" s="783">
        <f>35778.69+23251.49+605.09+292.95</f>
        <v>59928.22</v>
      </c>
      <c r="L30" s="783"/>
      <c r="M30" s="783">
        <f>(22.5*(64*26+100))+(19.06*(50*26+100))</f>
        <v>66374</v>
      </c>
      <c r="O30" s="533">
        <f t="shared" si="2"/>
        <v>2690</v>
      </c>
      <c r="P30" s="457">
        <f>O30/M30</f>
        <v>4.0527917558079968E-2</v>
      </c>
      <c r="R30" s="267"/>
    </row>
    <row r="31" spans="1:61" s="69" customFormat="1" ht="20.25" x14ac:dyDescent="0.2">
      <c r="A31" s="68"/>
      <c r="B31" s="68"/>
      <c r="C31" s="80"/>
      <c r="D31" s="842" t="s">
        <v>119</v>
      </c>
      <c r="E31" s="842"/>
      <c r="F31" s="842"/>
      <c r="G31" s="235"/>
      <c r="H31" s="280"/>
      <c r="I31" s="280"/>
      <c r="J31" s="783">
        <f>(J29+J30)*0.185</f>
        <v>42423.522899999996</v>
      </c>
      <c r="K31" s="783">
        <f>(K29+K30)*0.192</f>
        <v>39635.75808</v>
      </c>
      <c r="L31" s="783"/>
      <c r="M31" s="783">
        <f>(M29+M30)*0.185</f>
        <v>43729.19</v>
      </c>
      <c r="O31" s="533">
        <f t="shared" si="2"/>
        <v>1305.667100000006</v>
      </c>
      <c r="P31" s="457">
        <f>O31/M31</f>
        <v>2.9858021609821858E-2</v>
      </c>
    </row>
    <row r="32" spans="1:61" s="69" customFormat="1" ht="20.25" x14ac:dyDescent="0.2">
      <c r="A32" s="68"/>
      <c r="B32" s="68"/>
      <c r="C32" s="80" t="s">
        <v>299</v>
      </c>
      <c r="D32" s="80"/>
      <c r="E32" s="80"/>
      <c r="F32" s="80"/>
      <c r="G32" s="235">
        <v>44745.18</v>
      </c>
      <c r="H32" s="235">
        <v>20974.21</v>
      </c>
      <c r="I32" s="235"/>
      <c r="J32" s="783"/>
      <c r="K32" s="784"/>
      <c r="L32" s="783"/>
      <c r="M32" s="783"/>
      <c r="O32" s="533">
        <f t="shared" si="2"/>
        <v>0</v>
      </c>
      <c r="P32" s="457"/>
    </row>
    <row r="33" spans="1:16" s="69" customFormat="1" ht="20.25" x14ac:dyDescent="0.2">
      <c r="A33" s="68"/>
      <c r="B33" s="68"/>
      <c r="C33" s="80"/>
      <c r="D33" s="842" t="s">
        <v>237</v>
      </c>
      <c r="E33" s="842"/>
      <c r="F33" s="842"/>
      <c r="G33" s="235"/>
      <c r="H33" s="235"/>
      <c r="I33" s="235"/>
      <c r="J33" s="783">
        <f>17368.36/8*12</f>
        <v>26052.54</v>
      </c>
      <c r="K33" s="783">
        <v>27183.82</v>
      </c>
      <c r="L33" s="783"/>
      <c r="M33" s="783">
        <v>27500</v>
      </c>
      <c r="O33" s="533">
        <f t="shared" si="2"/>
        <v>1447.4599999999991</v>
      </c>
      <c r="P33" s="457">
        <f t="shared" ref="P33:P40" si="3">O33/M33</f>
        <v>5.2634909090909059E-2</v>
      </c>
    </row>
    <row r="34" spans="1:16" s="69" customFormat="1" ht="20.25" x14ac:dyDescent="0.2">
      <c r="A34" s="68"/>
      <c r="B34" s="68"/>
      <c r="C34" s="80"/>
      <c r="D34" s="842" t="s">
        <v>238</v>
      </c>
      <c r="E34" s="842"/>
      <c r="F34" s="842"/>
      <c r="G34" s="235"/>
      <c r="H34" s="235"/>
      <c r="I34" s="235"/>
      <c r="J34" s="783">
        <f>12089.81/8*12+800-400</f>
        <v>18534.715</v>
      </c>
      <c r="K34" s="783">
        <v>15510.83</v>
      </c>
      <c r="L34" s="783"/>
      <c r="M34" s="783">
        <v>19374</v>
      </c>
      <c r="O34" s="533">
        <f t="shared" si="2"/>
        <v>839.28499999999985</v>
      </c>
      <c r="P34" s="457">
        <f t="shared" si="3"/>
        <v>4.3320171363683282E-2</v>
      </c>
    </row>
    <row r="35" spans="1:16" s="69" customFormat="1" ht="20.25" x14ac:dyDescent="0.2">
      <c r="A35" s="68"/>
      <c r="B35" s="68"/>
      <c r="C35" s="80"/>
      <c r="D35" s="842" t="s">
        <v>328</v>
      </c>
      <c r="E35" s="842"/>
      <c r="F35" s="842"/>
      <c r="G35" s="235"/>
      <c r="H35" s="235"/>
      <c r="I35" s="235"/>
      <c r="J35" s="783">
        <f>10143.6/8*12</f>
        <v>15215.400000000001</v>
      </c>
      <c r="K35" s="783">
        <v>12450.36</v>
      </c>
      <c r="L35" s="783"/>
      <c r="M35" s="783">
        <v>15000</v>
      </c>
      <c r="O35" s="533">
        <f t="shared" si="2"/>
        <v>-215.40000000000146</v>
      </c>
      <c r="P35" s="457">
        <f t="shared" si="3"/>
        <v>-1.4360000000000097E-2</v>
      </c>
    </row>
    <row r="36" spans="1:16" s="69" customFormat="1" ht="20.25" x14ac:dyDescent="0.2">
      <c r="A36" s="68"/>
      <c r="B36" s="68"/>
      <c r="C36" s="80"/>
      <c r="D36" s="842" t="s">
        <v>239</v>
      </c>
      <c r="E36" s="842"/>
      <c r="F36" s="842"/>
      <c r="G36" s="235"/>
      <c r="H36" s="235"/>
      <c r="I36" s="235"/>
      <c r="J36" s="783">
        <v>513.5</v>
      </c>
      <c r="K36" s="783">
        <v>377</v>
      </c>
      <c r="L36" s="783"/>
      <c r="M36" s="783">
        <v>250</v>
      </c>
      <c r="O36" s="533">
        <f t="shared" si="2"/>
        <v>-263.5</v>
      </c>
      <c r="P36" s="457">
        <f t="shared" si="3"/>
        <v>-1.054</v>
      </c>
    </row>
    <row r="37" spans="1:16" s="69" customFormat="1" ht="20.25" x14ac:dyDescent="0.2">
      <c r="A37" s="68"/>
      <c r="B37" s="68"/>
      <c r="C37" s="80" t="s">
        <v>240</v>
      </c>
      <c r="D37" s="80"/>
      <c r="E37" s="80"/>
      <c r="F37" s="80"/>
      <c r="G37" s="235">
        <v>27200</v>
      </c>
      <c r="H37" s="235">
        <v>11327</v>
      </c>
      <c r="I37" s="235"/>
      <c r="J37" s="783">
        <f>22772+1411</f>
        <v>24183</v>
      </c>
      <c r="K37" s="783">
        <v>25080</v>
      </c>
      <c r="L37" s="783"/>
      <c r="M37" s="783">
        <f>20430+6774</f>
        <v>27204</v>
      </c>
      <c r="O37" s="533">
        <f t="shared" si="2"/>
        <v>3021</v>
      </c>
      <c r="P37" s="457">
        <f t="shared" si="3"/>
        <v>0.11104984561093957</v>
      </c>
    </row>
    <row r="38" spans="1:16" s="69" customFormat="1" ht="20.25" x14ac:dyDescent="0.2">
      <c r="A38" s="68"/>
      <c r="B38" s="68"/>
      <c r="C38" s="80" t="s">
        <v>110</v>
      </c>
      <c r="D38" s="80"/>
      <c r="E38" s="80"/>
      <c r="F38" s="80"/>
      <c r="G38" s="235">
        <v>150176</v>
      </c>
      <c r="H38" s="280">
        <v>47700.27</v>
      </c>
      <c r="I38" s="280"/>
      <c r="J38" s="783">
        <f>J21</f>
        <v>9315</v>
      </c>
      <c r="K38" s="783">
        <f>K21</f>
        <v>9315</v>
      </c>
      <c r="L38" s="783"/>
      <c r="M38" s="783">
        <f>M21</f>
        <v>9315</v>
      </c>
      <c r="O38" s="533">
        <f t="shared" si="2"/>
        <v>0</v>
      </c>
      <c r="P38" s="457">
        <f t="shared" si="3"/>
        <v>0</v>
      </c>
    </row>
    <row r="39" spans="1:16" s="69" customFormat="1" ht="20.25" x14ac:dyDescent="0.2">
      <c r="A39" s="68"/>
      <c r="B39" s="68"/>
      <c r="C39" s="80" t="s">
        <v>343</v>
      </c>
      <c r="D39" s="80"/>
      <c r="E39" s="80"/>
      <c r="F39" s="80"/>
      <c r="G39" s="235"/>
      <c r="H39" s="280"/>
      <c r="I39" s="280"/>
      <c r="J39" s="783">
        <f>2845+(332.08+24.92)*4</f>
        <v>4273</v>
      </c>
      <c r="K39" s="783">
        <v>4075</v>
      </c>
      <c r="L39" s="783"/>
      <c r="M39" s="783">
        <f>360*12</f>
        <v>4320</v>
      </c>
      <c r="O39" s="533">
        <f t="shared" si="2"/>
        <v>47</v>
      </c>
      <c r="P39" s="457">
        <f t="shared" si="3"/>
        <v>1.087962962962963E-2</v>
      </c>
    </row>
    <row r="40" spans="1:16" s="69" customFormat="1" ht="20.25" x14ac:dyDescent="0.2">
      <c r="A40" s="68"/>
      <c r="B40" s="68"/>
      <c r="C40" s="80" t="s">
        <v>241</v>
      </c>
      <c r="D40" s="80"/>
      <c r="E40" s="80"/>
      <c r="F40" s="80"/>
      <c r="G40" s="235"/>
      <c r="H40" s="280"/>
      <c r="I40" s="280"/>
      <c r="J40" s="783">
        <f>393+75</f>
        <v>468</v>
      </c>
      <c r="K40" s="783">
        <v>1496.32</v>
      </c>
      <c r="L40" s="783"/>
      <c r="M40" s="783">
        <v>500</v>
      </c>
      <c r="O40" s="533">
        <f t="shared" si="2"/>
        <v>32</v>
      </c>
      <c r="P40" s="457">
        <f t="shared" si="3"/>
        <v>6.4000000000000001E-2</v>
      </c>
    </row>
    <row r="41" spans="1:16" s="69" customFormat="1" ht="20.25" x14ac:dyDescent="0.2">
      <c r="A41" s="68"/>
      <c r="B41" s="68"/>
      <c r="C41" s="80" t="s">
        <v>515</v>
      </c>
      <c r="D41" s="80"/>
      <c r="E41" s="80"/>
      <c r="F41" s="80"/>
      <c r="G41" s="235">
        <v>10993.12</v>
      </c>
      <c r="H41" s="280">
        <v>4904.57</v>
      </c>
      <c r="I41" s="280"/>
      <c r="J41" s="783">
        <f>2414+307*4</f>
        <v>3642</v>
      </c>
      <c r="K41" s="783">
        <v>3429.9</v>
      </c>
      <c r="L41" s="783"/>
      <c r="M41" s="783">
        <f>307*12</f>
        <v>3684</v>
      </c>
      <c r="O41" s="533">
        <f t="shared" si="2"/>
        <v>42</v>
      </c>
      <c r="P41" s="457">
        <f>O41/M41</f>
        <v>1.1400651465798045E-2</v>
      </c>
    </row>
    <row r="42" spans="1:16" s="69" customFormat="1" ht="20.25" x14ac:dyDescent="0.2">
      <c r="A42" s="68"/>
      <c r="B42" s="68"/>
      <c r="C42" s="80" t="s">
        <v>242</v>
      </c>
      <c r="D42" s="80"/>
      <c r="E42" s="80"/>
      <c r="F42" s="80"/>
      <c r="G42" s="235">
        <v>10250.949999999999</v>
      </c>
      <c r="H42" s="280">
        <v>3982.99</v>
      </c>
      <c r="I42" s="280"/>
      <c r="J42" s="783">
        <v>600</v>
      </c>
      <c r="K42" s="783">
        <f>56.6+402.81</f>
        <v>459.41</v>
      </c>
      <c r="L42" s="783"/>
      <c r="M42" s="783">
        <v>600</v>
      </c>
      <c r="O42" s="533">
        <f t="shared" si="2"/>
        <v>0</v>
      </c>
      <c r="P42" s="457">
        <f>O42/M42</f>
        <v>0</v>
      </c>
    </row>
    <row r="43" spans="1:16" s="69" customFormat="1" ht="20.25" x14ac:dyDescent="0.2">
      <c r="A43" s="68"/>
      <c r="B43" s="68"/>
      <c r="C43" s="80" t="s">
        <v>128</v>
      </c>
      <c r="D43" s="80"/>
      <c r="E43" s="80"/>
      <c r="F43" s="80"/>
      <c r="G43" s="235">
        <v>4412.53</v>
      </c>
      <c r="H43" s="281">
        <v>5667</v>
      </c>
      <c r="I43" s="281"/>
      <c r="J43" s="783">
        <f>122.96+1237.38+391.65</f>
        <v>1751.9900000000002</v>
      </c>
      <c r="K43" s="783">
        <v>1040.8800000000001</v>
      </c>
      <c r="L43" s="785"/>
      <c r="M43" s="785">
        <f>394*4</f>
        <v>1576</v>
      </c>
      <c r="O43" s="533">
        <f t="shared" si="2"/>
        <v>-175.99000000000024</v>
      </c>
      <c r="P43" s="457">
        <f>O43/M43</f>
        <v>-0.11166878172588847</v>
      </c>
    </row>
    <row r="44" spans="1:16" s="69" customFormat="1" ht="20.25" x14ac:dyDescent="0.2">
      <c r="A44" s="68"/>
      <c r="B44" s="68"/>
      <c r="C44" s="80" t="s">
        <v>126</v>
      </c>
      <c r="D44" s="80"/>
      <c r="E44" s="80"/>
      <c r="F44" s="80"/>
      <c r="G44" s="235">
        <v>7901</v>
      </c>
      <c r="H44" s="280">
        <v>4149.6000000000004</v>
      </c>
      <c r="I44" s="280"/>
      <c r="J44" s="783">
        <f>367.55/8*12</f>
        <v>551.32500000000005</v>
      </c>
      <c r="K44" s="783">
        <v>436.35</v>
      </c>
      <c r="L44" s="783"/>
      <c r="M44" s="783">
        <v>600</v>
      </c>
      <c r="O44" s="533">
        <f t="shared" si="2"/>
        <v>48.674999999999955</v>
      </c>
      <c r="P44" s="457">
        <f>O44/M44</f>
        <v>8.1124999999999919E-2</v>
      </c>
    </row>
    <row r="45" spans="1:16" s="69" customFormat="1" ht="20.25" hidden="1" x14ac:dyDescent="0.2">
      <c r="A45" s="68"/>
      <c r="B45" s="68"/>
      <c r="C45" s="80" t="s">
        <v>243</v>
      </c>
      <c r="D45" s="80"/>
      <c r="E45" s="80"/>
      <c r="F45" s="80"/>
      <c r="G45" s="235"/>
      <c r="H45" s="280"/>
      <c r="I45" s="280"/>
      <c r="J45" s="783"/>
      <c r="K45" s="783"/>
      <c r="L45" s="783"/>
      <c r="M45" s="783">
        <v>0</v>
      </c>
      <c r="O45" s="533">
        <f t="shared" si="2"/>
        <v>0</v>
      </c>
      <c r="P45" s="457"/>
    </row>
    <row r="46" spans="1:16" s="77" customFormat="1" ht="20.25" x14ac:dyDescent="0.2">
      <c r="A46" s="80"/>
      <c r="B46" s="80"/>
      <c r="C46" s="80" t="s">
        <v>122</v>
      </c>
      <c r="D46" s="80"/>
      <c r="E46" s="80"/>
      <c r="F46" s="80"/>
      <c r="G46" s="235">
        <v>5428.37</v>
      </c>
      <c r="H46" s="280">
        <v>2024.52</v>
      </c>
      <c r="I46" s="280"/>
      <c r="J46" s="783">
        <f>208.6/8*12</f>
        <v>312.89999999999998</v>
      </c>
      <c r="K46" s="783">
        <v>205.44</v>
      </c>
      <c r="L46" s="783"/>
      <c r="M46" s="783">
        <v>320</v>
      </c>
      <c r="O46" s="533">
        <f t="shared" si="2"/>
        <v>7.1000000000000227</v>
      </c>
      <c r="P46" s="457">
        <f>O46/M46</f>
        <v>2.2187500000000072E-2</v>
      </c>
    </row>
    <row r="47" spans="1:16" s="77" customFormat="1" ht="20.25" x14ac:dyDescent="0.2">
      <c r="A47" s="80"/>
      <c r="B47" s="80"/>
      <c r="C47" s="80" t="s">
        <v>244</v>
      </c>
      <c r="D47" s="80"/>
      <c r="E47" s="80"/>
      <c r="F47" s="80"/>
      <c r="G47" s="235">
        <v>83462.91</v>
      </c>
      <c r="H47" s="235">
        <v>18995.71</v>
      </c>
      <c r="I47" s="235"/>
      <c r="J47" s="786">
        <v>200</v>
      </c>
      <c r="K47" s="786">
        <f>201.52+30+216.21+94.56</f>
        <v>542.29</v>
      </c>
      <c r="L47" s="783"/>
      <c r="M47" s="783">
        <v>225</v>
      </c>
      <c r="O47" s="533">
        <f t="shared" si="2"/>
        <v>25</v>
      </c>
      <c r="P47" s="535">
        <f>O47/M47</f>
        <v>0.1111111111111111</v>
      </c>
    </row>
    <row r="48" spans="1:16" s="69" customFormat="1" ht="21" thickBot="1" x14ac:dyDescent="0.25">
      <c r="A48" s="68"/>
      <c r="B48" s="68"/>
      <c r="C48" s="68"/>
      <c r="D48" s="74" t="s">
        <v>134</v>
      </c>
      <c r="E48" s="68"/>
      <c r="F48" s="68"/>
      <c r="G48" s="245">
        <v>1078317.8599999999</v>
      </c>
      <c r="H48" s="245">
        <v>481701.87000000005</v>
      </c>
      <c r="I48" s="235"/>
      <c r="J48" s="487">
        <f>SUM(J29:J47)</f>
        <v>377353.23290000006</v>
      </c>
      <c r="K48" s="487">
        <f>SUM(K29:K47)</f>
        <v>347674.59807999997</v>
      </c>
      <c r="L48" s="335"/>
      <c r="M48" s="487">
        <f>SUM(M29:M47)</f>
        <v>390571.19</v>
      </c>
      <c r="O48" s="487">
        <f>J48-M48</f>
        <v>-13217.957099999941</v>
      </c>
      <c r="P48" s="485">
        <f>O48/M48</f>
        <v>-3.384263212040791E-2</v>
      </c>
    </row>
    <row r="49" spans="1:19" s="69" customFormat="1" ht="21" thickBot="1" x14ac:dyDescent="0.25">
      <c r="A49" s="68"/>
      <c r="B49" s="68"/>
      <c r="C49" s="68"/>
      <c r="D49" s="68" t="s">
        <v>135</v>
      </c>
      <c r="E49" s="68"/>
      <c r="F49" s="68"/>
      <c r="G49" s="245">
        <v>233082.39000000013</v>
      </c>
      <c r="H49" s="245">
        <v>82291.709999999905</v>
      </c>
      <c r="I49" s="235"/>
      <c r="J49" s="488">
        <f>J25-J48</f>
        <v>-20538.272900000098</v>
      </c>
      <c r="K49" s="488">
        <f>K25-K48</f>
        <v>-17969.47947999998</v>
      </c>
      <c r="L49" s="335"/>
      <c r="M49" s="488">
        <f>M25-M48</f>
        <v>-27756.190000000002</v>
      </c>
      <c r="O49" s="394">
        <f>M49-J49</f>
        <v>-7217.9170999999042</v>
      </c>
      <c r="P49" s="485">
        <f>O49/M49</f>
        <v>0.26004711381496898</v>
      </c>
    </row>
    <row r="50" spans="1:19" s="69" customFormat="1" ht="20.25" x14ac:dyDescent="0.2">
      <c r="A50" s="68"/>
      <c r="B50" s="68"/>
      <c r="C50" s="68"/>
      <c r="D50" s="68"/>
      <c r="E50" s="68"/>
      <c r="F50" s="68"/>
      <c r="G50" s="235"/>
      <c r="H50" s="235"/>
      <c r="I50" s="235"/>
      <c r="J50" s="335"/>
      <c r="K50" s="335"/>
      <c r="L50" s="335"/>
      <c r="M50" s="335"/>
    </row>
    <row r="51" spans="1:19" s="66" customFormat="1" ht="26.25" x14ac:dyDescent="0.2">
      <c r="A51" s="273"/>
      <c r="B51" s="273"/>
      <c r="C51" s="80" t="s">
        <v>283</v>
      </c>
      <c r="E51" s="80"/>
      <c r="F51" s="80"/>
      <c r="G51" s="275"/>
      <c r="H51" s="235"/>
      <c r="I51" s="235"/>
      <c r="J51" s="335">
        <f>-23415.22-24000</f>
        <v>-47415.22</v>
      </c>
      <c r="K51" s="335">
        <v>-44886</v>
      </c>
      <c r="L51" s="335"/>
      <c r="M51" s="335"/>
      <c r="O51" s="280">
        <f>M51-J51</f>
        <v>47415.22</v>
      </c>
      <c r="P51" s="431"/>
      <c r="S51" s="782"/>
    </row>
    <row r="52" spans="1:19" s="69" customFormat="1" ht="20.25" x14ac:dyDescent="0.2">
      <c r="A52" s="68"/>
      <c r="B52" s="68"/>
      <c r="C52" s="80" t="s">
        <v>245</v>
      </c>
      <c r="E52" s="68"/>
      <c r="G52" s="235"/>
      <c r="H52" s="235"/>
      <c r="I52" s="235"/>
      <c r="J52" s="335">
        <f>J37</f>
        <v>24183</v>
      </c>
      <c r="K52" s="335">
        <f>K37</f>
        <v>25080</v>
      </c>
      <c r="L52" s="335"/>
      <c r="M52" s="335">
        <f>M37</f>
        <v>27204</v>
      </c>
      <c r="O52" s="280">
        <f>M52-J52</f>
        <v>3021</v>
      </c>
      <c r="P52" s="431">
        <v>3.5414486921529216E-2</v>
      </c>
    </row>
    <row r="53" spans="1:19" s="69" customFormat="1" ht="24" thickBot="1" x14ac:dyDescent="0.25">
      <c r="A53" s="68"/>
      <c r="B53" s="413"/>
      <c r="C53" s="68"/>
      <c r="D53" s="843" t="s">
        <v>246</v>
      </c>
      <c r="E53" s="843"/>
      <c r="F53" s="843"/>
      <c r="G53" s="235"/>
      <c r="H53" s="235"/>
      <c r="I53" s="235"/>
      <c r="J53" s="489">
        <f>J49+J51+J52</f>
        <v>-43770.492900000099</v>
      </c>
      <c r="K53" s="489">
        <f>K49+K51+K52</f>
        <v>-37775.47947999998</v>
      </c>
      <c r="L53" s="339"/>
      <c r="M53" s="489">
        <f>M49+M51+M52</f>
        <v>-552.19000000000233</v>
      </c>
      <c r="N53" s="404"/>
      <c r="O53" s="486">
        <f>M53-J53</f>
        <v>43218.302900000097</v>
      </c>
      <c r="P53" s="525">
        <v>2.1062768618503362E-2</v>
      </c>
    </row>
    <row r="54" spans="1:19" s="69" customFormat="1" ht="42" customHeight="1" thickTop="1" x14ac:dyDescent="0.2">
      <c r="A54" s="68"/>
      <c r="B54" s="68"/>
      <c r="C54" s="68"/>
      <c r="D54" s="68"/>
      <c r="E54" s="68"/>
      <c r="F54" s="68"/>
      <c r="G54" s="235"/>
      <c r="H54" s="235"/>
      <c r="I54" s="235"/>
      <c r="J54" s="335"/>
      <c r="K54" s="335"/>
      <c r="L54" s="335"/>
      <c r="M54" s="335"/>
    </row>
    <row r="55" spans="1:19" s="77" customFormat="1" ht="20.25" x14ac:dyDescent="0.2">
      <c r="A55" s="80"/>
      <c r="B55" s="80"/>
      <c r="C55" s="80"/>
      <c r="D55" s="80"/>
      <c r="E55" s="80"/>
      <c r="F55" s="80"/>
      <c r="G55" s="235"/>
      <c r="H55" s="235"/>
      <c r="I55" s="235"/>
      <c r="J55" s="235"/>
      <c r="K55" s="235"/>
      <c r="L55" s="235"/>
      <c r="M55" s="235"/>
    </row>
    <row r="56" spans="1:19" s="77" customFormat="1" ht="20.25" x14ac:dyDescent="0.2">
      <c r="A56" s="80"/>
      <c r="B56" s="80"/>
      <c r="C56" s="80"/>
      <c r="D56" s="80"/>
      <c r="E56" s="80"/>
      <c r="F56" s="80"/>
      <c r="G56" s="235"/>
      <c r="H56" s="235"/>
      <c r="I56" s="235"/>
      <c r="J56" s="235"/>
      <c r="K56" s="235"/>
      <c r="L56" s="235"/>
      <c r="M56" s="235"/>
    </row>
    <row r="57" spans="1:19" s="77" customFormat="1" ht="20.25" x14ac:dyDescent="0.2">
      <c r="A57" s="80"/>
      <c r="B57" s="80"/>
      <c r="C57" s="68"/>
      <c r="D57" s="80"/>
      <c r="F57" s="80"/>
      <c r="G57" s="235"/>
      <c r="H57" s="235"/>
      <c r="I57" s="235"/>
      <c r="J57" s="235"/>
      <c r="K57" s="235"/>
      <c r="L57" s="235"/>
      <c r="M57" s="235"/>
    </row>
    <row r="58" spans="1:19" s="77" customFormat="1" ht="20.25" x14ac:dyDescent="0.2">
      <c r="A58" s="80"/>
      <c r="B58" s="80"/>
      <c r="C58" s="80"/>
      <c r="D58" s="80"/>
      <c r="E58" s="80"/>
      <c r="F58" s="80"/>
      <c r="G58" s="235"/>
      <c r="H58" s="235"/>
      <c r="I58" s="235"/>
      <c r="J58" s="235"/>
      <c r="K58" s="235"/>
      <c r="L58" s="235"/>
      <c r="M58" s="235"/>
    </row>
    <row r="59" spans="1:19" s="69" customFormat="1" ht="20.25" x14ac:dyDescent="0.2">
      <c r="A59" s="68"/>
      <c r="B59" s="68"/>
      <c r="C59" s="68"/>
      <c r="D59" s="68"/>
      <c r="E59" s="68"/>
      <c r="F59" s="68"/>
      <c r="G59" s="240"/>
      <c r="H59" s="240"/>
      <c r="I59" s="240"/>
      <c r="J59" s="240"/>
      <c r="K59" s="240"/>
      <c r="L59" s="240"/>
      <c r="M59" s="240"/>
    </row>
    <row r="60" spans="1:19" s="69" customFormat="1" ht="20.25" x14ac:dyDescent="0.2">
      <c r="A60" s="68"/>
      <c r="B60" s="68"/>
      <c r="C60" s="68"/>
      <c r="D60" s="68"/>
      <c r="E60" s="68"/>
      <c r="F60" s="68"/>
      <c r="G60" s="240"/>
      <c r="H60" s="240"/>
      <c r="I60" s="240"/>
      <c r="J60" s="240"/>
      <c r="K60" s="240"/>
      <c r="L60" s="240"/>
      <c r="M60" s="240"/>
    </row>
    <row r="61" spans="1:19" s="69" customFormat="1" ht="23.25" x14ac:dyDescent="0.2">
      <c r="A61" s="68"/>
      <c r="B61" s="276"/>
      <c r="C61" s="68"/>
      <c r="D61" s="68"/>
      <c r="E61" s="68"/>
      <c r="F61" s="68"/>
      <c r="G61" s="235"/>
      <c r="H61" s="235"/>
      <c r="I61" s="235"/>
      <c r="J61" s="235"/>
      <c r="K61" s="235"/>
      <c r="L61" s="235"/>
      <c r="M61" s="235"/>
    </row>
    <row r="62" spans="1:19" s="77" customFormat="1" ht="20.25" x14ac:dyDescent="0.2">
      <c r="A62" s="80"/>
      <c r="B62" s="80"/>
      <c r="D62" s="80"/>
      <c r="E62" s="80"/>
      <c r="F62" s="80"/>
      <c r="G62" s="235"/>
      <c r="H62" s="235"/>
      <c r="I62" s="235"/>
      <c r="J62" s="235"/>
      <c r="K62" s="235"/>
      <c r="L62" s="235"/>
      <c r="M62" s="235"/>
    </row>
    <row r="63" spans="1:19" s="77" customFormat="1" ht="20.25" x14ac:dyDescent="0.2">
      <c r="A63" s="80"/>
      <c r="B63" s="80"/>
      <c r="D63" s="80"/>
      <c r="E63" s="80"/>
      <c r="F63" s="80"/>
      <c r="G63" s="235"/>
      <c r="H63" s="235"/>
      <c r="I63" s="235"/>
      <c r="J63" s="235"/>
      <c r="K63" s="235"/>
      <c r="L63" s="235"/>
      <c r="M63" s="235"/>
    </row>
    <row r="64" spans="1:19" s="69" customFormat="1" ht="20.25" x14ac:dyDescent="0.2">
      <c r="A64" s="68"/>
      <c r="B64" s="68"/>
      <c r="D64" s="80"/>
      <c r="E64" s="68"/>
      <c r="F64" s="68"/>
      <c r="G64" s="235"/>
      <c r="H64" s="235"/>
      <c r="I64" s="235"/>
      <c r="J64" s="235"/>
      <c r="K64" s="235"/>
      <c r="L64" s="235"/>
      <c r="M64" s="235"/>
    </row>
    <row r="65" spans="1:13" s="69" customFormat="1" ht="23.25" x14ac:dyDescent="0.2">
      <c r="A65" s="68"/>
      <c r="B65" s="276"/>
      <c r="C65" s="68"/>
      <c r="D65" s="68"/>
      <c r="E65" s="68"/>
      <c r="F65" s="68"/>
      <c r="G65" s="240"/>
      <c r="H65" s="240"/>
      <c r="I65" s="240"/>
      <c r="J65" s="240"/>
      <c r="K65" s="240"/>
      <c r="L65" s="240"/>
      <c r="M65" s="240"/>
    </row>
    <row r="66" spans="1:13" s="69" customFormat="1" ht="20.25" x14ac:dyDescent="0.2">
      <c r="A66" s="68"/>
      <c r="B66" s="68"/>
      <c r="C66" s="68"/>
      <c r="D66" s="68"/>
      <c r="E66" s="68"/>
      <c r="F66" s="68"/>
      <c r="G66" s="235"/>
      <c r="H66" s="235"/>
      <c r="I66" s="235"/>
      <c r="J66" s="235"/>
      <c r="K66" s="235"/>
      <c r="L66" s="235"/>
      <c r="M66" s="235"/>
    </row>
    <row r="67" spans="1:13" s="83" customFormat="1" ht="26.25" x14ac:dyDescent="0.2">
      <c r="A67" s="273"/>
      <c r="B67" s="273"/>
      <c r="C67" s="273"/>
      <c r="D67" s="273"/>
      <c r="E67" s="273"/>
      <c r="F67" s="273"/>
      <c r="G67" s="274"/>
      <c r="H67" s="240"/>
      <c r="I67" s="240"/>
      <c r="J67" s="240"/>
      <c r="K67" s="240"/>
      <c r="L67" s="240"/>
      <c r="M67" s="240"/>
    </row>
    <row r="68" spans="1:13" s="18" customFormat="1" ht="20.25" x14ac:dyDescent="0.3">
      <c r="A68" s="123"/>
      <c r="B68" s="123"/>
      <c r="C68" s="123"/>
      <c r="D68" s="123"/>
      <c r="E68" s="123"/>
      <c r="F68" s="123"/>
      <c r="G68" s="277"/>
      <c r="H68" s="282"/>
      <c r="I68" s="282"/>
      <c r="J68" s="282"/>
      <c r="K68" s="282"/>
      <c r="L68" s="282"/>
      <c r="M68" s="282"/>
    </row>
    <row r="69" spans="1:13" ht="20.25" x14ac:dyDescent="0.3">
      <c r="H69" s="282"/>
      <c r="I69" s="282"/>
      <c r="J69" s="282"/>
      <c r="K69" s="282"/>
      <c r="L69" s="282"/>
      <c r="M69" s="282"/>
    </row>
    <row r="70" spans="1:13" ht="20.25" x14ac:dyDescent="0.3">
      <c r="H70" s="282"/>
      <c r="I70" s="282"/>
      <c r="J70" s="282"/>
      <c r="K70" s="282"/>
      <c r="L70" s="282"/>
      <c r="M70" s="282"/>
    </row>
    <row r="71" spans="1:13" ht="20.25" x14ac:dyDescent="0.3">
      <c r="H71" s="279"/>
      <c r="I71" s="279"/>
      <c r="J71" s="279"/>
      <c r="K71" s="279"/>
      <c r="L71" s="279"/>
      <c r="M71" s="279"/>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100</v>
      </c>
      <c r="B1" s="60"/>
      <c r="C1" s="61"/>
      <c r="D1" s="61"/>
      <c r="E1" s="61"/>
      <c r="F1" s="60"/>
      <c r="G1" s="233"/>
    </row>
    <row r="2" spans="1:9" ht="26.25" x14ac:dyDescent="0.4">
      <c r="A2" s="59" t="s">
        <v>281</v>
      </c>
      <c r="B2" s="60"/>
      <c r="C2" s="61"/>
      <c r="D2" s="61"/>
      <c r="E2" s="61"/>
      <c r="F2" s="60"/>
      <c r="G2" s="233"/>
    </row>
    <row r="3" spans="1:9" ht="26.25" x14ac:dyDescent="0.4">
      <c r="A3" s="59" t="s">
        <v>348</v>
      </c>
      <c r="B3" s="60"/>
      <c r="C3" s="61"/>
      <c r="D3" s="61"/>
      <c r="E3" s="61"/>
      <c r="F3" s="60"/>
      <c r="G3" s="233"/>
    </row>
    <row r="4" spans="1:9" ht="21" thickBot="1" x14ac:dyDescent="0.25">
      <c r="A4" s="62"/>
      <c r="B4" s="62"/>
      <c r="C4" s="62"/>
      <c r="D4" s="62"/>
      <c r="E4" s="62"/>
      <c r="F4" s="62"/>
      <c r="G4" s="234"/>
    </row>
    <row r="5" spans="1:9" ht="27.75" thickTop="1" thickBot="1" x14ac:dyDescent="0.25">
      <c r="A5" s="65"/>
      <c r="B5" s="65"/>
      <c r="C5" s="65"/>
      <c r="D5" s="65"/>
      <c r="E5" s="65"/>
      <c r="F5" s="65"/>
      <c r="G5" s="658" t="s">
        <v>54</v>
      </c>
    </row>
    <row r="6" spans="1:9" ht="21" thickTop="1" x14ac:dyDescent="0.2">
      <c r="A6" s="68"/>
      <c r="B6" s="68"/>
      <c r="C6" s="68"/>
      <c r="D6" s="68"/>
      <c r="E6" s="68"/>
      <c r="F6" s="68"/>
      <c r="G6" s="235"/>
    </row>
    <row r="7" spans="1:9" ht="21" thickBot="1" x14ac:dyDescent="0.35">
      <c r="A7" s="70"/>
      <c r="B7" s="154" t="s">
        <v>106</v>
      </c>
      <c r="C7" s="154"/>
      <c r="D7" s="154"/>
      <c r="E7" s="154"/>
      <c r="F7" s="154"/>
      <c r="G7" s="287"/>
    </row>
    <row r="8" spans="1:9" ht="20.25" x14ac:dyDescent="0.2">
      <c r="A8" s="74"/>
      <c r="B8" s="74"/>
      <c r="C8" s="438" t="s">
        <v>107</v>
      </c>
      <c r="D8" s="438"/>
      <c r="E8" s="438"/>
      <c r="F8" s="74"/>
      <c r="G8" s="268">
        <v>791718</v>
      </c>
    </row>
    <row r="9" spans="1:9" ht="20.25" x14ac:dyDescent="0.2">
      <c r="A9" s="74"/>
      <c r="B9" s="74"/>
      <c r="C9" s="438" t="s">
        <v>349</v>
      </c>
      <c r="D9" s="438"/>
      <c r="E9" s="438"/>
      <c r="F9" s="74"/>
      <c r="G9" s="269">
        <v>25000</v>
      </c>
    </row>
    <row r="10" spans="1:9" ht="20.25" x14ac:dyDescent="0.2">
      <c r="A10" s="74"/>
      <c r="B10" s="409"/>
      <c r="C10" s="438" t="s">
        <v>157</v>
      </c>
      <c r="D10" s="438"/>
      <c r="E10" s="438"/>
      <c r="F10" s="74"/>
      <c r="G10" s="269">
        <v>147000</v>
      </c>
    </row>
    <row r="11" spans="1:9" ht="20.25" x14ac:dyDescent="0.2">
      <c r="A11" s="74"/>
      <c r="B11" s="409"/>
      <c r="C11" s="438" t="s">
        <v>190</v>
      </c>
      <c r="D11" s="438"/>
      <c r="E11" s="438"/>
      <c r="F11" s="74"/>
      <c r="G11" s="269">
        <v>43322</v>
      </c>
      <c r="I11" s="247"/>
    </row>
    <row r="12" spans="1:9" ht="20.25" x14ac:dyDescent="0.2">
      <c r="A12" s="74"/>
      <c r="B12" s="409"/>
      <c r="C12" s="438" t="s">
        <v>108</v>
      </c>
      <c r="D12" s="438"/>
      <c r="E12" s="438"/>
      <c r="F12" s="74"/>
      <c r="G12" s="269"/>
    </row>
    <row r="13" spans="1:9" ht="20.25" x14ac:dyDescent="0.2">
      <c r="A13" s="74"/>
      <c r="B13" s="409"/>
      <c r="C13" s="78"/>
      <c r="D13" s="438" t="s">
        <v>146</v>
      </c>
      <c r="E13" s="438"/>
      <c r="F13" s="74"/>
      <c r="G13" s="269">
        <f>43500+158022</f>
        <v>201522</v>
      </c>
    </row>
    <row r="14" spans="1:9" ht="20.25" x14ac:dyDescent="0.2">
      <c r="A14" s="74"/>
      <c r="B14" s="409"/>
      <c r="C14" s="78"/>
      <c r="D14" s="438" t="s">
        <v>167</v>
      </c>
      <c r="E14" s="438"/>
      <c r="F14" s="74"/>
      <c r="G14" s="269">
        <v>13000</v>
      </c>
    </row>
    <row r="15" spans="1:9" ht="20.25" x14ac:dyDescent="0.2">
      <c r="A15" s="74"/>
      <c r="B15" s="409"/>
      <c r="C15" s="438" t="s">
        <v>109</v>
      </c>
      <c r="D15" s="438"/>
      <c r="E15" s="438"/>
      <c r="F15" s="74"/>
      <c r="G15" s="269">
        <v>12500</v>
      </c>
    </row>
    <row r="16" spans="1:9" ht="20.25" x14ac:dyDescent="0.2">
      <c r="A16" s="74"/>
      <c r="B16" s="409"/>
      <c r="C16" s="438" t="s">
        <v>116</v>
      </c>
      <c r="D16" s="438"/>
      <c r="E16" s="438"/>
      <c r="F16" s="74"/>
      <c r="G16" s="269">
        <v>1200</v>
      </c>
    </row>
    <row r="17" spans="1:9" ht="20.25" x14ac:dyDescent="0.2">
      <c r="A17" s="74"/>
      <c r="B17" s="409"/>
      <c r="C17" s="438" t="s">
        <v>253</v>
      </c>
      <c r="D17" s="438"/>
      <c r="E17" s="438"/>
      <c r="F17" s="74"/>
      <c r="G17" s="269">
        <v>4200</v>
      </c>
    </row>
    <row r="18" spans="1:9" ht="20.25" x14ac:dyDescent="0.2">
      <c r="A18" s="74"/>
      <c r="B18" s="409"/>
      <c r="C18" s="438" t="s">
        <v>351</v>
      </c>
      <c r="D18" s="438"/>
      <c r="E18" s="438"/>
      <c r="F18" s="74"/>
      <c r="G18" s="269">
        <v>1500</v>
      </c>
    </row>
    <row r="19" spans="1:9" ht="20.25" x14ac:dyDescent="0.2">
      <c r="A19" s="74"/>
      <c r="B19" s="409"/>
      <c r="C19" s="438" t="s">
        <v>254</v>
      </c>
      <c r="D19" s="438"/>
      <c r="E19" s="438"/>
      <c r="F19" s="74"/>
      <c r="G19" s="269"/>
    </row>
    <row r="20" spans="1:9" ht="20.25" x14ac:dyDescent="0.2">
      <c r="A20" s="74"/>
      <c r="B20" s="409"/>
      <c r="C20" s="438"/>
      <c r="D20" s="438" t="s">
        <v>11</v>
      </c>
      <c r="E20" s="438"/>
      <c r="F20" s="74"/>
      <c r="G20" s="269">
        <f>73338-45000</f>
        <v>28338</v>
      </c>
    </row>
    <row r="21" spans="1:9" ht="20.25" x14ac:dyDescent="0.2">
      <c r="A21" s="74"/>
      <c r="B21" s="409"/>
      <c r="C21" s="438"/>
      <c r="D21" s="438" t="s">
        <v>17</v>
      </c>
      <c r="E21" s="438"/>
      <c r="F21" s="74"/>
      <c r="G21" s="269">
        <v>45000</v>
      </c>
    </row>
    <row r="22" spans="1:9" ht="20.25" x14ac:dyDescent="0.2">
      <c r="A22" s="74"/>
      <c r="B22" s="409"/>
      <c r="C22" s="438" t="s">
        <v>353</v>
      </c>
      <c r="D22" s="438"/>
      <c r="E22" s="438"/>
      <c r="F22" s="74"/>
      <c r="G22" s="269">
        <v>2500</v>
      </c>
    </row>
    <row r="23" spans="1:9" ht="20.25" x14ac:dyDescent="0.2">
      <c r="A23" s="74"/>
      <c r="B23" s="409"/>
      <c r="C23" s="438" t="s">
        <v>115</v>
      </c>
      <c r="D23" s="438"/>
      <c r="E23" s="438"/>
      <c r="F23" s="74"/>
      <c r="G23" s="335">
        <v>46575</v>
      </c>
    </row>
    <row r="24" spans="1:9" ht="20.25" x14ac:dyDescent="0.2">
      <c r="A24" s="74"/>
      <c r="B24" s="409"/>
      <c r="C24" s="438" t="s">
        <v>354</v>
      </c>
      <c r="D24" s="438"/>
      <c r="E24" s="438"/>
      <c r="F24" s="74"/>
      <c r="G24" s="335">
        <v>1531</v>
      </c>
    </row>
    <row r="25" spans="1:9" ht="20.25" x14ac:dyDescent="0.2">
      <c r="A25" s="74"/>
      <c r="B25" s="409"/>
      <c r="C25" s="438" t="s">
        <v>108</v>
      </c>
      <c r="D25" s="438"/>
      <c r="E25" s="438"/>
      <c r="F25" s="74"/>
      <c r="G25" s="335">
        <v>19000</v>
      </c>
    </row>
    <row r="26" spans="1:9" ht="20.25" x14ac:dyDescent="0.2">
      <c r="A26" s="74"/>
      <c r="B26" s="409"/>
      <c r="C26" s="438" t="s">
        <v>350</v>
      </c>
      <c r="D26" s="438"/>
      <c r="E26" s="438"/>
      <c r="F26" s="74"/>
      <c r="G26" s="335">
        <v>51000</v>
      </c>
    </row>
    <row r="27" spans="1:9" ht="20.25" x14ac:dyDescent="0.2">
      <c r="A27" s="74"/>
      <c r="B27" s="409"/>
      <c r="C27" s="438" t="s">
        <v>352</v>
      </c>
      <c r="D27" s="438"/>
      <c r="E27" s="438"/>
      <c r="F27" s="74"/>
      <c r="G27" s="335">
        <v>20655</v>
      </c>
    </row>
    <row r="28" spans="1:9" ht="20.25" x14ac:dyDescent="0.2">
      <c r="A28" s="74"/>
      <c r="B28" s="409"/>
      <c r="C28" s="438"/>
      <c r="D28" s="74" t="s">
        <v>111</v>
      </c>
      <c r="E28" s="438"/>
      <c r="F28" s="74"/>
      <c r="G28" s="246">
        <f>SUM(G8:G27)</f>
        <v>1455561</v>
      </c>
      <c r="I28" s="247"/>
    </row>
    <row r="29" spans="1:9" ht="20.25" x14ac:dyDescent="0.2">
      <c r="A29" s="74"/>
      <c r="B29" s="409"/>
      <c r="C29" s="438"/>
      <c r="D29" s="74"/>
      <c r="E29" s="438"/>
      <c r="F29" s="74"/>
      <c r="G29" s="237"/>
    </row>
    <row r="30" spans="1:9" ht="21" thickBot="1" x14ac:dyDescent="0.25">
      <c r="A30" s="74"/>
      <c r="B30" s="410" t="s">
        <v>117</v>
      </c>
      <c r="C30" s="88"/>
      <c r="D30" s="88"/>
      <c r="E30" s="88"/>
      <c r="F30" s="88"/>
      <c r="G30" s="245"/>
    </row>
    <row r="31" spans="1:9" ht="20.25" x14ac:dyDescent="0.2">
      <c r="A31" s="68"/>
      <c r="B31" s="411"/>
      <c r="C31" s="80" t="s">
        <v>118</v>
      </c>
      <c r="D31" s="80"/>
      <c r="E31" s="80"/>
      <c r="F31" s="80"/>
      <c r="G31" s="235">
        <v>889720</v>
      </c>
    </row>
    <row r="32" spans="1:9" ht="20.25" x14ac:dyDescent="0.2">
      <c r="A32" s="68"/>
      <c r="B32" s="411"/>
      <c r="C32" s="80" t="s">
        <v>119</v>
      </c>
      <c r="D32" s="80"/>
      <c r="E32" s="80"/>
      <c r="F32" s="80"/>
      <c r="G32" s="235">
        <v>192602</v>
      </c>
    </row>
    <row r="33" spans="1:7" ht="20.25" x14ac:dyDescent="0.2">
      <c r="A33" s="68"/>
      <c r="B33" s="411"/>
      <c r="C33" s="80" t="s">
        <v>120</v>
      </c>
      <c r="D33" s="80"/>
      <c r="E33" s="80"/>
      <c r="F33" s="80"/>
      <c r="G33" s="235">
        <v>3600</v>
      </c>
    </row>
    <row r="34" spans="1:7" ht="20.25" x14ac:dyDescent="0.2">
      <c r="A34" s="68"/>
      <c r="B34" s="411"/>
      <c r="C34" s="80" t="s">
        <v>110</v>
      </c>
      <c r="D34" s="80"/>
      <c r="E34" s="80"/>
      <c r="F34" s="80"/>
      <c r="G34" s="235">
        <f>G23</f>
        <v>46575</v>
      </c>
    </row>
    <row r="35" spans="1:7" ht="20.25" x14ac:dyDescent="0.2">
      <c r="A35" s="68"/>
      <c r="B35" s="411"/>
      <c r="C35" s="80" t="s">
        <v>121</v>
      </c>
      <c r="D35" s="80"/>
      <c r="E35" s="80"/>
      <c r="F35" s="80"/>
      <c r="G35" s="235">
        <v>17595</v>
      </c>
    </row>
    <row r="36" spans="1:7" ht="20.25" x14ac:dyDescent="0.2">
      <c r="A36" s="68"/>
      <c r="B36" s="411"/>
      <c r="C36" s="80" t="s">
        <v>122</v>
      </c>
      <c r="D36" s="80"/>
      <c r="E36" s="80"/>
      <c r="F36" s="80"/>
      <c r="G36" s="235">
        <v>2821</v>
      </c>
    </row>
    <row r="37" spans="1:7" ht="20.25" x14ac:dyDescent="0.2">
      <c r="A37" s="68"/>
      <c r="B37" s="411"/>
      <c r="C37" s="80" t="s">
        <v>123</v>
      </c>
      <c r="D37" s="80"/>
      <c r="E37" s="80"/>
      <c r="F37" s="80"/>
      <c r="G37" s="235">
        <v>5032</v>
      </c>
    </row>
    <row r="38" spans="1:7" ht="20.25" x14ac:dyDescent="0.2">
      <c r="A38" s="68"/>
      <c r="B38" s="411"/>
      <c r="C38" s="80" t="s">
        <v>124</v>
      </c>
      <c r="D38" s="80"/>
      <c r="E38" s="80"/>
      <c r="F38" s="80"/>
      <c r="G38" s="235">
        <v>12216</v>
      </c>
    </row>
    <row r="39" spans="1:7" ht="20.25" x14ac:dyDescent="0.2">
      <c r="A39" s="68"/>
      <c r="B39" s="411"/>
      <c r="C39" s="80" t="s">
        <v>125</v>
      </c>
      <c r="D39" s="80"/>
      <c r="E39" s="80"/>
      <c r="F39" s="80"/>
      <c r="G39" s="235">
        <v>39500</v>
      </c>
    </row>
    <row r="40" spans="1:7" ht="20.25" x14ac:dyDescent="0.2">
      <c r="A40" s="68"/>
      <c r="B40" s="411"/>
      <c r="C40" s="80" t="s">
        <v>126</v>
      </c>
      <c r="D40" s="80"/>
      <c r="E40" s="80"/>
      <c r="F40" s="80"/>
      <c r="G40" s="235">
        <v>4840</v>
      </c>
    </row>
    <row r="41" spans="1:7" ht="20.25" x14ac:dyDescent="0.2">
      <c r="A41" s="68"/>
      <c r="B41" s="411"/>
      <c r="C41" s="80" t="s">
        <v>127</v>
      </c>
      <c r="D41" s="80"/>
      <c r="E41" s="80"/>
      <c r="F41" s="80"/>
      <c r="G41" s="235">
        <v>1735</v>
      </c>
    </row>
    <row r="42" spans="1:7" ht="20.25" x14ac:dyDescent="0.2">
      <c r="A42" s="68"/>
      <c r="B42" s="411"/>
      <c r="C42" s="80" t="s">
        <v>176</v>
      </c>
      <c r="D42" s="80"/>
      <c r="E42" s="80"/>
      <c r="F42" s="80"/>
      <c r="G42" s="235">
        <v>12125</v>
      </c>
    </row>
    <row r="43" spans="1:7" ht="20.25" x14ac:dyDescent="0.2">
      <c r="A43" s="80"/>
      <c r="B43" s="407"/>
      <c r="C43" s="80" t="s">
        <v>128</v>
      </c>
      <c r="D43" s="80"/>
      <c r="E43" s="80"/>
      <c r="F43" s="80"/>
      <c r="G43" s="335">
        <v>12252</v>
      </c>
    </row>
    <row r="44" spans="1:7" ht="20.25" x14ac:dyDescent="0.2">
      <c r="A44" s="80"/>
      <c r="B44" s="407"/>
      <c r="C44" s="80" t="s">
        <v>129</v>
      </c>
      <c r="D44" s="80"/>
      <c r="E44" s="80"/>
      <c r="F44" s="80"/>
      <c r="G44" s="235">
        <v>13564</v>
      </c>
    </row>
    <row r="45" spans="1:7" ht="20.25" x14ac:dyDescent="0.2">
      <c r="A45" s="80"/>
      <c r="B45" s="407"/>
      <c r="C45" s="80" t="s">
        <v>136</v>
      </c>
      <c r="D45" s="80"/>
      <c r="E45" s="80"/>
      <c r="F45" s="80"/>
      <c r="G45" s="235">
        <v>875</v>
      </c>
    </row>
    <row r="46" spans="1:7" ht="20.25" x14ac:dyDescent="0.2">
      <c r="A46" s="80"/>
      <c r="B46" s="407"/>
      <c r="C46" s="80" t="s">
        <v>130</v>
      </c>
      <c r="D46" s="80"/>
      <c r="E46" s="80"/>
      <c r="F46" s="80"/>
      <c r="G46" s="335">
        <f>10039+1500</f>
        <v>11539</v>
      </c>
    </row>
    <row r="47" spans="1:7" ht="20.25" x14ac:dyDescent="0.2">
      <c r="A47" s="68"/>
      <c r="B47" s="411"/>
      <c r="C47" s="80" t="s">
        <v>212</v>
      </c>
      <c r="D47" s="80"/>
      <c r="E47" s="80"/>
      <c r="F47" s="80"/>
      <c r="G47" s="235">
        <f>12623+2660</f>
        <v>15283</v>
      </c>
    </row>
    <row r="48" spans="1:7" ht="20.25" x14ac:dyDescent="0.2">
      <c r="A48" s="80"/>
      <c r="B48" s="407"/>
      <c r="C48" s="80" t="s">
        <v>131</v>
      </c>
      <c r="D48" s="80"/>
      <c r="E48" s="80"/>
      <c r="F48" s="80"/>
      <c r="G48" s="335">
        <v>39977</v>
      </c>
    </row>
    <row r="49" spans="1:7" ht="20.25" x14ac:dyDescent="0.2">
      <c r="A49" s="80"/>
      <c r="B49" s="407"/>
      <c r="C49" s="80" t="s">
        <v>132</v>
      </c>
      <c r="D49" s="80"/>
      <c r="E49" s="80"/>
      <c r="F49" s="80"/>
      <c r="G49" s="335">
        <v>19556</v>
      </c>
    </row>
    <row r="50" spans="1:7" ht="20.25" x14ac:dyDescent="0.2">
      <c r="A50" s="80"/>
      <c r="B50" s="407"/>
      <c r="C50" s="80" t="s">
        <v>175</v>
      </c>
      <c r="D50" s="80"/>
      <c r="E50" s="80"/>
      <c r="F50" s="80"/>
      <c r="G50" s="235">
        <v>56100</v>
      </c>
    </row>
    <row r="51" spans="1:7" ht="20.25" x14ac:dyDescent="0.2">
      <c r="A51" s="80"/>
      <c r="B51" s="407"/>
      <c r="C51" s="80" t="s">
        <v>133</v>
      </c>
      <c r="D51" s="80"/>
      <c r="E51" s="80"/>
      <c r="F51" s="80"/>
      <c r="G51" s="235">
        <f>750+86095</f>
        <v>86845</v>
      </c>
    </row>
    <row r="52" spans="1:7" ht="21" thickBot="1" x14ac:dyDescent="0.25">
      <c r="A52" s="80"/>
      <c r="B52" s="407"/>
      <c r="C52" s="80"/>
      <c r="D52" s="80"/>
      <c r="E52" s="80"/>
      <c r="F52" s="80"/>
      <c r="G52" s="245"/>
    </row>
    <row r="53" spans="1:7" ht="20.25" x14ac:dyDescent="0.2">
      <c r="A53" s="68"/>
      <c r="B53" s="411"/>
      <c r="C53" s="68"/>
      <c r="D53" s="74" t="s">
        <v>134</v>
      </c>
      <c r="E53" s="68"/>
      <c r="F53" s="68"/>
      <c r="G53" s="240">
        <f>SUM(G31:G51)</f>
        <v>1484352</v>
      </c>
    </row>
    <row r="54" spans="1:7" ht="21" thickBot="1" x14ac:dyDescent="0.25">
      <c r="A54" s="68"/>
      <c r="B54" s="411"/>
      <c r="C54" s="68"/>
      <c r="D54" s="74"/>
      <c r="E54" s="68"/>
      <c r="F54" s="68"/>
      <c r="G54" s="245"/>
    </row>
    <row r="55" spans="1:7" ht="21" thickBot="1" x14ac:dyDescent="0.25">
      <c r="A55" s="68"/>
      <c r="B55" s="411"/>
      <c r="C55" s="68"/>
      <c r="D55" s="68" t="s">
        <v>135</v>
      </c>
      <c r="E55" s="68"/>
      <c r="F55" s="68"/>
      <c r="G55" s="245">
        <f>G28-G53</f>
        <v>-28791</v>
      </c>
    </row>
    <row r="56" spans="1:7" ht="20.25" x14ac:dyDescent="0.2">
      <c r="A56" s="68"/>
      <c r="B56" s="411"/>
      <c r="C56" s="68"/>
      <c r="D56" s="68"/>
      <c r="E56" s="68"/>
      <c r="F56" s="68"/>
      <c r="G56" s="235"/>
    </row>
  </sheetData>
  <pageMargins left="1.2" right="0" top="0.5" bottom="0.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83" hidden="1" customWidth="1"/>
    <col min="4" max="7" width="15" customWidth="1"/>
    <col min="8" max="8" width="14.625" customWidth="1"/>
  </cols>
  <sheetData>
    <row r="1" spans="1:130" ht="21" x14ac:dyDescent="0.35">
      <c r="A1" s="623" t="s">
        <v>100</v>
      </c>
      <c r="B1" s="60"/>
      <c r="C1" s="61"/>
      <c r="D1" s="61"/>
      <c r="E1" s="61"/>
      <c r="F1" s="60"/>
      <c r="G1" s="233"/>
      <c r="H1" s="60"/>
      <c r="I1" s="60"/>
      <c r="J1" s="60"/>
      <c r="K1" s="60"/>
      <c r="L1" s="484"/>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23" t="s">
        <v>322</v>
      </c>
      <c r="B2" s="60"/>
      <c r="C2" s="61"/>
      <c r="D2" s="61"/>
      <c r="E2" s="61"/>
      <c r="F2" s="60"/>
      <c r="G2" s="233"/>
      <c r="H2" s="60"/>
      <c r="I2" s="60"/>
      <c r="J2" s="60"/>
      <c r="K2" s="60"/>
      <c r="L2" s="484"/>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23" t="str">
        <f>'August''19 State of Activities'!A3</f>
        <v>Eight Months Ended August 31, 2019 and 2018</v>
      </c>
      <c r="B3" s="60"/>
      <c r="C3" s="61"/>
      <c r="D3" s="61"/>
      <c r="E3" s="61"/>
      <c r="F3" s="60"/>
      <c r="G3" s="233"/>
      <c r="H3" s="60"/>
      <c r="I3" s="60"/>
      <c r="J3" s="60"/>
      <c r="K3" s="60"/>
      <c r="L3" s="484"/>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45" t="s">
        <v>302</v>
      </c>
      <c r="B5" s="846"/>
      <c r="C5" s="846"/>
      <c r="D5" s="846"/>
      <c r="E5" s="846"/>
      <c r="F5" s="846"/>
      <c r="G5" s="846"/>
      <c r="H5" s="847"/>
    </row>
    <row r="6" spans="1:130" ht="7.5" customHeight="1" thickBot="1" x14ac:dyDescent="0.25">
      <c r="E6" s="584"/>
      <c r="F6" s="584"/>
      <c r="G6" s="584"/>
    </row>
    <row r="7" spans="1:130" ht="15.75" x14ac:dyDescent="0.25">
      <c r="A7" s="585" t="s">
        <v>303</v>
      </c>
      <c r="B7" s="586" t="s">
        <v>304</v>
      </c>
      <c r="C7" s="586" t="s">
        <v>305</v>
      </c>
      <c r="D7" s="586" t="s">
        <v>306</v>
      </c>
      <c r="E7" s="586" t="s">
        <v>307</v>
      </c>
      <c r="F7" s="586" t="s">
        <v>308</v>
      </c>
      <c r="G7" s="586" t="s">
        <v>309</v>
      </c>
      <c r="H7" s="585" t="s">
        <v>310</v>
      </c>
    </row>
    <row r="8" spans="1:130" ht="16.5" thickBot="1" x14ac:dyDescent="0.3">
      <c r="A8" s="587"/>
      <c r="B8" s="588" t="s">
        <v>311</v>
      </c>
      <c r="C8" s="588" t="s">
        <v>311</v>
      </c>
      <c r="D8" s="588" t="s">
        <v>311</v>
      </c>
      <c r="E8" s="588" t="s">
        <v>311</v>
      </c>
      <c r="F8" s="588" t="s">
        <v>311</v>
      </c>
      <c r="G8" s="588" t="s">
        <v>311</v>
      </c>
      <c r="H8" s="589" t="s">
        <v>312</v>
      </c>
    </row>
    <row r="9" spans="1:130" x14ac:dyDescent="0.2">
      <c r="A9" s="590">
        <v>42741</v>
      </c>
      <c r="B9" s="591">
        <v>1059.72</v>
      </c>
      <c r="C9" s="592">
        <f>6123.86-3246.88</f>
        <v>2876.9799999999996</v>
      </c>
      <c r="D9" s="591">
        <f>160.4+1401.46</f>
        <v>1561.8600000000001</v>
      </c>
      <c r="E9" s="591">
        <f>2007.36+883.16</f>
        <v>2890.52</v>
      </c>
      <c r="F9" s="591">
        <v>4174.08</v>
      </c>
      <c r="G9" s="591">
        <v>3187.95</v>
      </c>
      <c r="H9" s="591">
        <f>G9-F9</f>
        <v>-986.13000000000011</v>
      </c>
    </row>
    <row r="10" spans="1:130" x14ac:dyDescent="0.2">
      <c r="A10" s="593">
        <v>42748</v>
      </c>
      <c r="B10" s="594">
        <v>1351.72</v>
      </c>
      <c r="C10" s="595">
        <f>7232.22-3246.88</f>
        <v>3985.34</v>
      </c>
      <c r="D10" s="594">
        <v>3927.82</v>
      </c>
      <c r="E10" s="594">
        <v>3364.16</v>
      </c>
      <c r="F10" s="591">
        <v>4643.2299999999996</v>
      </c>
      <c r="G10" s="591">
        <v>3858.57</v>
      </c>
      <c r="H10" s="591">
        <f t="shared" ref="H10:H21" si="0">G10-F10</f>
        <v>-784.6599999999994</v>
      </c>
    </row>
    <row r="11" spans="1:130" x14ac:dyDescent="0.2">
      <c r="A11" s="593">
        <v>42755</v>
      </c>
      <c r="B11" s="594">
        <v>1237.58</v>
      </c>
      <c r="C11" s="596">
        <f>5493.18-2496.78</f>
        <v>2996.4</v>
      </c>
      <c r="D11" s="594">
        <v>3463.28</v>
      </c>
      <c r="E11" s="594">
        <v>3723.22</v>
      </c>
      <c r="F11" s="591">
        <v>3257.98</v>
      </c>
      <c r="G11" s="591">
        <v>2816.13</v>
      </c>
      <c r="H11" s="591">
        <f t="shared" si="0"/>
        <v>-441.84999999999991</v>
      </c>
    </row>
    <row r="12" spans="1:130" x14ac:dyDescent="0.2">
      <c r="A12" s="593">
        <v>42762</v>
      </c>
      <c r="B12" s="594">
        <v>1829.66</v>
      </c>
      <c r="C12" s="596">
        <f>6125.18-2535</f>
        <v>3590.1800000000003</v>
      </c>
      <c r="D12" s="594">
        <v>2947.54</v>
      </c>
      <c r="E12" s="594">
        <v>3026.63</v>
      </c>
      <c r="F12" s="591">
        <v>3503.82</v>
      </c>
      <c r="G12" s="591">
        <v>2957.14</v>
      </c>
      <c r="H12" s="591">
        <f t="shared" si="0"/>
        <v>-546.68000000000029</v>
      </c>
    </row>
    <row r="13" spans="1:130" x14ac:dyDescent="0.2">
      <c r="A13" s="593">
        <v>42769</v>
      </c>
      <c r="B13" s="594">
        <v>2363.12</v>
      </c>
      <c r="C13" s="596">
        <f>-3488.68+8424.94</f>
        <v>4936.26</v>
      </c>
      <c r="D13" s="594">
        <v>3434.46</v>
      </c>
      <c r="E13" s="594">
        <v>2986.58</v>
      </c>
      <c r="F13" s="591">
        <v>4063.43</v>
      </c>
      <c r="G13" s="591">
        <v>3878.62</v>
      </c>
      <c r="H13" s="591">
        <f t="shared" si="0"/>
        <v>-184.80999999999995</v>
      </c>
    </row>
    <row r="14" spans="1:130" x14ac:dyDescent="0.2">
      <c r="A14" s="593">
        <v>42776</v>
      </c>
      <c r="B14" s="594">
        <v>1902.16</v>
      </c>
      <c r="C14" s="596">
        <f>-2931.5+7254.06</f>
        <v>4322.5600000000004</v>
      </c>
      <c r="D14" s="594">
        <v>2818.82</v>
      </c>
      <c r="E14" s="594">
        <f>2800.67</f>
        <v>2800.67</v>
      </c>
      <c r="F14" s="591">
        <v>4002.46</v>
      </c>
      <c r="G14" s="591">
        <v>2987.96</v>
      </c>
      <c r="H14" s="591">
        <f t="shared" si="0"/>
        <v>-1014.5</v>
      </c>
    </row>
    <row r="15" spans="1:130" x14ac:dyDescent="0.2">
      <c r="A15" s="593">
        <v>42783</v>
      </c>
      <c r="B15" s="594">
        <v>2134.56</v>
      </c>
      <c r="C15" s="596">
        <f>-3653.28+8329.5-700</f>
        <v>3976.2199999999993</v>
      </c>
      <c r="D15" s="594">
        <v>2157.96</v>
      </c>
      <c r="E15" s="594">
        <v>2584.04</v>
      </c>
      <c r="F15" s="591">
        <v>2886.61</v>
      </c>
      <c r="G15" s="591">
        <v>3373.08</v>
      </c>
      <c r="H15" s="591">
        <f t="shared" si="0"/>
        <v>486.4699999999998</v>
      </c>
    </row>
    <row r="16" spans="1:130" x14ac:dyDescent="0.2">
      <c r="A16" s="593">
        <v>42790</v>
      </c>
      <c r="B16" s="594">
        <v>1676.08</v>
      </c>
      <c r="C16" s="596">
        <f>-2869.88+6693.6</f>
        <v>3823.7200000000003</v>
      </c>
      <c r="D16" s="594">
        <v>3063.52</v>
      </c>
      <c r="E16" s="594">
        <v>3161.19</v>
      </c>
      <c r="F16" s="591">
        <v>3994.7</v>
      </c>
      <c r="G16" s="591">
        <v>3335.8</v>
      </c>
      <c r="H16" s="591">
        <f t="shared" si="0"/>
        <v>-658.89999999999964</v>
      </c>
    </row>
    <row r="17" spans="1:8" x14ac:dyDescent="0.2">
      <c r="A17" s="593">
        <v>42797</v>
      </c>
      <c r="B17" s="594">
        <v>1418.9</v>
      </c>
      <c r="C17" s="596">
        <f>-3427.32+8141.08</f>
        <v>4713.76</v>
      </c>
      <c r="D17" s="594">
        <v>4534.3</v>
      </c>
      <c r="E17" s="594">
        <v>3860.23</v>
      </c>
      <c r="F17" s="591">
        <v>4172.5600000000004</v>
      </c>
      <c r="G17" s="591">
        <v>2335.96</v>
      </c>
      <c r="H17" s="591">
        <f t="shared" si="0"/>
        <v>-1836.6000000000004</v>
      </c>
    </row>
    <row r="18" spans="1:8" x14ac:dyDescent="0.2">
      <c r="A18" s="593">
        <v>42804</v>
      </c>
      <c r="B18" s="594">
        <v>1013.74</v>
      </c>
      <c r="C18" s="596">
        <f>-2919.8+6449.26</f>
        <v>3529.46</v>
      </c>
      <c r="D18" s="594">
        <v>3673.88</v>
      </c>
      <c r="E18" s="594">
        <v>4004</v>
      </c>
      <c r="F18" s="591">
        <v>3762.8</v>
      </c>
      <c r="G18" s="591">
        <v>1711.94</v>
      </c>
      <c r="H18" s="591">
        <f t="shared" si="0"/>
        <v>-2050.86</v>
      </c>
    </row>
    <row r="19" spans="1:8" x14ac:dyDescent="0.2">
      <c r="A19" s="593">
        <v>42811</v>
      </c>
      <c r="B19" s="597">
        <v>3629.96</v>
      </c>
      <c r="C19" s="596">
        <f>-3708.38+7621.78</f>
        <v>3913.3999999999996</v>
      </c>
      <c r="D19" s="594">
        <v>4030.4</v>
      </c>
      <c r="E19" s="594">
        <v>3222.03</v>
      </c>
      <c r="F19" s="591">
        <v>4340.3</v>
      </c>
      <c r="G19" s="591">
        <v>942.16</v>
      </c>
      <c r="H19" s="591">
        <f t="shared" si="0"/>
        <v>-3398.1400000000003</v>
      </c>
    </row>
    <row r="20" spans="1:8" x14ac:dyDescent="0.2">
      <c r="A20" s="593">
        <v>42818</v>
      </c>
      <c r="B20" s="597">
        <v>3364</v>
      </c>
      <c r="C20" s="596">
        <f>-3726.84+7846.28</f>
        <v>4119.4399999999996</v>
      </c>
      <c r="D20" s="594">
        <v>3975.2</v>
      </c>
      <c r="E20" s="594">
        <v>3684.17</v>
      </c>
      <c r="F20" s="591">
        <v>3849.95</v>
      </c>
      <c r="G20" s="591">
        <v>1706.08</v>
      </c>
      <c r="H20" s="591">
        <f t="shared" si="0"/>
        <v>-2143.87</v>
      </c>
    </row>
    <row r="21" spans="1:8" ht="15" thickBot="1" x14ac:dyDescent="0.25">
      <c r="A21" s="593">
        <v>42825</v>
      </c>
      <c r="B21" s="597">
        <v>3587</v>
      </c>
      <c r="C21" s="596">
        <f>-3329.82+7562.9</f>
        <v>4233.08</v>
      </c>
      <c r="D21" s="594">
        <v>4280.8</v>
      </c>
      <c r="E21" s="597">
        <v>4118.96</v>
      </c>
      <c r="F21" s="598">
        <v>4082.74</v>
      </c>
      <c r="G21" s="598">
        <v>2002.52</v>
      </c>
      <c r="H21" s="591">
        <f t="shared" si="0"/>
        <v>-2080.2199999999998</v>
      </c>
    </row>
    <row r="22" spans="1:8" ht="16.5" thickBot="1" x14ac:dyDescent="0.25">
      <c r="A22" s="599" t="s">
        <v>313</v>
      </c>
      <c r="B22" s="600">
        <f t="shared" ref="B22:H22" si="1">SUM(B9:B21)</f>
        <v>26568.2</v>
      </c>
      <c r="C22" s="600">
        <f t="shared" si="1"/>
        <v>51016.80000000001</v>
      </c>
      <c r="D22" s="600">
        <f t="shared" si="1"/>
        <v>43869.84</v>
      </c>
      <c r="E22" s="600">
        <f t="shared" si="1"/>
        <v>43426.399999999994</v>
      </c>
      <c r="F22" s="600">
        <f t="shared" si="1"/>
        <v>50734.659999999996</v>
      </c>
      <c r="G22" s="600">
        <f t="shared" si="1"/>
        <v>35093.909999999989</v>
      </c>
      <c r="H22" s="600">
        <f t="shared" si="1"/>
        <v>-15640.749999999998</v>
      </c>
    </row>
    <row r="23" spans="1:8" x14ac:dyDescent="0.2">
      <c r="A23" s="601">
        <v>42832</v>
      </c>
      <c r="B23" s="594">
        <v>3525.02</v>
      </c>
      <c r="C23" s="591">
        <v>4517.8999999999996</v>
      </c>
      <c r="D23" s="591">
        <v>4162.12</v>
      </c>
      <c r="E23" s="591">
        <v>4043.7</v>
      </c>
      <c r="F23" s="591">
        <v>3768.69</v>
      </c>
      <c r="G23" s="591">
        <v>2018.44</v>
      </c>
      <c r="H23" s="591">
        <f>G23-F23</f>
        <v>-1750.25</v>
      </c>
    </row>
    <row r="24" spans="1:8" x14ac:dyDescent="0.2">
      <c r="A24" s="601">
        <v>42839</v>
      </c>
      <c r="B24" s="594">
        <v>3842.84</v>
      </c>
      <c r="C24" s="591">
        <v>4554.42</v>
      </c>
      <c r="D24" s="594">
        <v>4616</v>
      </c>
      <c r="E24" s="594">
        <v>4136.18</v>
      </c>
      <c r="F24" s="591">
        <v>4345.16</v>
      </c>
      <c r="G24" s="591">
        <v>5284.52</v>
      </c>
      <c r="H24" s="591">
        <f t="shared" ref="H24:H63" si="2">G24-F24</f>
        <v>939.36000000000058</v>
      </c>
    </row>
    <row r="25" spans="1:8" x14ac:dyDescent="0.2">
      <c r="A25" s="601">
        <v>42846</v>
      </c>
      <c r="B25" s="594">
        <v>5337.82</v>
      </c>
      <c r="C25" s="594">
        <v>4041.14</v>
      </c>
      <c r="D25" s="594">
        <v>3729.1</v>
      </c>
      <c r="E25" s="594">
        <v>4132.83</v>
      </c>
      <c r="F25" s="591">
        <v>4267.46</v>
      </c>
      <c r="G25" s="591">
        <v>4715.9799999999996</v>
      </c>
      <c r="H25" s="591">
        <f t="shared" si="2"/>
        <v>448.51999999999953</v>
      </c>
    </row>
    <row r="26" spans="1:8" x14ac:dyDescent="0.2">
      <c r="A26" s="601">
        <v>42853</v>
      </c>
      <c r="B26" s="594">
        <v>4973.68</v>
      </c>
      <c r="C26" s="594">
        <v>4321.8599999999997</v>
      </c>
      <c r="D26" s="594">
        <v>3706.08</v>
      </c>
      <c r="E26" s="594">
        <v>4536.74</v>
      </c>
      <c r="F26" s="591">
        <v>3953.61</v>
      </c>
      <c r="G26" s="591">
        <v>4499.7</v>
      </c>
      <c r="H26" s="591">
        <f t="shared" si="2"/>
        <v>546.08999999999969</v>
      </c>
    </row>
    <row r="27" spans="1:8" x14ac:dyDescent="0.2">
      <c r="A27" s="601">
        <v>42860</v>
      </c>
      <c r="B27" s="594">
        <v>3187.22</v>
      </c>
      <c r="C27" s="594">
        <v>4732.8999999999996</v>
      </c>
      <c r="D27" s="594">
        <v>3421.72</v>
      </c>
      <c r="E27" s="594">
        <f>3478.64+72+758.56</f>
        <v>4309.2</v>
      </c>
      <c r="F27" s="591">
        <v>4192.32</v>
      </c>
      <c r="G27" s="591">
        <v>4204.16</v>
      </c>
      <c r="H27" s="591">
        <f t="shared" si="2"/>
        <v>11.840000000000146</v>
      </c>
    </row>
    <row r="28" spans="1:8" x14ac:dyDescent="0.2">
      <c r="A28" s="601">
        <v>42867</v>
      </c>
      <c r="B28" s="594">
        <v>2237.2399999999998</v>
      </c>
      <c r="C28" s="594">
        <v>4138.8999999999996</v>
      </c>
      <c r="D28" s="594">
        <v>3907.94</v>
      </c>
      <c r="E28" s="594">
        <f>4050.94+212.76</f>
        <v>4263.7</v>
      </c>
      <c r="F28" s="591">
        <v>4361.47</v>
      </c>
      <c r="G28" s="591">
        <v>4571.82</v>
      </c>
      <c r="H28" s="591">
        <f t="shared" si="2"/>
        <v>210.34999999999945</v>
      </c>
    </row>
    <row r="29" spans="1:8" x14ac:dyDescent="0.2">
      <c r="A29" s="601">
        <v>42874</v>
      </c>
      <c r="B29" s="594">
        <v>3446.22</v>
      </c>
      <c r="C29" s="594">
        <v>5447.82</v>
      </c>
      <c r="D29" s="594">
        <f>3359.74+70.28</f>
        <v>3430.02</v>
      </c>
      <c r="E29" s="594">
        <v>3958.56</v>
      </c>
      <c r="F29" s="591">
        <v>3957.78</v>
      </c>
      <c r="G29" s="591">
        <v>4089.18</v>
      </c>
      <c r="H29" s="591">
        <f t="shared" si="2"/>
        <v>131.39999999999964</v>
      </c>
    </row>
    <row r="30" spans="1:8" x14ac:dyDescent="0.2">
      <c r="A30" s="601">
        <v>42881</v>
      </c>
      <c r="B30" s="594">
        <v>3507.94</v>
      </c>
      <c r="C30" s="594">
        <v>4315.03</v>
      </c>
      <c r="D30" s="594">
        <v>3880.8</v>
      </c>
      <c r="E30" s="594">
        <v>4314.9799999999996</v>
      </c>
      <c r="F30" s="591">
        <v>3634.01</v>
      </c>
      <c r="G30" s="591">
        <v>3993.63</v>
      </c>
      <c r="H30" s="591">
        <f t="shared" si="2"/>
        <v>359.61999999999989</v>
      </c>
    </row>
    <row r="31" spans="1:8" x14ac:dyDescent="0.2">
      <c r="A31" s="601">
        <v>42888</v>
      </c>
      <c r="B31" s="594">
        <v>3609.72</v>
      </c>
      <c r="C31" s="594">
        <v>3053.8</v>
      </c>
      <c r="D31" s="594">
        <v>2686.82</v>
      </c>
      <c r="E31" s="594">
        <v>2987.04</v>
      </c>
      <c r="F31" s="591">
        <v>2684.24</v>
      </c>
      <c r="G31" s="591">
        <v>2384.3200000000002</v>
      </c>
      <c r="H31" s="591">
        <f t="shared" si="2"/>
        <v>-299.91999999999962</v>
      </c>
    </row>
    <row r="32" spans="1:8" x14ac:dyDescent="0.2">
      <c r="A32" s="601">
        <v>42895</v>
      </c>
      <c r="B32" s="594">
        <v>2033.76</v>
      </c>
      <c r="C32" s="594">
        <v>4194.8599999999997</v>
      </c>
      <c r="D32" s="594">
        <v>3006.14</v>
      </c>
      <c r="E32" s="594">
        <v>3675.8</v>
      </c>
      <c r="F32" s="591">
        <v>3674.42</v>
      </c>
      <c r="G32" s="591">
        <v>3297.66</v>
      </c>
      <c r="H32" s="591">
        <f t="shared" si="2"/>
        <v>-376.76000000000022</v>
      </c>
    </row>
    <row r="33" spans="1:8" x14ac:dyDescent="0.2">
      <c r="A33" s="601">
        <v>42902</v>
      </c>
      <c r="B33" s="594">
        <v>2786.98</v>
      </c>
      <c r="C33" s="594">
        <v>3980.08</v>
      </c>
      <c r="D33" s="594">
        <v>3579.53</v>
      </c>
      <c r="E33" s="594">
        <v>4147.8999999999996</v>
      </c>
      <c r="F33" s="591">
        <v>4182.5200000000004</v>
      </c>
      <c r="G33" s="591">
        <v>3252.16</v>
      </c>
      <c r="H33" s="591">
        <f t="shared" si="2"/>
        <v>-930.36000000000058</v>
      </c>
    </row>
    <row r="34" spans="1:8" x14ac:dyDescent="0.2">
      <c r="A34" s="601">
        <v>42909</v>
      </c>
      <c r="B34" s="597">
        <v>2436.9</v>
      </c>
      <c r="C34" s="594">
        <v>4001.26</v>
      </c>
      <c r="D34" s="594">
        <v>3401.21</v>
      </c>
      <c r="E34" s="594">
        <v>3774.82</v>
      </c>
      <c r="F34" s="591">
        <v>3596.56</v>
      </c>
      <c r="G34" s="591">
        <v>3139.68</v>
      </c>
      <c r="H34" s="591">
        <f t="shared" si="2"/>
        <v>-456.88000000000011</v>
      </c>
    </row>
    <row r="35" spans="1:8" ht="15" thickBot="1" x14ac:dyDescent="0.25">
      <c r="A35" s="601">
        <v>42916</v>
      </c>
      <c r="B35" s="597">
        <v>2410.56</v>
      </c>
      <c r="C35" s="594">
        <v>3928.74</v>
      </c>
      <c r="D35" s="597">
        <v>3288.01</v>
      </c>
      <c r="E35" s="597">
        <v>3466.07</v>
      </c>
      <c r="F35" s="598">
        <v>3867.92</v>
      </c>
      <c r="G35" s="598">
        <v>3368.72</v>
      </c>
      <c r="H35" s="591">
        <f t="shared" si="2"/>
        <v>-499.20000000000027</v>
      </c>
    </row>
    <row r="36" spans="1:8" ht="16.5" thickBot="1" x14ac:dyDescent="0.25">
      <c r="A36" s="599" t="s">
        <v>314</v>
      </c>
      <c r="B36" s="600">
        <f t="shared" ref="B36:H36" si="3">SUM(B23:B35)</f>
        <v>43335.9</v>
      </c>
      <c r="C36" s="600">
        <f t="shared" si="3"/>
        <v>55228.710000000006</v>
      </c>
      <c r="D36" s="600">
        <f t="shared" si="3"/>
        <v>46815.49</v>
      </c>
      <c r="E36" s="600">
        <f t="shared" si="3"/>
        <v>51747.520000000004</v>
      </c>
      <c r="F36" s="600">
        <f t="shared" si="3"/>
        <v>50486.159999999989</v>
      </c>
      <c r="G36" s="600">
        <f t="shared" si="3"/>
        <v>48819.970000000008</v>
      </c>
      <c r="H36" s="600">
        <f t="shared" si="3"/>
        <v>-1666.1900000000019</v>
      </c>
    </row>
    <row r="37" spans="1:8" x14ac:dyDescent="0.2">
      <c r="A37" s="601">
        <v>42923</v>
      </c>
      <c r="B37" s="591">
        <f>899.92+2410.56</f>
        <v>3310.48</v>
      </c>
      <c r="C37" s="591">
        <v>3059.59</v>
      </c>
      <c r="D37" s="591">
        <f>952.56+2445.69</f>
        <v>3398.25</v>
      </c>
      <c r="E37" s="591">
        <f>1313.52+1315.48</f>
        <v>2629</v>
      </c>
      <c r="F37" s="591">
        <v>3092.18</v>
      </c>
      <c r="G37" s="591">
        <v>2501.6799999999998</v>
      </c>
      <c r="H37" s="591">
        <f t="shared" si="2"/>
        <v>-590.5</v>
      </c>
    </row>
    <row r="38" spans="1:8" x14ac:dyDescent="0.2">
      <c r="A38" s="593">
        <v>42930</v>
      </c>
      <c r="B38" s="591">
        <v>2613.8200000000002</v>
      </c>
      <c r="C38" s="591">
        <v>4164.28</v>
      </c>
      <c r="D38" s="594">
        <v>3621.49</v>
      </c>
      <c r="E38" s="594">
        <v>3328.78</v>
      </c>
      <c r="F38" s="591">
        <v>4363</v>
      </c>
      <c r="G38" s="591">
        <v>3463.97</v>
      </c>
      <c r="H38" s="591">
        <f t="shared" si="2"/>
        <v>-899.0300000000002</v>
      </c>
    </row>
    <row r="39" spans="1:8" x14ac:dyDescent="0.2">
      <c r="A39" s="593">
        <v>42937</v>
      </c>
      <c r="B39" s="594">
        <v>2285.09</v>
      </c>
      <c r="C39" s="594">
        <v>3698.36</v>
      </c>
      <c r="D39" s="594">
        <v>3478.53</v>
      </c>
      <c r="E39" s="594">
        <v>4114.08</v>
      </c>
      <c r="F39" s="591">
        <v>3936.33</v>
      </c>
      <c r="G39" s="591">
        <v>3416.66</v>
      </c>
      <c r="H39" s="591">
        <f t="shared" si="2"/>
        <v>-519.67000000000007</v>
      </c>
    </row>
    <row r="40" spans="1:8" x14ac:dyDescent="0.2">
      <c r="A40" s="593">
        <v>42944</v>
      </c>
      <c r="B40" s="594">
        <v>1982.06</v>
      </c>
      <c r="C40" s="594">
        <v>3907.78</v>
      </c>
      <c r="D40" s="594">
        <v>3713.11</v>
      </c>
      <c r="E40" s="594">
        <v>4010.57</v>
      </c>
      <c r="F40" s="591">
        <v>3962.85</v>
      </c>
      <c r="G40" s="591">
        <v>3139.68</v>
      </c>
      <c r="H40" s="591">
        <f t="shared" si="2"/>
        <v>-823.17000000000007</v>
      </c>
    </row>
    <row r="41" spans="1:8" x14ac:dyDescent="0.2">
      <c r="A41" s="593">
        <v>42951</v>
      </c>
      <c r="B41" s="594">
        <v>2442</v>
      </c>
      <c r="C41" s="594">
        <v>3807.12</v>
      </c>
      <c r="D41" s="594">
        <v>3318.21</v>
      </c>
      <c r="E41" s="594">
        <v>3520.16</v>
      </c>
      <c r="F41" s="591">
        <v>3810.8</v>
      </c>
      <c r="G41" s="591">
        <v>3171.9</v>
      </c>
      <c r="H41" s="591">
        <f t="shared" si="2"/>
        <v>-638.90000000000009</v>
      </c>
    </row>
    <row r="42" spans="1:8" x14ac:dyDescent="0.2">
      <c r="A42" s="593">
        <v>42958</v>
      </c>
      <c r="B42" s="594">
        <v>2003.68</v>
      </c>
      <c r="C42" s="594">
        <v>3636.64</v>
      </c>
      <c r="D42" s="594">
        <v>2999.63</v>
      </c>
      <c r="E42" s="594">
        <v>3150.64</v>
      </c>
      <c r="F42" s="591">
        <v>3905.08</v>
      </c>
      <c r="G42" s="591">
        <v>3339.76</v>
      </c>
      <c r="H42" s="591">
        <f t="shared" si="2"/>
        <v>-565.31999999999971</v>
      </c>
    </row>
    <row r="43" spans="1:8" x14ac:dyDescent="0.2">
      <c r="A43" s="593">
        <v>42965</v>
      </c>
      <c r="B43" s="594">
        <v>1971.38</v>
      </c>
      <c r="C43" s="594">
        <v>3658.28</v>
      </c>
      <c r="D43" s="594">
        <v>4080.16</v>
      </c>
      <c r="E43" s="594">
        <v>3780.2</v>
      </c>
      <c r="F43" s="591">
        <v>3747.05</v>
      </c>
      <c r="G43" s="591">
        <v>3333.42</v>
      </c>
      <c r="H43" s="591">
        <f t="shared" si="2"/>
        <v>-413.63000000000011</v>
      </c>
    </row>
    <row r="44" spans="1:8" x14ac:dyDescent="0.2">
      <c r="A44" s="593">
        <v>42972</v>
      </c>
      <c r="B44" s="594">
        <v>2725.14</v>
      </c>
      <c r="C44" s="594">
        <v>4096.0200000000004</v>
      </c>
      <c r="D44" s="594">
        <v>4309.82</v>
      </c>
      <c r="E44" s="594">
        <v>3361.86</v>
      </c>
      <c r="F44" s="591">
        <v>3788.4</v>
      </c>
      <c r="G44" s="591">
        <v>3772.14</v>
      </c>
      <c r="H44" s="591">
        <f t="shared" si="2"/>
        <v>-16.260000000000218</v>
      </c>
    </row>
    <row r="45" spans="1:8" x14ac:dyDescent="0.2">
      <c r="A45" s="593">
        <v>42979</v>
      </c>
      <c r="B45" s="594">
        <v>2749.96</v>
      </c>
      <c r="C45" s="594">
        <v>3825.18</v>
      </c>
      <c r="D45" s="594">
        <v>3712.48</v>
      </c>
      <c r="E45" s="594">
        <v>3605.07</v>
      </c>
      <c r="F45" s="591">
        <v>3858.34</v>
      </c>
      <c r="G45" s="591">
        <v>3206</v>
      </c>
      <c r="H45" s="591">
        <f t="shared" si="2"/>
        <v>-652.34000000000015</v>
      </c>
    </row>
    <row r="46" spans="1:8" x14ac:dyDescent="0.2">
      <c r="A46" s="593">
        <v>42986</v>
      </c>
      <c r="B46" s="594">
        <v>2323.9</v>
      </c>
      <c r="C46" s="594">
        <v>2717.46</v>
      </c>
      <c r="D46" s="594">
        <v>3072.96</v>
      </c>
      <c r="E46" s="594">
        <f>753.86+2730.15</f>
        <v>3484.01</v>
      </c>
      <c r="F46" s="591">
        <v>3265.99</v>
      </c>
      <c r="G46" s="591">
        <v>2271.2199999999998</v>
      </c>
      <c r="H46" s="591">
        <f t="shared" si="2"/>
        <v>-994.77</v>
      </c>
    </row>
    <row r="47" spans="1:8" x14ac:dyDescent="0.2">
      <c r="A47" s="593">
        <v>42993</v>
      </c>
      <c r="B47" s="594">
        <v>2621.61</v>
      </c>
      <c r="C47" s="594">
        <v>3748.38</v>
      </c>
      <c r="D47" s="594">
        <v>3926.25</v>
      </c>
      <c r="E47" s="594">
        <v>3212.96</v>
      </c>
      <c r="F47" s="591">
        <v>3712.16</v>
      </c>
      <c r="G47" s="591">
        <v>2688.36</v>
      </c>
      <c r="H47" s="591">
        <f t="shared" si="2"/>
        <v>-1023.7999999999997</v>
      </c>
    </row>
    <row r="48" spans="1:8" x14ac:dyDescent="0.2">
      <c r="A48" s="593">
        <v>43000</v>
      </c>
      <c r="B48" s="594">
        <v>2394.14</v>
      </c>
      <c r="C48" s="594">
        <v>3766.8</v>
      </c>
      <c r="D48" s="594">
        <v>4164.1899999999996</v>
      </c>
      <c r="E48" s="594">
        <v>4004.92</v>
      </c>
      <c r="F48" s="591">
        <v>3509.17</v>
      </c>
      <c r="G48" s="591">
        <v>3180.04</v>
      </c>
      <c r="H48" s="591">
        <f t="shared" si="2"/>
        <v>-329.13000000000011</v>
      </c>
    </row>
    <row r="49" spans="1:8" ht="15" thickBot="1" x14ac:dyDescent="0.25">
      <c r="A49" s="593">
        <v>43007</v>
      </c>
      <c r="B49" s="597">
        <v>2669.64</v>
      </c>
      <c r="C49" s="597">
        <v>4136.58</v>
      </c>
      <c r="D49" s="597">
        <v>3566.31</v>
      </c>
      <c r="E49" s="597">
        <v>3837.41</v>
      </c>
      <c r="F49" s="598">
        <v>3803.3</v>
      </c>
      <c r="G49" s="598">
        <v>2437.88</v>
      </c>
      <c r="H49" s="591">
        <f t="shared" si="2"/>
        <v>-1365.42</v>
      </c>
    </row>
    <row r="50" spans="1:8" ht="16.5" thickBot="1" x14ac:dyDescent="0.25">
      <c r="A50" s="599" t="s">
        <v>315</v>
      </c>
      <c r="B50" s="600">
        <f>SUM(B37:B49)</f>
        <v>32092.899999999998</v>
      </c>
      <c r="C50" s="600">
        <f>SUM(C37:C49)</f>
        <v>48222.47</v>
      </c>
      <c r="D50" s="600">
        <f>SUM(D37:D49)</f>
        <v>47361.39</v>
      </c>
      <c r="E50" s="600">
        <f>SUM(E37:E49)</f>
        <v>46039.66</v>
      </c>
      <c r="F50" s="600">
        <f t="shared" ref="F50:H50" si="4">SUM(F37:F49)</f>
        <v>48754.649999999994</v>
      </c>
      <c r="G50" s="600">
        <f t="shared" si="4"/>
        <v>39922.71</v>
      </c>
      <c r="H50" s="600">
        <f t="shared" si="4"/>
        <v>-8831.9399999999987</v>
      </c>
    </row>
    <row r="51" spans="1:8" x14ac:dyDescent="0.2">
      <c r="A51" s="601">
        <v>43014</v>
      </c>
      <c r="B51" s="591">
        <v>3051.16</v>
      </c>
      <c r="C51" s="591">
        <v>4721</v>
      </c>
      <c r="D51" s="591">
        <f>1531.24+2227.04</f>
        <v>3758.2799999999997</v>
      </c>
      <c r="E51" s="591">
        <v>3921.83</v>
      </c>
      <c r="F51" s="591">
        <v>3911.96</v>
      </c>
      <c r="G51" s="591">
        <v>3047.82</v>
      </c>
      <c r="H51" s="591">
        <f t="shared" si="2"/>
        <v>-864.13999999999987</v>
      </c>
    </row>
    <row r="52" spans="1:8" x14ac:dyDescent="0.2">
      <c r="A52" s="593">
        <v>43021</v>
      </c>
      <c r="B52" s="594">
        <v>2579.96</v>
      </c>
      <c r="C52" s="594">
        <v>4035.24</v>
      </c>
      <c r="D52" s="594">
        <v>4232.92</v>
      </c>
      <c r="E52" s="594">
        <v>3403.46</v>
      </c>
      <c r="F52" s="591">
        <v>3093.5</v>
      </c>
      <c r="G52" s="591">
        <v>2010.94</v>
      </c>
      <c r="H52" s="591">
        <f t="shared" si="2"/>
        <v>-1082.56</v>
      </c>
    </row>
    <row r="53" spans="1:8" x14ac:dyDescent="0.2">
      <c r="A53" s="593">
        <v>43028</v>
      </c>
      <c r="B53" s="594">
        <v>3119.16</v>
      </c>
      <c r="C53" s="594">
        <v>2972.08</v>
      </c>
      <c r="D53" s="594">
        <v>3057.22</v>
      </c>
      <c r="E53" s="594">
        <v>3116.16</v>
      </c>
      <c r="F53" s="591">
        <v>4261.32</v>
      </c>
      <c r="G53" s="591">
        <v>3314.5</v>
      </c>
      <c r="H53" s="591">
        <f t="shared" si="2"/>
        <v>-946.81999999999971</v>
      </c>
    </row>
    <row r="54" spans="1:8" x14ac:dyDescent="0.2">
      <c r="A54" s="593">
        <v>43035</v>
      </c>
      <c r="B54" s="594">
        <v>2378.1999999999998</v>
      </c>
      <c r="C54" s="594">
        <v>3341.66</v>
      </c>
      <c r="D54" s="594">
        <v>3745.65</v>
      </c>
      <c r="E54" s="594">
        <v>3664.58</v>
      </c>
      <c r="F54" s="591">
        <v>3860.55</v>
      </c>
      <c r="G54" s="591">
        <v>2905</v>
      </c>
      <c r="H54" s="591">
        <f t="shared" si="2"/>
        <v>-955.55000000000018</v>
      </c>
    </row>
    <row r="55" spans="1:8" x14ac:dyDescent="0.2">
      <c r="A55" s="593">
        <v>43042</v>
      </c>
      <c r="B55" s="594">
        <v>2153.36</v>
      </c>
      <c r="C55" s="594">
        <v>3165.08</v>
      </c>
      <c r="D55" s="594">
        <f>3171.04+47.44+30.24</f>
        <v>3248.72</v>
      </c>
      <c r="E55" s="594">
        <v>3792.71</v>
      </c>
      <c r="F55" s="591">
        <v>3942.48</v>
      </c>
      <c r="G55" s="591">
        <v>3169.18</v>
      </c>
      <c r="H55" s="591">
        <f t="shared" si="2"/>
        <v>-773.30000000000018</v>
      </c>
    </row>
    <row r="56" spans="1:8" x14ac:dyDescent="0.2">
      <c r="A56" s="593">
        <v>43049</v>
      </c>
      <c r="B56" s="594">
        <v>1549.7</v>
      </c>
      <c r="C56" s="594">
        <v>3024.18</v>
      </c>
      <c r="D56" s="594">
        <v>3967.37</v>
      </c>
      <c r="E56" s="594">
        <v>3804.52</v>
      </c>
      <c r="F56" s="591">
        <v>3933.48</v>
      </c>
      <c r="G56" s="591">
        <v>2670.04</v>
      </c>
      <c r="H56" s="591">
        <f t="shared" si="2"/>
        <v>-1263.44</v>
      </c>
    </row>
    <row r="57" spans="1:8" x14ac:dyDescent="0.2">
      <c r="A57" s="593">
        <v>43056</v>
      </c>
      <c r="B57" s="594">
        <f>(5311.2-178.1)*0.5</f>
        <v>2566.5499999999997</v>
      </c>
      <c r="C57" s="594">
        <v>3500.86</v>
      </c>
      <c r="D57" s="594">
        <v>4007.55</v>
      </c>
      <c r="E57" s="594">
        <v>3693.64</v>
      </c>
      <c r="F57" s="591">
        <v>3860.4</v>
      </c>
      <c r="G57" s="591">
        <v>2400.7199999999998</v>
      </c>
      <c r="H57" s="591">
        <f t="shared" si="2"/>
        <v>-1459.6800000000003</v>
      </c>
    </row>
    <row r="58" spans="1:8" x14ac:dyDescent="0.2">
      <c r="A58" s="593">
        <v>43063</v>
      </c>
      <c r="B58" s="594">
        <f>(5311.2-178.1)*0.5</f>
        <v>2566.5499999999997</v>
      </c>
      <c r="C58" s="594">
        <v>4015.8</v>
      </c>
      <c r="D58" s="594">
        <v>4445.62</v>
      </c>
      <c r="E58" s="594">
        <v>3499.88</v>
      </c>
      <c r="F58" s="591">
        <v>1675.8</v>
      </c>
      <c r="G58" s="591">
        <v>1268.44</v>
      </c>
      <c r="H58" s="591">
        <f t="shared" si="2"/>
        <v>-407.3599999999999</v>
      </c>
    </row>
    <row r="59" spans="1:8" x14ac:dyDescent="0.2">
      <c r="A59" s="593">
        <v>43070</v>
      </c>
      <c r="B59" s="594">
        <v>3577.34</v>
      </c>
      <c r="C59" s="594">
        <v>2434.3200000000002</v>
      </c>
      <c r="D59" s="594">
        <v>1953.09</v>
      </c>
      <c r="E59" s="594">
        <v>2000.54</v>
      </c>
      <c r="F59" s="591">
        <v>3669.06</v>
      </c>
      <c r="G59" s="591">
        <v>2816.72</v>
      </c>
      <c r="H59" s="591">
        <f t="shared" si="2"/>
        <v>-852.34000000000015</v>
      </c>
    </row>
    <row r="60" spans="1:8" x14ac:dyDescent="0.2">
      <c r="A60" s="593">
        <v>43077</v>
      </c>
      <c r="B60" s="594">
        <v>3486.12</v>
      </c>
      <c r="C60" s="594">
        <v>3291.9</v>
      </c>
      <c r="D60" s="594">
        <v>3710.06</v>
      </c>
      <c r="E60" s="594">
        <f>2372.46+627.88</f>
        <v>3000.34</v>
      </c>
      <c r="F60" s="591">
        <v>3225.52</v>
      </c>
      <c r="G60" s="591">
        <v>2427</v>
      </c>
      <c r="H60" s="591">
        <f t="shared" si="2"/>
        <v>-798.52</v>
      </c>
    </row>
    <row r="61" spans="1:8" x14ac:dyDescent="0.2">
      <c r="A61" s="593">
        <v>43084</v>
      </c>
      <c r="B61" s="594">
        <v>3539.16</v>
      </c>
      <c r="C61" s="594">
        <v>4047.94</v>
      </c>
      <c r="D61" s="594">
        <v>3873.59</v>
      </c>
      <c r="E61" s="594">
        <v>4104.09</v>
      </c>
      <c r="F61" s="591">
        <v>2933.78</v>
      </c>
      <c r="G61" s="591">
        <v>2427</v>
      </c>
      <c r="H61" s="591">
        <f t="shared" si="2"/>
        <v>-506.7800000000002</v>
      </c>
    </row>
    <row r="62" spans="1:8" x14ac:dyDescent="0.2">
      <c r="A62" s="593">
        <v>43091</v>
      </c>
      <c r="B62" s="594">
        <v>1609.64</v>
      </c>
      <c r="C62" s="594">
        <v>3903.54</v>
      </c>
      <c r="D62" s="594">
        <v>3580.24</v>
      </c>
      <c r="E62" s="594">
        <v>3625.1</v>
      </c>
      <c r="F62" s="591">
        <v>3555.5</v>
      </c>
      <c r="G62" s="591">
        <v>2649.12</v>
      </c>
      <c r="H62" s="591">
        <f t="shared" si="2"/>
        <v>-906.38000000000011</v>
      </c>
    </row>
    <row r="63" spans="1:8" ht="15" thickBot="1" x14ac:dyDescent="0.25">
      <c r="A63" s="602">
        <v>43098</v>
      </c>
      <c r="B63" s="603">
        <v>5154.84</v>
      </c>
      <c r="C63" s="603">
        <v>2331.48</v>
      </c>
      <c r="D63" s="603">
        <v>2383.63</v>
      </c>
      <c r="E63" s="603">
        <v>2256.69</v>
      </c>
      <c r="F63" s="604">
        <v>2486.06</v>
      </c>
      <c r="G63" s="604">
        <v>2088.3000000000002</v>
      </c>
      <c r="H63" s="591">
        <f t="shared" si="2"/>
        <v>-397.75999999999976</v>
      </c>
    </row>
    <row r="64" spans="1:8" ht="16.5" thickBot="1" x14ac:dyDescent="0.25">
      <c r="A64" s="599" t="s">
        <v>316</v>
      </c>
      <c r="B64" s="600">
        <f>SUM(B51:B63)</f>
        <v>37331.74</v>
      </c>
      <c r="C64" s="600">
        <f>SUM(C51:C63)</f>
        <v>44785.08</v>
      </c>
      <c r="D64" s="600">
        <f>SUM(D51:D63)</f>
        <v>45963.939999999988</v>
      </c>
      <c r="E64" s="600">
        <f>SUM(E51:E63)</f>
        <v>43883.54</v>
      </c>
      <c r="F64" s="600">
        <f>SUM(F51:F63)</f>
        <v>44409.409999999996</v>
      </c>
      <c r="G64" s="600">
        <f t="shared" ref="G64" si="5">SUM(G51:G63)</f>
        <v>33194.78</v>
      </c>
      <c r="H64" s="600">
        <f>SUM(H51:H63)</f>
        <v>-11214.63</v>
      </c>
    </row>
    <row r="65" spans="1:8" ht="15.75" x14ac:dyDescent="0.25">
      <c r="A65" s="605" t="s">
        <v>317</v>
      </c>
      <c r="B65" s="606">
        <f t="shared" ref="B65:H65" si="6">SUM(B9:B63)-B22-B36-B50</f>
        <v>139328.74</v>
      </c>
      <c r="C65" s="606">
        <f t="shared" si="6"/>
        <v>199253.05999999985</v>
      </c>
      <c r="D65" s="606">
        <f t="shared" si="6"/>
        <v>184010.66000000003</v>
      </c>
      <c r="E65" s="606">
        <f t="shared" si="6"/>
        <v>185097.12000000014</v>
      </c>
      <c r="F65" s="606">
        <f t="shared" si="6"/>
        <v>194384.88000000003</v>
      </c>
      <c r="G65" s="606">
        <f t="shared" si="6"/>
        <v>157031.36999999994</v>
      </c>
      <c r="H65" s="606">
        <f t="shared" si="6"/>
        <v>-37353.509999999995</v>
      </c>
    </row>
    <row r="66" spans="1:8" x14ac:dyDescent="0.2">
      <c r="A66" s="57" t="s">
        <v>318</v>
      </c>
      <c r="B66" s="607">
        <f t="shared" ref="B66:G66" si="7">AVERAGE(B9:B21)</f>
        <v>2043.7076923076925</v>
      </c>
      <c r="C66" s="608">
        <f t="shared" si="7"/>
        <v>3924.3692307692318</v>
      </c>
      <c r="D66" s="608">
        <f t="shared" si="7"/>
        <v>3374.6030769230765</v>
      </c>
      <c r="E66" s="608">
        <f t="shared" si="7"/>
        <v>3340.4923076923073</v>
      </c>
      <c r="F66" s="608">
        <f t="shared" si="7"/>
        <v>3902.6661538461535</v>
      </c>
      <c r="G66" s="607">
        <f t="shared" si="7"/>
        <v>2699.5315384615378</v>
      </c>
      <c r="H66" s="609">
        <f>G66-F66</f>
        <v>-1203.1346153846157</v>
      </c>
    </row>
    <row r="67" spans="1:8" x14ac:dyDescent="0.2">
      <c r="A67" s="57" t="s">
        <v>319</v>
      </c>
      <c r="B67" s="610">
        <f t="shared" ref="B67:G67" si="8">AVERAGE(B23:B35)</f>
        <v>3333.5307692307692</v>
      </c>
      <c r="C67" s="611">
        <f t="shared" si="8"/>
        <v>4248.3623076923086</v>
      </c>
      <c r="D67" s="611">
        <f t="shared" si="8"/>
        <v>3601.1915384615381</v>
      </c>
      <c r="E67" s="611">
        <f t="shared" si="8"/>
        <v>3980.5784615384619</v>
      </c>
      <c r="F67" s="611">
        <f t="shared" si="8"/>
        <v>3883.5507692307683</v>
      </c>
      <c r="G67" s="610">
        <f t="shared" si="8"/>
        <v>3755.3823076923081</v>
      </c>
      <c r="H67" s="612">
        <f>G67-F67</f>
        <v>-128.16846153846018</v>
      </c>
    </row>
    <row r="68" spans="1:8" x14ac:dyDescent="0.2">
      <c r="A68" s="57" t="s">
        <v>320</v>
      </c>
      <c r="B68" s="610">
        <f t="shared" ref="B68:F68" si="9">AVERAGE(B37:B49)</f>
        <v>2468.6846153846154</v>
      </c>
      <c r="C68" s="611">
        <f t="shared" si="9"/>
        <v>3709.4207692307691</v>
      </c>
      <c r="D68" s="611">
        <f t="shared" si="9"/>
        <v>3643.1838461538459</v>
      </c>
      <c r="E68" s="611">
        <f t="shared" si="9"/>
        <v>3541.5123076923078</v>
      </c>
      <c r="F68" s="611">
        <f t="shared" si="9"/>
        <v>3750.3576923076917</v>
      </c>
      <c r="G68" s="611">
        <f>AVERAGE(G37:G49)</f>
        <v>3070.9776923076925</v>
      </c>
      <c r="H68" s="612">
        <f>G68-F68</f>
        <v>-679.3799999999992</v>
      </c>
    </row>
    <row r="69" spans="1:8" x14ac:dyDescent="0.2">
      <c r="A69" s="57" t="s">
        <v>321</v>
      </c>
      <c r="B69" s="613">
        <f t="shared" ref="B69:G69" si="10">AVERAGE(B51:B63)</f>
        <v>2871.6723076923076</v>
      </c>
      <c r="C69" s="614">
        <f t="shared" si="10"/>
        <v>3445.0061538461541</v>
      </c>
      <c r="D69" s="614">
        <f t="shared" si="10"/>
        <v>3535.6876923076916</v>
      </c>
      <c r="E69" s="615">
        <f t="shared" si="10"/>
        <v>3375.6569230769232</v>
      </c>
      <c r="F69" s="615">
        <f t="shared" si="10"/>
        <v>3416.1084615384611</v>
      </c>
      <c r="G69" s="615">
        <f t="shared" si="10"/>
        <v>2553.4446153846152</v>
      </c>
      <c r="H69" s="616">
        <f>G69-F69</f>
        <v>-862.66384615384595</v>
      </c>
    </row>
    <row r="71" spans="1:8" x14ac:dyDescent="0.2">
      <c r="H71" s="583"/>
    </row>
    <row r="74" spans="1:8" x14ac:dyDescent="0.2">
      <c r="C74" s="584"/>
    </row>
    <row r="75" spans="1:8" x14ac:dyDescent="0.2">
      <c r="C75" s="584"/>
    </row>
  </sheetData>
  <mergeCells count="1">
    <mergeCell ref="A5:H5"/>
  </mergeCells>
  <pageMargins left="1.2" right="0.2" top="0.25" bottom="0.5" header="0.3" footer="0.3"/>
  <pageSetup scale="7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7"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100</v>
      </c>
      <c r="B1" s="60"/>
      <c r="C1" s="61"/>
      <c r="D1" s="61"/>
      <c r="E1" s="61"/>
      <c r="F1" s="60"/>
      <c r="G1" s="233"/>
      <c r="H1" s="526"/>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281</v>
      </c>
      <c r="B2" s="60"/>
      <c r="C2" s="61"/>
      <c r="D2" s="61"/>
      <c r="E2" s="61"/>
      <c r="F2" s="60"/>
      <c r="G2" s="233"/>
      <c r="H2" s="526"/>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275</v>
      </c>
      <c r="B3" s="60"/>
      <c r="C3" s="61"/>
      <c r="D3" s="61"/>
      <c r="E3" s="61"/>
      <c r="F3" s="60"/>
      <c r="G3" s="233"/>
      <c r="H3" s="526"/>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282</v>
      </c>
      <c r="B4" s="60"/>
      <c r="C4" s="61"/>
      <c r="D4" s="61"/>
      <c r="E4" s="61"/>
      <c r="F4" s="60"/>
      <c r="G4" s="233"/>
      <c r="H4" s="526"/>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4"/>
      <c r="H5" s="527"/>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23" t="s">
        <v>54</v>
      </c>
      <c r="H6" s="512"/>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5"/>
      <c r="H7" s="384"/>
    </row>
    <row r="8" spans="1:143" s="73" customFormat="1" ht="21" thickBot="1" x14ac:dyDescent="0.35">
      <c r="A8" s="70"/>
      <c r="B8" s="154" t="s">
        <v>106</v>
      </c>
      <c r="C8" s="154"/>
      <c r="D8" s="154"/>
      <c r="E8" s="154"/>
      <c r="F8" s="154"/>
      <c r="G8" s="287"/>
      <c r="H8" s="528"/>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38" t="s">
        <v>107</v>
      </c>
      <c r="D9" s="438"/>
      <c r="E9" s="438"/>
      <c r="F9" s="74"/>
      <c r="G9" s="268">
        <v>1015000</v>
      </c>
      <c r="H9" s="384"/>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38" t="s">
        <v>183</v>
      </c>
      <c r="D10" s="438"/>
      <c r="E10" s="438"/>
      <c r="F10" s="74"/>
      <c r="G10" s="269">
        <v>13000</v>
      </c>
      <c r="H10" s="384"/>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09"/>
      <c r="C11" s="438" t="s">
        <v>157</v>
      </c>
      <c r="D11" s="438"/>
      <c r="E11" s="438"/>
      <c r="F11" s="74"/>
      <c r="G11" s="269">
        <v>195000</v>
      </c>
      <c r="H11" s="384"/>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09"/>
      <c r="C12" s="438" t="s">
        <v>190</v>
      </c>
      <c r="D12" s="438"/>
      <c r="E12" s="438"/>
      <c r="F12" s="74"/>
      <c r="G12" s="269">
        <v>40000</v>
      </c>
      <c r="H12" s="384"/>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09"/>
      <c r="C13" s="438" t="s">
        <v>108</v>
      </c>
      <c r="D13" s="438"/>
      <c r="E13" s="438"/>
      <c r="F13" s="74"/>
      <c r="G13" s="269"/>
      <c r="H13" s="384"/>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09"/>
      <c r="C14" s="78"/>
      <c r="D14" s="438" t="s">
        <v>146</v>
      </c>
      <c r="E14" s="438"/>
      <c r="F14" s="74"/>
      <c r="G14" s="269">
        <f>43900+41500+122000</f>
        <v>207400</v>
      </c>
      <c r="H14" s="384"/>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09"/>
      <c r="C15" s="78"/>
      <c r="D15" s="438" t="s">
        <v>167</v>
      </c>
      <c r="E15" s="438"/>
      <c r="F15" s="74"/>
      <c r="G15" s="269">
        <v>11000</v>
      </c>
      <c r="H15" s="384"/>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09"/>
      <c r="C16" s="438" t="s">
        <v>109</v>
      </c>
      <c r="D16" s="438"/>
      <c r="E16" s="438"/>
      <c r="F16" s="74"/>
      <c r="G16" s="269">
        <v>9500</v>
      </c>
      <c r="H16" s="384"/>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09"/>
      <c r="C17" s="438" t="s">
        <v>116</v>
      </c>
      <c r="D17" s="438"/>
      <c r="E17" s="438"/>
      <c r="F17" s="74"/>
      <c r="G17" s="269">
        <v>1000</v>
      </c>
      <c r="H17" s="384"/>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09"/>
      <c r="C18" s="438" t="s">
        <v>253</v>
      </c>
      <c r="D18" s="438"/>
      <c r="E18" s="438"/>
      <c r="F18" s="74"/>
      <c r="G18" s="269">
        <v>3000</v>
      </c>
      <c r="H18" s="384"/>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09"/>
      <c r="C19" s="438" t="s">
        <v>254</v>
      </c>
      <c r="D19" s="438"/>
      <c r="E19" s="438"/>
      <c r="F19" s="74"/>
      <c r="G19" s="269">
        <f>25000+8000+20000</f>
        <v>53000</v>
      </c>
      <c r="H19" s="384"/>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09"/>
      <c r="C20" s="438" t="s">
        <v>152</v>
      </c>
      <c r="D20" s="438"/>
      <c r="E20" s="438"/>
      <c r="F20" s="74"/>
      <c r="G20" s="269">
        <v>500</v>
      </c>
      <c r="H20" s="384"/>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09"/>
      <c r="C21" s="438" t="s">
        <v>174</v>
      </c>
      <c r="D21" s="438"/>
      <c r="E21" s="438"/>
      <c r="F21" s="74"/>
      <c r="G21" s="269"/>
      <c r="H21" s="384"/>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09"/>
      <c r="C22" s="438" t="s">
        <v>115</v>
      </c>
      <c r="D22" s="438"/>
      <c r="E22" s="438"/>
      <c r="F22" s="74"/>
      <c r="G22" s="270">
        <v>46575</v>
      </c>
      <c r="H22" s="384"/>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09"/>
      <c r="C23" s="438"/>
      <c r="D23" s="74" t="s">
        <v>111</v>
      </c>
      <c r="E23" s="438"/>
      <c r="F23" s="74"/>
      <c r="G23" s="237">
        <f>SUM(G9:G22)</f>
        <v>1594975</v>
      </c>
      <c r="H23" s="384"/>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09"/>
      <c r="C24" s="74" t="s">
        <v>112</v>
      </c>
      <c r="D24" s="438"/>
      <c r="E24" s="438"/>
      <c r="F24" s="74"/>
      <c r="G24" s="245">
        <f>68000+18000</f>
        <v>86000</v>
      </c>
      <c r="H24" s="384"/>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09"/>
      <c r="C25" s="438"/>
      <c r="D25" s="74" t="s">
        <v>113</v>
      </c>
      <c r="E25" s="438"/>
      <c r="F25" s="74"/>
      <c r="G25" s="237">
        <f>SUM(G23:G24)</f>
        <v>1680975</v>
      </c>
      <c r="H25" s="384"/>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09"/>
      <c r="C26" s="438"/>
      <c r="D26" s="74"/>
      <c r="E26" s="438"/>
      <c r="F26" s="74"/>
      <c r="G26" s="237"/>
      <c r="H26" s="384"/>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10" t="s">
        <v>117</v>
      </c>
      <c r="C27" s="88"/>
      <c r="D27" s="88"/>
      <c r="E27" s="88"/>
      <c r="F27" s="88"/>
      <c r="G27" s="245"/>
      <c r="H27" s="384"/>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11"/>
      <c r="C28" s="80" t="s">
        <v>118</v>
      </c>
      <c r="D28" s="80"/>
      <c r="E28" s="80"/>
      <c r="F28" s="80"/>
      <c r="G28" s="235">
        <f>ROUND((898643.55+40000)*1.02,-2)</f>
        <v>957400</v>
      </c>
      <c r="H28" s="384"/>
    </row>
    <row r="29" spans="1:143" s="69" customFormat="1" ht="20.25" x14ac:dyDescent="0.2">
      <c r="A29" s="68"/>
      <c r="B29" s="411"/>
      <c r="C29" s="80" t="s">
        <v>119</v>
      </c>
      <c r="D29" s="80"/>
      <c r="E29" s="80"/>
      <c r="F29" s="80"/>
      <c r="G29" s="235">
        <f>ROUNDUP(G28*0.195,-2)</f>
        <v>186700</v>
      </c>
      <c r="H29" s="384"/>
    </row>
    <row r="30" spans="1:143" s="69" customFormat="1" ht="20.25" x14ac:dyDescent="0.2">
      <c r="A30" s="68"/>
      <c r="B30" s="411"/>
      <c r="C30" s="80" t="s">
        <v>120</v>
      </c>
      <c r="D30" s="80"/>
      <c r="E30" s="80"/>
      <c r="F30" s="80"/>
      <c r="G30" s="235">
        <f>48831-G22</f>
        <v>2256</v>
      </c>
      <c r="H30" s="384"/>
    </row>
    <row r="31" spans="1:143" s="69" customFormat="1" ht="20.25" x14ac:dyDescent="0.2">
      <c r="A31" s="68"/>
      <c r="B31" s="411"/>
      <c r="C31" s="80" t="s">
        <v>110</v>
      </c>
      <c r="D31" s="80"/>
      <c r="E31" s="80"/>
      <c r="F31" s="80"/>
      <c r="G31" s="235">
        <f>G22</f>
        <v>46575</v>
      </c>
      <c r="H31" s="384"/>
    </row>
    <row r="32" spans="1:143" s="69" customFormat="1" ht="20.25" x14ac:dyDescent="0.2">
      <c r="A32" s="68"/>
      <c r="B32" s="411"/>
      <c r="C32" s="80" t="s">
        <v>121</v>
      </c>
      <c r="D32" s="80"/>
      <c r="E32" s="80"/>
      <c r="F32" s="80"/>
      <c r="G32" s="235">
        <v>14000</v>
      </c>
      <c r="H32" s="384"/>
    </row>
    <row r="33" spans="1:8" s="69" customFormat="1" ht="20.25" x14ac:dyDescent="0.2">
      <c r="A33" s="68"/>
      <c r="B33" s="411"/>
      <c r="C33" s="80" t="s">
        <v>122</v>
      </c>
      <c r="D33" s="80"/>
      <c r="E33" s="80"/>
      <c r="F33" s="80"/>
      <c r="G33" s="235">
        <v>3500</v>
      </c>
      <c r="H33" s="384"/>
    </row>
    <row r="34" spans="1:8" s="69" customFormat="1" ht="20.25" x14ac:dyDescent="0.2">
      <c r="A34" s="68"/>
      <c r="B34" s="411"/>
      <c r="C34" s="80" t="s">
        <v>123</v>
      </c>
      <c r="D34" s="80"/>
      <c r="E34" s="80"/>
      <c r="F34" s="80"/>
      <c r="G34" s="235">
        <v>7000</v>
      </c>
      <c r="H34" s="384"/>
    </row>
    <row r="35" spans="1:8" s="69" customFormat="1" ht="20.25" x14ac:dyDescent="0.2">
      <c r="A35" s="68"/>
      <c r="B35" s="411"/>
      <c r="C35" s="80" t="s">
        <v>124</v>
      </c>
      <c r="D35" s="80"/>
      <c r="E35" s="80"/>
      <c r="F35" s="80"/>
      <c r="G35" s="235">
        <v>13500</v>
      </c>
      <c r="H35" s="384"/>
    </row>
    <row r="36" spans="1:8" s="69" customFormat="1" ht="20.25" x14ac:dyDescent="0.2">
      <c r="A36" s="68"/>
      <c r="B36" s="411"/>
      <c r="C36" s="80" t="s">
        <v>125</v>
      </c>
      <c r="D36" s="80"/>
      <c r="E36" s="80"/>
      <c r="F36" s="80"/>
      <c r="G36" s="235">
        <v>40000</v>
      </c>
      <c r="H36" s="384"/>
    </row>
    <row r="37" spans="1:8" s="69" customFormat="1" ht="20.25" x14ac:dyDescent="0.2">
      <c r="A37" s="68"/>
      <c r="B37" s="411"/>
      <c r="C37" s="80" t="s">
        <v>126</v>
      </c>
      <c r="D37" s="80"/>
      <c r="E37" s="80"/>
      <c r="F37" s="80"/>
      <c r="G37" s="235">
        <v>6600</v>
      </c>
      <c r="H37" s="384"/>
    </row>
    <row r="38" spans="1:8" s="69" customFormat="1" ht="20.25" x14ac:dyDescent="0.2">
      <c r="A38" s="68"/>
      <c r="B38" s="411"/>
      <c r="C38" s="80" t="s">
        <v>127</v>
      </c>
      <c r="D38" s="80"/>
      <c r="E38" s="80"/>
      <c r="F38" s="80"/>
      <c r="G38" s="235">
        <v>1500</v>
      </c>
      <c r="H38" s="384"/>
    </row>
    <row r="39" spans="1:8" s="69" customFormat="1" ht="20.25" x14ac:dyDescent="0.2">
      <c r="A39" s="68"/>
      <c r="B39" s="411"/>
      <c r="C39" s="80" t="s">
        <v>176</v>
      </c>
      <c r="D39" s="80"/>
      <c r="E39" s="80"/>
      <c r="F39" s="80"/>
      <c r="G39" s="235">
        <v>13700</v>
      </c>
      <c r="H39" s="384"/>
    </row>
    <row r="40" spans="1:8" s="77" customFormat="1" ht="20.25" x14ac:dyDescent="0.2">
      <c r="A40" s="80"/>
      <c r="B40" s="407"/>
      <c r="C40" s="80" t="s">
        <v>128</v>
      </c>
      <c r="D40" s="80"/>
      <c r="E40" s="80"/>
      <c r="F40" s="80"/>
      <c r="G40" s="335">
        <f>ROUNDUP(13248.87*1.05,-2)</f>
        <v>14000</v>
      </c>
      <c r="H40" s="383"/>
    </row>
    <row r="41" spans="1:8" s="77" customFormat="1" ht="20.25" x14ac:dyDescent="0.2">
      <c r="A41" s="80"/>
      <c r="B41" s="407"/>
      <c r="C41" s="80" t="s">
        <v>129</v>
      </c>
      <c r="D41" s="80"/>
      <c r="E41" s="80"/>
      <c r="F41" s="80"/>
      <c r="G41" s="235">
        <f>ROUNDUP(12343.85*1.03,-2)</f>
        <v>12800</v>
      </c>
      <c r="H41" s="383"/>
    </row>
    <row r="42" spans="1:8" s="77" customFormat="1" ht="20.25" x14ac:dyDescent="0.2">
      <c r="A42" s="80"/>
      <c r="B42" s="407"/>
      <c r="C42" s="80" t="s">
        <v>136</v>
      </c>
      <c r="D42" s="80"/>
      <c r="E42" s="80"/>
      <c r="F42" s="80"/>
      <c r="G42" s="235">
        <v>3000</v>
      </c>
      <c r="H42" s="383"/>
    </row>
    <row r="43" spans="1:8" s="77" customFormat="1" ht="20.25" x14ac:dyDescent="0.2">
      <c r="A43" s="80"/>
      <c r="B43" s="407"/>
      <c r="C43" s="80" t="s">
        <v>130</v>
      </c>
      <c r="D43" s="80"/>
      <c r="E43" s="80"/>
      <c r="F43" s="80"/>
      <c r="G43" s="335">
        <f>ROUNDUP((3067.88+8008.83)*1.05,-2)</f>
        <v>11700</v>
      </c>
      <c r="H43" s="383"/>
    </row>
    <row r="44" spans="1:8" s="69" customFormat="1" ht="20.25" x14ac:dyDescent="0.2">
      <c r="A44" s="68"/>
      <c r="B44" s="411"/>
      <c r="C44" s="80" t="s">
        <v>212</v>
      </c>
      <c r="D44" s="80"/>
      <c r="E44" s="80"/>
      <c r="F44" s="80"/>
      <c r="G44" s="235">
        <v>17000</v>
      </c>
      <c r="H44" s="384"/>
    </row>
    <row r="45" spans="1:8" s="77" customFormat="1" ht="20.25" x14ac:dyDescent="0.2">
      <c r="A45" s="80"/>
      <c r="B45" s="407"/>
      <c r="C45" s="80" t="s">
        <v>131</v>
      </c>
      <c r="D45" s="80"/>
      <c r="E45" s="80"/>
      <c r="F45" s="80"/>
      <c r="G45" s="335">
        <v>41000</v>
      </c>
      <c r="H45" s="383"/>
    </row>
    <row r="46" spans="1:8" s="77" customFormat="1" ht="20.25" x14ac:dyDescent="0.2">
      <c r="A46" s="80"/>
      <c r="B46" s="407"/>
      <c r="C46" s="80" t="s">
        <v>132</v>
      </c>
      <c r="D46" s="80"/>
      <c r="E46" s="80"/>
      <c r="F46" s="80"/>
      <c r="G46" s="335">
        <f>ROUNDUP((1800+4675.64+34905.29+1033.01-10000-2673-17150-1033+14000)*1.01,-2)</f>
        <v>25900</v>
      </c>
      <c r="H46" s="383"/>
    </row>
    <row r="47" spans="1:8" s="77" customFormat="1" ht="20.25" x14ac:dyDescent="0.2">
      <c r="A47" s="80"/>
      <c r="B47" s="407"/>
      <c r="C47" s="80" t="s">
        <v>177</v>
      </c>
      <c r="D47" s="80"/>
      <c r="E47" s="80"/>
      <c r="F47" s="80"/>
      <c r="G47" s="235">
        <v>36000</v>
      </c>
      <c r="H47" s="383"/>
    </row>
    <row r="48" spans="1:8" s="77" customFormat="1" ht="20.25" x14ac:dyDescent="0.2">
      <c r="A48" s="80"/>
      <c r="B48" s="407"/>
      <c r="C48" s="80" t="s">
        <v>175</v>
      </c>
      <c r="D48" s="80"/>
      <c r="E48" s="80"/>
      <c r="F48" s="80"/>
      <c r="G48" s="235">
        <f>ROUNDUP(46266.27*1.02,-2)</f>
        <v>47200</v>
      </c>
      <c r="H48" s="383"/>
    </row>
    <row r="49" spans="1:8" s="77" customFormat="1" ht="20.25" x14ac:dyDescent="0.2">
      <c r="A49" s="80"/>
      <c r="B49" s="407"/>
      <c r="C49" s="80" t="s">
        <v>133</v>
      </c>
      <c r="D49" s="80"/>
      <c r="E49" s="80"/>
      <c r="F49" s="80"/>
      <c r="G49" s="235">
        <f>ROUND((2604.31+166143.24-12000)*1.01,-2)</f>
        <v>158300</v>
      </c>
      <c r="H49" s="383"/>
    </row>
    <row r="50" spans="1:8" s="77" customFormat="1" ht="20.25" hidden="1" x14ac:dyDescent="0.2">
      <c r="A50" s="80"/>
      <c r="B50" s="407"/>
      <c r="C50" s="80" t="s">
        <v>277</v>
      </c>
      <c r="D50" s="80"/>
      <c r="E50" s="80"/>
      <c r="F50" s="80"/>
      <c r="G50" s="235"/>
      <c r="H50" s="383"/>
    </row>
    <row r="51" spans="1:8" s="69" customFormat="1" ht="20.25" x14ac:dyDescent="0.2">
      <c r="A51" s="68"/>
      <c r="B51" s="411"/>
      <c r="C51" s="68"/>
      <c r="D51" s="74" t="s">
        <v>134</v>
      </c>
      <c r="E51" s="68"/>
      <c r="F51" s="68"/>
      <c r="G51" s="240">
        <f>SUM(G28:G50)</f>
        <v>1659631</v>
      </c>
      <c r="H51" s="384"/>
    </row>
    <row r="52" spans="1:8" s="69" customFormat="1" ht="10.5" customHeight="1" thickBot="1" x14ac:dyDescent="0.25">
      <c r="A52" s="68"/>
      <c r="B52" s="411"/>
      <c r="C52" s="68"/>
      <c r="D52" s="74"/>
      <c r="E52" s="68"/>
      <c r="F52" s="68"/>
      <c r="G52" s="245"/>
      <c r="H52" s="384"/>
    </row>
    <row r="53" spans="1:8" s="69" customFormat="1" ht="21" thickBot="1" x14ac:dyDescent="0.25">
      <c r="A53" s="68"/>
      <c r="B53" s="411"/>
      <c r="C53" s="68"/>
      <c r="D53" s="68" t="s">
        <v>135</v>
      </c>
      <c r="E53" s="68"/>
      <c r="F53" s="68"/>
      <c r="G53" s="245">
        <f>G25-G51</f>
        <v>21344</v>
      </c>
      <c r="H53" s="384"/>
    </row>
    <row r="54" spans="1:8" s="69" customFormat="1" ht="11.25" customHeight="1" x14ac:dyDescent="0.2">
      <c r="A54" s="68"/>
      <c r="B54" s="411"/>
      <c r="C54" s="68"/>
      <c r="D54" s="68"/>
      <c r="E54" s="68"/>
      <c r="F54" s="68"/>
      <c r="G54" s="235"/>
      <c r="H54" s="384"/>
    </row>
    <row r="55" spans="1:8" s="77" customFormat="1" ht="20.25" x14ac:dyDescent="0.2">
      <c r="A55" s="80"/>
      <c r="B55" s="407"/>
      <c r="C55" s="80"/>
      <c r="D55" s="80"/>
      <c r="F55" s="80"/>
      <c r="G55" s="250"/>
      <c r="H55" s="383"/>
    </row>
    <row r="56" spans="1:8" s="77" customFormat="1" ht="20.25" x14ac:dyDescent="0.2">
      <c r="A56" s="80"/>
      <c r="B56" s="407"/>
      <c r="C56" s="80"/>
      <c r="D56" s="80"/>
      <c r="F56" s="80"/>
      <c r="G56" s="235"/>
      <c r="H56" s="383"/>
    </row>
    <row r="57" spans="1:8" s="77" customFormat="1" ht="20.25" x14ac:dyDescent="0.2">
      <c r="A57" s="80"/>
      <c r="B57" s="407"/>
      <c r="C57" s="80"/>
      <c r="D57" s="80"/>
      <c r="F57" s="80"/>
      <c r="G57" s="235"/>
      <c r="H57" s="383"/>
    </row>
    <row r="58" spans="1:8" s="77" customFormat="1" ht="20.25" x14ac:dyDescent="0.2">
      <c r="A58" s="80"/>
      <c r="B58" s="80"/>
      <c r="C58" s="80"/>
      <c r="D58" s="80"/>
      <c r="F58" s="80"/>
      <c r="G58" s="235"/>
      <c r="H58" s="383"/>
    </row>
    <row r="59" spans="1:8" s="77" customFormat="1" ht="20.25" x14ac:dyDescent="0.2">
      <c r="A59" s="80"/>
      <c r="B59" s="80"/>
      <c r="C59" s="80"/>
      <c r="D59" s="80"/>
      <c r="F59" s="80"/>
      <c r="G59" s="235"/>
      <c r="H59" s="383"/>
    </row>
    <row r="60" spans="1:8" s="77" customFormat="1" ht="20.25" x14ac:dyDescent="0.2">
      <c r="A60" s="80"/>
      <c r="B60" s="80"/>
      <c r="C60" s="80"/>
      <c r="D60" s="80"/>
      <c r="F60" s="80"/>
      <c r="G60" s="235"/>
      <c r="H60" s="383"/>
    </row>
    <row r="61" spans="1:8" s="77" customFormat="1" ht="20.25" x14ac:dyDescent="0.2">
      <c r="A61" s="80"/>
      <c r="B61" s="80"/>
      <c r="C61" s="68"/>
      <c r="D61" s="80"/>
      <c r="F61" s="80"/>
      <c r="G61" s="235"/>
      <c r="H61" s="383"/>
    </row>
    <row r="62" spans="1:8" s="77" customFormat="1" ht="20.25" x14ac:dyDescent="0.2">
      <c r="A62" s="80"/>
      <c r="B62" s="80"/>
      <c r="C62" s="80"/>
      <c r="D62" s="80"/>
      <c r="E62" s="80"/>
      <c r="F62" s="80"/>
      <c r="G62" s="235"/>
      <c r="H62" s="383"/>
    </row>
    <row r="63" spans="1:8" s="77" customFormat="1" ht="20.25" x14ac:dyDescent="0.2">
      <c r="A63" s="80"/>
      <c r="B63" s="80"/>
      <c r="C63" s="68"/>
      <c r="D63" s="68"/>
      <c r="G63" s="235"/>
      <c r="H63" s="383"/>
    </row>
    <row r="64" spans="1:8" s="77" customFormat="1" ht="20.25" x14ac:dyDescent="0.2">
      <c r="A64" s="80"/>
      <c r="B64" s="80"/>
      <c r="C64" s="80"/>
      <c r="D64" s="80"/>
      <c r="E64" s="80"/>
      <c r="F64" s="80"/>
      <c r="G64" s="235"/>
      <c r="H64" s="383"/>
    </row>
    <row r="65" spans="1:8" s="77" customFormat="1" ht="20.25" x14ac:dyDescent="0.2">
      <c r="A65" s="80"/>
      <c r="B65" s="80"/>
      <c r="C65" s="80"/>
      <c r="D65" s="80"/>
      <c r="E65" s="80"/>
      <c r="F65" s="80"/>
      <c r="G65" s="235"/>
      <c r="H65" s="383"/>
    </row>
    <row r="66" spans="1:8" s="77" customFormat="1" ht="20.25" x14ac:dyDescent="0.2">
      <c r="A66" s="80"/>
      <c r="B66" s="80"/>
      <c r="C66" s="80"/>
      <c r="D66" s="80"/>
      <c r="E66" s="80"/>
      <c r="F66" s="80"/>
      <c r="G66" s="235"/>
      <c r="H66" s="383"/>
    </row>
    <row r="67" spans="1:8" s="77" customFormat="1" ht="20.25" x14ac:dyDescent="0.2">
      <c r="A67" s="80"/>
      <c r="B67" s="80"/>
      <c r="C67" s="80"/>
      <c r="D67" s="80"/>
      <c r="E67" s="80"/>
      <c r="F67" s="80"/>
      <c r="G67" s="235"/>
      <c r="H67" s="383"/>
    </row>
    <row r="68" spans="1:8" s="77" customFormat="1" ht="20.25" x14ac:dyDescent="0.2">
      <c r="A68" s="80"/>
      <c r="B68" s="80"/>
      <c r="C68" s="68"/>
      <c r="D68" s="80"/>
      <c r="F68" s="80"/>
      <c r="G68" s="235"/>
      <c r="H68" s="383"/>
    </row>
    <row r="69" spans="1:8" s="77" customFormat="1" ht="20.25" x14ac:dyDescent="0.2">
      <c r="A69" s="80"/>
      <c r="B69" s="80"/>
      <c r="C69" s="80"/>
      <c r="D69" s="80"/>
      <c r="E69" s="80"/>
      <c r="F69" s="80"/>
      <c r="G69" s="235"/>
      <c r="H69" s="383"/>
    </row>
    <row r="70" spans="1:8" s="69" customFormat="1" ht="20.25" x14ac:dyDescent="0.2">
      <c r="A70" s="68"/>
      <c r="B70" s="68"/>
      <c r="C70" s="68"/>
      <c r="D70" s="68"/>
      <c r="E70" s="68"/>
      <c r="F70" s="68"/>
      <c r="G70" s="240"/>
      <c r="H70" s="384"/>
    </row>
    <row r="71" spans="1:8" s="69" customFormat="1" ht="20.25" x14ac:dyDescent="0.2">
      <c r="A71" s="68"/>
      <c r="B71" s="68"/>
      <c r="C71" s="68"/>
      <c r="D71" s="68"/>
      <c r="E71" s="68"/>
      <c r="F71" s="68"/>
      <c r="G71" s="240"/>
      <c r="H71" s="384"/>
    </row>
    <row r="72" spans="1:8" s="69" customFormat="1" ht="23.25" x14ac:dyDescent="0.2">
      <c r="A72" s="68"/>
      <c r="B72" s="276"/>
      <c r="C72" s="68"/>
      <c r="D72" s="68"/>
      <c r="E72" s="68"/>
      <c r="F72" s="68"/>
      <c r="G72" s="235"/>
      <c r="H72" s="384"/>
    </row>
    <row r="73" spans="1:8" s="77" customFormat="1" ht="20.25" x14ac:dyDescent="0.2">
      <c r="A73" s="80"/>
      <c r="B73" s="80"/>
      <c r="D73" s="80"/>
      <c r="E73" s="80"/>
      <c r="F73" s="80"/>
      <c r="G73" s="235"/>
      <c r="H73" s="383"/>
    </row>
    <row r="74" spans="1:8" s="77" customFormat="1" ht="20.25" x14ac:dyDescent="0.2">
      <c r="A74" s="80"/>
      <c r="B74" s="80"/>
      <c r="D74" s="80"/>
      <c r="E74" s="80"/>
      <c r="F74" s="80"/>
      <c r="G74" s="235"/>
      <c r="H74" s="383"/>
    </row>
    <row r="75" spans="1:8" s="69" customFormat="1" ht="20.25" x14ac:dyDescent="0.2">
      <c r="A75" s="68"/>
      <c r="B75" s="68"/>
      <c r="D75" s="80"/>
      <c r="E75" s="68"/>
      <c r="F75" s="68"/>
      <c r="G75" s="235"/>
      <c r="H75" s="384"/>
    </row>
    <row r="76" spans="1:8" s="69" customFormat="1" ht="23.25" x14ac:dyDescent="0.2">
      <c r="A76" s="68"/>
      <c r="B76" s="276"/>
      <c r="C76" s="68"/>
      <c r="D76" s="68"/>
      <c r="E76" s="68"/>
      <c r="F76" s="68"/>
      <c r="G76" s="240"/>
      <c r="H76" s="384"/>
    </row>
    <row r="77" spans="1:8" s="69" customFormat="1" ht="20.25" x14ac:dyDescent="0.2">
      <c r="A77" s="68"/>
      <c r="B77" s="68"/>
      <c r="C77" s="68"/>
      <c r="D77" s="68"/>
      <c r="E77" s="68"/>
      <c r="F77" s="68"/>
      <c r="G77" s="235"/>
      <c r="H77" s="384"/>
    </row>
    <row r="78" spans="1:8" s="83" customFormat="1" ht="26.25" x14ac:dyDescent="0.2">
      <c r="A78" s="273"/>
      <c r="B78" s="273"/>
      <c r="C78" s="273"/>
      <c r="D78" s="273"/>
      <c r="E78" s="273"/>
      <c r="F78" s="273"/>
      <c r="G78" s="274"/>
      <c r="H78" s="529"/>
    </row>
    <row r="79" spans="1:8" s="18" customFormat="1" x14ac:dyDescent="0.2">
      <c r="A79" s="123"/>
      <c r="B79" s="123"/>
      <c r="C79" s="123"/>
      <c r="D79" s="123"/>
      <c r="E79" s="123"/>
      <c r="F79" s="123"/>
      <c r="G79" s="277"/>
      <c r="H79" s="1"/>
    </row>
  </sheetData>
  <pageMargins left="0.45" right="0.45" top="0.5" bottom="0.5" header="0.3" footer="0.3"/>
  <pageSetup scale="7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100</v>
      </c>
      <c r="B1" s="60"/>
      <c r="C1" s="61"/>
      <c r="D1" s="61"/>
      <c r="E1" s="61"/>
      <c r="F1" s="60"/>
      <c r="G1" s="60"/>
    </row>
    <row r="2" spans="1:23" ht="26.25" x14ac:dyDescent="0.4">
      <c r="A2" s="59" t="s">
        <v>193</v>
      </c>
      <c r="B2" s="60"/>
      <c r="C2" s="61"/>
      <c r="D2" s="61"/>
      <c r="E2" s="61"/>
      <c r="F2" s="60"/>
      <c r="G2" s="60"/>
    </row>
    <row r="3" spans="1:23" ht="11.25" customHeight="1" thickBot="1" x14ac:dyDescent="0.25">
      <c r="A3" s="62"/>
      <c r="B3" s="62"/>
      <c r="C3" s="62"/>
      <c r="D3" s="62"/>
      <c r="E3" s="62"/>
      <c r="F3" s="62"/>
      <c r="G3" s="333"/>
    </row>
    <row r="4" spans="1:23" ht="27.75" thickTop="1" thickBot="1" x14ac:dyDescent="0.25">
      <c r="A4" s="65"/>
      <c r="B4" s="65"/>
      <c r="C4" s="65"/>
      <c r="D4" s="65" t="s">
        <v>53</v>
      </c>
      <c r="E4" s="65"/>
      <c r="F4" s="65"/>
      <c r="G4" s="423" t="s">
        <v>54</v>
      </c>
      <c r="H4" s="423"/>
      <c r="I4" s="423"/>
      <c r="J4" s="423"/>
      <c r="K4" s="423"/>
      <c r="L4" s="423"/>
      <c r="M4" s="423"/>
      <c r="N4" s="423"/>
      <c r="O4" s="423"/>
      <c r="P4" s="423"/>
      <c r="Q4" s="423"/>
      <c r="R4" s="423"/>
      <c r="S4" s="423"/>
      <c r="T4" s="423"/>
      <c r="U4" s="423"/>
      <c r="V4" s="423"/>
      <c r="W4" s="423"/>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26"/>
      <c r="B6" s="848" t="s">
        <v>194</v>
      </c>
      <c r="C6" s="848"/>
      <c r="D6" s="848"/>
      <c r="E6" s="848"/>
      <c r="F6" s="848"/>
      <c r="G6" s="427">
        <v>42004</v>
      </c>
      <c r="H6" s="427">
        <v>41639</v>
      </c>
      <c r="I6" s="427">
        <v>41274</v>
      </c>
      <c r="J6" s="427">
        <v>41090</v>
      </c>
      <c r="K6" s="427">
        <v>40724</v>
      </c>
      <c r="L6" s="427">
        <v>40359</v>
      </c>
      <c r="M6" s="427">
        <v>39994</v>
      </c>
      <c r="N6" s="427">
        <v>39629</v>
      </c>
      <c r="O6" s="427">
        <v>39263</v>
      </c>
      <c r="P6" s="427">
        <v>38898</v>
      </c>
      <c r="Q6" s="427">
        <v>38533</v>
      </c>
      <c r="R6" s="427">
        <v>38168</v>
      </c>
      <c r="S6" s="427">
        <v>37802</v>
      </c>
      <c r="T6" s="427">
        <v>37437</v>
      </c>
      <c r="U6" s="427">
        <v>37072</v>
      </c>
      <c r="V6" s="427">
        <v>36707</v>
      </c>
      <c r="W6" s="427">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195</v>
      </c>
      <c r="D8" s="74"/>
      <c r="E8" s="74"/>
      <c r="F8" s="74"/>
      <c r="G8" s="248">
        <v>333525.67</v>
      </c>
      <c r="H8" s="248">
        <v>210919</v>
      </c>
      <c r="I8" s="248">
        <v>214148</v>
      </c>
      <c r="J8" s="248">
        <v>156809</v>
      </c>
      <c r="K8" s="248">
        <v>240314</v>
      </c>
      <c r="L8" s="248">
        <v>142815</v>
      </c>
      <c r="M8" s="248">
        <v>82502</v>
      </c>
      <c r="N8" s="248">
        <v>45758</v>
      </c>
      <c r="O8" s="248">
        <v>105458</v>
      </c>
      <c r="P8" s="248">
        <v>29475</v>
      </c>
      <c r="Q8" s="248">
        <v>22537</v>
      </c>
      <c r="R8" s="248">
        <v>42935</v>
      </c>
      <c r="S8" s="248">
        <v>144393</v>
      </c>
      <c r="T8" s="248">
        <v>42414</v>
      </c>
      <c r="U8" s="248">
        <f>69880+9123</f>
        <v>79003</v>
      </c>
      <c r="V8" s="248">
        <v>92767</v>
      </c>
      <c r="W8" s="248">
        <v>13150</v>
      </c>
    </row>
    <row r="9" spans="1:23" ht="20.25" x14ac:dyDescent="0.2">
      <c r="A9" s="424"/>
      <c r="B9" s="424"/>
      <c r="C9" s="74" t="s">
        <v>196</v>
      </c>
      <c r="D9" s="80"/>
      <c r="E9" s="80"/>
      <c r="F9" s="80"/>
      <c r="G9" s="286">
        <v>247907.12</v>
      </c>
      <c r="H9" s="286">
        <v>311775</v>
      </c>
      <c r="I9" s="286">
        <v>243797</v>
      </c>
      <c r="J9" s="286">
        <v>347870</v>
      </c>
      <c r="K9" s="286">
        <v>298266</v>
      </c>
      <c r="L9" s="286">
        <v>296605</v>
      </c>
      <c r="M9" s="286">
        <v>349918</v>
      </c>
      <c r="N9" s="286">
        <v>366842</v>
      </c>
      <c r="O9" s="286">
        <v>209667</v>
      </c>
      <c r="P9" s="286">
        <v>234735</v>
      </c>
      <c r="Q9" s="286">
        <v>254712</v>
      </c>
      <c r="R9" s="286">
        <v>250225</v>
      </c>
      <c r="S9" s="286">
        <v>85795</v>
      </c>
      <c r="T9" s="286">
        <v>185461</v>
      </c>
      <c r="U9" s="286">
        <v>99322</v>
      </c>
      <c r="V9" s="286">
        <v>80619</v>
      </c>
      <c r="W9" s="286">
        <v>49127</v>
      </c>
    </row>
    <row r="10" spans="1:23" ht="20.25" x14ac:dyDescent="0.2">
      <c r="A10" s="424"/>
      <c r="B10" s="424"/>
      <c r="C10" s="849" t="s">
        <v>169</v>
      </c>
      <c r="D10" s="849"/>
      <c r="E10" s="849"/>
      <c r="F10" s="849"/>
      <c r="G10" s="286">
        <v>0</v>
      </c>
      <c r="H10" s="286">
        <v>5142</v>
      </c>
      <c r="I10" s="286"/>
      <c r="J10" s="286"/>
      <c r="K10" s="286"/>
      <c r="L10" s="286"/>
      <c r="M10" s="286"/>
      <c r="N10" s="286"/>
      <c r="O10" s="286"/>
      <c r="P10" s="286"/>
      <c r="Q10" s="286"/>
      <c r="R10" s="286">
        <v>23</v>
      </c>
      <c r="S10" s="286">
        <v>4823</v>
      </c>
      <c r="T10" s="286">
        <v>6130</v>
      </c>
      <c r="U10" s="286">
        <v>19833</v>
      </c>
      <c r="V10" s="286"/>
      <c r="W10" s="286"/>
    </row>
    <row r="11" spans="1:23" ht="20.25" x14ac:dyDescent="0.2">
      <c r="A11" s="424"/>
      <c r="B11" s="424"/>
      <c r="C11" s="74" t="s">
        <v>197</v>
      </c>
      <c r="D11" s="424"/>
      <c r="E11" s="424"/>
      <c r="F11" s="424"/>
      <c r="G11" s="237">
        <v>31129.64</v>
      </c>
      <c r="H11" s="237">
        <v>30012</v>
      </c>
      <c r="I11" s="237">
        <v>30964</v>
      </c>
      <c r="J11" s="237">
        <v>30506</v>
      </c>
      <c r="K11" s="237">
        <v>28900</v>
      </c>
      <c r="L11" s="237">
        <v>28036</v>
      </c>
      <c r="M11" s="237"/>
      <c r="N11" s="237"/>
      <c r="O11" s="237"/>
      <c r="P11" s="237"/>
      <c r="Q11" s="237"/>
      <c r="R11" s="237"/>
      <c r="S11" s="237"/>
      <c r="T11" s="237"/>
      <c r="U11" s="237"/>
      <c r="V11" s="237"/>
      <c r="W11" s="237"/>
    </row>
    <row r="12" spans="1:23" ht="20.25" x14ac:dyDescent="0.2">
      <c r="A12" s="424"/>
      <c r="B12" s="424"/>
      <c r="C12" s="74" t="s">
        <v>165</v>
      </c>
      <c r="D12" s="79"/>
      <c r="E12" s="79"/>
      <c r="F12" s="79"/>
      <c r="G12" s="238">
        <v>5968.8799999999992</v>
      </c>
      <c r="H12" s="238">
        <v>4730</v>
      </c>
      <c r="I12" s="238">
        <v>3598</v>
      </c>
      <c r="J12" s="238">
        <f>1663+577</f>
        <v>2240</v>
      </c>
      <c r="K12" s="238">
        <f>5202</f>
        <v>5202</v>
      </c>
      <c r="L12" s="238">
        <v>1840</v>
      </c>
      <c r="M12" s="238">
        <v>1427</v>
      </c>
      <c r="N12" s="238">
        <v>360</v>
      </c>
      <c r="O12" s="238">
        <v>312</v>
      </c>
      <c r="P12" s="238"/>
      <c r="Q12" s="238">
        <v>5593</v>
      </c>
      <c r="R12" s="238">
        <v>3952</v>
      </c>
      <c r="S12" s="238">
        <v>13154</v>
      </c>
      <c r="T12" s="238">
        <v>2441</v>
      </c>
      <c r="U12" s="238"/>
      <c r="V12" s="238"/>
      <c r="W12" s="238"/>
    </row>
    <row r="13" spans="1:23" ht="20.25" x14ac:dyDescent="0.2">
      <c r="A13" s="74"/>
      <c r="B13" s="68"/>
      <c r="C13" s="68" t="s">
        <v>61</v>
      </c>
      <c r="D13" s="68"/>
      <c r="E13" s="68"/>
      <c r="F13" s="68"/>
      <c r="G13" s="240">
        <f>SUM(G8:G12)</f>
        <v>618531.31000000006</v>
      </c>
      <c r="H13" s="240">
        <f>SUM(H8:H12)</f>
        <v>562578</v>
      </c>
      <c r="I13" s="240">
        <f>SUM(I8:I12)</f>
        <v>492507</v>
      </c>
      <c r="J13" s="240">
        <f>SUM(J8:J12)</f>
        <v>537425</v>
      </c>
      <c r="K13" s="240">
        <f>SUM(K8:K12)</f>
        <v>572682</v>
      </c>
      <c r="L13" s="240">
        <f t="shared" ref="L13:W13" si="0">SUM(L8:L12)</f>
        <v>469296</v>
      </c>
      <c r="M13" s="240">
        <f t="shared" si="0"/>
        <v>433847</v>
      </c>
      <c r="N13" s="240">
        <f t="shared" si="0"/>
        <v>412960</v>
      </c>
      <c r="O13" s="240">
        <f t="shared" si="0"/>
        <v>315437</v>
      </c>
      <c r="P13" s="240">
        <f t="shared" si="0"/>
        <v>264210</v>
      </c>
      <c r="Q13" s="240">
        <f t="shared" si="0"/>
        <v>282842</v>
      </c>
      <c r="R13" s="240">
        <f t="shared" si="0"/>
        <v>297135</v>
      </c>
      <c r="S13" s="240">
        <f t="shared" si="0"/>
        <v>248165</v>
      </c>
      <c r="T13" s="240">
        <f t="shared" si="0"/>
        <v>236446</v>
      </c>
      <c r="U13" s="240">
        <f t="shared" si="0"/>
        <v>198158</v>
      </c>
      <c r="V13" s="240">
        <f t="shared" si="0"/>
        <v>173386</v>
      </c>
      <c r="W13" s="240">
        <f t="shared" si="0"/>
        <v>62277</v>
      </c>
    </row>
    <row r="14" spans="1:23" ht="20.25" x14ac:dyDescent="0.2">
      <c r="A14" s="74"/>
      <c r="B14" s="74"/>
      <c r="C14" s="74"/>
      <c r="D14" s="74"/>
      <c r="E14" s="74"/>
      <c r="F14" s="74"/>
      <c r="G14" s="239"/>
      <c r="H14" s="239"/>
      <c r="I14" s="239"/>
      <c r="J14" s="239"/>
      <c r="K14" s="239"/>
      <c r="L14" s="239"/>
      <c r="M14" s="239"/>
      <c r="N14" s="239"/>
      <c r="O14" s="239"/>
      <c r="P14" s="239"/>
      <c r="Q14" s="239"/>
      <c r="R14" s="239"/>
      <c r="S14" s="239"/>
      <c r="T14" s="239"/>
      <c r="U14" s="239"/>
      <c r="V14" s="239"/>
      <c r="W14" s="239"/>
    </row>
    <row r="15" spans="1:23" ht="20.25" x14ac:dyDescent="0.3">
      <c r="A15" s="70"/>
      <c r="B15" s="271" t="s">
        <v>198</v>
      </c>
      <c r="C15" s="271"/>
      <c r="D15" s="271"/>
      <c r="E15" s="271"/>
      <c r="F15" s="271"/>
      <c r="G15" s="272"/>
      <c r="H15" s="272"/>
      <c r="I15" s="272"/>
      <c r="J15" s="272"/>
      <c r="K15" s="272"/>
      <c r="L15" s="272"/>
      <c r="M15" s="272"/>
      <c r="N15" s="272"/>
      <c r="O15" s="272"/>
      <c r="P15" s="272"/>
      <c r="Q15" s="272"/>
      <c r="R15" s="272"/>
      <c r="S15" s="272"/>
      <c r="T15" s="272"/>
      <c r="U15" s="272"/>
      <c r="V15" s="272"/>
      <c r="W15" s="272"/>
    </row>
    <row r="16" spans="1:23" ht="20.25" x14ac:dyDescent="0.3">
      <c r="A16" s="70"/>
      <c r="B16" s="271"/>
      <c r="C16" s="271"/>
      <c r="D16" s="271"/>
      <c r="E16" s="271"/>
      <c r="F16" s="271"/>
      <c r="G16" s="272">
        <v>121148.45000000001</v>
      </c>
      <c r="H16" s="272">
        <v>88948</v>
      </c>
      <c r="I16" s="272">
        <v>81381</v>
      </c>
      <c r="J16" s="272">
        <v>85951</v>
      </c>
      <c r="K16" s="272">
        <v>75213</v>
      </c>
      <c r="L16" s="272">
        <v>103757</v>
      </c>
      <c r="M16" s="272">
        <v>72661</v>
      </c>
      <c r="N16" s="272">
        <v>91918</v>
      </c>
      <c r="O16" s="272">
        <v>80411</v>
      </c>
      <c r="P16" s="272">
        <v>57354</v>
      </c>
      <c r="Q16" s="272">
        <v>59451</v>
      </c>
      <c r="R16" s="272">
        <v>70947</v>
      </c>
      <c r="S16" s="272">
        <v>80279</v>
      </c>
      <c r="T16" s="272">
        <v>84266</v>
      </c>
      <c r="U16" s="272">
        <v>45164</v>
      </c>
      <c r="V16" s="272">
        <v>15210</v>
      </c>
      <c r="W16" s="272">
        <v>15599</v>
      </c>
    </row>
    <row r="17" spans="1:23" ht="20.25" hidden="1" x14ac:dyDescent="0.2">
      <c r="A17" s="74"/>
      <c r="B17" s="74"/>
      <c r="C17" s="74"/>
      <c r="D17" s="74"/>
      <c r="E17" s="74"/>
      <c r="F17" s="74"/>
      <c r="G17" s="239"/>
      <c r="H17" s="239"/>
      <c r="I17" s="239"/>
      <c r="J17" s="239"/>
      <c r="K17" s="239"/>
      <c r="L17" s="239"/>
      <c r="M17" s="239"/>
      <c r="N17" s="239"/>
      <c r="O17" s="239"/>
      <c r="P17" s="239"/>
      <c r="Q17" s="239"/>
      <c r="R17" s="239"/>
      <c r="S17" s="239"/>
      <c r="T17" s="239"/>
      <c r="U17" s="239"/>
      <c r="V17" s="239"/>
      <c r="W17" s="239"/>
    </row>
    <row r="18" spans="1:23" ht="20.25" hidden="1" x14ac:dyDescent="0.2">
      <c r="A18" s="74"/>
      <c r="B18" s="74"/>
      <c r="C18" s="74"/>
      <c r="D18" s="74"/>
      <c r="E18" s="74"/>
      <c r="F18" s="74"/>
      <c r="G18" s="235"/>
      <c r="H18" s="235"/>
      <c r="I18" s="235"/>
      <c r="J18" s="235"/>
      <c r="K18" s="235"/>
      <c r="L18" s="235"/>
      <c r="M18" s="235"/>
      <c r="N18" s="235"/>
      <c r="O18" s="235"/>
      <c r="P18" s="235"/>
      <c r="Q18" s="235"/>
      <c r="R18" s="235"/>
      <c r="S18" s="235"/>
      <c r="T18" s="235"/>
      <c r="U18" s="235"/>
      <c r="V18" s="235"/>
      <c r="W18" s="235"/>
    </row>
    <row r="19" spans="1:23" ht="27" thickBot="1" x14ac:dyDescent="0.25">
      <c r="A19" s="82" t="s">
        <v>63</v>
      </c>
      <c r="B19" s="82"/>
      <c r="C19" s="82"/>
      <c r="D19" s="82"/>
      <c r="E19" s="82"/>
      <c r="F19" s="82"/>
      <c r="G19" s="249">
        <f>G13+G16</f>
        <v>739679.76</v>
      </c>
      <c r="H19" s="249">
        <f>H13+H16</f>
        <v>651526</v>
      </c>
      <c r="I19" s="249">
        <f>I13+I16</f>
        <v>573888</v>
      </c>
      <c r="J19" s="249">
        <f>J13+J16</f>
        <v>623376</v>
      </c>
      <c r="K19" s="249">
        <f>K13+K16</f>
        <v>647895</v>
      </c>
      <c r="L19" s="249">
        <f t="shared" ref="L19:W19" si="1">L13+L16</f>
        <v>573053</v>
      </c>
      <c r="M19" s="249">
        <f t="shared" si="1"/>
        <v>506508</v>
      </c>
      <c r="N19" s="249">
        <f t="shared" si="1"/>
        <v>504878</v>
      </c>
      <c r="O19" s="249">
        <f t="shared" si="1"/>
        <v>395848</v>
      </c>
      <c r="P19" s="249">
        <f t="shared" si="1"/>
        <v>321564</v>
      </c>
      <c r="Q19" s="249">
        <f t="shared" si="1"/>
        <v>342293</v>
      </c>
      <c r="R19" s="249">
        <f t="shared" si="1"/>
        <v>368082</v>
      </c>
      <c r="S19" s="249">
        <f t="shared" si="1"/>
        <v>328444</v>
      </c>
      <c r="T19" s="249">
        <f t="shared" si="1"/>
        <v>320712</v>
      </c>
      <c r="U19" s="249">
        <f t="shared" si="1"/>
        <v>243322</v>
      </c>
      <c r="V19" s="249">
        <f t="shared" si="1"/>
        <v>188596</v>
      </c>
      <c r="W19" s="249">
        <f t="shared" si="1"/>
        <v>77876</v>
      </c>
    </row>
    <row r="20" spans="1:23" ht="21.75" thickTop="1" thickBot="1" x14ac:dyDescent="0.25">
      <c r="A20" s="74"/>
      <c r="B20" s="74"/>
      <c r="C20" s="74"/>
      <c r="D20" s="74"/>
      <c r="E20" s="74"/>
      <c r="F20" s="74"/>
      <c r="G20" s="338"/>
      <c r="H20" s="338"/>
      <c r="I20" s="338"/>
      <c r="J20" s="338"/>
      <c r="K20" s="338"/>
      <c r="L20" s="338"/>
      <c r="M20" s="338"/>
      <c r="N20" s="338"/>
      <c r="O20" s="338"/>
      <c r="P20" s="338"/>
      <c r="Q20" s="338"/>
      <c r="R20" s="338"/>
      <c r="S20" s="338"/>
      <c r="T20" s="338"/>
      <c r="U20" s="338"/>
      <c r="V20" s="338"/>
      <c r="W20" s="338"/>
    </row>
    <row r="21" spans="1:23" ht="27.75" thickTop="1" thickBot="1" x14ac:dyDescent="0.25">
      <c r="A21" s="65"/>
      <c r="B21" s="65"/>
      <c r="C21" s="65"/>
      <c r="D21" s="65" t="s">
        <v>64</v>
      </c>
      <c r="E21" s="65"/>
      <c r="F21" s="65"/>
      <c r="G21" s="244"/>
      <c r="H21" s="244"/>
      <c r="I21" s="244"/>
      <c r="J21" s="244"/>
      <c r="K21" s="244"/>
      <c r="L21" s="244"/>
      <c r="M21" s="244"/>
      <c r="N21" s="244"/>
      <c r="O21" s="244"/>
      <c r="P21" s="244"/>
      <c r="Q21" s="244"/>
      <c r="R21" s="244"/>
      <c r="S21" s="244"/>
      <c r="T21" s="244"/>
      <c r="U21" s="244"/>
      <c r="V21" s="244"/>
      <c r="W21" s="244"/>
    </row>
    <row r="22" spans="1:23" ht="21" thickTop="1" x14ac:dyDescent="0.2">
      <c r="A22" s="74"/>
      <c r="B22" s="74"/>
      <c r="C22" s="74"/>
      <c r="D22" s="74"/>
      <c r="E22" s="74"/>
      <c r="F22" s="74"/>
      <c r="G22" s="237"/>
      <c r="H22" s="237"/>
      <c r="I22" s="237"/>
      <c r="J22" s="237"/>
      <c r="K22" s="237"/>
      <c r="L22" s="237"/>
      <c r="M22" s="237"/>
      <c r="N22" s="237"/>
      <c r="O22" s="237"/>
      <c r="P22" s="237"/>
      <c r="Q22" s="237"/>
      <c r="R22" s="237"/>
      <c r="S22" s="237"/>
      <c r="T22" s="237"/>
      <c r="U22" s="237"/>
      <c r="V22" s="237"/>
      <c r="W22" s="237"/>
    </row>
    <row r="23" spans="1:23" ht="24" hidden="1" thickBot="1" x14ac:dyDescent="0.25">
      <c r="A23" s="74"/>
      <c r="B23" s="87" t="s">
        <v>65</v>
      </c>
      <c r="C23" s="88"/>
      <c r="D23" s="88"/>
      <c r="E23" s="88"/>
      <c r="F23" s="88"/>
      <c r="G23" s="245"/>
      <c r="H23" s="245"/>
      <c r="I23" s="245"/>
      <c r="J23" s="245"/>
      <c r="K23" s="245"/>
      <c r="L23" s="245"/>
      <c r="M23" s="245"/>
      <c r="N23" s="245"/>
      <c r="O23" s="245"/>
      <c r="P23" s="245"/>
      <c r="Q23" s="245"/>
      <c r="R23" s="245"/>
      <c r="S23" s="245"/>
      <c r="T23" s="245"/>
      <c r="U23" s="245"/>
      <c r="V23" s="245"/>
      <c r="W23" s="245"/>
    </row>
    <row r="24" spans="1:23" ht="20.25" hidden="1" x14ac:dyDescent="0.2">
      <c r="A24" s="74"/>
      <c r="B24" s="74"/>
      <c r="C24" s="74"/>
      <c r="D24" s="74"/>
      <c r="E24" s="74"/>
      <c r="F24" s="74"/>
      <c r="G24" s="237"/>
      <c r="H24" s="237"/>
      <c r="I24" s="237"/>
      <c r="J24" s="237"/>
      <c r="K24" s="237"/>
      <c r="L24" s="237"/>
      <c r="M24" s="237"/>
      <c r="N24" s="237"/>
      <c r="O24" s="237"/>
      <c r="P24" s="237"/>
      <c r="Q24" s="237"/>
      <c r="R24" s="237"/>
      <c r="S24" s="237"/>
      <c r="T24" s="237"/>
      <c r="U24" s="237"/>
      <c r="V24" s="237"/>
      <c r="W24" s="237"/>
    </row>
    <row r="25" spans="1:23" ht="21" thickBot="1" x14ac:dyDescent="0.35">
      <c r="A25" s="70"/>
      <c r="B25" s="154" t="s">
        <v>199</v>
      </c>
      <c r="C25" s="155"/>
      <c r="D25" s="154"/>
      <c r="E25" s="154"/>
      <c r="F25" s="154"/>
      <c r="G25" s="236"/>
      <c r="H25" s="236"/>
      <c r="I25" s="236"/>
      <c r="J25" s="236"/>
      <c r="K25" s="236"/>
      <c r="L25" s="236"/>
      <c r="M25" s="236"/>
      <c r="N25" s="236"/>
      <c r="O25" s="236"/>
      <c r="P25" s="236"/>
      <c r="Q25" s="236"/>
      <c r="R25" s="236"/>
      <c r="S25" s="236"/>
      <c r="T25" s="236"/>
      <c r="U25" s="236"/>
      <c r="V25" s="236"/>
      <c r="W25" s="236"/>
    </row>
    <row r="26" spans="1:23" ht="20.25" x14ac:dyDescent="0.2">
      <c r="A26" s="424"/>
      <c r="B26" s="424"/>
      <c r="C26" s="424"/>
      <c r="D26" s="424" t="s">
        <v>156</v>
      </c>
      <c r="E26" s="78"/>
      <c r="F26" s="424"/>
      <c r="G26" s="250">
        <v>31278.429999999997</v>
      </c>
      <c r="H26" s="250">
        <v>51714</v>
      </c>
      <c r="I26" s="250">
        <v>52083</v>
      </c>
      <c r="J26" s="250">
        <v>69820</v>
      </c>
      <c r="K26" s="250">
        <v>81032</v>
      </c>
      <c r="L26" s="250">
        <v>64928</v>
      </c>
      <c r="M26" s="250">
        <v>89064</v>
      </c>
      <c r="N26" s="250">
        <v>102814</v>
      </c>
      <c r="O26" s="250">
        <v>27734</v>
      </c>
      <c r="P26" s="250">
        <v>33537</v>
      </c>
      <c r="Q26" s="250">
        <v>47914</v>
      </c>
      <c r="R26" s="250">
        <v>42054</v>
      </c>
      <c r="S26" s="250">
        <v>32004</v>
      </c>
      <c r="T26" s="250">
        <v>28904</v>
      </c>
      <c r="U26" s="250">
        <v>2405</v>
      </c>
      <c r="V26" s="250">
        <v>7686</v>
      </c>
      <c r="W26" s="250">
        <v>0</v>
      </c>
    </row>
    <row r="27" spans="1:23" ht="20.25" x14ac:dyDescent="0.2">
      <c r="A27" s="424"/>
      <c r="B27" s="424"/>
      <c r="C27" s="424"/>
      <c r="D27" s="424" t="s">
        <v>200</v>
      </c>
      <c r="E27" s="78"/>
      <c r="F27" s="424"/>
      <c r="G27" s="235">
        <v>16019.88</v>
      </c>
      <c r="H27" s="235">
        <v>26466</v>
      </c>
      <c r="I27" s="235">
        <v>33722</v>
      </c>
      <c r="J27" s="235">
        <v>37279</v>
      </c>
      <c r="K27" s="235">
        <v>34130</v>
      </c>
      <c r="L27" s="235">
        <v>30917</v>
      </c>
      <c r="M27" s="235">
        <v>24891</v>
      </c>
      <c r="N27" s="235">
        <v>22167</v>
      </c>
      <c r="O27" s="235">
        <v>16739</v>
      </c>
      <c r="P27" s="235">
        <v>13502</v>
      </c>
      <c r="Q27" s="235">
        <v>10581</v>
      </c>
      <c r="R27" s="235">
        <v>28556</v>
      </c>
      <c r="S27" s="235">
        <v>22953</v>
      </c>
      <c r="T27" s="235">
        <v>13246</v>
      </c>
      <c r="U27" s="235">
        <v>10214</v>
      </c>
      <c r="V27" s="235">
        <v>5966</v>
      </c>
      <c r="W27" s="235">
        <v>2341</v>
      </c>
    </row>
    <row r="28" spans="1:23" ht="20.25" x14ac:dyDescent="0.2">
      <c r="A28" s="424"/>
      <c r="B28" s="424"/>
      <c r="C28" s="424"/>
      <c r="D28" s="424" t="s">
        <v>94</v>
      </c>
      <c r="E28" s="78"/>
      <c r="F28" s="424"/>
      <c r="G28" s="237">
        <v>19094</v>
      </c>
      <c r="H28" s="237">
        <v>21990</v>
      </c>
      <c r="I28" s="237">
        <v>17053</v>
      </c>
      <c r="J28" s="237">
        <v>23081</v>
      </c>
      <c r="K28" s="237">
        <v>20125</v>
      </c>
      <c r="L28" s="237">
        <v>23900</v>
      </c>
      <c r="M28" s="237">
        <v>25993</v>
      </c>
      <c r="N28" s="237">
        <v>25084</v>
      </c>
      <c r="O28" s="237">
        <v>17164</v>
      </c>
      <c r="P28" s="237">
        <v>23194</v>
      </c>
      <c r="Q28" s="237">
        <v>17986</v>
      </c>
      <c r="R28" s="237">
        <v>19684</v>
      </c>
      <c r="S28" s="237">
        <v>15461</v>
      </c>
      <c r="T28" s="237">
        <v>11736</v>
      </c>
      <c r="U28" s="237">
        <v>6552</v>
      </c>
      <c r="V28" s="237">
        <v>4625</v>
      </c>
      <c r="W28" s="237"/>
    </row>
    <row r="29" spans="1:23" ht="20.25" x14ac:dyDescent="0.2">
      <c r="A29" s="424"/>
      <c r="B29" s="424"/>
      <c r="C29" s="424"/>
      <c r="D29" s="424" t="s">
        <v>201</v>
      </c>
      <c r="E29" s="78"/>
      <c r="F29" s="424"/>
      <c r="G29" s="237"/>
      <c r="H29" s="237">
        <v>463</v>
      </c>
      <c r="I29" s="237">
        <f>1236+16400</f>
        <v>17636</v>
      </c>
      <c r="J29" s="237">
        <v>13302</v>
      </c>
      <c r="K29" s="237">
        <v>5311</v>
      </c>
      <c r="L29" s="237">
        <v>12315</v>
      </c>
      <c r="M29" s="237"/>
      <c r="N29" s="237"/>
      <c r="O29" s="237"/>
      <c r="P29" s="237">
        <v>20000</v>
      </c>
      <c r="Q29" s="237"/>
      <c r="R29" s="237">
        <v>25000</v>
      </c>
      <c r="S29" s="237"/>
      <c r="T29" s="237"/>
      <c r="U29" s="237"/>
      <c r="V29" s="237"/>
      <c r="W29" s="237">
        <v>48000</v>
      </c>
    </row>
    <row r="30" spans="1:23" ht="20.25" x14ac:dyDescent="0.2">
      <c r="A30" s="424"/>
      <c r="B30" s="424"/>
      <c r="C30" s="424"/>
      <c r="D30" s="80" t="s">
        <v>101</v>
      </c>
      <c r="E30" s="78"/>
      <c r="F30" s="424"/>
      <c r="G30" s="237">
        <v>136592.41</v>
      </c>
      <c r="H30" s="237">
        <v>101837</v>
      </c>
      <c r="I30" s="237">
        <v>31429</v>
      </c>
      <c r="J30" s="237">
        <v>21927</v>
      </c>
      <c r="K30" s="237">
        <v>24493</v>
      </c>
      <c r="L30" s="237">
        <v>23546</v>
      </c>
      <c r="M30" s="237">
        <v>29986</v>
      </c>
      <c r="N30" s="237">
        <v>97627</v>
      </c>
      <c r="O30" s="237">
        <v>91085</v>
      </c>
      <c r="P30" s="237">
        <v>6118</v>
      </c>
      <c r="Q30" s="237">
        <v>42621</v>
      </c>
      <c r="R30" s="237"/>
      <c r="S30" s="237">
        <v>13218</v>
      </c>
      <c r="T30" s="237">
        <v>36938</v>
      </c>
      <c r="U30" s="237">
        <v>40000</v>
      </c>
      <c r="V30" s="237">
        <v>38354</v>
      </c>
      <c r="W30" s="237">
        <v>11775</v>
      </c>
    </row>
    <row r="31" spans="1:23" ht="20.25" x14ac:dyDescent="0.2">
      <c r="A31" s="424"/>
      <c r="B31" s="424"/>
      <c r="C31" s="424"/>
      <c r="D31" s="79" t="s">
        <v>202</v>
      </c>
      <c r="E31" s="153"/>
      <c r="F31" s="79"/>
      <c r="G31" s="237"/>
      <c r="H31" s="237"/>
      <c r="I31" s="237"/>
      <c r="J31" s="237"/>
      <c r="K31" s="237"/>
      <c r="L31" s="237"/>
      <c r="M31" s="237"/>
      <c r="N31" s="237"/>
      <c r="O31" s="237"/>
      <c r="P31" s="237"/>
      <c r="Q31" s="237"/>
      <c r="R31" s="237"/>
      <c r="S31" s="237"/>
      <c r="T31" s="237"/>
      <c r="U31" s="237"/>
      <c r="V31" s="237"/>
      <c r="W31" s="237"/>
    </row>
    <row r="32" spans="1:23" ht="20.25" x14ac:dyDescent="0.2">
      <c r="A32" s="424"/>
      <c r="B32" s="424"/>
      <c r="C32" s="81" t="s">
        <v>77</v>
      </c>
      <c r="D32" s="424"/>
      <c r="E32" s="78"/>
      <c r="F32" s="424"/>
      <c r="G32" s="246">
        <f>SUM(G26:G31)</f>
        <v>202984.72</v>
      </c>
      <c r="H32" s="246">
        <f>SUM(H26:H31)</f>
        <v>202470</v>
      </c>
      <c r="I32" s="246">
        <f>SUM(I26:I31)</f>
        <v>151923</v>
      </c>
      <c r="J32" s="246">
        <f>SUM(J26:J31)</f>
        <v>165409</v>
      </c>
      <c r="K32" s="246">
        <f>SUM(K26:K31)</f>
        <v>165091</v>
      </c>
      <c r="L32" s="246">
        <f t="shared" ref="L32:W32" si="2">SUM(L26:L31)</f>
        <v>155606</v>
      </c>
      <c r="M32" s="246">
        <f t="shared" si="2"/>
        <v>169934</v>
      </c>
      <c r="N32" s="246">
        <f t="shared" si="2"/>
        <v>247692</v>
      </c>
      <c r="O32" s="246">
        <f t="shared" si="2"/>
        <v>152722</v>
      </c>
      <c r="P32" s="246">
        <f t="shared" si="2"/>
        <v>96351</v>
      </c>
      <c r="Q32" s="246">
        <f t="shared" si="2"/>
        <v>119102</v>
      </c>
      <c r="R32" s="246">
        <f t="shared" si="2"/>
        <v>115294</v>
      </c>
      <c r="S32" s="246">
        <f t="shared" si="2"/>
        <v>83636</v>
      </c>
      <c r="T32" s="246">
        <f t="shared" si="2"/>
        <v>90824</v>
      </c>
      <c r="U32" s="246">
        <f t="shared" si="2"/>
        <v>59171</v>
      </c>
      <c r="V32" s="246">
        <f t="shared" si="2"/>
        <v>56631</v>
      </c>
      <c r="W32" s="246">
        <f t="shared" si="2"/>
        <v>62116</v>
      </c>
    </row>
    <row r="33" spans="1:23" ht="20.25" x14ac:dyDescent="0.2">
      <c r="A33" s="424"/>
      <c r="B33" s="424"/>
      <c r="C33" s="424"/>
      <c r="D33" s="424"/>
      <c r="E33" s="424"/>
      <c r="F33" s="424"/>
      <c r="G33" s="237"/>
      <c r="H33" s="237"/>
      <c r="I33" s="237"/>
      <c r="J33" s="237"/>
      <c r="K33" s="237"/>
      <c r="L33" s="237"/>
      <c r="M33" s="237"/>
      <c r="N33" s="237"/>
      <c r="O33" s="237"/>
      <c r="P33" s="237"/>
      <c r="Q33" s="237"/>
      <c r="R33" s="237"/>
      <c r="S33" s="237"/>
      <c r="T33" s="237"/>
      <c r="U33" s="237"/>
      <c r="V33" s="237"/>
      <c r="W33" s="237"/>
    </row>
    <row r="34" spans="1:23" ht="20.25" x14ac:dyDescent="0.2">
      <c r="A34" s="74"/>
      <c r="B34" s="74"/>
      <c r="C34" s="74"/>
      <c r="D34" s="74"/>
      <c r="E34" s="74"/>
      <c r="F34" s="74"/>
      <c r="G34" s="429"/>
      <c r="H34" s="429"/>
      <c r="I34" s="429"/>
      <c r="J34" s="429"/>
      <c r="K34" s="429"/>
      <c r="L34" s="239"/>
      <c r="M34" s="239"/>
      <c r="N34" s="239"/>
      <c r="O34" s="239"/>
      <c r="P34" s="239"/>
      <c r="Q34" s="239"/>
      <c r="R34" s="239"/>
      <c r="S34" s="239"/>
      <c r="T34" s="239"/>
      <c r="U34" s="239"/>
      <c r="V34" s="239"/>
      <c r="W34" s="239"/>
    </row>
    <row r="35" spans="1:23" ht="24" thickBot="1" x14ac:dyDescent="0.25">
      <c r="A35" s="74"/>
      <c r="B35" s="87" t="s">
        <v>203</v>
      </c>
      <c r="C35" s="88"/>
      <c r="D35" s="88"/>
      <c r="E35" s="88"/>
      <c r="F35" s="88"/>
      <c r="G35" s="245"/>
      <c r="H35" s="245"/>
      <c r="I35" s="245"/>
      <c r="J35" s="245"/>
      <c r="K35" s="245"/>
      <c r="L35" s="245"/>
      <c r="M35" s="245"/>
      <c r="N35" s="245"/>
      <c r="O35" s="245"/>
      <c r="P35" s="245"/>
      <c r="Q35" s="245"/>
      <c r="R35" s="245"/>
      <c r="S35" s="245"/>
      <c r="T35" s="245"/>
      <c r="U35" s="245"/>
      <c r="V35" s="245"/>
      <c r="W35" s="245"/>
    </row>
    <row r="36" spans="1:23" ht="23.25" x14ac:dyDescent="0.2">
      <c r="A36" s="74"/>
      <c r="B36" s="276"/>
      <c r="C36" s="68"/>
      <c r="D36" s="424" t="s">
        <v>97</v>
      </c>
      <c r="E36" s="68"/>
      <c r="F36" s="68"/>
      <c r="G36" s="235">
        <v>55367.21</v>
      </c>
      <c r="H36" s="235">
        <v>52578</v>
      </c>
      <c r="I36" s="235">
        <v>54372</v>
      </c>
      <c r="J36" s="235">
        <v>74343</v>
      </c>
      <c r="K36" s="235">
        <v>140489</v>
      </c>
      <c r="L36" s="235">
        <v>85282</v>
      </c>
      <c r="M36" s="235">
        <v>9601</v>
      </c>
      <c r="N36" s="235">
        <v>9601</v>
      </c>
      <c r="O36" s="235">
        <v>5248</v>
      </c>
      <c r="P36" s="235">
        <v>4472</v>
      </c>
      <c r="Q36" s="235">
        <v>15207</v>
      </c>
      <c r="R36" s="235"/>
      <c r="S36" s="235"/>
      <c r="T36" s="235"/>
      <c r="U36" s="235"/>
      <c r="V36" s="235"/>
      <c r="W36" s="235"/>
    </row>
    <row r="37" spans="1:23" ht="21" thickBot="1" x14ac:dyDescent="0.25">
      <c r="A37" s="424"/>
      <c r="B37" s="424"/>
      <c r="C37" s="78"/>
      <c r="D37" s="424" t="s">
        <v>91</v>
      </c>
      <c r="E37" s="425"/>
      <c r="F37" s="425"/>
      <c r="G37" s="245">
        <v>481327.83000000013</v>
      </c>
      <c r="H37" s="245">
        <v>396478</v>
      </c>
      <c r="I37" s="245">
        <v>367593</v>
      </c>
      <c r="J37" s="245">
        <v>383624</v>
      </c>
      <c r="K37" s="245">
        <v>342315</v>
      </c>
      <c r="L37" s="245">
        <v>332165</v>
      </c>
      <c r="M37" s="245">
        <v>326973</v>
      </c>
      <c r="N37" s="245">
        <v>247585</v>
      </c>
      <c r="O37" s="245">
        <v>237878</v>
      </c>
      <c r="P37" s="245">
        <v>220741</v>
      </c>
      <c r="Q37" s="245">
        <v>207984</v>
      </c>
      <c r="R37" s="245">
        <v>252788</v>
      </c>
      <c r="S37" s="245">
        <v>244808</v>
      </c>
      <c r="T37" s="245">
        <v>229888</v>
      </c>
      <c r="U37" s="245">
        <v>184151</v>
      </c>
      <c r="V37" s="245">
        <v>131965</v>
      </c>
      <c r="W37" s="245">
        <v>15760</v>
      </c>
    </row>
    <row r="38" spans="1:23" ht="23.25" x14ac:dyDescent="0.2">
      <c r="A38" s="74"/>
      <c r="B38" s="90" t="s">
        <v>68</v>
      </c>
      <c r="C38" s="91"/>
      <c r="D38" s="91"/>
      <c r="E38" s="68"/>
      <c r="F38" s="68"/>
      <c r="G38" s="240">
        <f>G36+G37</f>
        <v>536695.04000000015</v>
      </c>
      <c r="H38" s="240">
        <f>H36+H37</f>
        <v>449056</v>
      </c>
      <c r="I38" s="240">
        <f>I36+I37</f>
        <v>421965</v>
      </c>
      <c r="J38" s="240">
        <f>J36+J37</f>
        <v>457967</v>
      </c>
      <c r="K38" s="240">
        <f>K36+K37</f>
        <v>482804</v>
      </c>
      <c r="L38" s="240">
        <f t="shared" ref="L38:W38" si="3">L36+L37</f>
        <v>417447</v>
      </c>
      <c r="M38" s="240">
        <f t="shared" si="3"/>
        <v>336574</v>
      </c>
      <c r="N38" s="240">
        <f t="shared" si="3"/>
        <v>257186</v>
      </c>
      <c r="O38" s="240">
        <f t="shared" si="3"/>
        <v>243126</v>
      </c>
      <c r="P38" s="240">
        <f t="shared" si="3"/>
        <v>225213</v>
      </c>
      <c r="Q38" s="240">
        <f t="shared" si="3"/>
        <v>223191</v>
      </c>
      <c r="R38" s="240">
        <f t="shared" si="3"/>
        <v>252788</v>
      </c>
      <c r="S38" s="240">
        <f t="shared" si="3"/>
        <v>244808</v>
      </c>
      <c r="T38" s="240">
        <f t="shared" si="3"/>
        <v>229888</v>
      </c>
      <c r="U38" s="240">
        <f t="shared" si="3"/>
        <v>184151</v>
      </c>
      <c r="V38" s="240">
        <f t="shared" si="3"/>
        <v>131965</v>
      </c>
      <c r="W38" s="240">
        <f t="shared" si="3"/>
        <v>15760</v>
      </c>
    </row>
    <row r="39" spans="1:23" ht="20.25" x14ac:dyDescent="0.2">
      <c r="A39" s="74"/>
      <c r="B39" s="74"/>
      <c r="C39" s="74"/>
      <c r="D39" s="74"/>
      <c r="E39" s="74"/>
      <c r="F39" s="74"/>
      <c r="G39" s="238"/>
      <c r="H39" s="238"/>
      <c r="I39" s="238"/>
      <c r="J39" s="238"/>
      <c r="K39" s="238"/>
      <c r="L39" s="238"/>
      <c r="M39" s="238"/>
      <c r="N39" s="238"/>
      <c r="O39" s="238"/>
      <c r="P39" s="238"/>
      <c r="Q39" s="238"/>
      <c r="R39" s="238"/>
      <c r="S39" s="238"/>
      <c r="T39" s="238"/>
      <c r="U39" s="238"/>
      <c r="V39" s="238"/>
      <c r="W39" s="238"/>
    </row>
    <row r="40" spans="1:23" ht="27" thickBot="1" x14ac:dyDescent="0.25">
      <c r="A40" s="82" t="s">
        <v>69</v>
      </c>
      <c r="B40" s="82"/>
      <c r="C40" s="82"/>
      <c r="D40" s="82"/>
      <c r="E40" s="82"/>
      <c r="F40" s="82"/>
      <c r="G40" s="369">
        <f>G32+G38</f>
        <v>739679.76000000013</v>
      </c>
      <c r="H40" s="369">
        <f>H32+H38</f>
        <v>651526</v>
      </c>
      <c r="I40" s="369">
        <f>I32+I38</f>
        <v>573888</v>
      </c>
      <c r="J40" s="369">
        <f>J32+J38</f>
        <v>623376</v>
      </c>
      <c r="K40" s="369">
        <f>K32+K38</f>
        <v>647895</v>
      </c>
      <c r="L40" s="369">
        <f t="shared" ref="L40:W40" si="4">L32+L38</f>
        <v>573053</v>
      </c>
      <c r="M40" s="369">
        <f t="shared" si="4"/>
        <v>506508</v>
      </c>
      <c r="N40" s="369">
        <f t="shared" si="4"/>
        <v>504878</v>
      </c>
      <c r="O40" s="369">
        <f t="shared" si="4"/>
        <v>395848</v>
      </c>
      <c r="P40" s="369">
        <f t="shared" si="4"/>
        <v>321564</v>
      </c>
      <c r="Q40" s="369">
        <f t="shared" si="4"/>
        <v>342293</v>
      </c>
      <c r="R40" s="369">
        <f t="shared" si="4"/>
        <v>368082</v>
      </c>
      <c r="S40" s="369">
        <f t="shared" si="4"/>
        <v>328444</v>
      </c>
      <c r="T40" s="369">
        <f t="shared" si="4"/>
        <v>320712</v>
      </c>
      <c r="U40" s="369">
        <f t="shared" si="4"/>
        <v>243322</v>
      </c>
      <c r="V40" s="369">
        <f t="shared" si="4"/>
        <v>188596</v>
      </c>
      <c r="W40" s="369">
        <f t="shared" si="4"/>
        <v>77876</v>
      </c>
    </row>
    <row r="41" spans="1:23" ht="15" thickTop="1" x14ac:dyDescent="0.2">
      <c r="D41" s="357"/>
      <c r="H41" s="18"/>
      <c r="I41" s="18"/>
      <c r="J41" s="18"/>
      <c r="K41" s="18"/>
      <c r="L41" s="18"/>
      <c r="M41" s="18"/>
      <c r="N41" s="18"/>
      <c r="O41" s="18"/>
      <c r="P41" s="18"/>
      <c r="Q41" s="18"/>
      <c r="R41" s="18"/>
      <c r="S41" s="18"/>
      <c r="T41" s="18"/>
      <c r="U41" s="18"/>
      <c r="V41" s="18"/>
      <c r="W41" s="18"/>
    </row>
    <row r="42" spans="1:23" s="247" customFormat="1" x14ac:dyDescent="0.2">
      <c r="A42" s="428"/>
      <c r="B42" s="428"/>
      <c r="C42" s="428"/>
      <c r="D42" s="428"/>
      <c r="E42" s="428"/>
      <c r="F42" s="428"/>
      <c r="G42" s="277"/>
    </row>
    <row r="43" spans="1:23" s="247" customFormat="1" x14ac:dyDescent="0.2">
      <c r="A43" s="428"/>
      <c r="B43" s="428"/>
      <c r="C43" s="428"/>
      <c r="D43" s="428"/>
      <c r="E43" s="428"/>
      <c r="F43" s="428"/>
      <c r="G43" s="277"/>
    </row>
    <row r="44" spans="1:23" s="247" customFormat="1" x14ac:dyDescent="0.2">
      <c r="A44" s="428"/>
      <c r="B44" s="428"/>
      <c r="C44" s="428"/>
      <c r="D44" s="428"/>
      <c r="E44" s="428"/>
      <c r="F44" s="428"/>
      <c r="G44" s="277"/>
    </row>
    <row r="45" spans="1:23" s="247" customFormat="1" x14ac:dyDescent="0.2">
      <c r="A45" s="428"/>
      <c r="B45" s="428"/>
      <c r="C45" s="428"/>
      <c r="D45" s="428"/>
      <c r="E45" s="428"/>
      <c r="F45" s="428"/>
      <c r="G45" s="277"/>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Notes</vt:lpstr>
      <vt:lpstr>Data</vt:lpstr>
      <vt:lpstr>August'19 Revenues &amp; Expenses</vt:lpstr>
      <vt:lpstr>August'19 AR Aging </vt:lpstr>
      <vt:lpstr>August'19 Financial Position</vt:lpstr>
      <vt:lpstr>August'19 State of Activities</vt:lpstr>
      <vt:lpstr>August'19 Transportation</vt:lpstr>
      <vt:lpstr>Transportation Projections</vt:lpstr>
      <vt:lpstr>2019 Budget</vt:lpstr>
      <vt:lpstr>2017 Medicaid Revenue</vt:lpstr>
      <vt:lpstr>Budget</vt:lpstr>
      <vt:lpstr>YE Historic Data</vt:lpstr>
      <vt:lpstr>'2017 Medicaid Revenue'!Print_Area</vt:lpstr>
      <vt:lpstr>'August''19 AR Aging '!Print_Area</vt:lpstr>
      <vt:lpstr>'August''19 Financial Position'!Print_Area</vt:lpstr>
      <vt:lpstr>'August''19 Revenues &amp; Expenses'!Print_Area</vt:lpstr>
      <vt:lpstr>'August''19 State of Activities'!Print_Area</vt:lpstr>
      <vt:lpstr>'August''19 Transportation'!Print_Area</vt:lpstr>
      <vt:lpstr>Budget!Print_Area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2019-09-24T18:10:48Z</cp:lastPrinted>
  <dcterms:created xsi:type="dcterms:W3CDTF">2011-11-03T17:20:29Z</dcterms:created>
  <dcterms:modified xsi:type="dcterms:W3CDTF">2019-09-25T16:23:59Z</dcterms:modified>
</cp:coreProperties>
</file>