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16\"/>
    </mc:Choice>
  </mc:AlternateContent>
  <bookViews>
    <workbookView xWindow="90" yWindow="14220" windowWidth="14955" windowHeight="9060" tabRatio="787"/>
  </bookViews>
  <sheets>
    <sheet name="Notes" sheetId="15" r:id="rId1"/>
    <sheet name="April'16 Revenues &amp; Expenses" sheetId="3" r:id="rId2"/>
    <sheet name="April'16 AR Aging " sheetId="6" r:id="rId3"/>
    <sheet name="April'16 Financial Position" sheetId="5" r:id="rId4"/>
    <sheet name="April'16 State of Activities" sheetId="12" r:id="rId5"/>
    <sheet name="April'16 Transportation" sheetId="18" r:id="rId6"/>
    <sheet name="YE Historic Data" sheetId="17" state="hidden" r:id="rId7"/>
  </sheets>
  <definedNames>
    <definedName name="_xlnm.Print_Area" localSheetId="2">'April''16 AR Aging '!$A$1:$G$89</definedName>
    <definedName name="_xlnm.Print_Area" localSheetId="3">'April''16 Financial Position'!$A$1:$Q$68</definedName>
    <definedName name="_xlnm.Print_Area" localSheetId="1">'April''16 Revenues &amp; Expenses'!$A$1:$L$64</definedName>
    <definedName name="_xlnm.Print_Area" localSheetId="4">'April''16 State of Activities'!$A$1:$O$71</definedName>
    <definedName name="_xlnm.Print_Area" localSheetId="5">'April''16 Transportation'!$A$1:$Q$51</definedName>
    <definedName name="_xlnm.Print_Area" localSheetId="0">Notes!$A$1:$H$72</definedName>
    <definedName name="_xlnm.Print_Area" localSheetId="6">'YE Historic Data'!$A$1:$W$41</definedName>
  </definedNames>
  <calcPr calcId="152511"/>
</workbook>
</file>

<file path=xl/calcChain.xml><?xml version="1.0" encoding="utf-8"?>
<calcChain xmlns="http://schemas.openxmlformats.org/spreadsheetml/2006/main">
  <c r="B54" i="15" l="1"/>
  <c r="F53" i="15"/>
  <c r="F55" i="15" s="1"/>
  <c r="D55" i="15"/>
  <c r="E55" i="15"/>
  <c r="G55" i="15"/>
  <c r="G54" i="15"/>
  <c r="E54" i="15"/>
  <c r="G50" i="15"/>
  <c r="F50" i="15" s="1"/>
  <c r="G53" i="15"/>
  <c r="F48" i="15"/>
  <c r="F47" i="15"/>
  <c r="G47" i="15" s="1"/>
  <c r="F46" i="15"/>
  <c r="I39" i="3"/>
  <c r="F52" i="15"/>
  <c r="G52" i="15" s="1"/>
  <c r="G48" i="15"/>
  <c r="F65" i="15"/>
  <c r="F63" i="15"/>
  <c r="G46" i="15" l="1"/>
  <c r="E39" i="15" l="1"/>
  <c r="E34" i="15"/>
  <c r="E21" i="15" l="1"/>
  <c r="E19" i="15"/>
  <c r="E18" i="15"/>
  <c r="J10" i="18"/>
  <c r="N27" i="18"/>
  <c r="N20" i="18"/>
  <c r="L17" i="18"/>
  <c r="J45" i="18" l="1"/>
  <c r="J40" i="18"/>
  <c r="J27" i="18"/>
  <c r="J28" i="18" s="1"/>
  <c r="J35" i="18"/>
  <c r="J20" i="18"/>
  <c r="L18" i="18"/>
  <c r="J18" i="18"/>
  <c r="L14" i="18"/>
  <c r="N14" i="18"/>
  <c r="N13" i="18"/>
  <c r="N12" i="18"/>
  <c r="N9" i="18"/>
  <c r="L9" i="18"/>
  <c r="J15" i="18"/>
  <c r="J14" i="18"/>
  <c r="J13" i="18"/>
  <c r="J12" i="18"/>
  <c r="J9" i="18"/>
  <c r="A4" i="18"/>
  <c r="A3" i="18"/>
  <c r="N50" i="18" l="1"/>
  <c r="J50" i="18"/>
  <c r="P49" i="18"/>
  <c r="H45" i="18"/>
  <c r="G45" i="18"/>
  <c r="P44" i="18"/>
  <c r="Q44" i="18" s="1"/>
  <c r="P43" i="18"/>
  <c r="P42" i="18"/>
  <c r="Q42" i="18" s="1"/>
  <c r="P41" i="18"/>
  <c r="Q41" i="18" s="1"/>
  <c r="P40" i="18"/>
  <c r="Q40" i="18" s="1"/>
  <c r="H40" i="18"/>
  <c r="G40" i="18"/>
  <c r="P39" i="18"/>
  <c r="Q39" i="18" s="1"/>
  <c r="P38" i="18"/>
  <c r="H36" i="18"/>
  <c r="P35" i="18"/>
  <c r="Q35" i="18" s="1"/>
  <c r="P34" i="18"/>
  <c r="Q34" i="18" s="1"/>
  <c r="P33" i="18"/>
  <c r="Q33" i="18" s="1"/>
  <c r="P32" i="18"/>
  <c r="Q32" i="18" s="1"/>
  <c r="P31" i="18"/>
  <c r="Q31" i="18" s="1"/>
  <c r="P30" i="18"/>
  <c r="Q30" i="18" s="1"/>
  <c r="H29" i="18"/>
  <c r="N28" i="18"/>
  <c r="P26" i="18"/>
  <c r="Q26" i="18" s="1"/>
  <c r="G25" i="18"/>
  <c r="P21" i="18"/>
  <c r="Q21" i="18" s="1"/>
  <c r="G20" i="18"/>
  <c r="G36" i="18" s="1"/>
  <c r="J36" i="18"/>
  <c r="P17" i="18"/>
  <c r="P15" i="18"/>
  <c r="Q15" i="18" s="1"/>
  <c r="P14" i="18"/>
  <c r="Q14" i="18" s="1"/>
  <c r="H14" i="18"/>
  <c r="P13" i="18"/>
  <c r="Q13" i="18" s="1"/>
  <c r="P12" i="18"/>
  <c r="Q12" i="18" s="1"/>
  <c r="G12" i="18"/>
  <c r="G19" i="18" s="1"/>
  <c r="G22" i="18" s="1"/>
  <c r="H10" i="18"/>
  <c r="P9" i="18"/>
  <c r="Q9" i="18" s="1"/>
  <c r="H9" i="18"/>
  <c r="H19" i="18" s="1"/>
  <c r="H22" i="18" s="1"/>
  <c r="G46" i="18" l="1"/>
  <c r="G47" i="18" s="1"/>
  <c r="P50" i="18"/>
  <c r="Q50" i="18" s="1"/>
  <c r="N18" i="18"/>
  <c r="N36" i="18" s="1"/>
  <c r="N46" i="18" s="1"/>
  <c r="H46" i="18"/>
  <c r="H47" i="18" s="1"/>
  <c r="P20" i="18"/>
  <c r="Q20" i="18" s="1"/>
  <c r="P45" i="18"/>
  <c r="Q45" i="18" s="1"/>
  <c r="P28" i="18"/>
  <c r="Q28" i="18" s="1"/>
  <c r="P27" i="18"/>
  <c r="Q27" i="18" s="1"/>
  <c r="P18" i="18" l="1"/>
  <c r="Q18" i="18" s="1"/>
  <c r="N19" i="18"/>
  <c r="N22" i="18" s="1"/>
  <c r="N47" i="18" s="1"/>
  <c r="N51" i="18" s="1"/>
  <c r="P36" i="18"/>
  <c r="Q36" i="18" s="1"/>
  <c r="P10" i="18"/>
  <c r="Q10" i="18" s="1"/>
  <c r="J19" i="18"/>
  <c r="J46" i="18"/>
  <c r="P46" i="18" s="1"/>
  <c r="Q46" i="18" s="1"/>
  <c r="J22" i="18" l="1"/>
  <c r="P19" i="18"/>
  <c r="Q19" i="18" s="1"/>
  <c r="P22" i="18" l="1"/>
  <c r="Q22" i="18" s="1"/>
  <c r="J47" i="18"/>
  <c r="J51" i="18" l="1"/>
  <c r="P51" i="18" s="1"/>
  <c r="Q51" i="18" s="1"/>
  <c r="P47" i="18"/>
  <c r="Q47" i="18" s="1"/>
  <c r="Q68" i="5" l="1"/>
  <c r="M68" i="5"/>
  <c r="Q52" i="5"/>
  <c r="Q51" i="5"/>
  <c r="Q43" i="5"/>
  <c r="Q32" i="5"/>
  <c r="Q29" i="5"/>
  <c r="Q23" i="5"/>
  <c r="J53" i="12" l="1"/>
  <c r="J50" i="12"/>
  <c r="J46" i="12"/>
  <c r="J45" i="12"/>
  <c r="J39" i="12"/>
  <c r="J19" i="12"/>
  <c r="J11" i="12"/>
  <c r="G53" i="12"/>
  <c r="G50" i="12"/>
  <c r="G46" i="12"/>
  <c r="G45" i="12"/>
  <c r="G39" i="12"/>
  <c r="G33" i="12"/>
  <c r="G23" i="12"/>
  <c r="M51" i="5"/>
  <c r="M43" i="5"/>
  <c r="M32" i="5"/>
  <c r="M23" i="5"/>
  <c r="J66" i="3"/>
  <c r="J58" i="3"/>
  <c r="J57" i="3"/>
  <c r="J54" i="3" l="1"/>
  <c r="J53" i="3"/>
  <c r="H26" i="3"/>
  <c r="I26" i="3" s="1"/>
  <c r="J26" i="3" s="1"/>
  <c r="H28" i="3"/>
  <c r="I28" i="3" s="1"/>
  <c r="J28" i="3" s="1"/>
  <c r="I25" i="3"/>
  <c r="J16" i="3"/>
  <c r="H16" i="3"/>
  <c r="G16" i="3" s="1"/>
  <c r="H17" i="3"/>
  <c r="I17" i="3" s="1"/>
  <c r="H14" i="3" l="1"/>
  <c r="G14" i="3" s="1"/>
  <c r="J14" i="3"/>
  <c r="I13" i="3"/>
  <c r="J13" i="3" s="1"/>
  <c r="H13" i="3"/>
  <c r="H7" i="3"/>
  <c r="G55" i="6"/>
  <c r="D52" i="6"/>
  <c r="D48" i="6"/>
  <c r="C48" i="6"/>
  <c r="D41" i="6"/>
  <c r="C41" i="6"/>
  <c r="C42" i="6" s="1"/>
  <c r="E23" i="6"/>
  <c r="D23" i="6"/>
  <c r="C23" i="6"/>
  <c r="G17" i="6"/>
  <c r="F18" i="6"/>
  <c r="F23" i="6" s="1"/>
  <c r="D8" i="6"/>
  <c r="G13" i="3" l="1"/>
  <c r="G18" i="6"/>
  <c r="F62" i="15"/>
  <c r="F61" i="15"/>
  <c r="E62" i="15"/>
  <c r="E40" i="15"/>
  <c r="D66" i="15"/>
  <c r="G65" i="15"/>
  <c r="G64" i="15"/>
  <c r="G63" i="15"/>
  <c r="G62" i="15" l="1"/>
  <c r="N22" i="12"/>
  <c r="I44" i="3"/>
  <c r="J62" i="12"/>
  <c r="N53" i="12"/>
  <c r="N46" i="12"/>
  <c r="J25" i="12"/>
  <c r="N62" i="12"/>
  <c r="N52" i="12"/>
  <c r="N51" i="12"/>
  <c r="N50" i="12"/>
  <c r="N49" i="12"/>
  <c r="N48" i="12"/>
  <c r="O48" i="12" s="1"/>
  <c r="N47" i="12"/>
  <c r="N45" i="12"/>
  <c r="N44" i="12"/>
  <c r="N43" i="12"/>
  <c r="N42" i="12"/>
  <c r="N41" i="12"/>
  <c r="N40" i="12"/>
  <c r="N38" i="12"/>
  <c r="N37" i="12"/>
  <c r="N36" i="12"/>
  <c r="N35" i="12"/>
  <c r="N32" i="12"/>
  <c r="N31" i="12"/>
  <c r="N27" i="12"/>
  <c r="N25" i="12"/>
  <c r="N24" i="12"/>
  <c r="N23" i="12"/>
  <c r="N21" i="12"/>
  <c r="N20" i="12"/>
  <c r="N19" i="12"/>
  <c r="N18" i="12"/>
  <c r="N15" i="12"/>
  <c r="N14" i="12"/>
  <c r="N13" i="12"/>
  <c r="N12" i="12"/>
  <c r="N11" i="12"/>
  <c r="N10" i="12"/>
  <c r="N9" i="12"/>
  <c r="H64" i="12"/>
  <c r="N39" i="12" l="1"/>
  <c r="H53" i="12" l="1"/>
  <c r="H39" i="12"/>
  <c r="H50" i="12"/>
  <c r="H46" i="12"/>
  <c r="H45" i="12"/>
  <c r="H34" i="12"/>
  <c r="H56" i="12" s="1"/>
  <c r="H33" i="12"/>
  <c r="H20" i="12"/>
  <c r="H19" i="12"/>
  <c r="H11" i="12"/>
  <c r="J8" i="12"/>
  <c r="Q8" i="5"/>
  <c r="O60" i="5"/>
  <c r="O43" i="5"/>
  <c r="O51" i="5"/>
  <c r="O32" i="5"/>
  <c r="O23" i="5"/>
  <c r="K53" i="3"/>
  <c r="H57" i="3"/>
  <c r="F60" i="15"/>
  <c r="G60" i="15" s="1"/>
  <c r="F59" i="15"/>
  <c r="K44" i="3"/>
  <c r="K40" i="3"/>
  <c r="E61" i="15" l="1"/>
  <c r="G64" i="12"/>
  <c r="N64" i="12" s="1"/>
  <c r="F66" i="15"/>
  <c r="G59" i="15"/>
  <c r="G61" i="15" l="1"/>
  <c r="G66" i="15" s="1"/>
  <c r="E66" i="15"/>
  <c r="Q60" i="5"/>
  <c r="Q20" i="5"/>
  <c r="G59" i="6" l="1"/>
  <c r="E20" i="15" s="1"/>
  <c r="K39" i="3" l="1"/>
  <c r="C79" i="6"/>
  <c r="O24" i="12" l="1"/>
  <c r="I42" i="3" l="1"/>
  <c r="G13" i="6" l="1"/>
  <c r="E17" i="15"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O52" i="12" l="1"/>
  <c r="O51" i="12"/>
  <c r="O49" i="12"/>
  <c r="O47" i="12"/>
  <c r="O44" i="12"/>
  <c r="O40" i="12"/>
  <c r="O38" i="12"/>
  <c r="O37" i="12"/>
  <c r="O36" i="12"/>
  <c r="O27" i="12"/>
  <c r="O25" i="12"/>
  <c r="O22" i="12"/>
  <c r="O15" i="12"/>
  <c r="O14" i="12"/>
  <c r="O12" i="12"/>
  <c r="O11" i="12"/>
  <c r="O10" i="12"/>
  <c r="O9" i="12"/>
  <c r="G63" i="12"/>
  <c r="N63" i="12" s="1"/>
  <c r="O32" i="12"/>
  <c r="O31" i="12"/>
  <c r="J7" i="3"/>
  <c r="G45" i="6"/>
  <c r="G21" i="6"/>
  <c r="O63" i="12" l="1"/>
  <c r="O53" i="12" l="1"/>
  <c r="O39" i="12"/>
  <c r="G65" i="12"/>
  <c r="O55" i="5" l="1"/>
  <c r="O48" i="5"/>
  <c r="O31" i="5"/>
  <c r="O16" i="5"/>
  <c r="K54" i="3"/>
  <c r="O64" i="12"/>
  <c r="I38" i="3"/>
  <c r="K38" i="3" s="1"/>
  <c r="J25" i="3"/>
  <c r="O50" i="12" l="1"/>
  <c r="O43" i="12"/>
  <c r="O41" i="12"/>
  <c r="O35" i="12"/>
  <c r="O23" i="12"/>
  <c r="G41" i="6"/>
  <c r="O19" i="12" l="1"/>
  <c r="L64" i="12"/>
  <c r="L53" i="12"/>
  <c r="L50" i="12"/>
  <c r="L47" i="12"/>
  <c r="L44" i="12"/>
  <c r="L43" i="12"/>
  <c r="L41" i="12"/>
  <c r="L39" i="12"/>
  <c r="L32" i="12"/>
  <c r="L31" i="12"/>
  <c r="L23" i="12"/>
  <c r="L20" i="12"/>
  <c r="L19" i="12" s="1"/>
  <c r="L21" i="12"/>
  <c r="G46" i="6" l="1"/>
  <c r="L46" i="12" l="1"/>
  <c r="L45" i="12"/>
  <c r="O46" i="12" l="1"/>
  <c r="O62" i="12" l="1"/>
  <c r="J11" i="3"/>
  <c r="G66" i="3" l="1"/>
  <c r="Q55" i="5" l="1"/>
  <c r="Q48" i="5"/>
  <c r="Q33" i="5"/>
  <c r="Q24" i="5"/>
  <c r="Q16" i="5"/>
  <c r="O57" i="5"/>
  <c r="O68" i="5" s="1"/>
  <c r="O33" i="5"/>
  <c r="O24" i="5"/>
  <c r="O26" i="5" s="1"/>
  <c r="L18" i="12"/>
  <c r="M55" i="5"/>
  <c r="K63" i="5"/>
  <c r="J70" i="12" s="1"/>
  <c r="L70" i="12" s="1"/>
  <c r="K60" i="5"/>
  <c r="K51" i="5"/>
  <c r="K55" i="5" s="1"/>
  <c r="K48" i="5"/>
  <c r="K52" i="5"/>
  <c r="K43" i="5"/>
  <c r="M33" i="5"/>
  <c r="K33" i="5"/>
  <c r="K32" i="5"/>
  <c r="K23" i="5"/>
  <c r="K24" i="5" s="1"/>
  <c r="M16" i="5"/>
  <c r="K16" i="5"/>
  <c r="I60" i="5"/>
  <c r="I62" i="5"/>
  <c r="I51" i="5"/>
  <c r="I52" i="5"/>
  <c r="I45" i="5"/>
  <c r="I43" i="5"/>
  <c r="I23" i="5"/>
  <c r="K57" i="3"/>
  <c r="K58" i="3"/>
  <c r="L58" i="3" s="1"/>
  <c r="J55" i="3"/>
  <c r="Q26" i="5" l="1"/>
  <c r="Q36" i="5" s="1"/>
  <c r="K26" i="5"/>
  <c r="K36" i="5" s="1"/>
  <c r="K57" i="5"/>
  <c r="G17" i="12"/>
  <c r="N17" i="12" s="1"/>
  <c r="Q57" i="5"/>
  <c r="H26" i="12"/>
  <c r="H28" i="12" s="1"/>
  <c r="O36" i="5"/>
  <c r="K65" i="5"/>
  <c r="J17" i="3"/>
  <c r="G26" i="12" l="1"/>
  <c r="N26" i="12" l="1"/>
  <c r="O17" i="12"/>
  <c r="L65" i="12"/>
  <c r="N28" i="12" l="1"/>
  <c r="D170" i="6"/>
  <c r="D171" i="6"/>
  <c r="D172" i="6"/>
  <c r="L63" i="12" l="1"/>
  <c r="L34" i="12"/>
  <c r="L33" i="12" s="1"/>
  <c r="L62" i="12"/>
  <c r="I45" i="3"/>
  <c r="I41" i="3"/>
  <c r="K41" i="3" s="1"/>
  <c r="L26" i="12" l="1"/>
  <c r="L28" i="12" s="1"/>
  <c r="L56" i="12"/>
  <c r="L66" i="12"/>
  <c r="J65" i="12"/>
  <c r="N65" i="12" s="1"/>
  <c r="L54" i="3"/>
  <c r="F54" i="3"/>
  <c r="L53" i="3"/>
  <c r="M20" i="3"/>
  <c r="N20" i="3" s="1"/>
  <c r="M19" i="3"/>
  <c r="N19" i="3" s="1"/>
  <c r="M13" i="3"/>
  <c r="N13" i="3" s="1"/>
  <c r="M12" i="3"/>
  <c r="N12" i="3" s="1"/>
  <c r="L58" i="12" l="1"/>
  <c r="L68" i="12" s="1"/>
  <c r="F170" i="6" l="1"/>
  <c r="G31" i="6" l="1"/>
  <c r="D32" i="6"/>
  <c r="G57" i="6"/>
  <c r="E22" i="15" s="1"/>
  <c r="G48" i="6"/>
  <c r="G47" i="6"/>
  <c r="H27" i="3" l="1"/>
  <c r="H23" i="3"/>
  <c r="G23" i="3" s="1"/>
  <c r="H30" i="3"/>
  <c r="I30" i="3" s="1"/>
  <c r="J27" i="3" l="1"/>
  <c r="J30" i="3"/>
  <c r="F45" i="3"/>
  <c r="G27" i="3" l="1"/>
  <c r="G30" i="3"/>
  <c r="N174" i="6"/>
  <c r="M174" i="6"/>
  <c r="L174" i="6"/>
  <c r="K174" i="6"/>
  <c r="J174" i="6"/>
  <c r="I174" i="6"/>
  <c r="H174" i="6"/>
  <c r="G174" i="6"/>
  <c r="C53" i="6" l="1"/>
  <c r="F27" i="6"/>
  <c r="F61" i="6" s="1"/>
  <c r="G30" i="6"/>
  <c r="H22" i="3" s="1"/>
  <c r="C32" i="6"/>
  <c r="C173" i="6" l="1"/>
  <c r="G60" i="5"/>
  <c r="G43" i="5" l="1"/>
  <c r="D42" i="6" l="1"/>
  <c r="G51" i="6"/>
  <c r="G52" i="6"/>
  <c r="G53" i="6" l="1"/>
  <c r="H29" i="3" s="1"/>
  <c r="I29" i="3" s="1"/>
  <c r="J29" i="3" l="1"/>
  <c r="G29" i="3" l="1"/>
  <c r="G20" i="6"/>
  <c r="G19" i="6"/>
  <c r="H15" i="3" s="1"/>
  <c r="I15" i="3" s="1"/>
  <c r="G40" i="6"/>
  <c r="J69" i="3" s="1"/>
  <c r="D14" i="6"/>
  <c r="D61" i="6" s="1"/>
  <c r="C14" i="6"/>
  <c r="G12" i="6"/>
  <c r="G6" i="6"/>
  <c r="G15" i="3" l="1"/>
  <c r="J15" i="3"/>
  <c r="G17" i="3"/>
  <c r="J34" i="12"/>
  <c r="J33" i="12" s="1"/>
  <c r="J56" i="12" s="1"/>
  <c r="J26" i="12"/>
  <c r="N33" i="12" l="1"/>
  <c r="J28" i="12"/>
  <c r="O28" i="12" s="1"/>
  <c r="O26" i="12"/>
  <c r="J66" i="12"/>
  <c r="J58" i="12" l="1"/>
  <c r="J68" i="12" l="1"/>
  <c r="Q62" i="5"/>
  <c r="J23" i="3"/>
  <c r="I36" i="3" l="1"/>
  <c r="K36" i="3" s="1"/>
  <c r="K47" i="3" s="1"/>
  <c r="G23" i="5" l="1"/>
  <c r="J42" i="3"/>
  <c r="I66" i="3"/>
  <c r="F41" i="3"/>
  <c r="H65" i="12"/>
  <c r="G29" i="5"/>
  <c r="O33" i="12"/>
  <c r="G34" i="12"/>
  <c r="N34" i="12" s="1"/>
  <c r="K31" i="3"/>
  <c r="L47" i="3" s="1"/>
  <c r="H66" i="12" l="1"/>
  <c r="G56" i="12"/>
  <c r="G66" i="12"/>
  <c r="G28" i="12"/>
  <c r="C8" i="6"/>
  <c r="C61" i="6" s="1"/>
  <c r="I55" i="5"/>
  <c r="G51" i="5"/>
  <c r="I16" i="5"/>
  <c r="I33" i="5"/>
  <c r="G52" i="5"/>
  <c r="G45" i="5"/>
  <c r="G16" i="5"/>
  <c r="G24" i="5"/>
  <c r="G32" i="5"/>
  <c r="N66" i="12" l="1"/>
  <c r="O66" i="12" s="1"/>
  <c r="O65" i="12"/>
  <c r="N56" i="12"/>
  <c r="O34" i="12"/>
  <c r="G58" i="12"/>
  <c r="M62" i="5" s="1"/>
  <c r="G26" i="5"/>
  <c r="H58" i="12"/>
  <c r="O62" i="5" s="1"/>
  <c r="J45" i="3"/>
  <c r="H68" i="12" l="1"/>
  <c r="Q63" i="5"/>
  <c r="Q65" i="5" s="1"/>
  <c r="M60" i="5"/>
  <c r="O63" i="5"/>
  <c r="N58" i="12"/>
  <c r="O56" i="12"/>
  <c r="G68" i="12"/>
  <c r="G48" i="5"/>
  <c r="H71" i="12" l="1"/>
  <c r="G70" i="12" s="1"/>
  <c r="G71" i="12" s="1"/>
  <c r="O65" i="5"/>
  <c r="N68" i="12"/>
  <c r="O58" i="12"/>
  <c r="J71" i="12"/>
  <c r="E61" i="6"/>
  <c r="C172" i="6" s="1"/>
  <c r="G7" i="6"/>
  <c r="H8" i="3" s="1"/>
  <c r="G22" i="6"/>
  <c r="G33" i="5"/>
  <c r="G36" i="5" s="1"/>
  <c r="D20" i="3"/>
  <c r="C20" i="3"/>
  <c r="I8" i="3" l="1"/>
  <c r="G8" i="3" s="1"/>
  <c r="H18" i="3"/>
  <c r="G23" i="6"/>
  <c r="L71" i="12"/>
  <c r="C171" i="6"/>
  <c r="G8" i="6"/>
  <c r="H11" i="3"/>
  <c r="G11" i="3" s="1"/>
  <c r="G39" i="6"/>
  <c r="G32" i="6"/>
  <c r="E16" i="15" s="1"/>
  <c r="G11" i="6"/>
  <c r="G63" i="5"/>
  <c r="G55" i="5"/>
  <c r="J8" i="3" l="1"/>
  <c r="I31" i="3"/>
  <c r="E15" i="15"/>
  <c r="H25" i="3"/>
  <c r="H66" i="3"/>
  <c r="K66" i="3" s="1"/>
  <c r="C170" i="6"/>
  <c r="C174" i="6" s="1"/>
  <c r="D174" i="6"/>
  <c r="J18" i="3"/>
  <c r="G18" i="3"/>
  <c r="G57" i="5"/>
  <c r="G65" i="5" s="1"/>
  <c r="G14" i="6"/>
  <c r="G27" i="6"/>
  <c r="G42" i="6"/>
  <c r="G25" i="3" l="1"/>
  <c r="H31" i="3"/>
  <c r="E23" i="15"/>
  <c r="G61" i="6"/>
  <c r="F174" i="6"/>
  <c r="H47" i="3"/>
  <c r="C81" i="6" l="1"/>
  <c r="M19" i="5"/>
  <c r="G31" i="3"/>
  <c r="I24" i="5"/>
  <c r="I26" i="5" s="1"/>
  <c r="I36" i="5" s="1"/>
  <c r="J71" i="3"/>
  <c r="M24" i="5" l="1"/>
  <c r="M26" i="5" s="1"/>
  <c r="M36" i="5" s="1"/>
  <c r="M62" i="3"/>
  <c r="I62" i="3"/>
  <c r="J70" i="3" s="1"/>
  <c r="J62" i="3"/>
  <c r="G62" i="3"/>
  <c r="F62" i="3"/>
  <c r="L59" i="3"/>
  <c r="L57" i="3"/>
  <c r="K56" i="3"/>
  <c r="L56" i="3" s="1"/>
  <c r="K55" i="3"/>
  <c r="F47" i="3"/>
  <c r="G47" i="3"/>
  <c r="J47" i="3"/>
  <c r="J31" i="3"/>
  <c r="M47" i="5" l="1"/>
  <c r="M48" i="5" s="1"/>
  <c r="M57" i="5" s="1"/>
  <c r="J72" i="3"/>
  <c r="I48" i="5"/>
  <c r="I57" i="5" s="1"/>
  <c r="L62" i="3"/>
  <c r="L64" i="3" s="1"/>
  <c r="K62" i="3"/>
  <c r="H62" i="3"/>
  <c r="I47" i="3"/>
  <c r="I63" i="5" l="1"/>
  <c r="I65" i="5" s="1"/>
  <c r="M61" i="5" l="1"/>
  <c r="M63" i="5" s="1"/>
  <c r="M65" i="5" s="1"/>
</calcChain>
</file>

<file path=xl/comments1.xml><?xml version="1.0" encoding="utf-8"?>
<comments xmlns="http://schemas.openxmlformats.org/spreadsheetml/2006/main">
  <authors>
    <author>John Ray</author>
  </authors>
  <commentList>
    <comment ref="A41" authorId="0" shapeId="0">
      <text>
        <r>
          <rPr>
            <b/>
            <sz val="9"/>
            <color indexed="81"/>
            <rFont val="Tahoma"/>
            <family val="2"/>
          </rPr>
          <t>John Ray:</t>
        </r>
        <r>
          <rPr>
            <sz val="9"/>
            <color indexed="81"/>
            <rFont val="Tahoma"/>
            <family val="2"/>
          </rPr>
          <t xml:space="preserve">
Budget Modification approved
</t>
        </r>
      </text>
    </comment>
  </commentList>
</comments>
</file>

<file path=xl/comments2.xml><?xml version="1.0" encoding="utf-8"?>
<comments xmlns="http://schemas.openxmlformats.org/spreadsheetml/2006/main">
  <authors>
    <author>John Ray</author>
  </authors>
  <commentList>
    <comment ref="C45" authorId="0" shapeId="0">
      <text>
        <r>
          <rPr>
            <b/>
            <sz val="9"/>
            <color indexed="81"/>
            <rFont val="Tahoma"/>
            <charset val="1"/>
          </rPr>
          <t>John Ray:</t>
        </r>
        <r>
          <rPr>
            <sz val="9"/>
            <color indexed="81"/>
            <rFont val="Tahoma"/>
            <charset val="1"/>
          </rPr>
          <t xml:space="preserve">
85100+85200</t>
        </r>
      </text>
    </comment>
    <comment ref="C46" authorId="0" shapeId="0">
      <text>
        <r>
          <rPr>
            <b/>
            <sz val="9"/>
            <color indexed="81"/>
            <rFont val="Tahoma"/>
            <charset val="1"/>
          </rPr>
          <t>John Ray:</t>
        </r>
        <r>
          <rPr>
            <sz val="9"/>
            <color indexed="81"/>
            <rFont val="Tahoma"/>
            <charset val="1"/>
          </rPr>
          <t xml:space="preserve">
85300+81150</t>
        </r>
      </text>
    </comment>
    <comment ref="C53" authorId="0" shapeId="0">
      <text>
        <r>
          <rPr>
            <b/>
            <sz val="9"/>
            <color indexed="81"/>
            <rFont val="Tahoma"/>
            <charset val="1"/>
          </rPr>
          <t>John Ray:</t>
        </r>
        <r>
          <rPr>
            <sz val="9"/>
            <color indexed="81"/>
            <rFont val="Tahoma"/>
            <charset val="1"/>
          </rPr>
          <t xml:space="preserve">
80060+81100
</t>
        </r>
      </text>
    </comment>
    <comment ref="C54" authorId="0" shapeId="0">
      <text>
        <r>
          <rPr>
            <b/>
            <sz val="9"/>
            <color indexed="81"/>
            <rFont val="Tahoma"/>
            <charset val="1"/>
          </rPr>
          <t>John Ray:</t>
        </r>
        <r>
          <rPr>
            <sz val="9"/>
            <color indexed="81"/>
            <rFont val="Tahoma"/>
            <charset val="1"/>
          </rPr>
          <t xml:space="preserve">
80060+81100
</t>
        </r>
      </text>
    </comment>
  </commentList>
</comments>
</file>

<file path=xl/sharedStrings.xml><?xml version="1.0" encoding="utf-8"?>
<sst xmlns="http://schemas.openxmlformats.org/spreadsheetml/2006/main" count="524" uniqueCount="406">
  <si>
    <t>Columbia County Community Healthcare Consortium, Inc.</t>
  </si>
  <si>
    <t>Grant No.</t>
  </si>
  <si>
    <t>Start Date</t>
  </si>
  <si>
    <t>End Date</t>
  </si>
  <si>
    <t>Deferred Revenue</t>
  </si>
  <si>
    <t>C-023404</t>
  </si>
  <si>
    <t xml:space="preserve">Tobacco Grant   </t>
  </si>
  <si>
    <t>Facilitated Enrollment</t>
  </si>
  <si>
    <t>C-021701</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</si>
  <si>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</si>
  <si>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</si>
  <si>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</si>
  <si>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</si>
  <si>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</si>
  <si>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</si>
  <si>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</si>
  <si>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</si>
  <si>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</si>
  <si>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C-024379</t>
  </si>
  <si>
    <t>Funder</t>
  </si>
  <si>
    <t>NYSDOH</t>
  </si>
  <si>
    <t xml:space="preserve">NYSDOH </t>
  </si>
  <si>
    <t>Transportation Services</t>
  </si>
  <si>
    <t xml:space="preserve">ICSP-  Infrastructure Grant </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</si>
  <si>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</si>
  <si>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</si>
  <si>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</si>
  <si>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</si>
  <si>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</si>
  <si>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</si>
  <si>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</si>
  <si>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</si>
  <si>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</si>
  <si>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</si>
  <si>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</si>
  <si>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</si>
  <si>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</si>
  <si>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</si>
  <si>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</si>
  <si>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</si>
  <si>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</si>
  <si>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</si>
  <si>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</si>
  <si>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</si>
  <si>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</si>
  <si>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</si>
  <si>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</si>
  <si>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</si>
  <si>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</si>
  <si>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</si>
  <si>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</si>
  <si>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</si>
  <si>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</si>
  <si>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</si>
  <si>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</si>
  <si>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</si>
  <si>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</si>
  <si>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</si>
  <si>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</si>
  <si>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</si>
  <si>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Childhood Obesity - COLA</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</si>
  <si>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</si>
  <si>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</si>
  <si>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</si>
  <si>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</si>
  <si>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</si>
  <si>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</si>
  <si>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</si>
  <si>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</si>
  <si>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</si>
  <si>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</si>
  <si>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</si>
  <si>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</si>
  <si>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</si>
  <si>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</si>
  <si>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</si>
  <si>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</si>
  <si>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</si>
  <si>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</si>
  <si>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</si>
  <si>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</si>
  <si>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</si>
  <si>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</si>
  <si>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</si>
  <si>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</si>
  <si>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</si>
  <si>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</si>
  <si>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</si>
  <si>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</si>
  <si>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</si>
  <si>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</si>
  <si>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</si>
  <si>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</si>
  <si>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</si>
  <si>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</si>
  <si>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</si>
  <si>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</si>
  <si>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</si>
  <si>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</si>
  <si>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</si>
  <si>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</si>
  <si>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</si>
  <si>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</si>
  <si>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</si>
  <si>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</si>
  <si>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</si>
  <si>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</si>
  <si>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</si>
  <si>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</si>
  <si>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</si>
  <si>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</si>
  <si>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</si>
  <si>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</si>
  <si>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</si>
  <si>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</si>
  <si>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</si>
  <si>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</si>
  <si>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</si>
  <si>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</si>
  <si>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</si>
  <si>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</si>
  <si>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</si>
  <si>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</si>
  <si>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</si>
  <si>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</si>
  <si>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</si>
  <si>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</si>
  <si>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</si>
  <si>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</si>
  <si>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</si>
  <si>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</si>
  <si>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</si>
  <si>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</si>
  <si>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</si>
  <si>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</si>
  <si>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</si>
  <si>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</si>
  <si>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</si>
  <si>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</si>
  <si>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</si>
  <si>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</si>
  <si>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</si>
  <si>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</si>
  <si>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</si>
  <si>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</si>
  <si>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</si>
  <si>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</si>
  <si>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</si>
  <si>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</si>
  <si>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</si>
  <si>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Galvan Foundation</t>
  </si>
  <si>
    <t>Bengali Community Outreach</t>
  </si>
  <si>
    <t>Current Month</t>
  </si>
  <si>
    <t>Previous Month</t>
  </si>
  <si>
    <t>Three Months Ago</t>
  </si>
  <si>
    <t>Older than Three Months</t>
  </si>
  <si>
    <t>Office for the Aging - Senior Transportation</t>
  </si>
  <si>
    <t>Total Tobacco-Free Action</t>
  </si>
  <si>
    <t>Total Facilitated Enrollment Program</t>
  </si>
  <si>
    <t>Columbia County -Office of the Aging</t>
  </si>
  <si>
    <t>ALL OTHER REVENUE</t>
  </si>
  <si>
    <t>Greene County</t>
  </si>
  <si>
    <t xml:space="preserve">Transportation Clients         </t>
  </si>
  <si>
    <t>Extended</t>
  </si>
  <si>
    <t>Children Mental Health Services (Taconic Hills)</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</si>
  <si>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</si>
  <si>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</si>
  <si>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</si>
  <si>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</si>
  <si>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</si>
  <si>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</si>
  <si>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</si>
  <si>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</si>
  <si>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</si>
  <si>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</si>
  <si>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</si>
  <si>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NYSDOH 04/13 to 06/13</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</si>
  <si>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</si>
  <si>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</si>
  <si>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</si>
  <si>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</si>
  <si>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</si>
  <si>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</si>
  <si>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</si>
  <si>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</si>
  <si>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</si>
  <si>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</si>
  <si>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In Person Assistors &amp; Navigators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</si>
  <si>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</si>
  <si>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</si>
  <si>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</si>
  <si>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</si>
  <si>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</si>
  <si>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</si>
  <si>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Foundation Revenue-FCH &amp; Dyson</t>
  </si>
  <si>
    <t>Donations - Others</t>
  </si>
  <si>
    <t>Investment Income-Trustco</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</si>
  <si>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</si>
  <si>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</si>
  <si>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</si>
  <si>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</si>
  <si>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</si>
  <si>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</si>
  <si>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</si>
  <si>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</si>
  <si>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</si>
  <si>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</si>
  <si>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CoCo Dept of Human Services</t>
  </si>
  <si>
    <t>Expenses from 01/2014 to 8/2014</t>
  </si>
  <si>
    <t>Finance &amp; Budget Committee Meeting</t>
  </si>
  <si>
    <t xml:space="preserve">   Fiscal Highlights</t>
  </si>
  <si>
    <t>NYSDOH 10/14 to 09/15</t>
  </si>
  <si>
    <t>Medicaid Transportation Claims</t>
  </si>
  <si>
    <t>HRI Clinical Services 07/14 to 06/15</t>
  </si>
  <si>
    <t>Grants - Federal (HRI)</t>
  </si>
  <si>
    <t>Other Receipts of Interest:</t>
  </si>
  <si>
    <t>Prescription Access (21-Months)</t>
  </si>
  <si>
    <t>Prescription Access (24-Months)</t>
  </si>
  <si>
    <t>Columbia County Dept. of Human Services</t>
  </si>
  <si>
    <t>Total Columbia County Dept. Human Services</t>
  </si>
  <si>
    <t xml:space="preserve">Tobacco Fee Communities Grant   </t>
  </si>
  <si>
    <t>Rural Health Network Program</t>
  </si>
  <si>
    <t>CSP - Infrastructure Grant</t>
  </si>
  <si>
    <t xml:space="preserve">CSP - Patient Services Grant </t>
  </si>
  <si>
    <t>CSP - Patient Services Grant</t>
  </si>
  <si>
    <t>Ancram/Copake Prescription Access (2015)</t>
  </si>
  <si>
    <t>Operating - Bank of Greene Co.</t>
  </si>
  <si>
    <t>Payroll - Bank of Greene Co.</t>
  </si>
  <si>
    <t>NYSDOH Infrastructure Grant 04/15 to 03/16</t>
  </si>
  <si>
    <t>NYSDOH Clinical Services Grant 04/15 to 03/16</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</si>
  <si>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</si>
  <si>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</si>
  <si>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</si>
  <si>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</si>
  <si>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</si>
  <si>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</si>
  <si>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</si>
  <si>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</si>
  <si>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</si>
  <si>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</si>
  <si>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</si>
  <si>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</si>
  <si>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</si>
  <si>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</si>
  <si>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</si>
  <si>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</si>
  <si>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</si>
  <si>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Revenue, Support &amp; Expenses</t>
  </si>
  <si>
    <r>
      <t>è</t>
    </r>
    <r>
      <rPr>
        <b/>
        <sz val="12"/>
        <color theme="1"/>
        <rFont val="Times New Roman"/>
        <family val="1"/>
      </rPr>
      <t xml:space="preserve"> Medicaid 2% Across-the-Board Payment Reduction</t>
    </r>
    <r>
      <rPr>
        <sz val="12"/>
        <color theme="1"/>
        <rFont val="Times New Roman"/>
        <family val="1"/>
      </rPr>
      <t xml:space="preserve">. The 2% Across-the-Board Medicaid payment reduction was eliminated for claims with service dates on or after April 01, 2015. The retroactive repayment of the 2% reduction taken over the period April 2014 to March 2015 is still pending CMS approval. </t>
    </r>
  </si>
  <si>
    <r>
      <t>è</t>
    </r>
    <r>
      <rPr>
        <b/>
        <sz val="12"/>
        <color theme="1"/>
        <rFont val="Times New Roman"/>
        <family val="1"/>
      </rPr>
      <t xml:space="preserve"> Medicaid Claim Revenue</t>
    </r>
    <r>
      <rPr>
        <sz val="12"/>
        <color theme="1"/>
        <rFont val="Times New Roman"/>
        <family val="1"/>
      </rPr>
      <t xml:space="preserve">. For the quarter ending June 30th, Medicaid revenue unexpectedly  increased by $4,900. </t>
    </r>
  </si>
  <si>
    <t>NYSDOH 07/15 to 06/16</t>
  </si>
  <si>
    <t>$28.85, and</t>
  </si>
  <si>
    <t>4695-03</t>
  </si>
  <si>
    <t>NY Connects Expansion &amp; Enhancement Program</t>
  </si>
  <si>
    <t>Grants      Receivable</t>
  </si>
  <si>
    <t>Grants           Receivable</t>
  </si>
  <si>
    <t>NYSDOH 10/15 to 09/16</t>
  </si>
  <si>
    <t>NY Connects Year #10  10/15 to 9/16</t>
  </si>
  <si>
    <t>Office of Aging - MIPPA - September Voucher</t>
  </si>
  <si>
    <t>Office of Aging - NY Connects  - September Voucher</t>
  </si>
  <si>
    <t>NY Connects Year #10</t>
  </si>
  <si>
    <t>COLA CSP Infrastructure</t>
  </si>
  <si>
    <t>Pending Payments on NYS SFS Website</t>
  </si>
  <si>
    <t>Donation-Palliative Care (Memory of Anne Zittel)</t>
  </si>
  <si>
    <t xml:space="preserve">Advance to Operation Unite NY </t>
  </si>
  <si>
    <t>Ratio of (Cash &amp; Receivables) to Liabilities</t>
  </si>
  <si>
    <t>2014-Sold two 2007 Dodge Vans</t>
  </si>
  <si>
    <t>Travel, Meals and Conferences</t>
  </si>
  <si>
    <t>February</t>
  </si>
  <si>
    <t>HRI Clinical Services - March 2016 Voucher</t>
  </si>
  <si>
    <t>CSP Clinical Services - September 2016 Voucher</t>
  </si>
  <si>
    <t>CSP Infrastructure - January 2016 Voucher</t>
  </si>
  <si>
    <t>Columbia County (2nd Half of $49,000)</t>
  </si>
  <si>
    <t>County Government - 2016</t>
  </si>
  <si>
    <t>County Departments - 2016</t>
  </si>
  <si>
    <t>Columbia County BOS 2016 Budget Appropriation</t>
  </si>
  <si>
    <t>Transportation Services -2016</t>
  </si>
  <si>
    <t>Balance as of 01/01/2016</t>
  </si>
  <si>
    <t>Ancram/Copake Prescription Access (2016)</t>
  </si>
  <si>
    <t>Columbia County Departments 2016 Donations (CARTS)</t>
  </si>
  <si>
    <t>Loss on Sale of 2002 MiniBus</t>
  </si>
  <si>
    <t>Navigator Health Exchange Program</t>
  </si>
  <si>
    <t>Tobacco-Free Program</t>
  </si>
  <si>
    <t>Cancer Services Program</t>
  </si>
  <si>
    <t>Transportation-Medicaid</t>
  </si>
  <si>
    <t>Columbia County 2016 CARTS</t>
  </si>
  <si>
    <t>Other Columbia County Programs</t>
  </si>
  <si>
    <t>Total Grant Receivable</t>
  </si>
  <si>
    <r>
      <t>è</t>
    </r>
    <r>
      <rPr>
        <b/>
        <sz val="12"/>
        <color theme="1"/>
        <rFont val="Times New Roman"/>
        <family val="1"/>
      </rPr>
      <t xml:space="preserve"> Equipment, Furniture &amp; Vehicles</t>
    </r>
    <r>
      <rPr>
        <sz val="12"/>
        <color theme="1"/>
        <rFont val="Calibri"/>
        <family val="2"/>
      </rPr>
      <t xml:space="preserve"> - No purchases or sale of capital equipment.</t>
    </r>
  </si>
  <si>
    <t xml:space="preserve">Columbia County </t>
  </si>
  <si>
    <t>The Golub Corp - Price Chopper</t>
  </si>
  <si>
    <t>Prescription Rx assistance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</si>
  <si>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</si>
  <si>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</si>
  <si>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</si>
  <si>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</si>
  <si>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</si>
  <si>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Depts-CARTS</t>
  </si>
  <si>
    <t>Columbia County Cancer Fund</t>
  </si>
  <si>
    <t>Greene County Cancer Fund</t>
  </si>
  <si>
    <t>Complementary Therapies</t>
  </si>
  <si>
    <t>Jan Koweek Fund</t>
  </si>
  <si>
    <t>Totals of Temporary Restricted Funds</t>
  </si>
  <si>
    <t>Other</t>
  </si>
  <si>
    <t>Total AP from Above</t>
  </si>
  <si>
    <t>Galvan Foundation-Bengali Project</t>
  </si>
  <si>
    <t>Grants Receivable Aging Summary as of April 30, 2016</t>
  </si>
  <si>
    <t>January &amp; Older</t>
  </si>
  <si>
    <t>March</t>
  </si>
  <si>
    <t>April</t>
  </si>
  <si>
    <t xml:space="preserve">NYSDOH 04/15 to 03/16 (One Month Voucher) </t>
  </si>
  <si>
    <t>NYSDOH 04/16 to 03/17 (Quarterly Voucher)</t>
  </si>
  <si>
    <t>NYSDOH Infrastructure Grant 04/16 to 03/17</t>
  </si>
  <si>
    <t>NYSDOH Clinical Services Grant 04/16 to 03/17</t>
  </si>
  <si>
    <t>MIPPA                            02/16 to 9/16</t>
  </si>
  <si>
    <t>NY Connects EEP         10/15 to 12/16</t>
  </si>
  <si>
    <t>Greene County-DSS (HEAP &amp; Other Programs)</t>
  </si>
  <si>
    <t>Grants Receivable at 04/30/2016</t>
  </si>
  <si>
    <t>Columbia County Dept. of Health</t>
  </si>
  <si>
    <t>Payments Received After April 30, 2016</t>
  </si>
  <si>
    <t>RHN Program - March 2016 Voucher</t>
  </si>
  <si>
    <t xml:space="preserve">Greene County-DSS  HEAP &amp; Other Programs </t>
  </si>
  <si>
    <t>Total AR Payments Received After April 30, 2016</t>
  </si>
  <si>
    <t>April 30th AR Balance at May 17, 2016</t>
  </si>
  <si>
    <t>HCBS-HARP Program</t>
  </si>
  <si>
    <t xml:space="preserve">CSP Infrastructure 2016/2017 Grant Advance </t>
  </si>
  <si>
    <t>Albany Medical Center</t>
  </si>
  <si>
    <t xml:space="preserve">CSP Infrastrucure COLA </t>
  </si>
  <si>
    <t>NY Connects Yr#10- March 2016 Voucher</t>
  </si>
  <si>
    <t>Transportation Services (Quarterly Voucher)</t>
  </si>
  <si>
    <t>Grant Development Services (Quarterly Voucher)</t>
  </si>
  <si>
    <t>As of  April 30, 2016</t>
  </si>
  <si>
    <t>Greene County DSS (MA &amp; SNAP Recertification)</t>
  </si>
  <si>
    <t>CSP-  Infrastructure Grant - COLA</t>
  </si>
  <si>
    <t>CSP-  Infrastructure Grant</t>
  </si>
  <si>
    <t>Senior Transportation Services - 2016</t>
  </si>
  <si>
    <t>OMH &amp; OASAS</t>
  </si>
  <si>
    <t>Health &amp; Recovery Plan (HCBS - HARP)</t>
  </si>
  <si>
    <t>Start-Up Funding</t>
  </si>
  <si>
    <t>QuickBooks AR at 04/30/16</t>
  </si>
  <si>
    <t>See CC Dept of Health</t>
  </si>
  <si>
    <t>Investment</t>
  </si>
  <si>
    <t>Dept. of Health</t>
  </si>
  <si>
    <t>Unrealized Gain (Loss) on Investments</t>
  </si>
  <si>
    <t>Four Months Ended April 30, 2016 and 2015</t>
  </si>
  <si>
    <t>April '16 vs. '15</t>
  </si>
  <si>
    <t>Statement of Activities-Transportation</t>
  </si>
  <si>
    <t>Grants - New York State - Rural Health Network</t>
  </si>
  <si>
    <t>OFA: Senior Transportation</t>
  </si>
  <si>
    <t>Foundation Revenue-FCH-Sharon/Ancram/Copake</t>
  </si>
  <si>
    <t>Foundation Revenue-FCH-Wheelchair Mini-Bus</t>
  </si>
  <si>
    <t>In-Kind Rent - Columbia County (20%)</t>
  </si>
  <si>
    <t>Assets Released from Restrictions-CC Depts.</t>
  </si>
  <si>
    <t>Assets Released from Restrictions-Columbia Cty</t>
  </si>
  <si>
    <t>Salaries and Payroll Taxes &amp; Fringe</t>
  </si>
  <si>
    <t>Drivers</t>
  </si>
  <si>
    <t>Transportation Coordinators &amp; Support</t>
  </si>
  <si>
    <r>
      <t xml:space="preserve">Transportation Services </t>
    </r>
    <r>
      <rPr>
        <sz val="11"/>
        <color rgb="FF000000"/>
        <rFont val="Arial"/>
        <family val="2"/>
      </rPr>
      <t>(Fuel, Insurance, Lease, Maintenance)</t>
    </r>
  </si>
  <si>
    <t xml:space="preserve">Vehicle Fuel </t>
  </si>
  <si>
    <t>Vehicle Insurance</t>
  </si>
  <si>
    <t>Vehicle Maintanance &amp; Repairs</t>
  </si>
  <si>
    <t>Vehicle Lease with County - $550/mth</t>
  </si>
  <si>
    <t>Vehicle Licenses &amp; Permits</t>
  </si>
  <si>
    <t>Depreciation-Vehicles</t>
  </si>
  <si>
    <t>Audit</t>
  </si>
  <si>
    <t>Office &amp; Program Supplies</t>
  </si>
  <si>
    <t>General Insurance</t>
  </si>
  <si>
    <t>Other Expenses</t>
  </si>
  <si>
    <t>Add Back Deprecation</t>
  </si>
  <si>
    <t>Net Cash</t>
  </si>
  <si>
    <t>Twelve Months Ended December 31, 2015</t>
  </si>
  <si>
    <t>RountingBox Software</t>
  </si>
  <si>
    <t>Gain (Loss) on Sale of Vehicles</t>
  </si>
  <si>
    <t>Less: Purchase Mini-Bus (2015)</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</si>
  <si>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2016 our Grant Receivable is $292,441. Expectation is that we will collect on all receivables. Not aware of any issues. Summary as follows:</t>
    </r>
  </si>
  <si>
    <r>
      <t>è</t>
    </r>
    <r>
      <rPr>
        <sz val="12"/>
        <color theme="1"/>
        <rFont val="Times New Roman"/>
        <family val="1"/>
      </rPr>
      <t xml:space="preserve"> </t>
    </r>
    <r>
      <rPr>
        <b/>
        <sz val="12"/>
        <color theme="1"/>
        <rFont val="Times New Roman"/>
        <family val="1"/>
      </rPr>
      <t>Galvan Foundation</t>
    </r>
    <r>
      <rPr>
        <sz val="12"/>
        <color theme="1"/>
        <rFont val="Calibri"/>
        <family val="2"/>
      </rPr>
      <t xml:space="preserve"> - CCCHC and Operation Unite of NY have signed a MOU in the amount of $19,450 with the goal to train up to six Bengali Youths as Community Health Workers &amp; for the six to work as Community Health Workers within the Bengali community. As of April 2016, Operations Unite has submitted vouchers totaling $13,381 of which $4,683 of the $5,000 previously issued advance was recouped ($317 advance balance remaining).</t>
    </r>
  </si>
  <si>
    <r>
      <t>è</t>
    </r>
    <r>
      <rPr>
        <sz val="12"/>
        <color theme="1"/>
        <rFont val="Times New Roman"/>
        <family val="1"/>
      </rPr>
      <t xml:space="preserve"> </t>
    </r>
    <r>
      <rPr>
        <b/>
        <sz val="12"/>
        <color theme="1"/>
        <rFont val="Times New Roman"/>
        <family val="1"/>
      </rPr>
      <t>Columbia County -CARTS</t>
    </r>
    <r>
      <rPr>
        <sz val="12"/>
        <color theme="1"/>
        <rFont val="Calibri"/>
        <family val="2"/>
      </rPr>
      <t xml:space="preserve"> - Columbia County's 2016 budget contains contributions totaling $68,000 for CARTS &amp; lobby receptionist. To date we have received everything all contributions.</t>
    </r>
  </si>
  <si>
    <t>iHeart Media</t>
  </si>
  <si>
    <t>Advertising-Tobacco</t>
  </si>
  <si>
    <t>Vehicle Fuel, Lease Paymt &amp; Repairs</t>
  </si>
  <si>
    <t xml:space="preserve">Pandora </t>
  </si>
  <si>
    <t>Radio Streaming-Tobacco</t>
  </si>
  <si>
    <t>Various Medical Providers</t>
  </si>
  <si>
    <t>CSP Clincial Serices-March &amp; April</t>
  </si>
  <si>
    <r>
      <t>è</t>
    </r>
    <r>
      <rPr>
        <b/>
        <sz val="12"/>
        <color theme="1"/>
        <rFont val="Times New Roman"/>
        <family val="1"/>
      </rPr>
      <t xml:space="preserve"> Investment - Essex National Securities</t>
    </r>
    <r>
      <rPr>
        <sz val="12"/>
        <color theme="1"/>
        <rFont val="Calibri"/>
        <family val="2"/>
      </rPr>
      <t xml:space="preserve"> - As of April 30, 2016, account value is $151,036 and remains 100% in cash. On  May 16, 2016, $10,000 invested in five different mutual funds at $2,000/fund. </t>
    </r>
  </si>
  <si>
    <r>
      <t>è</t>
    </r>
    <r>
      <rPr>
        <sz val="12"/>
        <color theme="1"/>
        <rFont val="Times New Roman"/>
        <family val="1"/>
      </rPr>
      <t xml:space="preserve"> </t>
    </r>
    <r>
      <rPr>
        <b/>
        <sz val="12"/>
        <color theme="1"/>
        <rFont val="Calibri"/>
        <family val="2"/>
      </rPr>
      <t>Cancer Services Program-Infrastructure</t>
    </r>
    <r>
      <rPr>
        <sz val="12"/>
        <color theme="1"/>
        <rFont val="Calibri"/>
        <family val="2"/>
      </rPr>
      <t xml:space="preserve"> Outstanding vouchers goes back to the month of September 2015. On February 5th, we received payment for August voucher and contract manager indicates that receipt for other vouchers will follow shortly. CSP - Clinical  Services (NYS &amp; Federal) paid thru December 2015. </t>
    </r>
  </si>
  <si>
    <r>
      <t>è</t>
    </r>
    <r>
      <rPr>
        <sz val="12"/>
        <color theme="1"/>
        <rFont val="Times New Roman"/>
        <family val="1"/>
      </rPr>
      <t xml:space="preserve"> </t>
    </r>
    <r>
      <rPr>
        <b/>
        <sz val="12"/>
        <color theme="1"/>
        <rFont val="Times New Roman"/>
        <family val="1"/>
      </rPr>
      <t>Medicaid Transportation Claims</t>
    </r>
    <r>
      <rPr>
        <sz val="12"/>
        <color theme="1"/>
        <rFont val="Times New Roman"/>
        <family val="1"/>
      </rPr>
      <t xml:space="preserve"> - As of December 31, 2015, we have recorded as a receivable in the amount of  $3,300 for retroactive repayment of previously withheld 2% across-the-board Medicaid reduction. During May'16, we will  receive our second receipt in the amount of $43.55.</t>
    </r>
  </si>
  <si>
    <r>
      <t>è</t>
    </r>
    <r>
      <rPr>
        <b/>
        <sz val="12"/>
        <color theme="1"/>
        <rFont val="Times New Roman"/>
        <family val="1"/>
      </rPr>
      <t xml:space="preserve"> Cash</t>
    </r>
    <r>
      <rPr>
        <sz val="12"/>
        <color theme="1"/>
        <rFont val="Calibri"/>
        <family val="2"/>
      </rPr>
      <t xml:space="preserve"> -  Cash balance in the operating checking account started the year off with $316K and today's balance is $300K. Low balance on April 14th was $262K &amp; the high balance on March 18th was $468K. Transferred $120,000 to Essex Investment on March 18th.</t>
    </r>
  </si>
  <si>
    <r>
      <t>è</t>
    </r>
    <r>
      <rPr>
        <b/>
        <sz val="12"/>
        <color theme="1"/>
        <rFont val="Times New Roman"/>
        <family val="1"/>
      </rPr>
      <t xml:space="preserve">Accounts Payable - </t>
    </r>
    <r>
      <rPr>
        <sz val="12"/>
        <color theme="1"/>
        <rFont val="Calibri"/>
        <family val="2"/>
        <scheme val="minor"/>
      </rPr>
      <t xml:space="preserve">At April 30, 2016, accounts payable lability is $32,254 and all AP liability is being paid timely within 28 days except CSP Clincial Services which gets paid once NYS pays CCCHC. The following is a list of vendors who's liability exceed $1,000. </t>
    </r>
  </si>
  <si>
    <r>
      <t>è</t>
    </r>
    <r>
      <rPr>
        <b/>
        <sz val="12"/>
        <color theme="1"/>
        <rFont val="Times New Roman"/>
        <family val="1"/>
      </rPr>
      <t xml:space="preserve">Accrued Expenses - </t>
    </r>
    <r>
      <rPr>
        <sz val="12"/>
        <color theme="1"/>
        <rFont val="Calibri"/>
        <family val="2"/>
        <scheme val="minor"/>
      </rPr>
      <t>As of April 30, 2016, we have $2,000 in accrued expenses which consist of $2,000 for Claire's pension contribution per agreement.</t>
    </r>
  </si>
  <si>
    <t>Ending Balance at April 30, 2016</t>
  </si>
  <si>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Activity for the four months ending April 30, 2016,</t>
    </r>
  </si>
  <si>
    <r>
      <t>è</t>
    </r>
    <r>
      <rPr>
        <b/>
        <sz val="12"/>
        <color theme="1"/>
        <rFont val="Times New Roman"/>
        <family val="1"/>
      </rPr>
      <t xml:space="preserve"> CSP - Patient Services</t>
    </r>
    <r>
      <rPr>
        <sz val="12"/>
        <color theme="1"/>
        <rFont val="Times New Roman"/>
        <family val="1"/>
      </rPr>
      <t>. As of January 1st, NYS is converting to new software for patient services. New system to be functional around April 1st, do not expect  to start reimbursing medical providers until June 2016. Providers have been notified. As of April 30, 2016, we have accrued $11,529 for Patient Services and waiting payment from NYSDOH.</t>
    </r>
  </si>
  <si>
    <r>
      <t>è</t>
    </r>
    <r>
      <rPr>
        <sz val="12"/>
        <color theme="1"/>
        <rFont val="Times New Roman"/>
        <family val="1"/>
      </rPr>
      <t xml:space="preserve"> </t>
    </r>
    <r>
      <rPr>
        <b/>
        <sz val="12"/>
        <color theme="1"/>
        <rFont val="Times New Roman"/>
        <family val="1"/>
      </rPr>
      <t xml:space="preserve">Columbia County - Office of the Aging: MIPPA </t>
    </r>
    <r>
      <rPr>
        <sz val="12"/>
        <color theme="1"/>
        <rFont val="Times New Roman"/>
        <family val="1"/>
      </rPr>
      <t>(02/2016 to 09/2016) Received signed agreement in the amount of $2,710</t>
    </r>
  </si>
  <si>
    <r>
      <t>è</t>
    </r>
    <r>
      <rPr>
        <sz val="12"/>
        <color theme="1"/>
        <rFont val="Times New Roman"/>
        <family val="1"/>
      </rPr>
      <t xml:space="preserve"> </t>
    </r>
    <r>
      <rPr>
        <b/>
        <sz val="12"/>
        <color theme="1"/>
        <rFont val="Times New Roman"/>
        <family val="1"/>
      </rPr>
      <t xml:space="preserve">Office of Mental Health (OMH) &amp; Office of Alcoholism &amp; Substance Abuse Services (OASAS) </t>
    </r>
    <r>
      <rPr>
        <sz val="12"/>
        <color theme="1"/>
        <rFont val="Times New Roman"/>
        <family val="1"/>
      </rPr>
      <t>(04/2016 to 12/2016) provided one time funding in the amount of $49,850 for Home &amp; Community Based Services (HCBS) providers for the Health &amp; Recovery Plan (HARP) program. The funding is intended to help providers with general startup cost to preparing to provide HCBS.</t>
    </r>
  </si>
  <si>
    <r>
      <t>è</t>
    </r>
    <r>
      <rPr>
        <sz val="12"/>
        <color theme="1"/>
        <rFont val="Times New Roman"/>
        <family val="1"/>
      </rPr>
      <t xml:space="preserve"> </t>
    </r>
    <r>
      <rPr>
        <b/>
        <sz val="12"/>
        <color theme="1"/>
        <rFont val="Times New Roman"/>
        <family val="1"/>
      </rPr>
      <t xml:space="preserve">Greene County DSS  </t>
    </r>
    <r>
      <rPr>
        <sz val="12"/>
        <color theme="1"/>
        <rFont val="Times New Roman"/>
        <family val="1"/>
      </rPr>
      <t>(04/2016 to 10/2016) new $27,293 agreement to provide two per-diem employees.</t>
    </r>
  </si>
  <si>
    <t>Prescription Rx Access</t>
  </si>
  <si>
    <t>Transportation: Acram/Copake</t>
  </si>
  <si>
    <t>Children's Mental Health Project</t>
  </si>
  <si>
    <t>NYS Grant Advances</t>
  </si>
  <si>
    <t>Tobacco Free Program</t>
  </si>
  <si>
    <t>Total Advance Funding Payable</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</si>
  <si>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Activity for the four months ending April 30, 2016,</t>
    </r>
  </si>
  <si>
    <t xml:space="preserve">Ending Balance at April 30, 2016 </t>
  </si>
  <si>
    <r>
      <t>è</t>
    </r>
    <r>
      <rPr>
        <sz val="12"/>
        <color theme="1"/>
        <rFont val="Calibri"/>
        <family val="2"/>
      </rPr>
      <t xml:space="preserve"> </t>
    </r>
    <r>
      <rPr>
        <b/>
        <sz val="12"/>
        <color theme="1"/>
        <rFont val="Calibri"/>
        <family val="2"/>
      </rPr>
      <t>Cancer Services Program</t>
    </r>
    <r>
      <rPr>
        <sz val="12"/>
        <color theme="1"/>
        <rFont val="Calibri"/>
        <family val="2"/>
      </rPr>
      <t xml:space="preserve"> (04/2016 to 03/2017) Submitted renewal documentation to the contract manager for approval. Budget remains the same at $140,000. During the month of May'16, received $35,000 grant advance payment.</t>
    </r>
  </si>
  <si>
    <r>
      <t>è</t>
    </r>
    <r>
      <rPr>
        <sz val="12"/>
        <color theme="1"/>
        <rFont val="Times New Roman"/>
        <family val="1"/>
      </rPr>
      <t xml:space="preserve"> </t>
    </r>
    <r>
      <rPr>
        <b/>
        <sz val="12"/>
        <color theme="1"/>
        <rFont val="Calibri"/>
        <family val="2"/>
      </rPr>
      <t>Rural Health Network Program</t>
    </r>
    <r>
      <rPr>
        <sz val="12"/>
        <color theme="1"/>
        <rFont val="Calibri"/>
        <family val="2"/>
      </rPr>
      <t xml:space="preserve"> (04/2016 to 03/2017). Renewal documentation for new contract 16/17 year has been submitted but is not yet approved. Budget remains the same at $240,000.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</si>
</sst>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51"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charset val="1"/>
    </font>
    <font>
      <b/>
      <sz val="9"/>
      <color indexed="81"/>
      <name val="Tahoma"/>
      <charset val="1"/>
    </font>
    <font>
      <sz val="12"/>
      <color theme="1"/>
      <name val="Wide Latin"/>
      <family val="1"/>
    </font>
    <font>
      <sz val="11"/>
      <color rgb="FF1F497D"/>
      <name val="Calibri"/>
      <family val="2"/>
    </font>
    <font>
      <sz val="9"/>
      <color indexed="81"/>
      <name val="Tahoma"/>
      <family val="2"/>
    </font>
    <font>
      <b/>
      <sz val="9"/>
      <color indexed="81"/>
      <name val="Tahoma"/>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6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631">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0"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2" fillId="0" borderId="0" xfId="0" applyNumberFormat="1" applyFont="1" applyBorder="1" applyAlignment="1">
      <alignment horizontal="left"/>
    </xf>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48" xfId="0" applyFill="1" applyBorder="1" applyAlignment="1">
      <alignment horizontal="center"/>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1" fontId="10" fillId="0" borderId="0" xfId="0" applyNumberFormat="1" applyFont="1" applyBorder="1"/>
    <xf numFmtId="42" fontId="12" fillId="0" borderId="57"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Fill="1" applyBorder="1" applyAlignment="1">
      <alignment horizontal="right"/>
    </xf>
    <xf numFmtId="41" fontId="0" fillId="0" borderId="0" xfId="0" applyNumberFormat="1" applyAlignment="1">
      <alignment horizontal="right"/>
    </xf>
    <xf numFmtId="0" fontId="0" fillId="0" borderId="59" xfId="0" applyFill="1" applyBorder="1" applyAlignment="1">
      <alignment horizontal="left"/>
    </xf>
    <xf numFmtId="0" fontId="0" fillId="0" borderId="59" xfId="0" applyFill="1" applyBorder="1" applyAlignment="1">
      <alignment horizontal="center"/>
    </xf>
    <xf numFmtId="14" fontId="0" fillId="0" borderId="59" xfId="0" applyNumberFormat="1" applyFill="1" applyBorder="1" applyAlignment="1">
      <alignment horizontal="center"/>
    </xf>
    <xf numFmtId="41" fontId="0" fillId="0" borderId="49" xfId="1" applyNumberFormat="1" applyFont="1" applyFill="1" applyBorder="1" applyAlignment="1">
      <alignment horizontal="right"/>
    </xf>
    <xf numFmtId="41" fontId="0" fillId="0" borderId="59" xfId="1" applyNumberFormat="1" applyFont="1" applyFill="1" applyBorder="1" applyAlignment="1"/>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2"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42" fontId="6" fillId="0" borderId="44" xfId="0" applyNumberFormat="1" applyFont="1" applyFill="1" applyBorder="1" applyAlignment="1"/>
    <xf numFmtId="38" fontId="0" fillId="0" borderId="49" xfId="1" applyNumberFormat="1" applyFont="1" applyFill="1" applyBorder="1" applyAlignment="1">
      <alignment horizontal="right"/>
    </xf>
    <xf numFmtId="38" fontId="0" fillId="0" borderId="5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14" fontId="0" fillId="0" borderId="63" xfId="0" applyNumberFormat="1" applyFill="1" applyBorder="1" applyAlignment="1">
      <alignment horizontal="center"/>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46"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applyBorder="1"/>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0" fillId="0" borderId="0" xfId="0" applyNumberFormat="1" applyFill="1" applyBorder="1" applyAlignment="1">
      <alignment horizontal="right"/>
    </xf>
    <xf numFmtId="41" fontId="0" fillId="0" borderId="0" xfId="0" applyNumberFormat="1" applyFill="1" applyAlignment="1">
      <alignment horizontal="right"/>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2" fillId="0" borderId="49" xfId="1" applyNumberFormat="1" applyFont="1" applyFill="1"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165" fontId="7" fillId="0" borderId="33"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0" fontId="3" fillId="3" borderId="13" xfId="0" applyFont="1" applyFill="1" applyBorder="1" applyAlignment="1">
      <alignment horizontal="center" vertical="center"/>
    </xf>
    <xf numFmtId="0" fontId="0" fillId="0" borderId="16" xfId="0" applyFill="1" applyBorder="1"/>
    <xf numFmtId="0" fontId="0" fillId="0" borderId="24" xfId="0" applyFill="1" applyBorder="1"/>
    <xf numFmtId="41" fontId="2" fillId="0" borderId="49" xfId="1" applyNumberFormat="1" applyFont="1" applyFill="1" applyBorder="1" applyAlignment="1">
      <alignment horizontal="center" vertical="center"/>
    </xf>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5" fillId="0" borderId="0" xfId="0" applyNumberFormat="1" applyFont="1" applyBorder="1" applyAlignment="1">
      <alignment horizontal="center" vertical="center"/>
    </xf>
    <xf numFmtId="165" fontId="45" fillId="0" borderId="27"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0" fillId="0" borderId="0" xfId="0" applyNumberFormat="1" applyFill="1" applyBorder="1" applyAlignment="1">
      <alignment horizontal="right"/>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10"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2" fillId="0" borderId="0" xfId="0" applyNumberFormat="1" applyFont="1" applyFill="1" applyBorder="1" applyAlignment="1">
      <alignment horizontal="lef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7" fillId="0" borderId="0" xfId="0" applyNumberFormat="1" applyFont="1" applyAlignment="1">
      <alignment horizontal="center" vertical="center"/>
    </xf>
    <xf numFmtId="165" fontId="46" fillId="0" borderId="0" xfId="0" applyNumberFormat="1" applyFont="1" applyBorder="1" applyAlignment="1">
      <alignment horizontal="center" vertical="center"/>
    </xf>
    <xf numFmtId="165" fontId="45" fillId="0" borderId="0" xfId="0" applyNumberFormat="1" applyFont="1" applyFill="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41" fontId="35" fillId="0" borderId="0" xfId="0" applyNumberFormat="1"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0" xfId="0" applyNumberFormat="1" applyFont="1" applyFill="1" applyAlignment="1">
      <alignment horizontal="left" vertical="center" wrapText="1"/>
    </xf>
    <xf numFmtId="42" fontId="35" fillId="0" borderId="31" xfId="0" applyNumberFormat="1" applyFont="1" applyFill="1" applyBorder="1" applyAlignment="1">
      <alignment horizontal="left" vertical="center" wrapText="1"/>
    </xf>
    <xf numFmtId="42" fontId="35" fillId="0" borderId="0"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41" fontId="13" fillId="0" borderId="30" xfId="0" applyNumberFormat="1" applyFont="1" applyBorder="1" applyAlignment="1">
      <alignment horizontal="center" vertical="center"/>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0" fillId="2" borderId="35" xfId="0" applyFill="1" applyBorder="1" applyAlignment="1"/>
    <xf numFmtId="0" fontId="0" fillId="2" borderId="24" xfId="0" applyFill="1" applyBorder="1"/>
    <xf numFmtId="0" fontId="0" fillId="2" borderId="16" xfId="0" applyFill="1" applyBorder="1"/>
    <xf numFmtId="43" fontId="0" fillId="0" borderId="48" xfId="1" applyNumberFormat="1" applyFont="1" applyFill="1" applyBorder="1" applyAlignment="1"/>
    <xf numFmtId="0" fontId="0" fillId="0" borderId="63" xfId="0" applyFill="1" applyBorder="1" applyAlignment="1">
      <alignment horizontal="left"/>
    </xf>
    <xf numFmtId="0" fontId="0" fillId="0" borderId="63" xfId="0" applyFill="1" applyBorder="1" applyAlignment="1">
      <alignment horizontal="center"/>
    </xf>
    <xf numFmtId="38" fontId="0" fillId="0" borderId="63" xfId="1" applyNumberFormat="1" applyFont="1" applyFill="1" applyBorder="1" applyAlignment="1"/>
    <xf numFmtId="41" fontId="0" fillId="0" borderId="63" xfId="1" applyNumberFormat="1" applyFont="1" applyFill="1" applyBorder="1" applyAlignment="1"/>
    <xf numFmtId="0" fontId="0" fillId="2" borderId="5" xfId="0" applyFill="1" applyBorder="1"/>
    <xf numFmtId="0" fontId="10" fillId="0" borderId="0" xfId="0" applyFont="1" applyBorder="1"/>
    <xf numFmtId="41" fontId="24" fillId="0" borderId="2" xfId="0" applyNumberFormat="1" applyFont="1" applyBorder="1" applyAlignment="1">
      <alignment vertical="center"/>
    </xf>
    <xf numFmtId="41" fontId="15" fillId="0" borderId="19" xfId="0" applyNumberFormat="1" applyFont="1" applyBorder="1" applyAlignment="1">
      <alignment vertical="center"/>
    </xf>
    <xf numFmtId="165" fontId="46" fillId="0" borderId="27" xfId="0" applyNumberFormat="1" applyFont="1" applyBorder="1" applyAlignment="1">
      <alignment horizontal="center" vertical="center"/>
    </xf>
    <xf numFmtId="42" fontId="15" fillId="0" borderId="27" xfId="0" applyNumberFormat="1" applyFont="1" applyBorder="1" applyAlignment="1">
      <alignment vertical="center"/>
    </xf>
    <xf numFmtId="42" fontId="15" fillId="0" borderId="31" xfId="0" applyNumberFormat="1" applyFont="1" applyBorder="1" applyAlignment="1">
      <alignment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43" fontId="15" fillId="0" borderId="0" xfId="0" applyNumberFormat="1" applyFont="1" applyBorder="1" applyAlignment="1">
      <alignment vertical="center"/>
    </xf>
    <xf numFmtId="165" fontId="46" fillId="0" borderId="2" xfId="0" applyNumberFormat="1" applyFont="1" applyBorder="1" applyAlignment="1">
      <alignment horizontal="center" vertical="center"/>
    </xf>
    <xf numFmtId="165" fontId="45" fillId="0" borderId="31" xfId="0" applyNumberFormat="1" applyFont="1" applyBorder="1" applyAlignment="1">
      <alignment horizontal="center"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3" fontId="0" fillId="0" borderId="0" xfId="0" applyNumberFormat="1" applyFill="1"/>
    <xf numFmtId="17" fontId="0" fillId="0" borderId="0" xfId="0" applyNumberFormat="1" applyFill="1"/>
    <xf numFmtId="0" fontId="38" fillId="0" borderId="0" xfId="0" applyFont="1" applyFill="1" applyAlignment="1">
      <alignment horizontal="left" vertical="center" wrapText="1"/>
    </xf>
    <xf numFmtId="0" fontId="35" fillId="0" borderId="0" xfId="0" applyFont="1" applyFill="1" applyAlignment="1">
      <alignment horizontal="left" vertical="center" wrapText="1" indent="2"/>
    </xf>
    <xf numFmtId="0" fontId="34" fillId="0" borderId="0" xfId="0" applyFont="1" applyFill="1" applyAlignment="1">
      <alignment horizontal="left" wrapText="1"/>
    </xf>
    <xf numFmtId="0" fontId="38" fillId="0" borderId="0" xfId="0" applyFont="1" applyFill="1" applyAlignment="1">
      <alignment horizontal="center"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35" fillId="0" borderId="0" xfId="0" applyFont="1" applyFill="1" applyAlignment="1">
      <alignment horizontal="center" vertical="top" wrapText="1"/>
    </xf>
    <xf numFmtId="0" fontId="34" fillId="0" borderId="0" xfId="0" applyFont="1" applyFill="1" applyAlignment="1">
      <alignment horizontal="left" vertical="top"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41"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5" fillId="0" borderId="0" xfId="0" applyFont="1" applyFill="1" applyAlignment="1">
      <alignment horizontal="right" vertical="center" wrapText="1"/>
    </xf>
    <xf numFmtId="0" fontId="38" fillId="0" borderId="0" xfId="0" applyFont="1" applyFill="1" applyAlignment="1">
      <alignment horizontal="right" vertical="center" wrapText="1"/>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50" xfId="0" applyFill="1" applyBorder="1" applyAlignment="1">
      <alignment horizontal="left"/>
    </xf>
    <xf numFmtId="0" fontId="0" fillId="0" borderId="51"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1" fontId="13" fillId="0" borderId="30" xfId="0" applyNumberFormat="1" applyFont="1" applyBorder="1" applyAlignment="1">
      <alignment horizontal="center" vertical="center"/>
    </xf>
    <xf numFmtId="49" fontId="15" fillId="0" borderId="0" xfId="0" applyNumberFormat="1" applyFont="1" applyAlignment="1">
      <alignment horizontal="left" vertical="center"/>
    </xf>
    <xf numFmtId="49" fontId="17" fillId="0" borderId="0" xfId="0" applyNumberFormat="1" applyFont="1" applyAlignment="1">
      <alignment horizontal="center" vertical="center"/>
    </xf>
    <xf numFmtId="0" fontId="0" fillId="0" borderId="27" xfId="0" applyBorder="1" applyAlignment="1">
      <alignment horizontal="center"/>
    </xf>
    <xf numFmtId="49" fontId="15" fillId="0" borderId="0" xfId="0" applyNumberFormat="1" applyFont="1" applyBorder="1" applyAlignment="1">
      <alignment horizontal="left" vertical="center"/>
    </xf>
    <xf numFmtId="49" fontId="11" fillId="0" borderId="0" xfId="0" applyNumberFormat="1" applyFont="1" applyBorder="1" applyAlignment="1">
      <alignment horizontal="center" vertic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'April''16 AR Aging '!$B$170</c:f>
              <c:strCache>
                <c:ptCount val="1"/>
                <c:pt idx="0">
                  <c:v>Current Month</c:v>
                </c:pt>
              </c:strCache>
            </c:strRef>
          </c:tx>
          <c:spPr>
            <a:solidFill>
              <a:srgbClr val="0070C0"/>
            </a:solidFill>
          </c:spPr>
          <c:invertIfNegative val="0"/>
          <c:val>
            <c:numRef>
              <c:f>'April''16 AR Aging '!$C$170:$N$170</c:f>
            </c:numRef>
          </c:val>
          <c:extLst>
            <c:ext xmlns:c15="http://schemas.microsoft.com/office/drawing/2012/chart" uri="{02D57815-91ED-43cb-92C2-25804820EDAC}">
              <c15:filteredCategoryTitle>
                <c15:cat>
                  <c:multiLvlStrRef>
                    <c:extLst>
                      <c:ext uri="{02D57815-91ED-43cb-92C2-25804820EDAC}">
                        <c15:formulaRef>
                          <c15:sqref>'April''16 AR Aging '!$C$169:$N$169</c15:sqref>
                        </c15:formulaRef>
                      </c:ext>
                    </c:extLst>
                  </c:multiLvlStrRef>
                </c15:cat>
              </c15:filteredCategoryTitle>
            </c:ext>
          </c:extLst>
        </c:ser>
        <c:ser>
          <c:idx val="1"/>
          <c:order val="1"/>
          <c:tx>
            <c:strRef>
              <c:f>'April''16 AR Aging '!$B$171</c:f>
              <c:strCache>
                <c:ptCount val="1"/>
                <c:pt idx="0">
                  <c:v>Previous Month</c:v>
                </c:pt>
              </c:strCache>
            </c:strRef>
          </c:tx>
          <c:spPr>
            <a:solidFill>
              <a:schemeClr val="accent6">
                <a:lumMod val="40000"/>
                <a:lumOff val="60000"/>
              </a:schemeClr>
            </a:solidFill>
          </c:spPr>
          <c:invertIfNegative val="0"/>
          <c:val>
            <c:numRef>
              <c:f>'April''16 AR Aging '!$C$171:$N$171</c:f>
            </c:numRef>
          </c:val>
          <c:extLst>
            <c:ext xmlns:c15="http://schemas.microsoft.com/office/drawing/2012/chart" uri="{02D57815-91ED-43cb-92C2-25804820EDAC}">
              <c15:filteredCategoryTitle>
                <c15:cat>
                  <c:multiLvlStrRef>
                    <c:extLst>
                      <c:ext uri="{02D57815-91ED-43cb-92C2-25804820EDAC}">
                        <c15:formulaRef>
                          <c15:sqref>'April''16 AR Aging '!$C$169:$N$169</c15:sqref>
                        </c15:formulaRef>
                      </c:ext>
                    </c:extLst>
                  </c:multiLvlStrRef>
                </c15:cat>
              </c15:filteredCategoryTitle>
            </c:ext>
          </c:extLst>
        </c:ser>
        <c:ser>
          <c:idx val="2"/>
          <c:order val="2"/>
          <c:tx>
            <c:strRef>
              <c:f>'April''16 AR Aging '!$B$172</c:f>
              <c:strCache>
                <c:ptCount val="1"/>
                <c:pt idx="0">
                  <c:v>Three Months Ago</c:v>
                </c:pt>
              </c:strCache>
            </c:strRef>
          </c:tx>
          <c:spPr>
            <a:solidFill>
              <a:schemeClr val="accent3">
                <a:lumMod val="75000"/>
              </a:schemeClr>
            </a:solidFill>
          </c:spPr>
          <c:invertIfNegative val="0"/>
          <c:val>
            <c:numRef>
              <c:f>'April''16 AR Aging '!$C$172:$N$172</c:f>
            </c:numRef>
          </c:val>
          <c:extLst>
            <c:ext xmlns:c15="http://schemas.microsoft.com/office/drawing/2012/chart" uri="{02D57815-91ED-43cb-92C2-25804820EDAC}">
              <c15:filteredCategoryTitle>
                <c15:cat>
                  <c:multiLvlStrRef>
                    <c:extLst>
                      <c:ext uri="{02D57815-91ED-43cb-92C2-25804820EDAC}">
                        <c15:formulaRef>
                          <c15:sqref>'April''16 AR Aging '!$C$169:$N$169</c15:sqref>
                        </c15:formulaRef>
                      </c:ext>
                    </c:extLst>
                  </c:multiLvlStrRef>
                </c15:cat>
              </c15:filteredCategoryTitle>
            </c:ext>
          </c:extLst>
        </c:ser>
        <c:ser>
          <c:idx val="3"/>
          <c:order val="3"/>
          <c:tx>
            <c:strRef>
              <c:f>'April''16 AR Aging '!$B$173</c:f>
              <c:strCache>
                <c:ptCount val="1"/>
                <c:pt idx="0">
                  <c:v>Older than Three Months</c:v>
                </c:pt>
              </c:strCache>
            </c:strRef>
          </c:tx>
          <c:spPr>
            <a:solidFill>
              <a:schemeClr val="accent4">
                <a:lumMod val="40000"/>
                <a:lumOff val="60000"/>
              </a:schemeClr>
            </a:solidFill>
          </c:spPr>
          <c:invertIfNegative val="0"/>
          <c:val>
            <c:numRef>
              <c:f>'April''16 AR Aging '!$C$173:$N$173</c:f>
            </c:numRef>
          </c:val>
          <c:extLst>
            <c:ext xmlns:c15="http://schemas.microsoft.com/office/drawing/2012/chart" uri="{02D57815-91ED-43cb-92C2-25804820EDAC}">
              <c15:filteredCategoryTitle>
                <c15:cat>
                  <c:multiLvlStrRef>
                    <c:extLst>
                      <c:ext uri="{02D57815-91ED-43cb-92C2-25804820EDAC}">
                        <c15:formulaRef>
                          <c15:sqref>'April''16 AR Aging '!$C$169:$N$169</c15:sqref>
                        </c15:formulaRef>
                      </c:ext>
                    </c:extLst>
                  </c:multiLvlStrRef>
                </c15:cat>
              </c15:filteredCategoryTitle>
            </c:ext>
          </c:extLst>
        </c:ser>
        <c:dLbls>
          <c:showLegendKey val="0"/>
          <c:showVal val="0"/>
          <c:showCatName val="0"/>
          <c:showSerName val="0"/>
          <c:showPercent val="0"/>
          <c:showBubbleSize val="0"/>
        </c:dLbls>
        <c:gapWidth val="56"/>
        <c:overlap val="100"/>
        <c:axId val="214585168"/>
        <c:axId val="213987616"/>
      </c:barChart>
      <c:catAx>
        <c:axId val="214585168"/>
        <c:scaling>
          <c:orientation val="minMax"/>
        </c:scaling>
        <c:delete val="0"/>
        <c:axPos val="b"/>
        <c:numFmt formatCode="[$-409]mmmm\-yy;@" sourceLinked="1"/>
        <c:majorTickMark val="none"/>
        <c:minorTickMark val="none"/>
        <c:tickLblPos val="nextTo"/>
        <c:spPr>
          <a:noFill/>
          <a:ln w="22225"/>
        </c:spPr>
        <c:crossAx val="213987616"/>
        <c:crosses val="autoZero"/>
        <c:auto val="0"/>
        <c:lblAlgn val="ctr"/>
        <c:lblOffset val="100"/>
        <c:tickLblSkip val="1"/>
        <c:noMultiLvlLbl val="0"/>
      </c:catAx>
      <c:valAx>
        <c:axId val="213987616"/>
        <c:scaling>
          <c:orientation val="minMax"/>
        </c:scaling>
        <c:delete val="0"/>
        <c:axPos val="l"/>
        <c:majorGridlines/>
        <c:numFmt formatCode="&quot;$&quot;#,##0_);[Red]\(&quot;$&quot;#,##0\)" sourceLinked="1"/>
        <c:majorTickMark val="none"/>
        <c:minorTickMark val="none"/>
        <c:tickLblPos val="nextTo"/>
        <c:crossAx val="214585168"/>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3695700</xdr:colOff>
      <xdr:row>163</xdr:row>
      <xdr:rowOff>47625</xdr:rowOff>
    </xdr:from>
    <xdr:to>
      <xdr:col>8</xdr:col>
      <xdr:colOff>523875</xdr:colOff>
      <xdr:row>200</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abSelected="1" zoomScaleNormal="100" workbookViewId="0">
      <selection activeCell="A6" sqref="A6:H6"/>
    </sheetView>
  </sheetViews>
  <sheetFormatPr defaultRowHeight="14.25" x14ac:dyDescent="0.2"/>
  <cols>
    <col min="1" max="1" width="5" style="4" customWidth="1"/>
    <col min="2" max="6" width="14.875" style="4" customWidth="1"/>
    <col min="7" max="7" width="16.125" style="4" customWidth="1"/>
    <col min="8" max="8" width="5.125" style="4" customWidth="1"/>
    <col min="9" max="16384" width="9" style="4"/>
  </cols>
  <sheetData>
    <row r="1" spans="1:8" ht="23.25" x14ac:dyDescent="0.2">
      <c r="A1" s="588" t="s">
        <v>209</v>
      </c>
      <c r="B1" s="588"/>
      <c r="C1" s="588"/>
      <c r="D1" s="588"/>
      <c r="E1" s="588"/>
      <c r="F1" s="588"/>
      <c r="G1" s="588"/>
      <c r="H1" s="588"/>
    </row>
    <row r="2" spans="1:8" ht="23.25" x14ac:dyDescent="0.2">
      <c r="A2" s="588" t="s">
        <v>210</v>
      </c>
      <c r="B2" s="588"/>
      <c r="C2" s="588"/>
      <c r="D2" s="588"/>
      <c r="E2" s="588"/>
      <c r="F2" s="588"/>
      <c r="G2" s="588"/>
      <c r="H2" s="588"/>
    </row>
    <row r="3" spans="1:8" ht="23.25" x14ac:dyDescent="0.2">
      <c r="A3" s="589">
        <v>42507</v>
      </c>
      <c r="B3" s="589"/>
      <c r="C3" s="589"/>
      <c r="D3" s="589"/>
      <c r="E3" s="589"/>
      <c r="F3" s="589"/>
      <c r="G3" s="589"/>
      <c r="H3" s="589"/>
    </row>
    <row r="4" spans="1:8" ht="27.75" customHeight="1" x14ac:dyDescent="0.25">
      <c r="A4" s="592" t="s">
        <v>247</v>
      </c>
      <c r="B4" s="592"/>
      <c r="C4" s="592"/>
      <c r="D4" s="592"/>
      <c r="E4" s="592"/>
      <c r="F4" s="592"/>
      <c r="G4" s="592"/>
      <c r="H4" s="592"/>
    </row>
    <row r="5" spans="1:8" ht="40.5" customHeight="1" x14ac:dyDescent="0.2">
      <c r="A5" s="591" t="s">
        <v>405</v>
      </c>
      <c r="B5" s="591"/>
      <c r="C5" s="591"/>
      <c r="D5" s="591"/>
      <c r="E5" s="591"/>
      <c r="F5" s="591"/>
      <c r="G5" s="591"/>
      <c r="H5" s="591"/>
    </row>
    <row r="6" spans="1:8" ht="54.75" customHeight="1" x14ac:dyDescent="0.2">
      <c r="A6" s="591" t="s">
        <v>404</v>
      </c>
      <c r="B6" s="591"/>
      <c r="C6" s="591"/>
      <c r="D6" s="591"/>
      <c r="E6" s="591"/>
      <c r="F6" s="591"/>
      <c r="G6" s="591"/>
      <c r="H6" s="591"/>
    </row>
    <row r="7" spans="1:8" ht="78.75" customHeight="1" x14ac:dyDescent="0.2">
      <c r="A7" s="591" t="s">
        <v>375</v>
      </c>
      <c r="B7" s="591"/>
      <c r="C7" s="591"/>
      <c r="D7" s="591"/>
      <c r="E7" s="591"/>
      <c r="F7" s="591"/>
      <c r="G7" s="591"/>
      <c r="H7" s="591"/>
    </row>
    <row r="8" spans="1:8" ht="46.5" customHeight="1" x14ac:dyDescent="0.2">
      <c r="A8" s="591" t="s">
        <v>376</v>
      </c>
      <c r="B8" s="591"/>
      <c r="C8" s="591"/>
      <c r="D8" s="591"/>
      <c r="E8" s="591"/>
      <c r="F8" s="591"/>
      <c r="G8" s="591"/>
      <c r="H8" s="591"/>
    </row>
    <row r="9" spans="1:8" ht="30.75" customHeight="1" x14ac:dyDescent="0.2">
      <c r="A9" s="591" t="s">
        <v>393</v>
      </c>
      <c r="B9" s="591"/>
      <c r="C9" s="591"/>
      <c r="D9" s="591"/>
      <c r="E9" s="591"/>
      <c r="F9" s="591"/>
      <c r="G9" s="591"/>
      <c r="H9" s="591"/>
    </row>
    <row r="10" spans="1:8" ht="63.75" customHeight="1" x14ac:dyDescent="0.2">
      <c r="A10" s="591" t="s">
        <v>394</v>
      </c>
      <c r="B10" s="591"/>
      <c r="C10" s="591"/>
      <c r="D10" s="591"/>
      <c r="E10" s="591"/>
      <c r="F10" s="591"/>
      <c r="G10" s="591"/>
      <c r="H10" s="591"/>
    </row>
    <row r="11" spans="1:8" ht="32.25" customHeight="1" x14ac:dyDescent="0.2">
      <c r="A11" s="591" t="s">
        <v>395</v>
      </c>
      <c r="B11" s="591"/>
      <c r="C11" s="591"/>
      <c r="D11" s="591"/>
      <c r="E11" s="591"/>
      <c r="F11" s="591"/>
      <c r="G11" s="591"/>
      <c r="H11" s="591"/>
    </row>
    <row r="12" spans="1:8" ht="25.5" customHeight="1" x14ac:dyDescent="0.25">
      <c r="A12" s="592" t="s">
        <v>237</v>
      </c>
      <c r="B12" s="592"/>
      <c r="C12" s="592"/>
      <c r="D12" s="592"/>
      <c r="E12" s="592"/>
      <c r="F12" s="592"/>
      <c r="G12" s="592"/>
      <c r="H12" s="592"/>
    </row>
    <row r="13" spans="1:8" ht="42" customHeight="1" x14ac:dyDescent="0.2">
      <c r="A13" s="591" t="s">
        <v>374</v>
      </c>
      <c r="B13" s="591"/>
      <c r="C13" s="591"/>
      <c r="D13" s="591"/>
      <c r="E13" s="591"/>
      <c r="F13" s="591"/>
      <c r="G13" s="591"/>
      <c r="H13" s="591"/>
    </row>
    <row r="14" spans="1:8" ht="15.75" x14ac:dyDescent="0.25">
      <c r="A14" s="534"/>
      <c r="B14" s="590"/>
      <c r="C14" s="590"/>
      <c r="D14" s="521"/>
      <c r="E14" s="528" t="s">
        <v>63</v>
      </c>
      <c r="F14" s="521"/>
      <c r="G14" s="522"/>
      <c r="H14" s="534"/>
    </row>
    <row r="15" spans="1:8" ht="15.75" customHeight="1" x14ac:dyDescent="0.25">
      <c r="A15" s="534"/>
      <c r="C15" s="590" t="s">
        <v>221</v>
      </c>
      <c r="D15" s="590"/>
      <c r="E15" s="581">
        <f>'April''16 AR Aging '!G8</f>
        <v>45996.1</v>
      </c>
      <c r="F15" s="523"/>
      <c r="G15" s="523"/>
      <c r="H15" s="534"/>
    </row>
    <row r="16" spans="1:8" ht="15.75" customHeight="1" x14ac:dyDescent="0.25">
      <c r="A16" s="534"/>
      <c r="C16" s="590" t="s">
        <v>281</v>
      </c>
      <c r="D16" s="590"/>
      <c r="E16" s="582">
        <f>'April''16 AR Aging '!G32</f>
        <v>47449.22</v>
      </c>
      <c r="F16" s="523"/>
      <c r="G16" s="523"/>
      <c r="H16" s="534"/>
    </row>
    <row r="17" spans="1:8" ht="15.75" customHeight="1" x14ac:dyDescent="0.25">
      <c r="A17" s="534"/>
      <c r="C17" s="590" t="s">
        <v>282</v>
      </c>
      <c r="D17" s="590"/>
      <c r="E17" s="582">
        <f>'April''16 AR Aging '!G13</f>
        <v>28325.13</v>
      </c>
      <c r="F17" s="523"/>
      <c r="G17" s="523"/>
      <c r="H17" s="534"/>
    </row>
    <row r="18" spans="1:8" ht="15.75" customHeight="1" x14ac:dyDescent="0.25">
      <c r="A18" s="534"/>
      <c r="C18" s="590" t="s">
        <v>283</v>
      </c>
      <c r="D18" s="590"/>
      <c r="E18" s="582">
        <f>'April''16 AR Aging '!G23</f>
        <v>95901.249999999985</v>
      </c>
      <c r="F18" s="523"/>
      <c r="G18" s="523"/>
      <c r="H18" s="534"/>
    </row>
    <row r="19" spans="1:8" ht="15.75" customHeight="1" x14ac:dyDescent="0.25">
      <c r="A19" s="534"/>
      <c r="C19" s="590" t="s">
        <v>284</v>
      </c>
      <c r="D19" s="590"/>
      <c r="E19" s="582">
        <f>'April''16 AR Aging '!G41</f>
        <v>27781.81</v>
      </c>
      <c r="F19" s="523"/>
      <c r="G19" s="523"/>
      <c r="H19" s="534"/>
    </row>
    <row r="20" spans="1:8" ht="15.75" customHeight="1" x14ac:dyDescent="0.25">
      <c r="A20" s="534"/>
      <c r="C20" s="590" t="s">
        <v>285</v>
      </c>
      <c r="D20" s="590"/>
      <c r="E20" s="582">
        <f>'April''16 AR Aging '!G59</f>
        <v>24500</v>
      </c>
      <c r="F20" s="523"/>
      <c r="G20" s="523"/>
      <c r="H20" s="534"/>
    </row>
    <row r="21" spans="1:8" ht="15.75" customHeight="1" x14ac:dyDescent="0.25">
      <c r="A21" s="534"/>
      <c r="C21" s="590" t="s">
        <v>286</v>
      </c>
      <c r="D21" s="590"/>
      <c r="E21" s="582">
        <f>'April''16 AR Aging '!G48+'April''16 AR Aging '!G53+'April''16 AR Aging '!G55+'April''16 AR Aging '!G39</f>
        <v>19272.84</v>
      </c>
      <c r="F21" s="523"/>
      <c r="G21" s="523"/>
      <c r="H21" s="534"/>
    </row>
    <row r="22" spans="1:8" ht="15.75" customHeight="1" x14ac:dyDescent="0.25">
      <c r="A22" s="534"/>
      <c r="C22" s="590" t="s">
        <v>231</v>
      </c>
      <c r="D22" s="590"/>
      <c r="E22" s="582">
        <f>'April''16 AR Aging '!G57</f>
        <v>3214.97</v>
      </c>
      <c r="F22" s="523"/>
      <c r="G22" s="523"/>
      <c r="H22" s="534"/>
    </row>
    <row r="23" spans="1:8" ht="16.5" thickBot="1" x14ac:dyDescent="0.3">
      <c r="A23" s="534"/>
      <c r="B23" s="590" t="s">
        <v>287</v>
      </c>
      <c r="C23" s="590"/>
      <c r="D23" s="529"/>
      <c r="E23" s="530">
        <f>SUM(E15:E22)</f>
        <v>292441.32</v>
      </c>
      <c r="F23" s="529"/>
      <c r="G23" s="529"/>
      <c r="H23" s="534"/>
    </row>
    <row r="24" spans="1:8" ht="16.5" thickTop="1" x14ac:dyDescent="0.25">
      <c r="A24" s="534"/>
      <c r="B24" s="534"/>
      <c r="C24" s="534"/>
      <c r="D24" s="534"/>
      <c r="E24" s="534"/>
      <c r="F24" s="534"/>
      <c r="G24" s="534"/>
      <c r="H24" s="534"/>
    </row>
    <row r="25" spans="1:8" ht="51.75" customHeight="1" x14ac:dyDescent="0.2">
      <c r="A25" s="591" t="s">
        <v>385</v>
      </c>
      <c r="B25" s="591"/>
      <c r="C25" s="591"/>
      <c r="D25" s="591"/>
      <c r="E25" s="591"/>
      <c r="F25" s="591"/>
      <c r="G25" s="591"/>
      <c r="H25" s="591"/>
    </row>
    <row r="26" spans="1:8" ht="54.75" customHeight="1" x14ac:dyDescent="0.2">
      <c r="A26" s="591" t="s">
        <v>392</v>
      </c>
      <c r="B26" s="591"/>
      <c r="C26" s="591"/>
      <c r="D26" s="591"/>
      <c r="E26" s="591"/>
      <c r="F26" s="591"/>
      <c r="G26" s="591"/>
      <c r="H26" s="591"/>
    </row>
    <row r="27" spans="1:8" ht="46.5" customHeight="1" x14ac:dyDescent="0.2">
      <c r="A27" s="591" t="s">
        <v>386</v>
      </c>
      <c r="B27" s="591"/>
      <c r="C27" s="591"/>
      <c r="D27" s="591"/>
      <c r="E27" s="591"/>
      <c r="F27" s="591"/>
      <c r="G27" s="591"/>
      <c r="H27" s="591"/>
    </row>
    <row r="28" spans="1:8" ht="30.75" customHeight="1" x14ac:dyDescent="0.25">
      <c r="A28" s="592" t="s">
        <v>234</v>
      </c>
      <c r="B28" s="592"/>
      <c r="C28" s="592"/>
      <c r="D28" s="592"/>
      <c r="E28" s="592"/>
      <c r="F28" s="592"/>
      <c r="G28" s="592"/>
      <c r="H28" s="592"/>
    </row>
    <row r="29" spans="1:8" ht="51" customHeight="1" x14ac:dyDescent="0.2">
      <c r="A29" s="591" t="s">
        <v>387</v>
      </c>
      <c r="B29" s="591"/>
      <c r="C29" s="591"/>
      <c r="D29" s="591"/>
      <c r="E29" s="591"/>
      <c r="F29" s="591"/>
      <c r="G29" s="591"/>
      <c r="H29" s="591"/>
    </row>
    <row r="30" spans="1:8" ht="60" customHeight="1" x14ac:dyDescent="0.2">
      <c r="A30" s="591" t="s">
        <v>384</v>
      </c>
      <c r="B30" s="591"/>
      <c r="C30" s="591"/>
      <c r="D30" s="591"/>
      <c r="E30" s="591"/>
      <c r="F30" s="591"/>
      <c r="G30" s="591"/>
      <c r="H30" s="591"/>
    </row>
    <row r="31" spans="1:8" ht="25.5" customHeight="1" x14ac:dyDescent="0.2">
      <c r="A31" s="591" t="s">
        <v>288</v>
      </c>
      <c r="B31" s="591"/>
      <c r="C31" s="591"/>
      <c r="D31" s="591"/>
      <c r="E31" s="591"/>
      <c r="F31" s="591"/>
      <c r="G31" s="591"/>
      <c r="H31" s="591"/>
    </row>
    <row r="32" spans="1:8" ht="37.5" customHeight="1" x14ac:dyDescent="0.2">
      <c r="A32" s="591" t="s">
        <v>388</v>
      </c>
      <c r="B32" s="591"/>
      <c r="C32" s="591"/>
      <c r="D32" s="591"/>
      <c r="E32" s="591"/>
      <c r="F32" s="591"/>
      <c r="G32" s="591"/>
      <c r="H32" s="591"/>
    </row>
    <row r="33" spans="1:23" ht="15.75" customHeight="1" x14ac:dyDescent="0.2">
      <c r="A33" s="524"/>
      <c r="C33" s="599" t="s">
        <v>377</v>
      </c>
      <c r="D33" s="599"/>
      <c r="E33" s="531">
        <v>6202</v>
      </c>
      <c r="F33" s="600" t="s">
        <v>378</v>
      </c>
      <c r="G33" s="600"/>
      <c r="H33" s="524"/>
    </row>
    <row r="34" spans="1:23" ht="15.75" customHeight="1" x14ac:dyDescent="0.2">
      <c r="A34" s="524"/>
      <c r="C34" s="599" t="s">
        <v>289</v>
      </c>
      <c r="D34" s="599"/>
      <c r="E34" s="525">
        <f>1724.53+1556.08</f>
        <v>3280.6099999999997</v>
      </c>
      <c r="F34" s="600" t="s">
        <v>379</v>
      </c>
      <c r="G34" s="600"/>
      <c r="H34" s="524"/>
    </row>
    <row r="35" spans="1:23" ht="15.75" customHeight="1" x14ac:dyDescent="0.2">
      <c r="A35" s="524"/>
      <c r="C35" s="599" t="s">
        <v>380</v>
      </c>
      <c r="D35" s="599"/>
      <c r="E35" s="525">
        <v>1730.37</v>
      </c>
      <c r="F35" s="600" t="s">
        <v>381</v>
      </c>
      <c r="G35" s="600"/>
      <c r="H35" s="524"/>
    </row>
    <row r="36" spans="1:23" ht="15.75" x14ac:dyDescent="0.2">
      <c r="A36" s="524"/>
      <c r="C36" s="599" t="s">
        <v>290</v>
      </c>
      <c r="D36" s="599"/>
      <c r="E36" s="525">
        <v>1017.57</v>
      </c>
      <c r="F36" s="600" t="s">
        <v>291</v>
      </c>
      <c r="G36" s="600"/>
      <c r="H36" s="524"/>
    </row>
    <row r="37" spans="1:23" ht="15.75" hidden="1" customHeight="1" x14ac:dyDescent="0.2">
      <c r="A37" s="524"/>
      <c r="C37" s="599"/>
      <c r="D37" s="599"/>
      <c r="E37" s="525"/>
      <c r="F37" s="600"/>
      <c r="G37" s="600"/>
      <c r="H37" s="524"/>
    </row>
    <row r="38" spans="1:23" ht="15.75" hidden="1" customHeight="1" x14ac:dyDescent="0.2">
      <c r="A38" s="524"/>
      <c r="C38" s="599"/>
      <c r="D38" s="599"/>
      <c r="E38" s="525"/>
      <c r="F38" s="600"/>
      <c r="G38" s="600"/>
      <c r="H38" s="524"/>
    </row>
    <row r="39" spans="1:23" ht="15.75" customHeight="1" x14ac:dyDescent="0.2">
      <c r="A39" s="524"/>
      <c r="C39" s="599" t="s">
        <v>382</v>
      </c>
      <c r="D39" s="599"/>
      <c r="E39" s="525">
        <f>5260+6268.53</f>
        <v>11528.529999999999</v>
      </c>
      <c r="F39" s="600" t="s">
        <v>383</v>
      </c>
      <c r="G39" s="600"/>
      <c r="H39" s="524"/>
    </row>
    <row r="40" spans="1:23" ht="16.5" thickBot="1" x14ac:dyDescent="0.25">
      <c r="A40" s="524"/>
      <c r="B40" s="536"/>
      <c r="C40" s="596" t="s">
        <v>304</v>
      </c>
      <c r="D40" s="596"/>
      <c r="E40" s="532">
        <f>SUM(E33:E39)</f>
        <v>23759.079999999998</v>
      </c>
      <c r="F40" s="536"/>
      <c r="G40" s="536"/>
      <c r="H40" s="524"/>
    </row>
    <row r="41" spans="1:23" ht="16.5" thickTop="1" x14ac:dyDescent="0.2">
      <c r="A41" s="524"/>
      <c r="B41" s="536"/>
      <c r="C41" s="537"/>
      <c r="D41" s="537"/>
      <c r="E41" s="533"/>
      <c r="F41" s="536"/>
      <c r="G41" s="536"/>
      <c r="H41" s="524"/>
    </row>
    <row r="42" spans="1:23" ht="54" customHeight="1" x14ac:dyDescent="0.2">
      <c r="A42" s="591" t="s">
        <v>389</v>
      </c>
      <c r="B42" s="591"/>
      <c r="C42" s="591"/>
      <c r="D42" s="591"/>
      <c r="E42" s="591"/>
      <c r="F42" s="591"/>
      <c r="G42" s="591"/>
      <c r="H42" s="591"/>
    </row>
    <row r="43" spans="1:23" ht="28.5" customHeight="1" x14ac:dyDescent="0.25">
      <c r="A43" s="586" t="s">
        <v>402</v>
      </c>
      <c r="B43" s="586"/>
      <c r="C43" s="586"/>
      <c r="D43" s="586"/>
      <c r="E43" s="586"/>
      <c r="F43" s="586"/>
      <c r="G43" s="586"/>
      <c r="H43" s="586"/>
      <c r="V43" s="583">
        <v>42278</v>
      </c>
      <c r="W43" s="581">
        <v>224005.57</v>
      </c>
    </row>
    <row r="44" spans="1:23" ht="47.25" x14ac:dyDescent="0.2">
      <c r="A44" s="535"/>
      <c r="B44" s="587" t="s">
        <v>292</v>
      </c>
      <c r="C44" s="587"/>
      <c r="D44" s="538" t="s">
        <v>293</v>
      </c>
      <c r="E44" s="526" t="s">
        <v>294</v>
      </c>
      <c r="F44" s="538" t="s">
        <v>295</v>
      </c>
      <c r="G44" s="538" t="s">
        <v>403</v>
      </c>
      <c r="H44" s="535"/>
      <c r="V44" s="583">
        <v>42309</v>
      </c>
      <c r="W44" s="581">
        <v>212998.66</v>
      </c>
    </row>
    <row r="45" spans="1:23" ht="15.75" customHeight="1" x14ac:dyDescent="0.2">
      <c r="A45" s="535"/>
      <c r="B45" s="584" t="s">
        <v>17</v>
      </c>
      <c r="C45" s="584"/>
      <c r="D45" s="537">
        <v>0</v>
      </c>
      <c r="E45" s="537"/>
      <c r="F45" s="537"/>
      <c r="G45" s="537"/>
      <c r="H45" s="535"/>
      <c r="V45" s="583">
        <v>42339</v>
      </c>
      <c r="W45" s="581">
        <v>256955.64</v>
      </c>
    </row>
    <row r="46" spans="1:23" ht="15.75" customHeight="1" x14ac:dyDescent="0.2">
      <c r="A46" s="535"/>
      <c r="B46" s="585" t="s">
        <v>396</v>
      </c>
      <c r="C46" s="585"/>
      <c r="D46" s="537">
        <v>10444.719999999999</v>
      </c>
      <c r="E46" s="537">
        <v>7125</v>
      </c>
      <c r="F46" s="537">
        <f>-'April''16 Revenues &amp; Expenses'!H39</f>
        <v>-2347.9899999999998</v>
      </c>
      <c r="G46" s="537">
        <f>D46+E46+F46</f>
        <v>15221.730000000001</v>
      </c>
      <c r="H46" s="535"/>
      <c r="V46" s="583">
        <v>42370</v>
      </c>
      <c r="W46" s="581">
        <v>370456.38</v>
      </c>
    </row>
    <row r="47" spans="1:23" ht="15.75" customHeight="1" x14ac:dyDescent="0.2">
      <c r="A47" s="535"/>
      <c r="B47" s="585" t="s">
        <v>397</v>
      </c>
      <c r="C47" s="585"/>
      <c r="D47" s="537">
        <v>0</v>
      </c>
      <c r="E47" s="537">
        <v>25000</v>
      </c>
      <c r="F47" s="537">
        <f>-'April''16 Revenues &amp; Expenses'!H38</f>
        <v>-8061.01</v>
      </c>
      <c r="G47" s="537">
        <f t="shared" ref="G47:G52" si="0">D47+E47+F47</f>
        <v>16938.989999999998</v>
      </c>
      <c r="H47" s="535"/>
      <c r="V47" s="583">
        <v>42401</v>
      </c>
      <c r="W47" s="581">
        <v>299251.62</v>
      </c>
    </row>
    <row r="48" spans="1:23" ht="15.75" customHeight="1" x14ac:dyDescent="0.2">
      <c r="A48" s="535"/>
      <c r="B48" s="585" t="s">
        <v>398</v>
      </c>
      <c r="C48" s="585"/>
      <c r="D48" s="537">
        <v>20238.16</v>
      </c>
      <c r="E48" s="537"/>
      <c r="F48" s="537">
        <f>-'April''16 Revenues &amp; Expenses'!H41</f>
        <v>-529.4</v>
      </c>
      <c r="G48" s="537">
        <f t="shared" si="0"/>
        <v>19708.759999999998</v>
      </c>
      <c r="H48" s="535"/>
      <c r="V48" s="583">
        <v>42430</v>
      </c>
      <c r="W48" s="581">
        <v>253801.15</v>
      </c>
    </row>
    <row r="49" spans="1:22" ht="15.75" customHeight="1" x14ac:dyDescent="0.2">
      <c r="A49" s="535"/>
      <c r="B49" s="584" t="s">
        <v>25</v>
      </c>
      <c r="C49" s="584"/>
      <c r="D49" s="537"/>
      <c r="E49" s="537"/>
      <c r="F49" s="537"/>
      <c r="G49" s="537"/>
      <c r="H49" s="535"/>
      <c r="V49" s="583"/>
    </row>
    <row r="50" spans="1:22" ht="15.75" customHeight="1" x14ac:dyDescent="0.2">
      <c r="A50" s="535"/>
      <c r="B50" s="585" t="s">
        <v>396</v>
      </c>
      <c r="C50" s="585"/>
      <c r="D50" s="537">
        <v>0</v>
      </c>
      <c r="E50" s="537">
        <v>25000</v>
      </c>
      <c r="F50" s="537">
        <f>-E50+G50</f>
        <v>-9791.619999999999</v>
      </c>
      <c r="G50" s="537">
        <f>'April''16 Revenues &amp; Expenses'!K44</f>
        <v>15208.380000000001</v>
      </c>
      <c r="H50" s="535"/>
      <c r="V50" s="583"/>
    </row>
    <row r="51" spans="1:22" ht="15.75" customHeight="1" x14ac:dyDescent="0.2">
      <c r="A51" s="535"/>
      <c r="B51" s="584" t="s">
        <v>399</v>
      </c>
      <c r="C51" s="584"/>
      <c r="D51" s="537"/>
      <c r="E51" s="537"/>
      <c r="F51" s="537"/>
      <c r="G51" s="537"/>
      <c r="H51" s="535"/>
      <c r="V51" s="583"/>
    </row>
    <row r="52" spans="1:22" ht="15.75" customHeight="1" x14ac:dyDescent="0.2">
      <c r="A52" s="535"/>
      <c r="B52" s="585" t="s">
        <v>283</v>
      </c>
      <c r="C52" s="585"/>
      <c r="D52" s="537">
        <v>5059.93</v>
      </c>
      <c r="E52" s="537"/>
      <c r="F52" s="537">
        <f>-D52</f>
        <v>-5059.93</v>
      </c>
      <c r="G52" s="537">
        <f t="shared" si="0"/>
        <v>0</v>
      </c>
      <c r="H52" s="535"/>
      <c r="V52" s="583"/>
    </row>
    <row r="53" spans="1:22" ht="15.75" customHeight="1" x14ac:dyDescent="0.2">
      <c r="A53" s="535"/>
      <c r="B53" s="585" t="s">
        <v>400</v>
      </c>
      <c r="C53" s="585"/>
      <c r="D53" s="537">
        <v>40565.18</v>
      </c>
      <c r="E53" s="537"/>
      <c r="F53" s="537">
        <f>-D53+G53</f>
        <v>-25132.34</v>
      </c>
      <c r="G53" s="537">
        <f>'April''16 Revenues &amp; Expenses'!K11</f>
        <v>15432.84</v>
      </c>
      <c r="H53" s="535"/>
      <c r="V53" s="583"/>
    </row>
    <row r="54" spans="1:22" ht="15.75" customHeight="1" x14ac:dyDescent="0.2">
      <c r="A54" s="535"/>
      <c r="B54" s="599" t="str">
        <f>'April''16 Revenues &amp; Expenses'!A24</f>
        <v>Health &amp; Recovery Plan (HCBS - HARP)</v>
      </c>
      <c r="C54" s="599"/>
      <c r="D54" s="537"/>
      <c r="E54" s="537">
        <f>'April''16 Revenues &amp; Expenses'!K24</f>
        <v>49850</v>
      </c>
      <c r="F54" s="537"/>
      <c r="G54" s="537">
        <f>E54</f>
        <v>49850</v>
      </c>
      <c r="H54" s="535"/>
      <c r="V54" s="583"/>
    </row>
    <row r="55" spans="1:22" ht="15.75" customHeight="1" thickBot="1" x14ac:dyDescent="0.25">
      <c r="A55" s="535"/>
      <c r="B55" s="598" t="s">
        <v>401</v>
      </c>
      <c r="C55" s="598"/>
      <c r="D55" s="527">
        <f>SUM(D45:D54)</f>
        <v>76307.989999999991</v>
      </c>
      <c r="E55" s="527">
        <f>SUM(E45:E54)</f>
        <v>106975</v>
      </c>
      <c r="F55" s="527">
        <f>SUM(F45:F54)</f>
        <v>-50922.289999999994</v>
      </c>
      <c r="G55" s="527">
        <f>SUM(G45:G54)</f>
        <v>132360.70000000001</v>
      </c>
      <c r="H55" s="535"/>
      <c r="V55" s="583"/>
    </row>
    <row r="56" spans="1:22" ht="11.25" customHeight="1" thickTop="1" x14ac:dyDescent="0.2">
      <c r="A56" s="535"/>
      <c r="B56" s="579"/>
      <c r="C56" s="579"/>
      <c r="D56" s="580"/>
      <c r="E56" s="580"/>
      <c r="F56" s="580"/>
      <c r="G56" s="580"/>
      <c r="H56" s="535"/>
      <c r="V56" s="583"/>
    </row>
    <row r="57" spans="1:22" ht="21.75" customHeight="1" x14ac:dyDescent="0.25">
      <c r="A57" s="586" t="s">
        <v>391</v>
      </c>
      <c r="B57" s="586"/>
      <c r="C57" s="586"/>
      <c r="D57" s="586"/>
      <c r="E57" s="586"/>
      <c r="F57" s="586"/>
      <c r="G57" s="586"/>
      <c r="H57" s="586"/>
    </row>
    <row r="58" spans="1:22" ht="47.25" x14ac:dyDescent="0.2">
      <c r="A58" s="535"/>
      <c r="B58" s="587" t="s">
        <v>292</v>
      </c>
      <c r="C58" s="587"/>
      <c r="D58" s="538" t="s">
        <v>293</v>
      </c>
      <c r="E58" s="526" t="s">
        <v>294</v>
      </c>
      <c r="F58" s="538" t="s">
        <v>295</v>
      </c>
      <c r="G58" s="538" t="s">
        <v>390</v>
      </c>
      <c r="H58" s="535"/>
    </row>
    <row r="59" spans="1:22" ht="15.75" customHeight="1" x14ac:dyDescent="0.2">
      <c r="A59" s="535"/>
      <c r="B59" s="595" t="s">
        <v>296</v>
      </c>
      <c r="C59" s="595"/>
      <c r="D59" s="537">
        <v>0</v>
      </c>
      <c r="E59" s="537">
        <v>49000</v>
      </c>
      <c r="F59" s="537">
        <f>-'April''16 Revenues &amp; Expenses'!J53</f>
        <v>-16333.333333333334</v>
      </c>
      <c r="G59" s="537">
        <f t="shared" ref="G59:G65" si="1">D59+E59+F59</f>
        <v>32666.666666666664</v>
      </c>
      <c r="H59" s="535"/>
    </row>
    <row r="60" spans="1:22" ht="15.75" customHeight="1" x14ac:dyDescent="0.2">
      <c r="A60" s="535"/>
      <c r="B60" s="595" t="s">
        <v>297</v>
      </c>
      <c r="C60" s="595"/>
      <c r="D60" s="537">
        <v>0</v>
      </c>
      <c r="E60" s="537">
        <v>19000</v>
      </c>
      <c r="F60" s="537">
        <f>-'April''16 Revenues &amp; Expenses'!J54</f>
        <v>-6333.32</v>
      </c>
      <c r="G60" s="537">
        <f t="shared" si="1"/>
        <v>12666.68</v>
      </c>
      <c r="H60" s="535"/>
    </row>
    <row r="61" spans="1:22" ht="15.75" customHeight="1" x14ac:dyDescent="0.2">
      <c r="A61" s="535"/>
      <c r="B61" s="595" t="s">
        <v>298</v>
      </c>
      <c r="C61" s="595"/>
      <c r="D61" s="537">
        <v>11831.16</v>
      </c>
      <c r="E61" s="537">
        <f>'April''16 Revenues &amp; Expenses'!H57</f>
        <v>319.70999999999998</v>
      </c>
      <c r="F61" s="537">
        <f>-'April''16 Revenues &amp; Expenses'!J57</f>
        <v>-4031.08</v>
      </c>
      <c r="G61" s="537">
        <f t="shared" si="1"/>
        <v>8119.7899999999991</v>
      </c>
      <c r="H61" s="535"/>
    </row>
    <row r="62" spans="1:22" ht="15.75" customHeight="1" x14ac:dyDescent="0.2">
      <c r="A62" s="535"/>
      <c r="B62" s="595" t="s">
        <v>299</v>
      </c>
      <c r="C62" s="595"/>
      <c r="D62" s="537">
        <v>8690.23</v>
      </c>
      <c r="E62" s="537">
        <f>'April''16 Revenues &amp; Expenses'!H58</f>
        <v>50</v>
      </c>
      <c r="F62" s="537">
        <f>-'April''16 Revenues &amp; Expenses'!J58</f>
        <v>-1163.6600000000001</v>
      </c>
      <c r="G62" s="537">
        <f t="shared" si="1"/>
        <v>7576.57</v>
      </c>
      <c r="H62" s="535"/>
    </row>
    <row r="63" spans="1:22" ht="15.75" customHeight="1" x14ac:dyDescent="0.2">
      <c r="A63" s="535"/>
      <c r="B63" s="595" t="s">
        <v>300</v>
      </c>
      <c r="C63" s="595"/>
      <c r="D63" s="537">
        <v>6954.58</v>
      </c>
      <c r="E63" s="537"/>
      <c r="F63" s="537">
        <f>-'April''16 Revenues &amp; Expenses'!H45</f>
        <v>-750</v>
      </c>
      <c r="G63" s="537">
        <f t="shared" si="1"/>
        <v>6204.58</v>
      </c>
      <c r="H63" s="535"/>
    </row>
    <row r="64" spans="1:22" ht="15.75" x14ac:dyDescent="0.2">
      <c r="A64" s="535"/>
      <c r="B64" s="595" t="s">
        <v>301</v>
      </c>
      <c r="C64" s="595"/>
      <c r="D64" s="537">
        <v>900.82</v>
      </c>
      <c r="E64" s="537"/>
      <c r="F64" s="537"/>
      <c r="G64" s="537">
        <f t="shared" si="1"/>
        <v>900.82</v>
      </c>
      <c r="H64" s="535"/>
    </row>
    <row r="65" spans="1:8" ht="15.75" x14ac:dyDescent="0.2">
      <c r="A65" s="535"/>
      <c r="B65" s="595" t="s">
        <v>305</v>
      </c>
      <c r="C65" s="595"/>
      <c r="D65" s="537">
        <v>10469.9</v>
      </c>
      <c r="E65" s="537"/>
      <c r="F65" s="537">
        <f>-'April''16 Revenues &amp; Expenses'!H42</f>
        <v>-1490.25</v>
      </c>
      <c r="G65" s="537">
        <f t="shared" si="1"/>
        <v>8979.65</v>
      </c>
      <c r="H65" s="535"/>
    </row>
    <row r="66" spans="1:8" ht="15.75" customHeight="1" thickBot="1" x14ac:dyDescent="0.25">
      <c r="A66" s="535"/>
      <c r="B66" s="597" t="s">
        <v>302</v>
      </c>
      <c r="C66" s="597"/>
      <c r="D66" s="527">
        <f>SUM(D59:D65)</f>
        <v>38846.69</v>
      </c>
      <c r="E66" s="527">
        <f>SUM(E59:E65)</f>
        <v>68369.710000000006</v>
      </c>
      <c r="F66" s="527">
        <f>SUM(F59:F65)</f>
        <v>-30101.643333333337</v>
      </c>
      <c r="G66" s="527">
        <f>SUM(G59:G65)</f>
        <v>77114.756666666668</v>
      </c>
      <c r="H66" s="535"/>
    </row>
    <row r="67" spans="1:8" ht="16.5" thickTop="1" x14ac:dyDescent="0.2">
      <c r="A67" s="524"/>
      <c r="B67" s="536"/>
      <c r="C67" s="536"/>
      <c r="D67" s="536"/>
      <c r="E67" s="536"/>
      <c r="F67" s="536"/>
      <c r="G67" s="536"/>
      <c r="H67" s="524"/>
    </row>
    <row r="68" spans="1:8" ht="29.25" customHeight="1" x14ac:dyDescent="0.2">
      <c r="A68" s="594"/>
      <c r="B68" s="594"/>
      <c r="C68" s="594"/>
      <c r="D68" s="594"/>
      <c r="E68" s="594"/>
      <c r="F68" s="594"/>
      <c r="G68" s="594"/>
      <c r="H68" s="594"/>
    </row>
    <row r="69" spans="1:8" ht="15" hidden="1" x14ac:dyDescent="0.2">
      <c r="A69" s="593" t="s">
        <v>248</v>
      </c>
      <c r="B69" s="593"/>
      <c r="C69" s="593"/>
      <c r="D69" s="593"/>
      <c r="E69" s="593"/>
      <c r="F69" s="593"/>
      <c r="G69" s="593"/>
      <c r="H69" s="593"/>
    </row>
    <row r="70" spans="1:8" ht="15.75" hidden="1" customHeight="1" x14ac:dyDescent="0.2">
      <c r="A70" s="593" t="s">
        <v>249</v>
      </c>
      <c r="B70" s="593"/>
      <c r="C70" s="593"/>
      <c r="D70" s="593"/>
      <c r="E70" s="593"/>
      <c r="F70" s="593"/>
      <c r="G70" s="593"/>
      <c r="H70" s="593"/>
    </row>
    <row r="71" spans="1:8" ht="15.75" hidden="1" customHeight="1" x14ac:dyDescent="0.2"/>
    <row r="72" spans="1:8" ht="15.75" hidden="1" customHeight="1" x14ac:dyDescent="0.2">
      <c r="A72" s="594" t="s">
        <v>303</v>
      </c>
      <c r="B72" s="594"/>
      <c r="C72" s="594"/>
      <c r="D72" s="594"/>
      <c r="E72" s="594"/>
      <c r="F72" s="594"/>
      <c r="G72" s="594"/>
      <c r="H72" s="594"/>
    </row>
    <row r="73" spans="1:8" ht="15.75" customHeight="1" x14ac:dyDescent="0.2"/>
    <row r="74" spans="1:8" ht="15.75" customHeight="1" x14ac:dyDescent="0.2"/>
    <row r="75" spans="1:8" ht="15.75" customHeight="1" x14ac:dyDescent="0.2"/>
    <row r="76" spans="1:8" ht="15.75" customHeight="1" x14ac:dyDescent="0.2"/>
    <row r="77" spans="1:8" ht="15.75" customHeight="1" x14ac:dyDescent="0.2"/>
    <row r="78" spans="1:8" ht="6.75" customHeight="1" x14ac:dyDescent="0.2"/>
    <row r="79" spans="1:8" ht="37.5" customHeight="1" x14ac:dyDescent="0.2"/>
  </sheetData>
  <mergeCells count="74">
    <mergeCell ref="C17:D17"/>
    <mergeCell ref="C18:D18"/>
    <mergeCell ref="C19:D19"/>
    <mergeCell ref="C20:D20"/>
    <mergeCell ref="A9:H9"/>
    <mergeCell ref="A10:H10"/>
    <mergeCell ref="A11:H11"/>
    <mergeCell ref="B23:C23"/>
    <mergeCell ref="A25:H25"/>
    <mergeCell ref="C21:D21"/>
    <mergeCell ref="C22:D22"/>
    <mergeCell ref="A26:H26"/>
    <mergeCell ref="A32:H32"/>
    <mergeCell ref="C33:D33"/>
    <mergeCell ref="F33:G33"/>
    <mergeCell ref="C34:D34"/>
    <mergeCell ref="F34:G34"/>
    <mergeCell ref="A27:H27"/>
    <mergeCell ref="A28:H28"/>
    <mergeCell ref="A29:H29"/>
    <mergeCell ref="A30:H30"/>
    <mergeCell ref="A31:H31"/>
    <mergeCell ref="C39:D39"/>
    <mergeCell ref="F39:G39"/>
    <mergeCell ref="A57:H57"/>
    <mergeCell ref="B58:C58"/>
    <mergeCell ref="C35:D35"/>
    <mergeCell ref="F35:G35"/>
    <mergeCell ref="C36:D36"/>
    <mergeCell ref="F36:G36"/>
    <mergeCell ref="C37:D37"/>
    <mergeCell ref="F37:G37"/>
    <mergeCell ref="C38:D38"/>
    <mergeCell ref="F38:G38"/>
    <mergeCell ref="B54:C54"/>
    <mergeCell ref="B48:C48"/>
    <mergeCell ref="B49:C49"/>
    <mergeCell ref="B50:C50"/>
    <mergeCell ref="A70:H70"/>
    <mergeCell ref="A72:H72"/>
    <mergeCell ref="B59:C59"/>
    <mergeCell ref="B60:C60"/>
    <mergeCell ref="C40:D40"/>
    <mergeCell ref="A42:H42"/>
    <mergeCell ref="A69:H69"/>
    <mergeCell ref="B61:C61"/>
    <mergeCell ref="B62:C62"/>
    <mergeCell ref="B63:C63"/>
    <mergeCell ref="B65:C65"/>
    <mergeCell ref="B66:C66"/>
    <mergeCell ref="A68:H68"/>
    <mergeCell ref="B64:C64"/>
    <mergeCell ref="B53:C53"/>
    <mergeCell ref="B55:C55"/>
    <mergeCell ref="A1:H1"/>
    <mergeCell ref="A2:H2"/>
    <mergeCell ref="A3:H3"/>
    <mergeCell ref="C15:D15"/>
    <mergeCell ref="C16:D16"/>
    <mergeCell ref="A7:H7"/>
    <mergeCell ref="A8:H8"/>
    <mergeCell ref="A12:H12"/>
    <mergeCell ref="A13:H13"/>
    <mergeCell ref="B14:C14"/>
    <mergeCell ref="A4:H4"/>
    <mergeCell ref="A5:H5"/>
    <mergeCell ref="A6:H6"/>
    <mergeCell ref="B51:C51"/>
    <mergeCell ref="B52:C52"/>
    <mergeCell ref="A43:H43"/>
    <mergeCell ref="B44:C44"/>
    <mergeCell ref="B45:C45"/>
    <mergeCell ref="B46:C46"/>
    <mergeCell ref="B47:C47"/>
  </mergeCells>
  <pageMargins left="0.45" right="0.45" top="0.75" bottom="0.75" header="0.3" footer="0.3"/>
  <pageSetup scale="81" fitToHeight="2" orientation="portrait" r:id="rId1"/>
  <headerFooter>
    <oddFooter>&amp;CPage #&amp;P of &amp;N</oddFooter>
  </headerFooter>
  <rowBreaks count="1" manualBreakCount="1">
    <brk id="27"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2"/>
  <sheetViews>
    <sheetView topLeftCell="A5" zoomScaleNormal="100" workbookViewId="0">
      <selection activeCell="D28" sqref="D28"/>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38</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331</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80" t="s">
        <v>188</v>
      </c>
      <c r="B5" s="281"/>
      <c r="C5" s="281"/>
      <c r="D5" s="281"/>
      <c r="E5" s="281"/>
      <c r="F5" s="281"/>
      <c r="G5" s="281"/>
      <c r="H5" s="281"/>
      <c r="I5" s="281"/>
      <c r="J5" s="281"/>
      <c r="K5" s="282"/>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487" t="s">
        <v>30</v>
      </c>
      <c r="B6" s="462" t="s">
        <v>19</v>
      </c>
      <c r="C6" s="462" t="s">
        <v>1</v>
      </c>
      <c r="D6" s="462" t="s">
        <v>2</v>
      </c>
      <c r="E6" s="462" t="s">
        <v>3</v>
      </c>
      <c r="F6" s="283" t="s">
        <v>15</v>
      </c>
      <c r="G6" s="283" t="s">
        <v>35</v>
      </c>
      <c r="H6" s="283" t="s">
        <v>255</v>
      </c>
      <c r="I6" s="283" t="s">
        <v>34</v>
      </c>
      <c r="J6" s="283" t="s">
        <v>27</v>
      </c>
      <c r="K6" s="283" t="s">
        <v>109</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x14ac:dyDescent="0.2">
      <c r="A7" s="488" t="s">
        <v>221</v>
      </c>
      <c r="B7" s="398" t="s">
        <v>21</v>
      </c>
      <c r="C7" s="319" t="s">
        <v>182</v>
      </c>
      <c r="D7" s="318">
        <v>42095</v>
      </c>
      <c r="E7" s="318">
        <v>42460</v>
      </c>
      <c r="F7" s="340">
        <v>240000</v>
      </c>
      <c r="G7" s="322"/>
      <c r="H7" s="322">
        <f>'April''16 AR Aging '!G6</f>
        <v>28325.41</v>
      </c>
      <c r="I7" s="322">
        <v>240000</v>
      </c>
      <c r="J7" s="322">
        <f>F7-I7</f>
        <v>0</v>
      </c>
      <c r="K7" s="333"/>
      <c r="L7" s="46"/>
      <c r="M7" s="29"/>
      <c r="N7" s="29"/>
    </row>
    <row r="8" spans="1:48" x14ac:dyDescent="0.2">
      <c r="A8" s="554" t="s">
        <v>221</v>
      </c>
      <c r="B8" s="399" t="s">
        <v>21</v>
      </c>
      <c r="C8" s="356" t="s">
        <v>182</v>
      </c>
      <c r="D8" s="337">
        <v>42461</v>
      </c>
      <c r="E8" s="337">
        <v>42825</v>
      </c>
      <c r="F8" s="338">
        <v>240000</v>
      </c>
      <c r="G8" s="339">
        <f>+(+I8-H8)</f>
        <v>0</v>
      </c>
      <c r="H8" s="339">
        <f>'April''16 AR Aging '!G7</f>
        <v>17670.689999999999</v>
      </c>
      <c r="I8" s="339">
        <f>H8</f>
        <v>17670.689999999999</v>
      </c>
      <c r="J8" s="339">
        <f>+F8-I8</f>
        <v>222329.31</v>
      </c>
      <c r="K8" s="409">
        <v>0</v>
      </c>
      <c r="L8" s="273"/>
      <c r="M8" s="310"/>
      <c r="N8" s="29"/>
    </row>
    <row r="9" spans="1:48" hidden="1" x14ac:dyDescent="0.2">
      <c r="A9" s="488" t="s">
        <v>6</v>
      </c>
      <c r="B9" s="398" t="s">
        <v>20</v>
      </c>
      <c r="C9" s="319" t="s">
        <v>18</v>
      </c>
      <c r="D9" s="318">
        <v>41000</v>
      </c>
      <c r="E9" s="318">
        <v>41364</v>
      </c>
      <c r="F9" s="340"/>
      <c r="G9" s="322"/>
      <c r="H9" s="322"/>
      <c r="I9" s="322"/>
      <c r="J9" s="322"/>
      <c r="K9" s="322"/>
      <c r="L9" s="273"/>
      <c r="M9" s="310"/>
      <c r="N9" s="29"/>
    </row>
    <row r="10" spans="1:48" hidden="1" x14ac:dyDescent="0.2">
      <c r="A10" s="488" t="s">
        <v>6</v>
      </c>
      <c r="B10" s="398" t="s">
        <v>20</v>
      </c>
      <c r="C10" s="319" t="s">
        <v>18</v>
      </c>
      <c r="D10" s="318">
        <v>41456</v>
      </c>
      <c r="E10" s="318">
        <v>41820</v>
      </c>
      <c r="F10" s="340"/>
      <c r="G10" s="322"/>
      <c r="H10" s="322"/>
      <c r="I10" s="322"/>
      <c r="J10" s="322"/>
      <c r="K10" s="322"/>
      <c r="L10" s="273"/>
      <c r="M10" s="310"/>
      <c r="N10" s="29"/>
    </row>
    <row r="11" spans="1:48" x14ac:dyDescent="0.2">
      <c r="A11" s="489" t="s">
        <v>220</v>
      </c>
      <c r="B11" s="399" t="s">
        <v>20</v>
      </c>
      <c r="C11" s="356" t="s">
        <v>190</v>
      </c>
      <c r="D11" s="337">
        <v>42186</v>
      </c>
      <c r="E11" s="337">
        <v>42551</v>
      </c>
      <c r="F11" s="338">
        <v>319000</v>
      </c>
      <c r="G11" s="339">
        <f>I11-H11</f>
        <v>199528.75</v>
      </c>
      <c r="H11" s="339">
        <f>'April''16 AR Aging '!G13</f>
        <v>28325.13</v>
      </c>
      <c r="I11" s="339">
        <v>227853.88</v>
      </c>
      <c r="J11" s="339">
        <f>F11-I11</f>
        <v>91146.12</v>
      </c>
      <c r="K11" s="409">
        <v>15432.84</v>
      </c>
      <c r="L11" s="273"/>
      <c r="M11" s="310"/>
      <c r="N11" s="29"/>
    </row>
    <row r="12" spans="1:48" hidden="1" x14ac:dyDescent="0.2">
      <c r="A12" s="488" t="s">
        <v>23</v>
      </c>
      <c r="B12" s="398" t="s">
        <v>20</v>
      </c>
      <c r="C12" s="319" t="s">
        <v>5</v>
      </c>
      <c r="D12" s="318">
        <v>41000</v>
      </c>
      <c r="E12" s="318">
        <v>41364</v>
      </c>
      <c r="F12" s="340"/>
      <c r="G12" s="322"/>
      <c r="H12" s="322"/>
      <c r="I12" s="322"/>
      <c r="J12" s="322"/>
      <c r="K12" s="322"/>
      <c r="L12" s="273"/>
      <c r="M12" s="310" t="e">
        <f t="shared" ref="M12:M20" si="0">I12/F12</f>
        <v>#DIV/0!</v>
      </c>
      <c r="N12" s="29" t="e">
        <f t="shared" ref="N12:N20" si="1">M12*12</f>
        <v>#DIV/0!</v>
      </c>
    </row>
    <row r="13" spans="1:48" x14ac:dyDescent="0.2">
      <c r="A13" s="488" t="s">
        <v>333</v>
      </c>
      <c r="B13" s="398" t="s">
        <v>20</v>
      </c>
      <c r="C13" s="319" t="s">
        <v>191</v>
      </c>
      <c r="D13" s="318">
        <v>42095</v>
      </c>
      <c r="E13" s="318">
        <v>42460</v>
      </c>
      <c r="F13" s="340">
        <v>11228</v>
      </c>
      <c r="G13" s="322">
        <f>I13-H13</f>
        <v>3362.8200000000006</v>
      </c>
      <c r="H13" s="322">
        <f>'April''16 AR Aging '!G17</f>
        <v>6869.56</v>
      </c>
      <c r="I13" s="322">
        <f>3362.82+6869.56</f>
        <v>10232.380000000001</v>
      </c>
      <c r="J13" s="552">
        <f>F13-I13</f>
        <v>995.61999999999898</v>
      </c>
      <c r="K13" s="322"/>
      <c r="L13" s="273"/>
      <c r="M13" s="310">
        <f t="shared" si="0"/>
        <v>0.91132703954399719</v>
      </c>
      <c r="N13" s="29">
        <f t="shared" si="1"/>
        <v>10.935924474527965</v>
      </c>
    </row>
    <row r="14" spans="1:48" x14ac:dyDescent="0.2">
      <c r="A14" s="488" t="s">
        <v>334</v>
      </c>
      <c r="B14" s="398" t="s">
        <v>20</v>
      </c>
      <c r="C14" s="319" t="s">
        <v>191</v>
      </c>
      <c r="D14" s="318">
        <v>42095</v>
      </c>
      <c r="E14" s="318">
        <v>42460</v>
      </c>
      <c r="F14" s="340">
        <v>140000</v>
      </c>
      <c r="G14" s="322">
        <f>I14-H14</f>
        <v>72510.3</v>
      </c>
      <c r="H14" s="322">
        <f>'April''16 AR Aging '!G18</f>
        <v>66996.05</v>
      </c>
      <c r="I14" s="322">
        <v>139506.35</v>
      </c>
      <c r="J14" s="322">
        <f>F14-I14</f>
        <v>493.64999999999418</v>
      </c>
      <c r="K14" s="470"/>
      <c r="L14" s="273"/>
      <c r="M14" s="310"/>
      <c r="N14" s="29"/>
    </row>
    <row r="15" spans="1:48" s="4" customFormat="1" x14ac:dyDescent="0.2">
      <c r="A15" s="555" t="s">
        <v>222</v>
      </c>
      <c r="B15" s="398" t="s">
        <v>20</v>
      </c>
      <c r="C15" s="319" t="s">
        <v>191</v>
      </c>
      <c r="D15" s="318">
        <v>42461</v>
      </c>
      <c r="E15" s="318">
        <v>42825</v>
      </c>
      <c r="F15" s="340">
        <v>140000</v>
      </c>
      <c r="G15" s="322">
        <f>I15-H15</f>
        <v>0</v>
      </c>
      <c r="H15" s="322">
        <f>'April''16 AR Aging '!G19</f>
        <v>10733.32</v>
      </c>
      <c r="I15" s="322">
        <f>H15</f>
        <v>10733.32</v>
      </c>
      <c r="J15" s="322">
        <f>+F15-I15</f>
        <v>129266.68</v>
      </c>
      <c r="K15" s="490"/>
      <c r="L15" s="273"/>
      <c r="M15" s="310"/>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x14ac:dyDescent="0.2">
      <c r="A16" s="488" t="s">
        <v>223</v>
      </c>
      <c r="B16" s="398" t="s">
        <v>20</v>
      </c>
      <c r="C16" s="319" t="s">
        <v>192</v>
      </c>
      <c r="D16" s="318">
        <v>42095</v>
      </c>
      <c r="E16" s="318">
        <v>42460</v>
      </c>
      <c r="F16" s="437">
        <v>25000</v>
      </c>
      <c r="G16" s="322">
        <f>I16-H16</f>
        <v>11948.039999999999</v>
      </c>
      <c r="H16" s="322">
        <f>'April''16 AR Aging '!G20</f>
        <v>3843.42</v>
      </c>
      <c r="I16" s="322">
        <v>15791.46</v>
      </c>
      <c r="J16" s="322">
        <f t="shared" ref="J16:J17" si="2">+F16-I16</f>
        <v>9208.5400000000009</v>
      </c>
      <c r="K16" s="322"/>
      <c r="L16" s="273"/>
      <c r="M16" s="310"/>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4" customFormat="1" x14ac:dyDescent="0.2">
      <c r="A17" s="488" t="s">
        <v>223</v>
      </c>
      <c r="B17" s="398" t="s">
        <v>20</v>
      </c>
      <c r="C17" s="319" t="s">
        <v>192</v>
      </c>
      <c r="D17" s="318">
        <v>42461</v>
      </c>
      <c r="E17" s="318">
        <v>42825</v>
      </c>
      <c r="F17" s="437">
        <v>25000</v>
      </c>
      <c r="G17" s="322">
        <f>+(+I17-H17)</f>
        <v>0</v>
      </c>
      <c r="H17" s="322">
        <f>'April''16 AR Aging '!G21</f>
        <v>2425.11</v>
      </c>
      <c r="I17" s="322">
        <f>H17</f>
        <v>2425.11</v>
      </c>
      <c r="J17" s="322">
        <f t="shared" si="2"/>
        <v>22574.89</v>
      </c>
      <c r="K17" s="322"/>
      <c r="L17" s="273"/>
      <c r="M17" s="310"/>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x14ac:dyDescent="0.2">
      <c r="A18" s="489" t="s">
        <v>224</v>
      </c>
      <c r="B18" s="399" t="s">
        <v>185</v>
      </c>
      <c r="C18" s="356" t="s">
        <v>252</v>
      </c>
      <c r="D18" s="337">
        <v>42185</v>
      </c>
      <c r="E18" s="337">
        <v>42550</v>
      </c>
      <c r="F18" s="501">
        <v>23000</v>
      </c>
      <c r="G18" s="339">
        <f>+(+I18-H18)</f>
        <v>7239.3300000000008</v>
      </c>
      <c r="H18" s="339">
        <f>'April''16 AR Aging '!G22</f>
        <v>5033.79</v>
      </c>
      <c r="I18" s="339">
        <v>12273.12</v>
      </c>
      <c r="J18" s="339">
        <f>+F18-I18</f>
        <v>10726.88</v>
      </c>
      <c r="K18" s="339"/>
      <c r="L18" s="273"/>
      <c r="M18" s="310"/>
      <c r="N18" s="29"/>
    </row>
    <row r="19" spans="1:48" hidden="1" x14ac:dyDescent="0.2">
      <c r="A19" s="488" t="s">
        <v>7</v>
      </c>
      <c r="B19" s="398" t="s">
        <v>20</v>
      </c>
      <c r="C19" s="319" t="s">
        <v>8</v>
      </c>
      <c r="D19" s="318">
        <v>40544</v>
      </c>
      <c r="E19" s="318">
        <v>40908</v>
      </c>
      <c r="F19" s="340"/>
      <c r="G19" s="322"/>
      <c r="H19" s="322"/>
      <c r="I19" s="322"/>
      <c r="J19" s="322"/>
      <c r="K19" s="322"/>
      <c r="L19" s="273"/>
      <c r="M19" s="310" t="e">
        <f t="shared" si="0"/>
        <v>#DIV/0!</v>
      </c>
      <c r="N19" s="29" t="e">
        <f t="shared" si="1"/>
        <v>#DIV/0!</v>
      </c>
    </row>
    <row r="20" spans="1:48" hidden="1" x14ac:dyDescent="0.2">
      <c r="A20" s="488" t="s">
        <v>60</v>
      </c>
      <c r="B20" s="398" t="s">
        <v>20</v>
      </c>
      <c r="C20" s="319" t="e">
        <f>#REF!</f>
        <v>#REF!</v>
      </c>
      <c r="D20" s="318" t="e">
        <f>#REF!</f>
        <v>#REF!</v>
      </c>
      <c r="E20" s="318">
        <v>40999</v>
      </c>
      <c r="F20" s="340"/>
      <c r="G20" s="407"/>
      <c r="H20" s="322"/>
      <c r="I20" s="322"/>
      <c r="J20" s="322"/>
      <c r="K20" s="322"/>
      <c r="L20" s="273"/>
      <c r="M20" s="310" t="e">
        <f t="shared" si="0"/>
        <v>#DIV/0!</v>
      </c>
      <c r="N20" s="29" t="e">
        <f t="shared" si="1"/>
        <v>#DIV/0!</v>
      </c>
    </row>
    <row r="21" spans="1:48" hidden="1" x14ac:dyDescent="0.2">
      <c r="A21" s="488"/>
      <c r="B21" s="404"/>
      <c r="C21" s="405"/>
      <c r="D21" s="406"/>
      <c r="E21" s="406"/>
      <c r="F21" s="438"/>
      <c r="G21" s="322"/>
      <c r="H21" s="408"/>
      <c r="I21" s="408"/>
      <c r="J21" s="408"/>
      <c r="K21" s="408"/>
      <c r="L21" s="273"/>
      <c r="M21" s="310"/>
      <c r="N21" s="29"/>
    </row>
    <row r="22" spans="1:48" hidden="1" x14ac:dyDescent="0.2">
      <c r="A22" s="488" t="s">
        <v>187</v>
      </c>
      <c r="B22" s="398" t="s">
        <v>20</v>
      </c>
      <c r="C22" s="319" t="s">
        <v>183</v>
      </c>
      <c r="D22" s="406">
        <v>41913</v>
      </c>
      <c r="E22" s="318">
        <v>42277</v>
      </c>
      <c r="F22" s="340">
        <v>315000</v>
      </c>
      <c r="G22" s="322"/>
      <c r="H22" s="322">
        <f>'April''16 AR Aging '!G30</f>
        <v>0</v>
      </c>
      <c r="I22" s="322"/>
      <c r="J22" s="322"/>
      <c r="K22" s="333">
        <v>0</v>
      </c>
      <c r="L22" s="273"/>
      <c r="M22" s="310"/>
      <c r="N22" s="29"/>
    </row>
    <row r="23" spans="1:48" x14ac:dyDescent="0.2">
      <c r="A23" s="489" t="s">
        <v>187</v>
      </c>
      <c r="B23" s="399" t="s">
        <v>20</v>
      </c>
      <c r="C23" s="356" t="s">
        <v>183</v>
      </c>
      <c r="D23" s="337">
        <v>42278</v>
      </c>
      <c r="E23" s="337">
        <v>42643</v>
      </c>
      <c r="F23" s="338">
        <v>315000</v>
      </c>
      <c r="G23" s="339">
        <f>+(+I23-H23)</f>
        <v>118102.35999999999</v>
      </c>
      <c r="H23" s="339">
        <f>'April''16 AR Aging '!G31</f>
        <v>47449.22</v>
      </c>
      <c r="I23" s="339">
        <v>165551.57999999999</v>
      </c>
      <c r="J23" s="339">
        <f>+F23-I23</f>
        <v>149448.42000000001</v>
      </c>
      <c r="K23" s="339"/>
      <c r="L23" s="273"/>
      <c r="M23" s="310"/>
      <c r="N23" s="29"/>
    </row>
    <row r="24" spans="1:48" x14ac:dyDescent="0.2">
      <c r="A24" s="561" t="s">
        <v>337</v>
      </c>
      <c r="B24" s="557" t="s">
        <v>336</v>
      </c>
      <c r="C24" s="558" t="s">
        <v>338</v>
      </c>
      <c r="D24" s="442">
        <v>42461</v>
      </c>
      <c r="E24" s="442">
        <v>42735</v>
      </c>
      <c r="F24" s="559">
        <v>49850</v>
      </c>
      <c r="G24" s="560"/>
      <c r="H24" s="560"/>
      <c r="I24" s="560"/>
      <c r="J24" s="560">
        <v>49850</v>
      </c>
      <c r="K24" s="560">
        <v>49850</v>
      </c>
      <c r="L24" s="273"/>
      <c r="M24" s="310"/>
      <c r="N24" s="29"/>
    </row>
    <row r="25" spans="1:48" s="3" customFormat="1" x14ac:dyDescent="0.2">
      <c r="A25" s="488" t="s">
        <v>335</v>
      </c>
      <c r="B25" s="398" t="s">
        <v>24</v>
      </c>
      <c r="C25" s="319" t="s">
        <v>9</v>
      </c>
      <c r="D25" s="318">
        <v>42370</v>
      </c>
      <c r="E25" s="318">
        <v>42735</v>
      </c>
      <c r="F25" s="340">
        <v>40000</v>
      </c>
      <c r="G25" s="322">
        <f>+(+I25-H25)</f>
        <v>9999.99</v>
      </c>
      <c r="H25" s="340">
        <f>'April''16 AR Aging '!G39</f>
        <v>3333.33</v>
      </c>
      <c r="I25" s="322">
        <f>3333.33*4</f>
        <v>13333.32</v>
      </c>
      <c r="J25" s="322">
        <f>+F25-I25</f>
        <v>26666.68</v>
      </c>
      <c r="K25" s="322"/>
      <c r="L25" s="273"/>
      <c r="M25" s="310"/>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x14ac:dyDescent="0.2">
      <c r="A26" s="555" t="s">
        <v>230</v>
      </c>
      <c r="B26" s="398" t="s">
        <v>24</v>
      </c>
      <c r="C26" s="319" t="s">
        <v>29</v>
      </c>
      <c r="D26" s="318">
        <v>42401</v>
      </c>
      <c r="E26" s="318">
        <v>42642</v>
      </c>
      <c r="F26" s="340">
        <v>2710</v>
      </c>
      <c r="G26" s="322"/>
      <c r="H26" s="340">
        <f>'April''16 AR Aging '!G45</f>
        <v>1004.56</v>
      </c>
      <c r="I26" s="322">
        <f>H26</f>
        <v>1004.56</v>
      </c>
      <c r="J26" s="552">
        <f>F26-I26</f>
        <v>1705.44</v>
      </c>
      <c r="K26" s="322"/>
      <c r="L26" s="273"/>
      <c r="M26" s="310"/>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x14ac:dyDescent="0.2">
      <c r="A27" s="1" t="s">
        <v>260</v>
      </c>
      <c r="B27" s="398" t="s">
        <v>24</v>
      </c>
      <c r="C27" s="319" t="s">
        <v>29</v>
      </c>
      <c r="D27" s="318">
        <v>42278</v>
      </c>
      <c r="E27" s="318">
        <v>42643</v>
      </c>
      <c r="F27" s="340">
        <v>43987</v>
      </c>
      <c r="G27" s="322">
        <f>+(+I27-H27)</f>
        <v>15482.76</v>
      </c>
      <c r="H27" s="340">
        <f>'April''16 AR Aging '!G47</f>
        <v>8443.4</v>
      </c>
      <c r="I27" s="322">
        <v>23926.16</v>
      </c>
      <c r="J27" s="322">
        <f t="shared" ref="J27" si="3">+F27-I27</f>
        <v>20060.84</v>
      </c>
      <c r="K27" s="322"/>
      <c r="L27" s="273"/>
      <c r="M27" s="310"/>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489" t="s">
        <v>253</v>
      </c>
      <c r="B28" s="399" t="s">
        <v>24</v>
      </c>
      <c r="C28" s="356" t="s">
        <v>29</v>
      </c>
      <c r="D28" s="337">
        <v>42459</v>
      </c>
      <c r="E28" s="337">
        <v>42735</v>
      </c>
      <c r="F28" s="338">
        <v>118589</v>
      </c>
      <c r="G28" s="339">
        <v>0</v>
      </c>
      <c r="H28" s="338">
        <f>'April''16 AR Aging '!G46</f>
        <v>2689.95</v>
      </c>
      <c r="I28" s="339">
        <f>H28</f>
        <v>2689.95</v>
      </c>
      <c r="J28" s="556">
        <f>F28-I28</f>
        <v>115899.05</v>
      </c>
      <c r="K28" s="339"/>
      <c r="L28" s="273"/>
      <c r="M28" s="310"/>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x14ac:dyDescent="0.2">
      <c r="A29" s="489" t="s">
        <v>199</v>
      </c>
      <c r="B29" s="399" t="s">
        <v>207</v>
      </c>
      <c r="C29" s="356" t="s">
        <v>29</v>
      </c>
      <c r="D29" s="442">
        <v>42370</v>
      </c>
      <c r="E29" s="337">
        <v>42735</v>
      </c>
      <c r="F29" s="338">
        <v>13000</v>
      </c>
      <c r="G29" s="339">
        <f>+(+I29-H29)</f>
        <v>0</v>
      </c>
      <c r="H29" s="338">
        <f>'April''16 AR Aging '!G53</f>
        <v>3340.9</v>
      </c>
      <c r="I29" s="339">
        <f>H29</f>
        <v>3340.9</v>
      </c>
      <c r="J29" s="339">
        <f t="shared" ref="J29:J30" si="4">+F29-I29</f>
        <v>9659.1</v>
      </c>
      <c r="K29" s="339"/>
      <c r="L29" s="273"/>
      <c r="M29" s="310"/>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t="15" thickBot="1" x14ac:dyDescent="0.25">
      <c r="A30" s="553" t="s">
        <v>332</v>
      </c>
      <c r="B30" s="439" t="s">
        <v>161</v>
      </c>
      <c r="C30" s="320" t="s">
        <v>29</v>
      </c>
      <c r="D30" s="440">
        <v>42471</v>
      </c>
      <c r="E30" s="440">
        <v>42664</v>
      </c>
      <c r="F30" s="449">
        <v>27292.69</v>
      </c>
      <c r="G30" s="323">
        <f>+(+I30-H30)</f>
        <v>0</v>
      </c>
      <c r="H30" s="334">
        <f>'April''16 AR Aging '!G57</f>
        <v>3214.97</v>
      </c>
      <c r="I30" s="323">
        <f>H30</f>
        <v>3214.97</v>
      </c>
      <c r="J30" s="323">
        <f t="shared" si="4"/>
        <v>24077.719999999998</v>
      </c>
      <c r="K30" s="323"/>
      <c r="L30" s="273"/>
      <c r="M30" s="310"/>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17" customFormat="1" ht="16.5" thickBot="1" x14ac:dyDescent="0.3">
      <c r="A31" s="284" t="s">
        <v>45</v>
      </c>
      <c r="B31" s="285"/>
      <c r="C31" s="286"/>
      <c r="D31" s="287"/>
      <c r="E31" s="287"/>
      <c r="F31" s="312"/>
      <c r="G31" s="312">
        <f>SUM(G8:G30)-G19</f>
        <v>438174.35</v>
      </c>
      <c r="H31" s="312">
        <f>SUM(H7:H30)</f>
        <v>239698.81</v>
      </c>
      <c r="I31" s="312">
        <f>SUM(I8:I30)-I19</f>
        <v>649547.75</v>
      </c>
      <c r="J31" s="312">
        <f>SUM(J8:J30)-J19</f>
        <v>884108.94</v>
      </c>
      <c r="K31" s="312">
        <f>SUM(K8:K30)-K19</f>
        <v>65282.84</v>
      </c>
      <c r="L31" s="47"/>
      <c r="M31" s="37"/>
      <c r="N31" s="37"/>
      <c r="O31" s="37"/>
      <c r="P31" s="37"/>
      <c r="Q31" s="37"/>
      <c r="R31" s="37"/>
      <c r="S31" s="37"/>
      <c r="T31" s="37"/>
      <c r="U31" s="37"/>
      <c r="V31" s="37"/>
      <c r="W31" s="37"/>
      <c r="X31" s="37"/>
      <c r="Y31" s="37"/>
      <c r="Z31" s="37"/>
      <c r="AA31" s="37"/>
      <c r="AB31" s="38"/>
      <c r="AC31" s="38"/>
      <c r="AD31" s="38"/>
      <c r="AE31" s="38"/>
      <c r="AF31" s="38"/>
      <c r="AG31" s="38"/>
      <c r="AH31" s="38"/>
      <c r="AI31" s="38"/>
      <c r="AJ31" s="38"/>
      <c r="AK31" s="38"/>
      <c r="AL31" s="38"/>
      <c r="AM31" s="39"/>
      <c r="AN31" s="39"/>
      <c r="AO31" s="39"/>
      <c r="AP31" s="39"/>
      <c r="AQ31" s="39"/>
      <c r="AR31" s="39"/>
      <c r="AS31" s="39"/>
      <c r="AT31" s="39"/>
      <c r="AU31" s="39"/>
      <c r="AV31" s="39"/>
    </row>
    <row r="32" spans="1:48" s="18" customFormat="1" x14ac:dyDescent="0.2">
      <c r="A32" s="55"/>
      <c r="B32" s="55"/>
      <c r="C32" s="19"/>
      <c r="D32" s="55"/>
      <c r="E32" s="311"/>
      <c r="F32" s="29"/>
      <c r="G32" s="29"/>
      <c r="I32" s="29"/>
      <c r="J32" s="29"/>
      <c r="K32" s="29"/>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18" customFormat="1" ht="10.5" customHeight="1" thickBot="1" x14ac:dyDescent="0.25">
      <c r="A33" s="1"/>
      <c r="B33" s="44"/>
      <c r="C33" s="6"/>
      <c r="D33" s="6"/>
      <c r="E33" s="6"/>
      <c r="F33" s="29"/>
      <c r="G33" s="29"/>
      <c r="H33" s="29"/>
      <c r="I33" s="29"/>
      <c r="J33" s="29"/>
      <c r="K33" s="29"/>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22" customFormat="1" ht="16.5" thickBot="1" x14ac:dyDescent="0.3">
      <c r="A34" s="327" t="s">
        <v>47</v>
      </c>
      <c r="B34" s="158"/>
      <c r="C34" s="159"/>
      <c r="D34" s="159"/>
      <c r="E34" s="159"/>
      <c r="F34" s="160"/>
      <c r="G34" s="160"/>
      <c r="H34" s="160"/>
      <c r="I34" s="160"/>
      <c r="J34" s="160"/>
      <c r="K34" s="161"/>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20" customFormat="1" ht="45.75" thickBot="1" x14ac:dyDescent="0.25">
      <c r="A35" s="350" t="s">
        <v>30</v>
      </c>
      <c r="B35" s="614" t="s">
        <v>19</v>
      </c>
      <c r="C35" s="615"/>
      <c r="D35" s="350" t="s">
        <v>2</v>
      </c>
      <c r="E35" s="350" t="s">
        <v>3</v>
      </c>
      <c r="F35" s="355" t="s">
        <v>31</v>
      </c>
      <c r="G35" s="355" t="s">
        <v>277</v>
      </c>
      <c r="H35" s="355" t="s">
        <v>198</v>
      </c>
      <c r="I35" s="355" t="s">
        <v>27</v>
      </c>
      <c r="J35" s="355" t="s">
        <v>14</v>
      </c>
      <c r="K35" s="355" t="s">
        <v>4</v>
      </c>
      <c r="L35" s="35"/>
      <c r="M35" s="35"/>
      <c r="N35" s="35"/>
      <c r="O35" s="35"/>
      <c r="P35" s="35"/>
      <c r="Q35" s="35"/>
      <c r="R35" s="35"/>
      <c r="S35" s="35"/>
      <c r="T35" s="35"/>
      <c r="U35" s="6"/>
      <c r="V35" s="35"/>
      <c r="W35" s="35"/>
      <c r="X35" s="35"/>
      <c r="Y35" s="35"/>
      <c r="Z35" s="35"/>
      <c r="AA35" s="35"/>
      <c r="AB35" s="36"/>
      <c r="AC35" s="36"/>
      <c r="AD35" s="36"/>
      <c r="AE35" s="36"/>
      <c r="AF35" s="36"/>
      <c r="AG35" s="36"/>
      <c r="AH35" s="36"/>
      <c r="AI35" s="36"/>
      <c r="AJ35" s="36"/>
      <c r="AK35" s="36"/>
      <c r="AL35" s="36"/>
      <c r="AM35" s="6"/>
      <c r="AN35" s="6"/>
      <c r="AO35" s="6"/>
      <c r="AP35" s="6"/>
      <c r="AQ35" s="6"/>
      <c r="AR35" s="6"/>
      <c r="AS35" s="6"/>
      <c r="AT35" s="6"/>
      <c r="AU35" s="6"/>
      <c r="AV35" s="6"/>
    </row>
    <row r="36" spans="1:48" hidden="1" x14ac:dyDescent="0.2">
      <c r="A36" s="314" t="s">
        <v>22</v>
      </c>
      <c r="B36" s="606" t="s">
        <v>17</v>
      </c>
      <c r="C36" s="607"/>
      <c r="D36" s="348">
        <v>41275</v>
      </c>
      <c r="E36" s="318">
        <v>41639</v>
      </c>
      <c r="F36" s="322"/>
      <c r="G36" s="322">
        <v>0</v>
      </c>
      <c r="H36" s="322"/>
      <c r="I36" s="322">
        <f>F36-H36</f>
        <v>0</v>
      </c>
      <c r="J36" s="322">
        <v>0</v>
      </c>
      <c r="K36" s="322">
        <f>I36</f>
        <v>0</v>
      </c>
      <c r="L36" s="29"/>
      <c r="M36" s="29"/>
      <c r="N36" s="29"/>
    </row>
    <row r="37" spans="1:48" hidden="1" x14ac:dyDescent="0.2">
      <c r="A37" s="314"/>
      <c r="B37" s="606"/>
      <c r="C37" s="607"/>
      <c r="D37" s="348"/>
      <c r="E37" s="318"/>
      <c r="F37" s="322"/>
      <c r="G37" s="322"/>
      <c r="H37" s="322"/>
      <c r="I37" s="322"/>
      <c r="J37" s="322"/>
      <c r="K37" s="435"/>
      <c r="L37" s="29"/>
      <c r="M37" s="29"/>
      <c r="N37" s="29"/>
    </row>
    <row r="38" spans="1:48" x14ac:dyDescent="0.2">
      <c r="A38" s="314" t="s">
        <v>276</v>
      </c>
      <c r="B38" s="606" t="s">
        <v>17</v>
      </c>
      <c r="C38" s="607"/>
      <c r="D38" s="348">
        <v>42370</v>
      </c>
      <c r="E38" s="318">
        <v>42735</v>
      </c>
      <c r="F38" s="322">
        <v>25000</v>
      </c>
      <c r="G38" s="322"/>
      <c r="H38" s="322">
        <v>8061.01</v>
      </c>
      <c r="I38" s="322">
        <f>F38-H38</f>
        <v>16938.989999999998</v>
      </c>
      <c r="J38" s="322"/>
      <c r="K38" s="435">
        <f>I38</f>
        <v>16938.989999999998</v>
      </c>
      <c r="L38" s="29"/>
      <c r="M38" s="29"/>
      <c r="N38" s="29"/>
    </row>
    <row r="39" spans="1:48" x14ac:dyDescent="0.2">
      <c r="A39" s="314" t="s">
        <v>225</v>
      </c>
      <c r="B39" s="606" t="s">
        <v>17</v>
      </c>
      <c r="C39" s="607"/>
      <c r="D39" s="348">
        <v>42248</v>
      </c>
      <c r="E39" s="318">
        <v>42735</v>
      </c>
      <c r="F39" s="322">
        <v>14250</v>
      </c>
      <c r="G39" s="322">
        <v>10444.719999999999</v>
      </c>
      <c r="H39" s="322">
        <v>2347.9899999999998</v>
      </c>
      <c r="I39" s="322">
        <f>G39-H39</f>
        <v>8096.73</v>
      </c>
      <c r="J39" s="322">
        <v>0</v>
      </c>
      <c r="K39" s="322">
        <f>I39</f>
        <v>8096.73</v>
      </c>
      <c r="L39" s="29"/>
      <c r="M39" s="29"/>
      <c r="N39" s="29"/>
    </row>
    <row r="40" spans="1:48" x14ac:dyDescent="0.2">
      <c r="A40" s="314" t="s">
        <v>278</v>
      </c>
      <c r="B40" s="606" t="s">
        <v>17</v>
      </c>
      <c r="C40" s="607"/>
      <c r="D40" s="348">
        <v>42370</v>
      </c>
      <c r="E40" s="318">
        <v>42735</v>
      </c>
      <c r="F40" s="322">
        <v>7125</v>
      </c>
      <c r="G40" s="322">
        <v>0</v>
      </c>
      <c r="H40" s="322"/>
      <c r="I40" s="322">
        <v>7125</v>
      </c>
      <c r="J40" s="322"/>
      <c r="K40" s="322">
        <f>I40</f>
        <v>7125</v>
      </c>
      <c r="L40" s="29"/>
      <c r="M40" s="29"/>
      <c r="N40" s="29"/>
    </row>
    <row r="41" spans="1:48" x14ac:dyDescent="0.2">
      <c r="A41" s="314" t="s">
        <v>164</v>
      </c>
      <c r="B41" s="606" t="s">
        <v>17</v>
      </c>
      <c r="C41" s="607"/>
      <c r="D41" s="348">
        <v>41275</v>
      </c>
      <c r="E41" s="318">
        <v>42735</v>
      </c>
      <c r="F41" s="322">
        <f>18392.5*2</f>
        <v>36785</v>
      </c>
      <c r="G41" s="322">
        <v>20238.16</v>
      </c>
      <c r="H41" s="322">
        <v>529.4</v>
      </c>
      <c r="I41" s="322">
        <f>G41-H41</f>
        <v>19708.759999999998</v>
      </c>
      <c r="J41" s="322">
        <v>0</v>
      </c>
      <c r="K41" s="322">
        <f>I41</f>
        <v>19708.759999999998</v>
      </c>
      <c r="L41" s="29"/>
      <c r="M41" s="29"/>
      <c r="N41" s="29"/>
    </row>
    <row r="42" spans="1:48" x14ac:dyDescent="0.2">
      <c r="A42" s="314" t="s">
        <v>151</v>
      </c>
      <c r="B42" s="601" t="s">
        <v>150</v>
      </c>
      <c r="C42" s="603"/>
      <c r="D42" s="348">
        <v>41275</v>
      </c>
      <c r="E42" s="318" t="s">
        <v>163</v>
      </c>
      <c r="F42" s="322">
        <v>25000</v>
      </c>
      <c r="G42" s="322">
        <v>10469.9</v>
      </c>
      <c r="H42" s="322">
        <v>1490.25</v>
      </c>
      <c r="I42" s="322">
        <f>G42-H42</f>
        <v>8979.65</v>
      </c>
      <c r="J42" s="322">
        <f>I42</f>
        <v>8979.65</v>
      </c>
      <c r="K42" s="322"/>
      <c r="L42" s="29"/>
      <c r="M42" s="29"/>
      <c r="N42" s="29"/>
    </row>
    <row r="43" spans="1:48" s="4" customFormat="1" hidden="1" x14ac:dyDescent="0.2">
      <c r="A43" s="314" t="s">
        <v>216</v>
      </c>
      <c r="B43" s="604" t="s">
        <v>25</v>
      </c>
      <c r="C43" s="605"/>
      <c r="D43" s="348"/>
      <c r="E43" s="318"/>
      <c r="F43" s="322"/>
      <c r="G43" s="322"/>
      <c r="H43" s="322"/>
      <c r="I43" s="322"/>
      <c r="J43" s="322"/>
      <c r="K43" s="322"/>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4" customFormat="1" x14ac:dyDescent="0.2">
      <c r="A44" s="314" t="s">
        <v>217</v>
      </c>
      <c r="B44" s="604" t="s">
        <v>25</v>
      </c>
      <c r="C44" s="605"/>
      <c r="D44" s="348">
        <v>42005</v>
      </c>
      <c r="E44" s="318">
        <v>42735</v>
      </c>
      <c r="F44" s="322">
        <v>50000</v>
      </c>
      <c r="G44" s="322">
        <v>0</v>
      </c>
      <c r="H44" s="322">
        <v>9055.59</v>
      </c>
      <c r="I44" s="322">
        <f>24263.97-H44</f>
        <v>15208.380000000001</v>
      </c>
      <c r="J44" s="322"/>
      <c r="K44" s="322">
        <f>I44</f>
        <v>15208.380000000001</v>
      </c>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 customFormat="1" ht="15" thickBot="1" x14ac:dyDescent="0.25">
      <c r="A45" s="314" t="s">
        <v>26</v>
      </c>
      <c r="B45" s="601" t="s">
        <v>51</v>
      </c>
      <c r="C45" s="603"/>
      <c r="D45" s="348">
        <v>40226</v>
      </c>
      <c r="E45" s="319" t="s">
        <v>33</v>
      </c>
      <c r="F45" s="322">
        <f>8007.78+5000+50</f>
        <v>13057.779999999999</v>
      </c>
      <c r="G45" s="322">
        <v>6954.58</v>
      </c>
      <c r="H45" s="322">
        <v>750</v>
      </c>
      <c r="I45" s="322">
        <f>+G45-H45</f>
        <v>6204.58</v>
      </c>
      <c r="J45" s="322">
        <f>I45</f>
        <v>6204.58</v>
      </c>
      <c r="K45" s="322">
        <v>0</v>
      </c>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 customFormat="1" ht="15.75" thickBot="1" x14ac:dyDescent="0.3">
      <c r="A46" s="315"/>
      <c r="B46" s="617"/>
      <c r="C46" s="618"/>
      <c r="D46" s="349"/>
      <c r="E46" s="320"/>
      <c r="F46" s="323"/>
      <c r="G46" s="323"/>
      <c r="H46" s="323">
        <v>0</v>
      </c>
      <c r="I46" s="323"/>
      <c r="J46" s="323"/>
      <c r="K46" s="323">
        <v>0</v>
      </c>
      <c r="L46" s="279" t="s">
        <v>114</v>
      </c>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77" customFormat="1" ht="15.75" thickBot="1" x14ac:dyDescent="0.3">
      <c r="A47" s="313" t="s">
        <v>36</v>
      </c>
      <c r="B47" s="316"/>
      <c r="C47" s="316"/>
      <c r="D47" s="317"/>
      <c r="E47" s="317"/>
      <c r="F47" s="321">
        <f t="shared" ref="F47:K47" si="5">SUM(F36:F46)</f>
        <v>171217.78</v>
      </c>
      <c r="G47" s="324">
        <f t="shared" si="5"/>
        <v>48107.360000000001</v>
      </c>
      <c r="H47" s="321">
        <f t="shared" si="5"/>
        <v>22234.239999999998</v>
      </c>
      <c r="I47" s="321">
        <f t="shared" si="5"/>
        <v>82262.09</v>
      </c>
      <c r="J47" s="325">
        <f t="shared" si="5"/>
        <v>15184.23</v>
      </c>
      <c r="K47" s="326">
        <f t="shared" si="5"/>
        <v>67077.86</v>
      </c>
      <c r="L47" s="517">
        <f>K31+K47</f>
        <v>132360.70000000001</v>
      </c>
      <c r="M47" s="275"/>
      <c r="N47" s="275"/>
      <c r="O47" s="275"/>
      <c r="P47" s="275"/>
      <c r="Q47" s="275"/>
      <c r="R47" s="275"/>
      <c r="S47" s="275"/>
      <c r="T47" s="275"/>
      <c r="U47" s="276"/>
      <c r="V47" s="275"/>
      <c r="W47" s="275"/>
      <c r="X47" s="275"/>
      <c r="Y47" s="275"/>
      <c r="Z47" s="275"/>
      <c r="AA47" s="275"/>
      <c r="AB47" s="275"/>
      <c r="AC47" s="275"/>
      <c r="AD47" s="275"/>
      <c r="AE47" s="275"/>
      <c r="AF47" s="275"/>
      <c r="AG47" s="275"/>
      <c r="AH47" s="275"/>
      <c r="AI47" s="275"/>
      <c r="AJ47" s="275"/>
      <c r="AK47" s="275"/>
      <c r="AL47" s="275"/>
      <c r="AM47" s="276"/>
      <c r="AN47" s="276"/>
      <c r="AO47" s="276"/>
      <c r="AP47" s="276"/>
      <c r="AQ47" s="276"/>
      <c r="AR47" s="276"/>
      <c r="AS47" s="276"/>
      <c r="AT47" s="276"/>
      <c r="AU47" s="276"/>
      <c r="AV47" s="276"/>
    </row>
    <row r="48" spans="1:48" s="18" customFormat="1" ht="15" thickBot="1" x14ac:dyDescent="0.25">
      <c r="B48" s="1"/>
      <c r="C48" s="6"/>
      <c r="D48" s="6"/>
      <c r="E48" s="6"/>
      <c r="F48" s="29"/>
      <c r="G48" s="29"/>
      <c r="H48" s="29"/>
      <c r="I48" s="29"/>
      <c r="J48" s="29"/>
      <c r="K48" s="29"/>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1" customFormat="1" ht="18.75" thickBot="1" x14ac:dyDescent="0.3">
      <c r="A49" s="327" t="s">
        <v>160</v>
      </c>
      <c r="B49" s="328"/>
      <c r="C49" s="329"/>
      <c r="D49" s="329"/>
      <c r="E49" s="329"/>
      <c r="F49" s="332"/>
      <c r="G49" s="332"/>
      <c r="H49" s="332"/>
      <c r="I49" s="332"/>
      <c r="J49" s="332"/>
      <c r="K49" s="335"/>
      <c r="L49" s="332"/>
      <c r="M49" s="336"/>
      <c r="N49" s="40"/>
      <c r="O49" s="40"/>
      <c r="P49" s="40"/>
      <c r="Q49" s="40"/>
      <c r="R49" s="40"/>
      <c r="S49" s="40"/>
      <c r="T49" s="40"/>
      <c r="U49" s="41"/>
      <c r="V49" s="40"/>
      <c r="W49" s="40"/>
      <c r="X49" s="40"/>
      <c r="Y49" s="40"/>
      <c r="Z49" s="40"/>
      <c r="AA49" s="40"/>
      <c r="AB49" s="42"/>
      <c r="AC49" s="42"/>
      <c r="AD49" s="42"/>
      <c r="AE49" s="42"/>
      <c r="AF49" s="42"/>
      <c r="AG49" s="42"/>
      <c r="AH49" s="42"/>
      <c r="AI49" s="42"/>
      <c r="AJ49" s="42"/>
      <c r="AK49" s="42"/>
      <c r="AL49" s="42"/>
      <c r="AM49" s="41"/>
      <c r="AN49" s="41"/>
      <c r="AO49" s="41"/>
      <c r="AP49" s="41"/>
      <c r="AQ49" s="41"/>
      <c r="AR49" s="41"/>
      <c r="AS49" s="41"/>
      <c r="AT49" s="41"/>
      <c r="AU49" s="41"/>
      <c r="AV49" s="41"/>
    </row>
    <row r="50" spans="1:48" s="23" customFormat="1" ht="33" customHeight="1" thickBot="1" x14ac:dyDescent="0.25">
      <c r="A50" s="350" t="s">
        <v>39</v>
      </c>
      <c r="B50" s="614" t="s">
        <v>32</v>
      </c>
      <c r="C50" s="616"/>
      <c r="D50" s="616"/>
      <c r="E50" s="615"/>
      <c r="F50" s="354" t="s">
        <v>48</v>
      </c>
      <c r="G50" s="283" t="s">
        <v>277</v>
      </c>
      <c r="H50" s="283" t="s">
        <v>197</v>
      </c>
      <c r="I50" s="283" t="s">
        <v>254</v>
      </c>
      <c r="J50" s="283" t="s">
        <v>52</v>
      </c>
      <c r="K50" s="283" t="s">
        <v>16</v>
      </c>
      <c r="L50" s="283" t="s">
        <v>13</v>
      </c>
      <c r="M50" s="283" t="s">
        <v>4</v>
      </c>
      <c r="N50" s="35"/>
      <c r="O50" s="35"/>
      <c r="P50" s="35"/>
      <c r="Q50" s="35"/>
      <c r="R50" s="35"/>
      <c r="S50" s="35"/>
      <c r="T50" s="35"/>
      <c r="U50" s="6"/>
      <c r="V50" s="35"/>
      <c r="W50" s="35"/>
      <c r="X50" s="35"/>
      <c r="Y50" s="35"/>
      <c r="Z50" s="35"/>
      <c r="AA50" s="35"/>
      <c r="AB50" s="36"/>
      <c r="AC50" s="36"/>
      <c r="AD50" s="36"/>
      <c r="AE50" s="36"/>
      <c r="AF50" s="36"/>
      <c r="AG50" s="36"/>
      <c r="AH50" s="36"/>
      <c r="AI50" s="36"/>
      <c r="AJ50" s="36"/>
      <c r="AK50" s="36"/>
      <c r="AL50" s="36"/>
      <c r="AM50" s="6"/>
      <c r="AN50" s="6"/>
      <c r="AO50" s="6"/>
      <c r="AP50" s="6"/>
      <c r="AQ50" s="6"/>
      <c r="AR50" s="6"/>
      <c r="AS50" s="6"/>
      <c r="AT50" s="6"/>
      <c r="AU50" s="6"/>
      <c r="AV50" s="6"/>
    </row>
    <row r="51" spans="1:48" s="18" customFormat="1" hidden="1" x14ac:dyDescent="0.2">
      <c r="A51" s="314" t="s">
        <v>40</v>
      </c>
      <c r="B51" s="601" t="s">
        <v>43</v>
      </c>
      <c r="C51" s="602"/>
      <c r="D51" s="602"/>
      <c r="E51" s="603"/>
      <c r="F51" s="322"/>
      <c r="G51" s="322"/>
      <c r="H51" s="322">
        <v>0</v>
      </c>
      <c r="I51" s="322"/>
      <c r="J51" s="322"/>
      <c r="K51" s="322"/>
      <c r="L51" s="322"/>
      <c r="M51" s="322">
        <v>0</v>
      </c>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hidden="1" x14ac:dyDescent="0.2">
      <c r="A52" s="314" t="s">
        <v>41</v>
      </c>
      <c r="B52" s="601" t="s">
        <v>44</v>
      </c>
      <c r="C52" s="602"/>
      <c r="D52" s="602"/>
      <c r="E52" s="603"/>
      <c r="F52" s="322"/>
      <c r="G52" s="322"/>
      <c r="H52" s="322"/>
      <c r="I52" s="333"/>
      <c r="J52" s="322"/>
      <c r="K52" s="322"/>
      <c r="L52" s="322"/>
      <c r="M52" s="322">
        <v>0</v>
      </c>
      <c r="N52" s="29"/>
    </row>
    <row r="53" spans="1:48" x14ac:dyDescent="0.2">
      <c r="A53" s="314" t="s">
        <v>273</v>
      </c>
      <c r="B53" s="601" t="s">
        <v>275</v>
      </c>
      <c r="C53" s="602"/>
      <c r="D53" s="602"/>
      <c r="E53" s="603"/>
      <c r="F53" s="322">
        <v>49000</v>
      </c>
      <c r="G53" s="322">
        <v>0</v>
      </c>
      <c r="H53" s="322">
        <v>24500</v>
      </c>
      <c r="I53" s="333">
        <v>24500</v>
      </c>
      <c r="J53" s="322">
        <f>49000/12*4</f>
        <v>16333.333333333334</v>
      </c>
      <c r="K53" s="435">
        <f>F53-J53</f>
        <v>32666.666666666664</v>
      </c>
      <c r="L53" s="322">
        <f>K53</f>
        <v>32666.666666666664</v>
      </c>
      <c r="M53" s="322"/>
      <c r="N53" s="29"/>
    </row>
    <row r="54" spans="1:48" s="18" customFormat="1" x14ac:dyDescent="0.2">
      <c r="A54" s="314" t="s">
        <v>274</v>
      </c>
      <c r="B54" s="601" t="s">
        <v>279</v>
      </c>
      <c r="C54" s="602"/>
      <c r="D54" s="602"/>
      <c r="E54" s="603"/>
      <c r="F54" s="322">
        <f>6500+3500+2000+3500+3500</f>
        <v>19000</v>
      </c>
      <c r="G54" s="322"/>
      <c r="H54" s="322">
        <v>19000</v>
      </c>
      <c r="I54" s="322"/>
      <c r="J54" s="322">
        <f>1583.33*4</f>
        <v>6333.32</v>
      </c>
      <c r="K54" s="435">
        <f t="shared" ref="K54" si="6">+G54+H54-J54</f>
        <v>12666.68</v>
      </c>
      <c r="L54" s="322">
        <f>K54</f>
        <v>12666.68</v>
      </c>
      <c r="M54" s="322"/>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x14ac:dyDescent="0.2">
      <c r="A55" s="314" t="s">
        <v>28</v>
      </c>
      <c r="B55" s="601" t="s">
        <v>162</v>
      </c>
      <c r="C55" s="602"/>
      <c r="D55" s="602"/>
      <c r="E55" s="603"/>
      <c r="F55" s="322"/>
      <c r="G55" s="322">
        <v>0</v>
      </c>
      <c r="H55" s="322">
        <v>2834.05</v>
      </c>
      <c r="I55" s="322"/>
      <c r="J55" s="322">
        <f>H55</f>
        <v>2834.05</v>
      </c>
      <c r="K55" s="435">
        <f t="shared" ref="K55:K56" si="7">+G55+H55-J55</f>
        <v>0</v>
      </c>
      <c r="L55" s="322">
        <v>0</v>
      </c>
      <c r="M55" s="322">
        <v>0</v>
      </c>
      <c r="N55" s="29"/>
    </row>
    <row r="56" spans="1:48" x14ac:dyDescent="0.2">
      <c r="A56" s="314" t="s">
        <v>28</v>
      </c>
      <c r="B56" s="601" t="s">
        <v>10</v>
      </c>
      <c r="C56" s="602"/>
      <c r="D56" s="602"/>
      <c r="E56" s="603"/>
      <c r="F56" s="322"/>
      <c r="G56" s="322">
        <v>900.82</v>
      </c>
      <c r="H56" s="322"/>
      <c r="I56" s="322"/>
      <c r="J56" s="322">
        <v>0</v>
      </c>
      <c r="K56" s="435">
        <f t="shared" si="7"/>
        <v>900.82</v>
      </c>
      <c r="L56" s="322">
        <f>K56</f>
        <v>900.82</v>
      </c>
      <c r="M56" s="322">
        <v>0</v>
      </c>
      <c r="N56" s="29"/>
    </row>
    <row r="57" spans="1:48" x14ac:dyDescent="0.2">
      <c r="A57" s="314" t="s">
        <v>28</v>
      </c>
      <c r="B57" s="601" t="s">
        <v>11</v>
      </c>
      <c r="C57" s="602"/>
      <c r="D57" s="602"/>
      <c r="E57" s="603"/>
      <c r="F57" s="322"/>
      <c r="G57" s="322">
        <v>11831.16</v>
      </c>
      <c r="H57" s="322">
        <f>275+44.71</f>
        <v>319.70999999999998</v>
      </c>
      <c r="I57" s="322"/>
      <c r="J57" s="322">
        <f>9.9+1342.66+1221.05+1457.47</f>
        <v>4031.08</v>
      </c>
      <c r="K57" s="435">
        <f>+G57+H57-J57</f>
        <v>8119.7899999999991</v>
      </c>
      <c r="L57" s="322">
        <f>K57</f>
        <v>8119.7899999999991</v>
      </c>
      <c r="M57" s="322">
        <v>0</v>
      </c>
      <c r="N57" s="29"/>
    </row>
    <row r="58" spans="1:48" x14ac:dyDescent="0.2">
      <c r="A58" s="314" t="s">
        <v>28</v>
      </c>
      <c r="B58" s="601" t="s">
        <v>12</v>
      </c>
      <c r="C58" s="602"/>
      <c r="D58" s="602"/>
      <c r="E58" s="603"/>
      <c r="F58" s="322"/>
      <c r="G58" s="322">
        <v>8690.23</v>
      </c>
      <c r="H58" s="322">
        <v>50</v>
      </c>
      <c r="I58" s="322"/>
      <c r="J58" s="322">
        <f>1163.66</f>
        <v>1163.6600000000001</v>
      </c>
      <c r="K58" s="435">
        <f t="shared" ref="K58" si="8">+G58+H58-J58</f>
        <v>7576.57</v>
      </c>
      <c r="L58" s="322">
        <f>K58</f>
        <v>7576.57</v>
      </c>
      <c r="M58" s="322">
        <v>0</v>
      </c>
      <c r="N58" s="29"/>
    </row>
    <row r="59" spans="1:48" s="25" customFormat="1" ht="15" thickBot="1" x14ac:dyDescent="0.25">
      <c r="A59" s="314"/>
      <c r="B59" s="601"/>
      <c r="C59" s="602"/>
      <c r="D59" s="602"/>
      <c r="E59" s="603"/>
      <c r="F59" s="322"/>
      <c r="G59" s="322"/>
      <c r="H59" s="322"/>
      <c r="I59" s="322"/>
      <c r="J59" s="322"/>
      <c r="K59" s="322"/>
      <c r="L59" s="322">
        <f>K59</f>
        <v>0</v>
      </c>
      <c r="M59" s="322">
        <v>0</v>
      </c>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25" customFormat="1" ht="15" hidden="1" thickBot="1" x14ac:dyDescent="0.25">
      <c r="A60" s="314" t="s">
        <v>28</v>
      </c>
      <c r="B60" s="330" t="s">
        <v>91</v>
      </c>
      <c r="C60" s="305"/>
      <c r="D60" s="305"/>
      <c r="E60" s="331"/>
      <c r="F60" s="322"/>
      <c r="G60" s="322"/>
      <c r="H60" s="322"/>
      <c r="I60" s="322"/>
      <c r="J60" s="322"/>
      <c r="K60" s="322"/>
      <c r="L60" s="322"/>
      <c r="M60" s="322"/>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ht="15" hidden="1" customHeight="1" thickBot="1" x14ac:dyDescent="0.25">
      <c r="A61" s="315"/>
      <c r="B61" s="601"/>
      <c r="C61" s="602"/>
      <c r="D61" s="602"/>
      <c r="E61" s="603"/>
      <c r="F61" s="323"/>
      <c r="G61" s="323">
        <v>0</v>
      </c>
      <c r="H61" s="323"/>
      <c r="I61" s="334"/>
      <c r="J61" s="323"/>
      <c r="K61" s="323"/>
      <c r="L61" s="323"/>
      <c r="M61" s="323">
        <v>0</v>
      </c>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277" customFormat="1" ht="15.75" thickBot="1" x14ac:dyDescent="0.3">
      <c r="A62" s="351" t="s">
        <v>46</v>
      </c>
      <c r="B62" s="352"/>
      <c r="C62" s="352"/>
      <c r="D62" s="352"/>
      <c r="E62" s="353"/>
      <c r="F62" s="428">
        <f t="shared" ref="F62:M62" si="9">SUM(F51:F61)</f>
        <v>68000</v>
      </c>
      <c r="G62" s="429">
        <f t="shared" si="9"/>
        <v>21422.21</v>
      </c>
      <c r="H62" s="429">
        <f t="shared" si="9"/>
        <v>46703.76</v>
      </c>
      <c r="I62" s="429">
        <f t="shared" si="9"/>
        <v>24500</v>
      </c>
      <c r="J62" s="429">
        <f t="shared" si="9"/>
        <v>30695.443333333333</v>
      </c>
      <c r="K62" s="430">
        <f t="shared" si="9"/>
        <v>61930.526666666665</v>
      </c>
      <c r="L62" s="431">
        <f t="shared" si="9"/>
        <v>61930.526666666665</v>
      </c>
      <c r="M62" s="430">
        <f t="shared" si="9"/>
        <v>0</v>
      </c>
      <c r="N62" s="275"/>
      <c r="O62" s="275"/>
      <c r="P62" s="275"/>
      <c r="Q62" s="275"/>
      <c r="R62" s="275"/>
      <c r="S62" s="275"/>
      <c r="T62" s="275"/>
      <c r="U62" s="276"/>
      <c r="V62" s="275"/>
      <c r="W62" s="275"/>
      <c r="X62" s="275"/>
      <c r="Y62" s="275"/>
      <c r="Z62" s="275"/>
      <c r="AA62" s="275"/>
      <c r="AB62" s="275"/>
      <c r="AC62" s="275"/>
      <c r="AD62" s="275"/>
      <c r="AE62" s="275"/>
      <c r="AF62" s="275"/>
      <c r="AG62" s="275"/>
      <c r="AH62" s="275"/>
      <c r="AI62" s="275"/>
      <c r="AJ62" s="275"/>
      <c r="AK62" s="275"/>
      <c r="AL62" s="275"/>
      <c r="AM62" s="276"/>
      <c r="AN62" s="276"/>
      <c r="AO62" s="276"/>
      <c r="AP62" s="276"/>
      <c r="AQ62" s="276"/>
      <c r="AR62" s="276"/>
      <c r="AS62" s="276"/>
      <c r="AT62" s="276"/>
      <c r="AU62" s="276"/>
      <c r="AV62" s="276"/>
    </row>
    <row r="63" spans="1:48" ht="15.75" thickBot="1" x14ac:dyDescent="0.3">
      <c r="H63" s="28"/>
      <c r="L63" s="278" t="s">
        <v>115</v>
      </c>
      <c r="N63" s="29"/>
    </row>
    <row r="64" spans="1:48" s="48" customFormat="1" ht="16.5" thickBot="1" x14ac:dyDescent="0.3">
      <c r="A64" s="52"/>
      <c r="B64" s="53"/>
      <c r="C64" s="53"/>
      <c r="D64" s="53"/>
      <c r="E64" s="53"/>
      <c r="F64" s="53"/>
      <c r="G64" s="53"/>
      <c r="H64" s="53"/>
      <c r="I64" s="53"/>
      <c r="J64" s="53"/>
      <c r="K64" s="53"/>
      <c r="L64" s="436">
        <f>L62+J47</f>
        <v>77114.756666666668</v>
      </c>
      <c r="M64" s="49"/>
      <c r="N64" s="29"/>
      <c r="O64" s="29"/>
      <c r="P64" s="29"/>
      <c r="Q64" s="29"/>
      <c r="R64" s="29"/>
      <c r="S64" s="29"/>
      <c r="T64" s="29"/>
      <c r="U64" s="29"/>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51" customFormat="1" ht="31.5" hidden="1" x14ac:dyDescent="0.25">
      <c r="A65" s="54"/>
      <c r="B65" s="50"/>
      <c r="C65" s="50"/>
      <c r="D65" s="50"/>
      <c r="E65" s="50"/>
      <c r="F65" s="50"/>
      <c r="G65" s="151" t="s">
        <v>208</v>
      </c>
      <c r="H65" s="152" t="s">
        <v>197</v>
      </c>
      <c r="I65" s="152" t="s">
        <v>113</v>
      </c>
      <c r="J65" s="152" t="s">
        <v>67</v>
      </c>
      <c r="K65" s="153" t="s">
        <v>54</v>
      </c>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row>
    <row r="66" spans="1:48" s="43" customFormat="1" ht="20.25" hidden="1" customHeight="1" x14ac:dyDescent="0.2">
      <c r="A66" s="372" t="s">
        <v>86</v>
      </c>
      <c r="B66" s="610" t="s">
        <v>53</v>
      </c>
      <c r="C66" s="610"/>
      <c r="D66" s="610"/>
      <c r="E66" s="610"/>
      <c r="F66" s="373"/>
      <c r="G66" s="373">
        <f>104647.76-J54-1250-1250</f>
        <v>95814.44</v>
      </c>
      <c r="H66" s="373">
        <f>90450.47-J66-H69</f>
        <v>62668.66</v>
      </c>
      <c r="I66" s="373">
        <f>H55</f>
        <v>2834.05</v>
      </c>
      <c r="J66" s="373">
        <f>'April''16 AR Aging '!G41</f>
        <v>27781.81</v>
      </c>
      <c r="K66" s="374">
        <f>+I66+J66+H66-G66</f>
        <v>-2529.9199999999983</v>
      </c>
      <c r="L66" s="46"/>
      <c r="M66" s="46"/>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25" customFormat="1" hidden="1" x14ac:dyDescent="0.2">
      <c r="A67" s="375" t="s">
        <v>42</v>
      </c>
      <c r="B67" s="609" t="s">
        <v>37</v>
      </c>
      <c r="C67" s="609"/>
      <c r="D67" s="609"/>
      <c r="E67" s="609"/>
      <c r="F67" s="370"/>
      <c r="G67" s="370"/>
      <c r="H67" s="370">
        <v>0</v>
      </c>
      <c r="I67" s="371"/>
      <c r="J67" s="370">
        <v>0</v>
      </c>
      <c r="K67" s="376"/>
      <c r="L67" s="341"/>
      <c r="M67" s="341">
        <v>0</v>
      </c>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18" customFormat="1" hidden="1" x14ac:dyDescent="0.2">
      <c r="A68" s="375" t="s">
        <v>28</v>
      </c>
      <c r="B68" s="611" t="s">
        <v>173</v>
      </c>
      <c r="C68" s="612"/>
      <c r="D68" s="612"/>
      <c r="E68" s="613"/>
      <c r="F68" s="370"/>
      <c r="G68" s="370"/>
      <c r="H68" s="370"/>
      <c r="I68" s="371"/>
      <c r="J68" s="370"/>
      <c r="K68" s="376"/>
      <c r="L68" s="341"/>
      <c r="M68" s="341"/>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18" customFormat="1" ht="15" hidden="1" thickBot="1" x14ac:dyDescent="0.25">
      <c r="A69" s="377" t="s">
        <v>172</v>
      </c>
      <c r="B69" s="608" t="s">
        <v>53</v>
      </c>
      <c r="C69" s="608"/>
      <c r="D69" s="608"/>
      <c r="E69" s="608"/>
      <c r="F69" s="378"/>
      <c r="G69" s="378"/>
      <c r="H69" s="378">
        <v>0</v>
      </c>
      <c r="I69" s="378"/>
      <c r="J69" s="378">
        <f>'April''16 AR Aging '!G40</f>
        <v>0</v>
      </c>
      <c r="K69" s="379"/>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x14ac:dyDescent="0.2">
      <c r="F70" s="251"/>
      <c r="G70" s="252"/>
      <c r="H70" s="251"/>
      <c r="I70" s="251"/>
      <c r="J70" s="251">
        <f>J66+I62+H31+J69</f>
        <v>291980.62</v>
      </c>
      <c r="K70" s="251" t="s">
        <v>59</v>
      </c>
      <c r="N70" s="29"/>
    </row>
    <row r="71" spans="1:48" x14ac:dyDescent="0.2">
      <c r="F71" s="251"/>
      <c r="G71" s="252"/>
      <c r="H71" s="251"/>
      <c r="I71" s="251"/>
      <c r="J71" s="272">
        <f>'April''16 AR Aging '!G61</f>
        <v>292441.31999999995</v>
      </c>
      <c r="K71" s="251" t="s">
        <v>339</v>
      </c>
      <c r="N71" s="29"/>
    </row>
    <row r="72" spans="1:48" ht="15" customHeight="1" x14ac:dyDescent="0.2">
      <c r="F72" s="251"/>
      <c r="G72" s="252"/>
      <c r="H72" s="251"/>
      <c r="I72" s="251"/>
      <c r="J72" s="252">
        <f>J70-J71</f>
        <v>-460.69999999995343</v>
      </c>
      <c r="K72" s="251" t="s">
        <v>340</v>
      </c>
      <c r="N72" s="29"/>
    </row>
    <row r="73" spans="1:48" ht="15" customHeight="1" x14ac:dyDescent="0.2">
      <c r="C73" s="8"/>
      <c r="E73" s="9"/>
    </row>
    <row r="82" spans="1:12" x14ac:dyDescent="0.2">
      <c r="A82" s="10"/>
      <c r="B82" s="1"/>
      <c r="C82" s="6"/>
      <c r="D82" s="6"/>
      <c r="E82" s="7"/>
      <c r="F82" s="29"/>
      <c r="G82" s="29"/>
      <c r="I82" s="29"/>
      <c r="J82" s="29"/>
      <c r="K82" s="29"/>
      <c r="L82" s="29"/>
    </row>
  </sheetData>
  <mergeCells count="27">
    <mergeCell ref="B58:E58"/>
    <mergeCell ref="B35:C35"/>
    <mergeCell ref="B57:E57"/>
    <mergeCell ref="B50:E50"/>
    <mergeCell ref="B37:C37"/>
    <mergeCell ref="B45:C45"/>
    <mergeCell ref="B46:C46"/>
    <mergeCell ref="B51:E51"/>
    <mergeCell ref="B52:E52"/>
    <mergeCell ref="B55:E55"/>
    <mergeCell ref="B56:E56"/>
    <mergeCell ref="B36:C36"/>
    <mergeCell ref="B41:C41"/>
    <mergeCell ref="B38:C38"/>
    <mergeCell ref="B44:C44"/>
    <mergeCell ref="B53:E53"/>
    <mergeCell ref="B69:E69"/>
    <mergeCell ref="B59:E59"/>
    <mergeCell ref="B67:E67"/>
    <mergeCell ref="B61:E61"/>
    <mergeCell ref="B66:E66"/>
    <mergeCell ref="B68:E68"/>
    <mergeCell ref="B54:E54"/>
    <mergeCell ref="B43:C43"/>
    <mergeCell ref="B39:C39"/>
    <mergeCell ref="B42:C42"/>
    <mergeCell ref="B40:C40"/>
  </mergeCells>
  <pageMargins left="0.45" right="0" top="1" bottom="0" header="0.3" footer="0.05"/>
  <pageSetup paperSize="5" scale="6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25"/>
  <sheetViews>
    <sheetView topLeftCell="A19" zoomScale="75" zoomScaleNormal="75" workbookViewId="0">
      <selection activeCell="C19" sqref="C19"/>
    </sheetView>
  </sheetViews>
  <sheetFormatPr defaultRowHeight="14.25" x14ac:dyDescent="0.2"/>
  <cols>
    <col min="1" max="1" width="1.875" style="58" customWidth="1"/>
    <col min="2" max="2" width="52.625"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306</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309</v>
      </c>
      <c r="D4" s="93" t="s">
        <v>308</v>
      </c>
      <c r="E4" s="93" t="s">
        <v>268</v>
      </c>
      <c r="F4" s="93" t="s">
        <v>307</v>
      </c>
      <c r="G4" s="93" t="s">
        <v>85</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619" t="s">
        <v>80</v>
      </c>
      <c r="B5" s="620"/>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9" customFormat="1" ht="24.95" customHeight="1" x14ac:dyDescent="0.25">
      <c r="A6" s="364"/>
      <c r="B6" s="125" t="s">
        <v>310</v>
      </c>
      <c r="C6" s="365"/>
      <c r="D6" s="164">
        <v>28325.41</v>
      </c>
      <c r="E6" s="365"/>
      <c r="F6" s="366"/>
      <c r="G6" s="166">
        <f>ROUND(SUM(C6:F6),5)</f>
        <v>28325.41</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368"/>
      <c r="EJ6" s="368"/>
      <c r="EK6" s="368"/>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368"/>
      <c r="FK6" s="368"/>
      <c r="FL6" s="368"/>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368"/>
      <c r="GL6" s="368"/>
      <c r="GM6" s="368"/>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368"/>
      <c r="HM6" s="368"/>
      <c r="HN6" s="368"/>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68"/>
      <c r="IN6" s="368"/>
      <c r="IO6" s="368"/>
      <c r="IP6" s="368"/>
      <c r="IQ6" s="368"/>
      <c r="IR6" s="368"/>
      <c r="IS6" s="368"/>
      <c r="IT6" s="368"/>
      <c r="IU6" s="368"/>
      <c r="IV6" s="368"/>
      <c r="IW6" s="368"/>
      <c r="IX6" s="368"/>
      <c r="IY6" s="368"/>
      <c r="IZ6" s="368"/>
      <c r="JA6" s="368"/>
      <c r="JB6" s="368"/>
      <c r="JC6" s="368"/>
      <c r="JD6" s="368"/>
      <c r="JE6" s="368"/>
      <c r="JF6" s="368"/>
      <c r="JG6" s="368"/>
      <c r="JH6" s="368"/>
      <c r="JI6" s="368"/>
      <c r="JJ6" s="368"/>
      <c r="JK6" s="368"/>
      <c r="JL6" s="368"/>
      <c r="JM6" s="368"/>
      <c r="JN6" s="368"/>
      <c r="JO6" s="368"/>
      <c r="JP6" s="368"/>
      <c r="JQ6" s="368"/>
      <c r="JR6" s="368"/>
      <c r="JS6" s="368"/>
      <c r="JT6" s="368"/>
      <c r="JU6" s="368"/>
      <c r="JV6" s="368"/>
      <c r="JW6" s="368"/>
      <c r="JX6" s="368"/>
      <c r="JY6" s="368"/>
      <c r="JZ6" s="368"/>
      <c r="KA6" s="368"/>
      <c r="KB6" s="368"/>
      <c r="KC6" s="368"/>
      <c r="KD6" s="368"/>
      <c r="KE6" s="368"/>
      <c r="KF6" s="368"/>
      <c r="KG6" s="368"/>
      <c r="KH6" s="368"/>
      <c r="KI6" s="368"/>
      <c r="KJ6" s="368"/>
      <c r="KK6" s="368"/>
      <c r="KL6" s="368"/>
      <c r="KM6" s="368"/>
      <c r="KN6" s="368"/>
      <c r="KO6" s="368"/>
      <c r="KP6" s="368"/>
      <c r="KQ6" s="368"/>
      <c r="KR6" s="368"/>
      <c r="KS6" s="368"/>
      <c r="KT6" s="368"/>
      <c r="KU6" s="368"/>
      <c r="KV6" s="368"/>
      <c r="KW6" s="368"/>
      <c r="KX6" s="368"/>
      <c r="KY6" s="368"/>
      <c r="KZ6" s="368"/>
      <c r="LA6" s="368"/>
      <c r="LB6" s="368"/>
      <c r="LC6" s="368"/>
      <c r="LD6" s="368"/>
      <c r="LE6" s="368"/>
      <c r="LF6" s="368"/>
      <c r="LG6" s="368"/>
      <c r="LH6" s="368"/>
      <c r="LI6" s="368"/>
      <c r="LJ6" s="368"/>
      <c r="LK6" s="368"/>
      <c r="LL6" s="368"/>
      <c r="LM6" s="368"/>
      <c r="LN6" s="368"/>
      <c r="LO6" s="368"/>
      <c r="LP6" s="368"/>
      <c r="LQ6" s="368"/>
      <c r="LR6" s="368"/>
      <c r="LS6" s="368"/>
      <c r="LT6" s="368"/>
      <c r="LU6" s="368"/>
      <c r="LV6" s="368"/>
      <c r="LW6" s="368"/>
      <c r="LX6" s="368"/>
      <c r="LY6" s="368"/>
      <c r="LZ6" s="368"/>
      <c r="MA6" s="368"/>
      <c r="MB6" s="368"/>
      <c r="MC6" s="368"/>
      <c r="MD6" s="368"/>
      <c r="ME6" s="368"/>
      <c r="MF6" s="368"/>
      <c r="MG6" s="368"/>
      <c r="MH6" s="368"/>
      <c r="MI6" s="368"/>
      <c r="MJ6" s="368"/>
      <c r="MK6" s="368"/>
      <c r="ML6" s="368"/>
      <c r="MM6" s="368"/>
      <c r="MN6" s="368"/>
      <c r="MO6" s="368"/>
      <c r="MP6" s="368"/>
      <c r="MQ6" s="368"/>
      <c r="MR6" s="368"/>
      <c r="MS6" s="368"/>
      <c r="MT6" s="368"/>
      <c r="MU6" s="368"/>
      <c r="MV6" s="368"/>
      <c r="MW6" s="368"/>
      <c r="MX6" s="368"/>
      <c r="MY6" s="368"/>
      <c r="MZ6" s="368"/>
      <c r="NA6" s="368"/>
      <c r="NB6" s="368"/>
      <c r="NC6" s="368"/>
      <c r="ND6" s="368"/>
      <c r="NE6" s="368"/>
      <c r="NF6" s="368"/>
      <c r="NG6" s="368"/>
      <c r="NH6" s="368"/>
      <c r="NI6" s="368"/>
      <c r="NJ6" s="368"/>
      <c r="NK6" s="368"/>
      <c r="NL6" s="368"/>
      <c r="NM6" s="368"/>
      <c r="NN6" s="368"/>
      <c r="NO6" s="368"/>
      <c r="NP6" s="368"/>
      <c r="NQ6" s="368"/>
      <c r="NR6" s="368"/>
      <c r="NS6" s="368"/>
      <c r="NT6" s="368"/>
      <c r="NU6" s="368"/>
      <c r="NV6" s="368"/>
      <c r="NW6" s="368"/>
      <c r="NX6" s="368"/>
      <c r="NY6" s="368"/>
      <c r="NZ6" s="368"/>
      <c r="OA6" s="368"/>
      <c r="OB6" s="368"/>
      <c r="OC6" s="368"/>
      <c r="OD6" s="368"/>
      <c r="OE6" s="368"/>
      <c r="OF6" s="368"/>
      <c r="OG6" s="368"/>
      <c r="OH6" s="368"/>
      <c r="OI6" s="368"/>
      <c r="OJ6" s="368"/>
      <c r="OK6" s="368"/>
      <c r="OL6" s="368"/>
      <c r="OM6" s="368"/>
      <c r="ON6" s="368"/>
      <c r="OO6" s="368"/>
      <c r="OP6" s="368"/>
      <c r="OQ6" s="368"/>
      <c r="OR6" s="368"/>
      <c r="OS6" s="368"/>
      <c r="OT6" s="368"/>
      <c r="OU6" s="368"/>
      <c r="OV6" s="368"/>
      <c r="OW6" s="368"/>
      <c r="OX6" s="368"/>
      <c r="OY6" s="368"/>
      <c r="OZ6" s="368"/>
      <c r="PA6" s="368"/>
      <c r="PB6" s="368"/>
      <c r="PC6" s="368"/>
      <c r="PD6" s="368"/>
      <c r="PE6" s="368"/>
      <c r="PF6" s="368"/>
      <c r="PG6" s="368"/>
      <c r="PH6" s="368"/>
      <c r="PI6" s="368"/>
      <c r="PJ6" s="368"/>
      <c r="PK6" s="368"/>
      <c r="PL6" s="368"/>
      <c r="PM6" s="368"/>
      <c r="PN6" s="368"/>
      <c r="PO6" s="368"/>
      <c r="PP6" s="368"/>
      <c r="PQ6" s="368"/>
      <c r="PR6" s="368"/>
      <c r="PS6" s="368"/>
      <c r="PT6" s="368"/>
      <c r="PU6" s="368"/>
      <c r="PV6" s="368"/>
      <c r="PW6" s="368"/>
      <c r="PX6" s="368"/>
      <c r="PY6" s="368"/>
      <c r="PZ6" s="368"/>
      <c r="QA6" s="368"/>
      <c r="QB6" s="368"/>
      <c r="QC6" s="368"/>
      <c r="QD6" s="368"/>
      <c r="QE6" s="368"/>
      <c r="QF6" s="368"/>
      <c r="QG6" s="368"/>
      <c r="QH6" s="368"/>
      <c r="QI6" s="368"/>
      <c r="QJ6" s="368"/>
      <c r="QK6" s="368"/>
      <c r="QL6" s="368"/>
      <c r="QM6" s="368"/>
      <c r="QN6" s="368"/>
      <c r="QO6" s="368"/>
      <c r="QP6" s="368"/>
      <c r="QQ6" s="368"/>
      <c r="QR6" s="368"/>
      <c r="QS6" s="368"/>
      <c r="QT6" s="368"/>
      <c r="QU6" s="368"/>
      <c r="QV6" s="368"/>
      <c r="QW6" s="368"/>
      <c r="QX6" s="368"/>
      <c r="QY6" s="368"/>
      <c r="QZ6" s="368"/>
      <c r="RA6" s="368"/>
      <c r="RB6" s="368"/>
      <c r="RC6" s="368"/>
      <c r="RD6" s="368"/>
      <c r="RE6" s="368"/>
      <c r="RF6" s="368"/>
      <c r="RG6" s="368"/>
      <c r="RH6" s="368"/>
      <c r="RI6" s="368"/>
      <c r="RJ6" s="368"/>
      <c r="RK6" s="368"/>
      <c r="RL6" s="368"/>
      <c r="RM6" s="368"/>
      <c r="RN6" s="368"/>
      <c r="RO6" s="368"/>
      <c r="RP6" s="368"/>
      <c r="RQ6" s="368"/>
      <c r="RR6" s="368"/>
      <c r="RS6" s="368"/>
      <c r="RT6" s="368"/>
      <c r="RU6" s="368"/>
      <c r="RV6" s="368"/>
      <c r="RW6" s="368"/>
      <c r="RX6" s="368"/>
      <c r="RY6" s="368"/>
      <c r="RZ6" s="368"/>
      <c r="SA6" s="368"/>
      <c r="SB6" s="368"/>
      <c r="SC6" s="368"/>
      <c r="SD6" s="368"/>
      <c r="SE6" s="368"/>
      <c r="SF6" s="368"/>
      <c r="SG6" s="368"/>
      <c r="SH6" s="368"/>
      <c r="SI6" s="368"/>
      <c r="SJ6" s="368"/>
      <c r="SK6" s="368"/>
      <c r="SL6" s="368"/>
      <c r="SM6" s="368"/>
      <c r="SN6" s="368"/>
      <c r="SO6" s="368"/>
      <c r="SP6" s="368"/>
      <c r="SQ6" s="368"/>
      <c r="SR6" s="368"/>
      <c r="SS6" s="368"/>
      <c r="ST6" s="368"/>
      <c r="SU6" s="368"/>
      <c r="SV6" s="368"/>
      <c r="SW6" s="368"/>
      <c r="SX6" s="368"/>
      <c r="SY6" s="368"/>
      <c r="SZ6" s="368"/>
      <c r="TA6" s="368"/>
      <c r="TB6" s="368"/>
      <c r="TC6" s="368"/>
      <c r="TD6" s="368"/>
      <c r="TE6" s="368"/>
      <c r="TF6" s="368"/>
      <c r="TG6" s="368"/>
      <c r="TH6" s="368"/>
      <c r="TI6" s="368"/>
      <c r="TJ6" s="368"/>
      <c r="TK6" s="368"/>
      <c r="TL6" s="368"/>
      <c r="TM6" s="368"/>
      <c r="TN6" s="368"/>
      <c r="TO6" s="368"/>
      <c r="TP6" s="368"/>
      <c r="TQ6" s="368"/>
      <c r="TR6" s="368"/>
      <c r="TS6" s="368"/>
      <c r="TT6" s="368"/>
      <c r="TU6" s="368"/>
      <c r="TV6" s="368"/>
      <c r="TW6" s="368"/>
      <c r="TX6" s="368"/>
      <c r="TY6" s="368"/>
      <c r="TZ6" s="368"/>
      <c r="UA6" s="368"/>
      <c r="UB6" s="368"/>
      <c r="UC6" s="368"/>
      <c r="UD6" s="368"/>
      <c r="UE6" s="368"/>
      <c r="UF6" s="368"/>
      <c r="UG6" s="368"/>
      <c r="UH6" s="368"/>
      <c r="UI6" s="368"/>
      <c r="UJ6" s="368"/>
      <c r="UK6" s="368"/>
      <c r="UL6" s="368"/>
      <c r="UM6" s="368"/>
      <c r="UN6" s="368"/>
      <c r="UO6" s="368"/>
      <c r="UP6" s="368"/>
      <c r="UQ6" s="368"/>
      <c r="UR6" s="368"/>
      <c r="US6" s="368"/>
      <c r="UT6" s="368"/>
      <c r="UU6" s="368"/>
      <c r="UV6" s="368"/>
      <c r="UW6" s="368"/>
      <c r="UX6" s="368"/>
      <c r="UY6" s="368"/>
      <c r="UZ6" s="368"/>
      <c r="VA6" s="368"/>
      <c r="VB6" s="368"/>
      <c r="VC6" s="368"/>
      <c r="VD6" s="368"/>
      <c r="VE6" s="368"/>
      <c r="VF6" s="368"/>
      <c r="VG6" s="368"/>
      <c r="VH6" s="368"/>
      <c r="VI6" s="368"/>
      <c r="VJ6" s="368"/>
      <c r="VK6" s="368"/>
      <c r="VL6" s="368"/>
      <c r="VM6" s="368"/>
      <c r="VN6" s="368"/>
      <c r="VO6" s="368"/>
      <c r="VP6" s="368"/>
      <c r="VQ6" s="368"/>
      <c r="VR6" s="368"/>
      <c r="VS6" s="368"/>
      <c r="VT6" s="368"/>
      <c r="VU6" s="368"/>
      <c r="VV6" s="368"/>
      <c r="VW6" s="368"/>
      <c r="VX6" s="368"/>
      <c r="VY6" s="368"/>
      <c r="VZ6" s="368"/>
      <c r="WA6" s="368"/>
      <c r="WB6" s="368"/>
      <c r="WC6" s="368"/>
      <c r="WD6" s="368"/>
      <c r="WE6" s="368"/>
      <c r="WF6" s="368"/>
      <c r="WG6" s="368"/>
      <c r="WH6" s="368"/>
      <c r="WI6" s="368"/>
      <c r="WJ6" s="368"/>
      <c r="WK6" s="368"/>
      <c r="WL6" s="368"/>
      <c r="WM6" s="368"/>
      <c r="WN6" s="368"/>
      <c r="WO6" s="368"/>
      <c r="WP6" s="368"/>
      <c r="WQ6" s="368"/>
      <c r="WR6" s="368"/>
      <c r="WS6" s="368"/>
      <c r="WT6" s="368"/>
      <c r="WU6" s="368"/>
      <c r="WV6" s="368"/>
      <c r="WW6" s="368"/>
      <c r="WX6" s="368"/>
      <c r="WY6" s="368"/>
      <c r="WZ6" s="368"/>
      <c r="XA6" s="368"/>
      <c r="XB6" s="368"/>
      <c r="XC6" s="368"/>
      <c r="XD6" s="368"/>
      <c r="XE6" s="368"/>
      <c r="XF6" s="368"/>
      <c r="XG6" s="368"/>
      <c r="XH6" s="368"/>
      <c r="XI6" s="368"/>
      <c r="XJ6" s="368"/>
      <c r="XK6" s="368"/>
      <c r="XL6" s="368"/>
      <c r="XM6" s="368"/>
      <c r="XN6" s="368"/>
      <c r="XO6" s="368"/>
      <c r="XP6" s="368"/>
      <c r="XQ6" s="368"/>
      <c r="XR6" s="368"/>
      <c r="XS6" s="368"/>
      <c r="XT6" s="368"/>
      <c r="XU6" s="368"/>
      <c r="XV6" s="368"/>
      <c r="XW6" s="368"/>
      <c r="XX6" s="368"/>
      <c r="XY6" s="368"/>
      <c r="XZ6" s="368"/>
      <c r="YA6" s="368"/>
      <c r="YB6" s="368"/>
      <c r="YC6" s="368"/>
      <c r="YD6" s="368"/>
      <c r="YE6" s="368"/>
      <c r="YF6" s="368"/>
      <c r="YG6" s="368"/>
      <c r="YH6" s="368"/>
      <c r="YI6" s="368"/>
      <c r="YJ6" s="368"/>
      <c r="YK6" s="368"/>
      <c r="YL6" s="368"/>
      <c r="YM6" s="368"/>
      <c r="YN6" s="368"/>
      <c r="YO6" s="368"/>
      <c r="YP6" s="368"/>
      <c r="YQ6" s="368"/>
      <c r="YR6" s="368"/>
      <c r="YS6" s="368"/>
      <c r="YT6" s="368"/>
      <c r="YU6" s="368"/>
      <c r="YV6" s="368"/>
      <c r="YW6" s="368"/>
      <c r="YX6" s="368"/>
      <c r="YY6" s="368"/>
      <c r="YZ6" s="368"/>
      <c r="ZA6" s="368"/>
      <c r="ZB6" s="368"/>
      <c r="ZC6" s="368"/>
      <c r="ZD6" s="368"/>
      <c r="ZE6" s="368"/>
      <c r="ZF6" s="368"/>
      <c r="ZG6" s="368"/>
      <c r="ZH6" s="368"/>
      <c r="ZI6" s="368"/>
      <c r="ZJ6" s="368"/>
      <c r="ZK6" s="368"/>
      <c r="ZL6" s="368"/>
      <c r="ZM6" s="368"/>
      <c r="ZN6" s="368"/>
      <c r="ZO6" s="368"/>
      <c r="ZP6" s="368"/>
      <c r="ZQ6" s="368"/>
      <c r="ZR6" s="368"/>
      <c r="ZS6" s="368"/>
      <c r="ZT6" s="368"/>
      <c r="ZU6" s="368"/>
      <c r="ZV6" s="368"/>
      <c r="ZW6" s="368"/>
      <c r="ZX6" s="368"/>
      <c r="ZY6" s="368"/>
      <c r="ZZ6" s="368"/>
      <c r="AAA6" s="368"/>
      <c r="AAB6" s="368"/>
      <c r="AAC6" s="368"/>
      <c r="AAD6" s="368"/>
      <c r="AAE6" s="368"/>
      <c r="AAF6" s="368"/>
      <c r="AAG6" s="368"/>
      <c r="AAH6" s="368"/>
      <c r="AAI6" s="368"/>
      <c r="AAJ6" s="368"/>
      <c r="AAK6" s="368"/>
      <c r="AAL6" s="368"/>
      <c r="AAM6" s="368"/>
      <c r="AAN6" s="368"/>
      <c r="AAO6" s="368"/>
      <c r="AAP6" s="368"/>
      <c r="AAQ6" s="368"/>
      <c r="AAR6" s="368"/>
      <c r="AAS6" s="368"/>
      <c r="AAT6" s="368"/>
      <c r="AAU6" s="368"/>
      <c r="AAV6" s="368"/>
      <c r="AAW6" s="368"/>
      <c r="AAX6" s="368"/>
      <c r="AAY6" s="368"/>
      <c r="AAZ6" s="368"/>
      <c r="ABA6" s="368"/>
      <c r="ABB6" s="368"/>
      <c r="ABC6" s="368"/>
      <c r="ABD6" s="368"/>
      <c r="ABE6" s="368"/>
      <c r="ABF6" s="368"/>
      <c r="ABG6" s="368"/>
      <c r="ABH6" s="368"/>
      <c r="ABI6" s="368"/>
      <c r="ABJ6" s="368"/>
      <c r="ABK6" s="368"/>
      <c r="ABL6" s="368"/>
      <c r="ABM6" s="368"/>
      <c r="ABN6" s="368"/>
      <c r="ABO6" s="368"/>
      <c r="ABP6" s="368"/>
      <c r="ABQ6" s="368"/>
      <c r="ABR6" s="368"/>
      <c r="ABS6" s="368"/>
      <c r="ABT6" s="368"/>
      <c r="ABU6" s="368"/>
      <c r="ABV6" s="368"/>
      <c r="ABW6" s="368"/>
      <c r="ABX6" s="368"/>
      <c r="ABY6" s="368"/>
      <c r="ABZ6" s="368"/>
      <c r="ACA6" s="368"/>
      <c r="ACB6" s="368"/>
      <c r="ACC6" s="368"/>
      <c r="ACD6" s="368"/>
      <c r="ACE6" s="368"/>
      <c r="ACF6" s="368"/>
      <c r="ACG6" s="368"/>
      <c r="ACH6" s="368"/>
      <c r="ACI6" s="368"/>
      <c r="ACJ6" s="368"/>
      <c r="ACK6" s="368"/>
      <c r="ACL6" s="368"/>
      <c r="ACM6" s="368"/>
      <c r="ACN6" s="368"/>
      <c r="ACO6" s="368"/>
      <c r="ACP6" s="368"/>
      <c r="ACQ6" s="368"/>
      <c r="ACR6" s="368"/>
      <c r="ACS6" s="368"/>
      <c r="ACT6" s="368"/>
      <c r="ACU6" s="368"/>
      <c r="ACV6" s="368"/>
      <c r="ACW6" s="368"/>
      <c r="ACX6" s="368"/>
      <c r="ACY6" s="368"/>
      <c r="ACZ6" s="368"/>
      <c r="ADA6" s="368"/>
      <c r="ADB6" s="368"/>
      <c r="ADC6" s="368"/>
      <c r="ADD6" s="368"/>
      <c r="ADE6" s="368"/>
      <c r="ADF6" s="368"/>
      <c r="ADG6" s="368"/>
      <c r="ADH6" s="368"/>
      <c r="ADI6" s="368"/>
      <c r="ADJ6" s="368"/>
      <c r="ADK6" s="368"/>
      <c r="ADL6" s="368"/>
      <c r="ADM6" s="368"/>
      <c r="ADN6" s="368"/>
      <c r="ADO6" s="368"/>
      <c r="ADP6" s="368"/>
      <c r="ADQ6" s="368"/>
      <c r="ADR6" s="368"/>
      <c r="ADS6" s="368"/>
      <c r="ADT6" s="368"/>
      <c r="ADU6" s="368"/>
      <c r="ADV6" s="368"/>
      <c r="ADW6" s="368"/>
      <c r="ADX6" s="368"/>
      <c r="ADY6" s="368"/>
      <c r="ADZ6" s="368"/>
      <c r="AEA6" s="368"/>
      <c r="AEB6" s="368"/>
      <c r="AEC6" s="368"/>
      <c r="AED6" s="368"/>
      <c r="AEE6" s="368"/>
      <c r="AEF6" s="368"/>
      <c r="AEG6" s="368"/>
      <c r="AEH6" s="368"/>
      <c r="AEI6" s="368"/>
      <c r="AEJ6" s="368"/>
      <c r="AEK6" s="368"/>
      <c r="AEL6" s="368"/>
      <c r="AEM6" s="368"/>
      <c r="AEN6" s="368"/>
      <c r="AEO6" s="368"/>
      <c r="AEP6" s="368"/>
      <c r="AEQ6" s="368"/>
      <c r="AER6" s="368"/>
      <c r="AES6" s="368"/>
      <c r="AET6" s="368"/>
      <c r="AEU6" s="368"/>
      <c r="AEV6" s="368"/>
      <c r="AEW6" s="368"/>
      <c r="AEX6" s="368"/>
      <c r="AEY6" s="368"/>
      <c r="AEZ6" s="368"/>
      <c r="AFA6" s="368"/>
      <c r="AFB6" s="368"/>
      <c r="AFC6" s="368"/>
      <c r="AFD6" s="368"/>
      <c r="AFE6" s="368"/>
      <c r="AFF6" s="368"/>
      <c r="AFG6" s="368"/>
      <c r="AFH6" s="368"/>
      <c r="AFI6" s="368"/>
      <c r="AFJ6" s="368"/>
      <c r="AFK6" s="368"/>
      <c r="AFL6" s="368"/>
      <c r="AFM6" s="368"/>
      <c r="AFN6" s="368"/>
      <c r="AFO6" s="368"/>
      <c r="AFP6" s="368"/>
      <c r="AFQ6" s="368"/>
      <c r="AFR6" s="368"/>
      <c r="AFS6" s="368"/>
      <c r="AFT6" s="368"/>
      <c r="AFU6" s="368"/>
      <c r="AFV6" s="368"/>
      <c r="AFW6" s="368"/>
      <c r="AFX6" s="368"/>
      <c r="AFY6" s="368"/>
      <c r="AFZ6" s="368"/>
      <c r="AGA6" s="368"/>
      <c r="AGB6" s="368"/>
      <c r="AGC6" s="368"/>
      <c r="AGD6" s="368"/>
      <c r="AGE6" s="368"/>
      <c r="AGF6" s="368"/>
      <c r="AGG6" s="368"/>
      <c r="AGH6" s="368"/>
      <c r="AGI6" s="368"/>
      <c r="AGJ6" s="368"/>
      <c r="AGK6" s="368"/>
      <c r="AGL6" s="368"/>
      <c r="AGM6" s="368"/>
      <c r="AGN6" s="368"/>
      <c r="AGO6" s="368"/>
      <c r="AGP6" s="368"/>
      <c r="AGQ6" s="368"/>
      <c r="AGR6" s="368"/>
      <c r="AGS6" s="368"/>
      <c r="AGT6" s="368"/>
      <c r="AGU6" s="368"/>
      <c r="AGV6" s="368"/>
      <c r="AGW6" s="368"/>
      <c r="AGX6" s="368"/>
      <c r="AGY6" s="368"/>
      <c r="AGZ6" s="368"/>
      <c r="AHA6" s="368"/>
      <c r="AHB6" s="368"/>
      <c r="AHC6" s="368"/>
      <c r="AHD6" s="368"/>
      <c r="AHE6" s="368"/>
      <c r="AHF6" s="368"/>
      <c r="AHG6" s="368"/>
      <c r="AHH6" s="368"/>
      <c r="AHI6" s="368"/>
      <c r="AHJ6" s="368"/>
      <c r="AHK6" s="368"/>
      <c r="AHL6" s="368"/>
      <c r="AHM6" s="368"/>
      <c r="AHN6" s="368"/>
      <c r="AHO6" s="368"/>
      <c r="AHP6" s="368"/>
      <c r="AHQ6" s="368"/>
      <c r="AHR6" s="368"/>
      <c r="AHS6" s="368"/>
      <c r="AHT6" s="368"/>
      <c r="AHU6" s="368"/>
      <c r="AHV6" s="368"/>
      <c r="AHW6" s="368"/>
      <c r="AHX6" s="368"/>
      <c r="AHY6" s="368"/>
      <c r="AHZ6" s="368"/>
      <c r="AIA6" s="368"/>
      <c r="AIB6" s="368"/>
      <c r="AIC6" s="368"/>
      <c r="AID6" s="368"/>
      <c r="AIE6" s="368"/>
      <c r="AIF6" s="368"/>
      <c r="AIG6" s="368"/>
      <c r="AIH6" s="368"/>
      <c r="AII6" s="368"/>
      <c r="AIJ6" s="368"/>
      <c r="AIK6" s="368"/>
      <c r="AIL6" s="368"/>
      <c r="AIM6" s="368"/>
      <c r="AIN6" s="368"/>
      <c r="AIO6" s="368"/>
      <c r="AIP6" s="368"/>
      <c r="AIQ6" s="368"/>
      <c r="AIR6" s="368"/>
      <c r="AIS6" s="368"/>
      <c r="AIT6" s="368"/>
      <c r="AIU6" s="368"/>
      <c r="AIV6" s="368"/>
      <c r="AIW6" s="368"/>
      <c r="AIX6" s="368"/>
      <c r="AIY6" s="368"/>
      <c r="AIZ6" s="368"/>
      <c r="AJA6" s="368"/>
      <c r="AJB6" s="368"/>
      <c r="AJC6" s="368"/>
      <c r="AJD6" s="368"/>
      <c r="AJE6" s="368"/>
      <c r="AJF6" s="368"/>
      <c r="AJG6" s="368"/>
      <c r="AJH6" s="368"/>
      <c r="AJI6" s="368"/>
      <c r="AJJ6" s="368"/>
      <c r="AJK6" s="368"/>
      <c r="AJL6" s="368"/>
      <c r="AJM6" s="368"/>
      <c r="AJN6" s="368"/>
      <c r="AJO6" s="368"/>
      <c r="AJP6" s="368"/>
      <c r="AJQ6" s="368"/>
      <c r="AJR6" s="368"/>
      <c r="AJS6" s="368"/>
      <c r="AJT6" s="368"/>
      <c r="AJU6" s="368"/>
      <c r="AJV6" s="368"/>
      <c r="AJW6" s="368"/>
      <c r="AJX6" s="368"/>
      <c r="AJY6" s="368"/>
      <c r="AJZ6" s="368"/>
      <c r="AKA6" s="368"/>
      <c r="AKB6" s="368"/>
      <c r="AKC6" s="368"/>
      <c r="AKD6" s="368"/>
      <c r="AKE6" s="368"/>
      <c r="AKF6" s="368"/>
      <c r="AKG6" s="368"/>
      <c r="AKH6" s="368"/>
      <c r="AKI6" s="368"/>
      <c r="AKJ6" s="368"/>
      <c r="AKK6" s="368"/>
      <c r="AKL6" s="368"/>
      <c r="AKM6" s="368"/>
      <c r="AKN6" s="368"/>
      <c r="AKO6" s="368"/>
      <c r="AKP6" s="368"/>
      <c r="AKQ6" s="368"/>
      <c r="AKR6" s="368"/>
      <c r="AKS6" s="368"/>
      <c r="AKT6" s="368"/>
      <c r="AKU6" s="368"/>
      <c r="AKV6" s="368"/>
      <c r="AKW6" s="368"/>
      <c r="AKX6" s="368"/>
      <c r="AKY6" s="368"/>
      <c r="AKZ6" s="368"/>
      <c r="ALA6" s="368"/>
      <c r="ALB6" s="368"/>
      <c r="ALC6" s="368"/>
      <c r="ALD6" s="368"/>
      <c r="ALE6" s="368"/>
      <c r="ALF6" s="368"/>
      <c r="ALG6" s="368"/>
      <c r="ALH6" s="368"/>
      <c r="ALI6" s="368"/>
      <c r="ALJ6" s="368"/>
      <c r="ALK6" s="368"/>
      <c r="ALL6" s="368"/>
      <c r="ALM6" s="368"/>
      <c r="ALN6" s="368"/>
      <c r="ALO6" s="368"/>
      <c r="ALP6" s="368"/>
      <c r="ALQ6" s="368"/>
      <c r="ALR6" s="368"/>
      <c r="ALS6" s="368"/>
      <c r="ALT6" s="368"/>
      <c r="ALU6" s="368"/>
      <c r="ALV6" s="368"/>
      <c r="ALW6" s="368"/>
      <c r="ALX6" s="368"/>
      <c r="ALY6" s="368"/>
      <c r="ALZ6" s="368"/>
      <c r="AMA6" s="368"/>
      <c r="AMB6" s="368"/>
      <c r="AMC6" s="368"/>
      <c r="AMD6" s="368"/>
      <c r="AME6" s="368"/>
      <c r="AMF6" s="368"/>
      <c r="AMG6" s="368"/>
      <c r="AMH6" s="368"/>
      <c r="AMI6" s="368"/>
      <c r="AMJ6" s="368"/>
      <c r="AMK6" s="368"/>
      <c r="AML6" s="368"/>
      <c r="AMM6" s="368"/>
      <c r="AMN6" s="368"/>
      <c r="AMO6" s="368"/>
      <c r="AMP6" s="368"/>
      <c r="AMQ6" s="368"/>
      <c r="AMR6" s="368"/>
      <c r="AMS6" s="368"/>
      <c r="AMT6" s="368"/>
      <c r="AMU6" s="368"/>
      <c r="AMV6" s="368"/>
      <c r="AMW6" s="368"/>
      <c r="AMX6" s="368"/>
      <c r="AMY6" s="368"/>
      <c r="AMZ6" s="368"/>
      <c r="ANA6" s="368"/>
      <c r="ANB6" s="368"/>
      <c r="ANC6" s="368"/>
      <c r="AND6" s="368"/>
      <c r="ANE6" s="368"/>
      <c r="ANF6" s="368"/>
      <c r="ANG6" s="368"/>
      <c r="ANH6" s="368"/>
      <c r="ANI6" s="368"/>
      <c r="ANJ6" s="368"/>
      <c r="ANK6" s="368"/>
      <c r="ANL6" s="368"/>
      <c r="ANM6" s="368"/>
      <c r="ANN6" s="368"/>
      <c r="ANO6" s="368"/>
      <c r="ANP6" s="368"/>
      <c r="ANQ6" s="368"/>
      <c r="ANR6" s="368"/>
      <c r="ANS6" s="368"/>
      <c r="ANT6" s="368"/>
      <c r="ANU6" s="368"/>
      <c r="ANV6" s="368"/>
      <c r="ANW6" s="368"/>
      <c r="ANX6" s="368"/>
      <c r="ANY6" s="368"/>
      <c r="ANZ6" s="368"/>
      <c r="AOA6" s="368"/>
      <c r="AOB6" s="368"/>
      <c r="AOC6" s="368"/>
      <c r="AOD6" s="368"/>
      <c r="AOE6" s="368"/>
      <c r="AOF6" s="368"/>
      <c r="AOG6" s="368"/>
      <c r="AOH6" s="368"/>
      <c r="AOI6" s="368"/>
      <c r="AOJ6" s="368"/>
      <c r="AOK6" s="368"/>
      <c r="AOL6" s="368"/>
      <c r="AOM6" s="368"/>
      <c r="AON6" s="368"/>
      <c r="AOO6" s="368"/>
      <c r="AOP6" s="368"/>
      <c r="AOQ6" s="368"/>
      <c r="AOR6" s="368"/>
      <c r="AOS6" s="368"/>
      <c r="AOT6" s="368"/>
      <c r="AOU6" s="368"/>
      <c r="AOV6" s="368"/>
      <c r="AOW6" s="368"/>
      <c r="AOX6" s="368"/>
      <c r="AOY6" s="368"/>
      <c r="AOZ6" s="368"/>
      <c r="APA6" s="368"/>
      <c r="APB6" s="368"/>
      <c r="APC6" s="368"/>
      <c r="APD6" s="368"/>
      <c r="APE6" s="368"/>
      <c r="APF6" s="368"/>
      <c r="APG6" s="368"/>
      <c r="APH6" s="368"/>
      <c r="API6" s="368"/>
      <c r="APJ6" s="368"/>
      <c r="APK6" s="368"/>
      <c r="APL6" s="368"/>
      <c r="APM6" s="368"/>
      <c r="APN6" s="368"/>
      <c r="APO6" s="368"/>
      <c r="APP6" s="368"/>
      <c r="APQ6" s="368"/>
      <c r="APR6" s="368"/>
      <c r="APS6" s="368"/>
      <c r="APT6" s="368"/>
      <c r="APU6" s="368"/>
      <c r="APV6" s="368"/>
      <c r="APW6" s="368"/>
      <c r="APX6" s="368"/>
      <c r="APY6" s="368"/>
      <c r="APZ6" s="368"/>
      <c r="AQA6" s="368"/>
      <c r="AQB6" s="368"/>
      <c r="AQC6" s="368"/>
      <c r="AQD6" s="368"/>
      <c r="AQE6" s="368"/>
      <c r="AQF6" s="368"/>
      <c r="AQG6" s="368"/>
      <c r="AQH6" s="368"/>
      <c r="AQI6" s="368"/>
      <c r="AQJ6" s="368"/>
      <c r="AQK6" s="368"/>
      <c r="AQL6" s="368"/>
      <c r="AQM6" s="368"/>
      <c r="AQN6" s="368"/>
      <c r="AQO6" s="368"/>
      <c r="AQP6" s="368"/>
      <c r="AQQ6" s="368"/>
      <c r="AQR6" s="368"/>
      <c r="AQS6" s="368"/>
      <c r="AQT6" s="368"/>
      <c r="AQU6" s="368"/>
      <c r="AQV6" s="368"/>
      <c r="AQW6" s="368"/>
      <c r="AQX6" s="368"/>
      <c r="AQY6" s="368"/>
      <c r="AQZ6" s="368"/>
      <c r="ARA6" s="368"/>
      <c r="ARB6" s="368"/>
      <c r="ARC6" s="368"/>
      <c r="ARD6" s="368"/>
      <c r="ARE6" s="368"/>
      <c r="ARF6" s="368"/>
      <c r="ARG6" s="368"/>
      <c r="ARH6" s="368"/>
      <c r="ARI6" s="368"/>
      <c r="ARJ6" s="368"/>
      <c r="ARK6" s="368"/>
      <c r="ARL6" s="368"/>
      <c r="ARM6" s="368"/>
      <c r="ARN6" s="368"/>
      <c r="ARO6" s="368"/>
      <c r="ARP6" s="368"/>
      <c r="ARQ6" s="368"/>
      <c r="ARR6" s="368"/>
      <c r="ARS6" s="368"/>
      <c r="ART6" s="368"/>
      <c r="ARU6" s="368"/>
      <c r="ARV6" s="368"/>
      <c r="ARW6" s="368"/>
      <c r="ARX6" s="368"/>
      <c r="ARY6" s="368"/>
      <c r="ARZ6" s="368"/>
      <c r="ASA6" s="368"/>
      <c r="ASB6" s="368"/>
      <c r="ASC6" s="368"/>
      <c r="ASD6" s="368"/>
      <c r="ASE6" s="368"/>
      <c r="ASF6" s="368"/>
      <c r="ASG6" s="368"/>
      <c r="ASH6" s="368"/>
      <c r="ASI6" s="368"/>
      <c r="ASJ6" s="368"/>
      <c r="ASK6" s="368"/>
      <c r="ASL6" s="368"/>
      <c r="ASM6" s="368"/>
      <c r="ASN6" s="368"/>
      <c r="ASO6" s="368"/>
      <c r="ASP6" s="368"/>
      <c r="ASQ6" s="368"/>
      <c r="ASR6" s="368"/>
      <c r="ASS6" s="368"/>
      <c r="AST6" s="368"/>
      <c r="ASU6" s="368"/>
      <c r="ASV6" s="368"/>
      <c r="ASW6" s="368"/>
      <c r="ASX6" s="368"/>
      <c r="ASY6" s="368"/>
      <c r="ASZ6" s="368"/>
      <c r="ATA6" s="368"/>
      <c r="ATB6" s="368"/>
      <c r="ATC6" s="368"/>
      <c r="ATD6" s="368"/>
      <c r="ATE6" s="368"/>
      <c r="ATF6" s="368"/>
      <c r="ATG6" s="368"/>
      <c r="ATH6" s="368"/>
      <c r="ATI6" s="368"/>
      <c r="ATJ6" s="368"/>
      <c r="ATK6" s="368"/>
      <c r="ATL6" s="368"/>
      <c r="ATM6" s="368"/>
      <c r="ATN6" s="368"/>
      <c r="ATO6" s="368"/>
      <c r="ATP6" s="368"/>
      <c r="ATQ6" s="368"/>
      <c r="ATR6" s="368"/>
      <c r="ATS6" s="368"/>
      <c r="ATT6" s="368"/>
      <c r="ATU6" s="368"/>
      <c r="ATV6" s="368"/>
      <c r="ATW6" s="368"/>
      <c r="ATX6" s="368"/>
      <c r="ATY6" s="368"/>
      <c r="ATZ6" s="368"/>
      <c r="AUA6" s="368"/>
      <c r="AUB6" s="368"/>
      <c r="AUC6" s="368"/>
      <c r="AUD6" s="368"/>
      <c r="AUE6" s="368"/>
      <c r="AUF6" s="368"/>
      <c r="AUG6" s="368"/>
      <c r="AUH6" s="368"/>
      <c r="AUI6" s="368"/>
      <c r="AUJ6" s="368"/>
      <c r="AUK6" s="368"/>
      <c r="AUL6" s="368"/>
      <c r="AUM6" s="368"/>
      <c r="AUN6" s="368"/>
      <c r="AUO6" s="368"/>
      <c r="AUP6" s="368"/>
      <c r="AUQ6" s="368"/>
      <c r="AUR6" s="368"/>
      <c r="AUS6" s="368"/>
      <c r="AUT6" s="368"/>
      <c r="AUU6" s="368"/>
      <c r="AUV6" s="368"/>
      <c r="AUW6" s="368"/>
      <c r="AUX6" s="368"/>
      <c r="AUY6" s="368"/>
      <c r="AUZ6" s="368"/>
      <c r="AVA6" s="368"/>
      <c r="AVB6" s="368"/>
      <c r="AVC6" s="368"/>
      <c r="AVD6" s="368"/>
      <c r="AVE6" s="368"/>
      <c r="AVF6" s="368"/>
      <c r="AVG6" s="368"/>
      <c r="AVH6" s="368"/>
      <c r="AVI6" s="368"/>
      <c r="AVJ6" s="368"/>
      <c r="AVK6" s="368"/>
      <c r="AVL6" s="368"/>
      <c r="AVM6" s="368"/>
      <c r="AVN6" s="368"/>
      <c r="AVO6" s="368"/>
      <c r="AVP6" s="368"/>
      <c r="AVQ6" s="368"/>
      <c r="AVR6" s="368"/>
      <c r="AVS6" s="368"/>
      <c r="AVT6" s="368"/>
      <c r="AVU6" s="368"/>
      <c r="AVV6" s="368"/>
      <c r="AVW6" s="368"/>
      <c r="AVX6" s="368"/>
      <c r="AVY6" s="368"/>
      <c r="AVZ6" s="368"/>
      <c r="AWA6" s="368"/>
      <c r="AWB6" s="368"/>
      <c r="AWC6" s="368"/>
      <c r="AWD6" s="368"/>
      <c r="AWE6" s="368"/>
      <c r="AWF6" s="368"/>
      <c r="AWG6" s="368"/>
      <c r="AWH6" s="368"/>
      <c r="AWI6" s="368"/>
      <c r="AWJ6" s="368"/>
      <c r="AWK6" s="368"/>
      <c r="AWL6" s="368"/>
      <c r="AWM6" s="368"/>
      <c r="AWN6" s="368"/>
      <c r="AWO6" s="368"/>
      <c r="AWP6" s="368"/>
      <c r="AWQ6" s="368"/>
      <c r="AWR6" s="368"/>
      <c r="AWS6" s="368"/>
      <c r="AWT6" s="368"/>
      <c r="AWU6" s="368"/>
      <c r="AWV6" s="368"/>
      <c r="AWW6" s="368"/>
      <c r="AWX6" s="368"/>
      <c r="AWY6" s="368"/>
      <c r="AWZ6" s="368"/>
      <c r="AXA6" s="368"/>
      <c r="AXB6" s="368"/>
      <c r="AXC6" s="368"/>
      <c r="AXD6" s="368"/>
      <c r="AXE6" s="368"/>
      <c r="AXF6" s="368"/>
      <c r="AXG6" s="368"/>
      <c r="AXH6" s="368"/>
      <c r="AXI6" s="368"/>
      <c r="AXJ6" s="368"/>
      <c r="AXK6" s="368"/>
      <c r="AXL6" s="368"/>
      <c r="AXM6" s="368"/>
      <c r="AXN6" s="368"/>
      <c r="AXO6" s="368"/>
      <c r="AXP6" s="368"/>
      <c r="AXQ6" s="368"/>
      <c r="AXR6" s="368"/>
      <c r="AXS6" s="368"/>
      <c r="AXT6" s="368"/>
      <c r="AXU6" s="368"/>
      <c r="AXV6" s="368"/>
      <c r="AXW6" s="368"/>
      <c r="AXX6" s="368"/>
      <c r="AXY6" s="368"/>
      <c r="AXZ6" s="368"/>
      <c r="AYA6" s="368"/>
      <c r="AYB6" s="368"/>
      <c r="AYC6" s="368"/>
      <c r="AYD6" s="368"/>
      <c r="AYE6" s="368"/>
      <c r="AYF6" s="368"/>
      <c r="AYG6" s="368"/>
      <c r="AYH6" s="368"/>
      <c r="AYI6" s="368"/>
      <c r="AYJ6" s="368"/>
      <c r="AYK6" s="368"/>
      <c r="AYL6" s="368"/>
      <c r="AYM6" s="368"/>
      <c r="AYN6" s="368"/>
      <c r="AYO6" s="368"/>
      <c r="AYP6" s="368"/>
      <c r="AYQ6" s="368"/>
      <c r="AYR6" s="368"/>
      <c r="AYS6" s="368"/>
      <c r="AYT6" s="368"/>
      <c r="AYU6" s="368"/>
      <c r="AYV6" s="368"/>
      <c r="AYW6" s="368"/>
      <c r="AYX6" s="368"/>
      <c r="AYY6" s="368"/>
      <c r="AYZ6" s="368"/>
      <c r="AZA6" s="368"/>
      <c r="AZB6" s="368"/>
      <c r="AZC6" s="368"/>
      <c r="AZD6" s="368"/>
      <c r="AZE6" s="368"/>
      <c r="AZF6" s="368"/>
      <c r="AZG6" s="368"/>
      <c r="AZH6" s="368"/>
      <c r="AZI6" s="368"/>
      <c r="AZJ6" s="368"/>
      <c r="AZK6" s="368"/>
      <c r="AZL6" s="368"/>
      <c r="AZM6" s="368"/>
      <c r="AZN6" s="368"/>
      <c r="AZO6" s="368"/>
      <c r="AZP6" s="368"/>
      <c r="AZQ6" s="368"/>
      <c r="AZR6" s="368"/>
      <c r="AZS6" s="368"/>
      <c r="AZT6" s="368"/>
      <c r="AZU6" s="368"/>
      <c r="AZV6" s="368"/>
      <c r="AZW6" s="368"/>
      <c r="AZX6" s="368"/>
      <c r="AZY6" s="368"/>
      <c r="AZZ6" s="368"/>
      <c r="BAA6" s="368"/>
      <c r="BAB6" s="368"/>
      <c r="BAC6" s="368"/>
      <c r="BAD6" s="368"/>
      <c r="BAE6" s="368"/>
      <c r="BAF6" s="368"/>
      <c r="BAG6" s="368"/>
      <c r="BAH6" s="368"/>
      <c r="BAI6" s="368"/>
      <c r="BAJ6" s="368"/>
      <c r="BAK6" s="368"/>
      <c r="BAL6" s="368"/>
      <c r="BAM6" s="368"/>
      <c r="BAN6" s="368"/>
      <c r="BAO6" s="368"/>
      <c r="BAP6" s="368"/>
      <c r="BAQ6" s="368"/>
      <c r="BAR6" s="368"/>
      <c r="BAS6" s="368"/>
      <c r="BAT6" s="368"/>
      <c r="BAU6" s="368"/>
      <c r="BAV6" s="368"/>
      <c r="BAW6" s="368"/>
      <c r="BAX6" s="368"/>
      <c r="BAY6" s="368"/>
      <c r="BAZ6" s="368"/>
      <c r="BBA6" s="368"/>
      <c r="BBB6" s="368"/>
      <c r="BBC6" s="368"/>
      <c r="BBD6" s="368"/>
      <c r="BBE6" s="368"/>
      <c r="BBF6" s="368"/>
      <c r="BBG6" s="368"/>
      <c r="BBH6" s="368"/>
      <c r="BBI6" s="368"/>
      <c r="BBJ6" s="368"/>
      <c r="BBK6" s="368"/>
      <c r="BBL6" s="368"/>
      <c r="BBM6" s="368"/>
      <c r="BBN6" s="368"/>
      <c r="BBO6" s="368"/>
      <c r="BBP6" s="368"/>
      <c r="BBQ6" s="368"/>
      <c r="BBR6" s="368"/>
      <c r="BBS6" s="368"/>
      <c r="BBT6" s="368"/>
      <c r="BBU6" s="368"/>
      <c r="BBV6" s="368"/>
      <c r="BBW6" s="368"/>
      <c r="BBX6" s="368"/>
      <c r="BBY6" s="368"/>
      <c r="BBZ6" s="368"/>
      <c r="BCA6" s="368"/>
      <c r="BCB6" s="368"/>
      <c r="BCC6" s="368"/>
      <c r="BCD6" s="368"/>
      <c r="BCE6" s="368"/>
      <c r="BCF6" s="368"/>
      <c r="BCG6" s="368"/>
      <c r="BCH6" s="368"/>
      <c r="BCI6" s="368"/>
      <c r="BCJ6" s="368"/>
      <c r="BCK6" s="368"/>
      <c r="BCL6" s="368"/>
      <c r="BCM6" s="368"/>
      <c r="BCN6" s="368"/>
      <c r="BCO6" s="368"/>
      <c r="BCP6" s="368"/>
      <c r="BCQ6" s="368"/>
      <c r="BCR6" s="368"/>
      <c r="BCS6" s="368"/>
      <c r="BCT6" s="368"/>
      <c r="BCU6" s="368"/>
      <c r="BCV6" s="368"/>
      <c r="BCW6" s="368"/>
      <c r="BCX6" s="368"/>
      <c r="BCY6" s="368"/>
      <c r="BCZ6" s="368"/>
      <c r="BDA6" s="368"/>
      <c r="BDB6" s="368"/>
      <c r="BDC6" s="368"/>
      <c r="BDD6" s="368"/>
      <c r="BDE6" s="368"/>
      <c r="BDF6" s="368"/>
      <c r="BDG6" s="368"/>
      <c r="BDH6" s="368"/>
      <c r="BDI6" s="368"/>
      <c r="BDJ6" s="368"/>
      <c r="BDK6" s="368"/>
      <c r="BDL6" s="368"/>
      <c r="BDM6" s="368"/>
      <c r="BDN6" s="368"/>
      <c r="BDO6" s="368"/>
      <c r="BDP6" s="368"/>
      <c r="BDQ6" s="368"/>
      <c r="BDR6" s="368"/>
      <c r="BDS6" s="368"/>
      <c r="BDT6" s="368"/>
      <c r="BDU6" s="368"/>
      <c r="BDV6" s="368"/>
      <c r="BDW6" s="368"/>
      <c r="BDX6" s="368"/>
      <c r="BDY6" s="368"/>
      <c r="BDZ6" s="368"/>
      <c r="BEA6" s="368"/>
      <c r="BEB6" s="368"/>
      <c r="BEC6" s="368"/>
      <c r="BED6" s="368"/>
      <c r="BEE6" s="368"/>
      <c r="BEF6" s="368"/>
      <c r="BEG6" s="368"/>
      <c r="BEH6" s="368"/>
      <c r="BEI6" s="368"/>
      <c r="BEJ6" s="368"/>
      <c r="BEK6" s="368"/>
      <c r="BEL6" s="368"/>
      <c r="BEM6" s="368"/>
      <c r="BEN6" s="368"/>
      <c r="BEO6" s="368"/>
      <c r="BEP6" s="368"/>
      <c r="BEQ6" s="368"/>
      <c r="BER6" s="368"/>
      <c r="BES6" s="368"/>
      <c r="BET6" s="368"/>
      <c r="BEU6" s="368"/>
      <c r="BEV6" s="368"/>
      <c r="BEW6" s="368"/>
      <c r="BEX6" s="368"/>
      <c r="BEY6" s="368"/>
      <c r="BEZ6" s="368"/>
      <c r="BFA6" s="368"/>
      <c r="BFB6" s="368"/>
      <c r="BFC6" s="368"/>
      <c r="BFD6" s="368"/>
      <c r="BFE6" s="368"/>
      <c r="BFF6" s="368"/>
      <c r="BFG6" s="368"/>
      <c r="BFH6" s="368"/>
      <c r="BFI6" s="368"/>
      <c r="BFJ6" s="368"/>
      <c r="BFK6" s="368"/>
      <c r="BFL6" s="368"/>
      <c r="BFM6" s="368"/>
      <c r="BFN6" s="368"/>
      <c r="BFO6" s="368"/>
      <c r="BFP6" s="368"/>
      <c r="BFQ6" s="368"/>
      <c r="BFR6" s="368"/>
      <c r="BFS6" s="368"/>
      <c r="BFT6" s="368"/>
      <c r="BFU6" s="368"/>
      <c r="BFV6" s="368"/>
      <c r="BFW6" s="368"/>
      <c r="BFX6" s="368"/>
      <c r="BFY6" s="368"/>
      <c r="BFZ6" s="368"/>
      <c r="BGA6" s="368"/>
      <c r="BGB6" s="368"/>
      <c r="BGC6" s="368"/>
      <c r="BGD6" s="368"/>
      <c r="BGE6" s="368"/>
      <c r="BGF6" s="368"/>
      <c r="BGG6" s="368"/>
      <c r="BGH6" s="368"/>
      <c r="BGI6" s="368"/>
      <c r="BGJ6" s="368"/>
      <c r="BGK6" s="368"/>
      <c r="BGL6" s="368"/>
      <c r="BGM6" s="368"/>
      <c r="BGN6" s="368"/>
      <c r="BGO6" s="368"/>
      <c r="BGP6" s="368"/>
      <c r="BGQ6" s="368"/>
      <c r="BGR6" s="368"/>
      <c r="BGS6" s="368"/>
      <c r="BGT6" s="368"/>
      <c r="BGU6" s="368"/>
      <c r="BGV6" s="368"/>
      <c r="BGW6" s="368"/>
      <c r="BGX6" s="368"/>
      <c r="BGY6" s="368"/>
      <c r="BGZ6" s="368"/>
      <c r="BHA6" s="368"/>
      <c r="BHB6" s="368"/>
      <c r="BHC6" s="368"/>
      <c r="BHD6" s="368"/>
      <c r="BHE6" s="368"/>
      <c r="BHF6" s="368"/>
      <c r="BHG6" s="368"/>
      <c r="BHH6" s="368"/>
      <c r="BHI6" s="368"/>
      <c r="BHJ6" s="368"/>
      <c r="BHK6" s="368"/>
      <c r="BHL6" s="368"/>
      <c r="BHM6" s="368"/>
      <c r="BHN6" s="368"/>
      <c r="BHO6" s="368"/>
      <c r="BHP6" s="368"/>
      <c r="BHQ6" s="368"/>
      <c r="BHR6" s="368"/>
      <c r="BHS6" s="368"/>
      <c r="BHT6" s="368"/>
      <c r="BHU6" s="368"/>
      <c r="BHV6" s="368"/>
      <c r="BHW6" s="368"/>
      <c r="BHX6" s="368"/>
      <c r="BHY6" s="368"/>
      <c r="BHZ6" s="368"/>
      <c r="BIA6" s="368"/>
      <c r="BIB6" s="368"/>
      <c r="BIC6" s="368"/>
      <c r="BID6" s="368"/>
      <c r="BIE6" s="368"/>
      <c r="BIF6" s="368"/>
      <c r="BIG6" s="368"/>
      <c r="BIH6" s="368"/>
      <c r="BII6" s="368"/>
      <c r="BIJ6" s="368"/>
      <c r="BIK6" s="368"/>
      <c r="BIL6" s="368"/>
      <c r="BIM6" s="368"/>
      <c r="BIN6" s="368"/>
      <c r="BIO6" s="368"/>
      <c r="BIP6" s="368"/>
      <c r="BIQ6" s="368"/>
      <c r="BIR6" s="368"/>
      <c r="BIS6" s="368"/>
      <c r="BIT6" s="368"/>
      <c r="BIU6" s="368"/>
      <c r="BIV6" s="368"/>
      <c r="BIW6" s="368"/>
      <c r="BIX6" s="368"/>
      <c r="BIY6" s="368"/>
      <c r="BIZ6" s="368"/>
      <c r="BJA6" s="368"/>
      <c r="BJB6" s="368"/>
      <c r="BJC6" s="368"/>
      <c r="BJD6" s="368"/>
      <c r="BJE6" s="368"/>
      <c r="BJF6" s="368"/>
      <c r="BJG6" s="368"/>
      <c r="BJH6" s="368"/>
      <c r="BJI6" s="368"/>
      <c r="BJJ6" s="368"/>
      <c r="BJK6" s="368"/>
      <c r="BJL6" s="368"/>
      <c r="BJM6" s="368"/>
      <c r="BJN6" s="368"/>
      <c r="BJO6" s="368"/>
      <c r="BJP6" s="368"/>
      <c r="BJQ6" s="368"/>
      <c r="BJR6" s="368"/>
      <c r="BJS6" s="368"/>
      <c r="BJT6" s="368"/>
      <c r="BJU6" s="368"/>
      <c r="BJV6" s="368"/>
      <c r="BJW6" s="368"/>
      <c r="BJX6" s="368"/>
      <c r="BJY6" s="368"/>
      <c r="BJZ6" s="368"/>
      <c r="BKA6" s="368"/>
      <c r="BKB6" s="368"/>
      <c r="BKC6" s="368"/>
      <c r="BKD6" s="368"/>
      <c r="BKE6" s="368"/>
      <c r="BKF6" s="368"/>
      <c r="BKG6" s="368"/>
      <c r="BKH6" s="368"/>
      <c r="BKI6" s="368"/>
      <c r="BKJ6" s="368"/>
      <c r="BKK6" s="368"/>
      <c r="BKL6" s="368"/>
      <c r="BKM6" s="368"/>
      <c r="BKN6" s="368"/>
      <c r="BKO6" s="368"/>
      <c r="BKP6" s="368"/>
      <c r="BKQ6" s="368"/>
      <c r="BKR6" s="368"/>
      <c r="BKS6" s="368"/>
      <c r="BKT6" s="368"/>
      <c r="BKU6" s="368"/>
      <c r="BKV6" s="368"/>
      <c r="BKW6" s="368"/>
      <c r="BKX6" s="368"/>
      <c r="BKY6" s="368"/>
      <c r="BKZ6" s="368"/>
      <c r="BLA6" s="368"/>
      <c r="BLB6" s="368"/>
      <c r="BLC6" s="368"/>
      <c r="BLD6" s="368"/>
      <c r="BLE6" s="368"/>
      <c r="BLF6" s="368"/>
      <c r="BLG6" s="368"/>
      <c r="BLH6" s="368"/>
      <c r="BLI6" s="368"/>
      <c r="BLJ6" s="368"/>
      <c r="BLK6" s="368"/>
      <c r="BLL6" s="368"/>
      <c r="BLM6" s="368"/>
      <c r="BLN6" s="368"/>
      <c r="BLO6" s="368"/>
      <c r="BLP6" s="368"/>
      <c r="BLQ6" s="368"/>
      <c r="BLR6" s="368"/>
      <c r="BLS6" s="368"/>
      <c r="BLT6" s="368"/>
      <c r="BLU6" s="368"/>
      <c r="BLV6" s="368"/>
      <c r="BLW6" s="368"/>
      <c r="BLX6" s="368"/>
      <c r="BLY6" s="368"/>
      <c r="BLZ6" s="368"/>
      <c r="BMA6" s="368"/>
      <c r="BMB6" s="368"/>
      <c r="BMC6" s="368"/>
      <c r="BMD6" s="368"/>
      <c r="BME6" s="368"/>
      <c r="BMF6" s="368"/>
      <c r="BMG6" s="368"/>
      <c r="BMH6" s="368"/>
      <c r="BMI6" s="368"/>
      <c r="BMJ6" s="368"/>
      <c r="BMK6" s="368"/>
      <c r="BML6" s="368"/>
      <c r="BMM6" s="368"/>
      <c r="BMN6" s="368"/>
      <c r="BMO6" s="368"/>
      <c r="BMP6" s="368"/>
      <c r="BMQ6" s="368"/>
      <c r="BMR6" s="368"/>
      <c r="BMS6" s="368"/>
      <c r="BMT6" s="368"/>
      <c r="BMU6" s="368"/>
      <c r="BMV6" s="368"/>
      <c r="BMW6" s="368"/>
      <c r="BMX6" s="368"/>
      <c r="BMY6" s="368"/>
      <c r="BMZ6" s="368"/>
      <c r="BNA6" s="368"/>
      <c r="BNB6" s="368"/>
      <c r="BNC6" s="368"/>
      <c r="BND6" s="368"/>
      <c r="BNE6" s="368"/>
      <c r="BNF6" s="368"/>
      <c r="BNG6" s="368"/>
      <c r="BNH6" s="368"/>
      <c r="BNI6" s="368"/>
      <c r="BNJ6" s="368"/>
      <c r="BNK6" s="368"/>
      <c r="BNL6" s="368"/>
      <c r="BNM6" s="368"/>
      <c r="BNN6" s="368"/>
      <c r="BNO6" s="368"/>
      <c r="BNP6" s="368"/>
      <c r="BNQ6" s="368"/>
      <c r="BNR6" s="368"/>
      <c r="BNS6" s="368"/>
      <c r="BNT6" s="368"/>
      <c r="BNU6" s="368"/>
      <c r="BNV6" s="368"/>
      <c r="BNW6" s="368"/>
      <c r="BNX6" s="368"/>
      <c r="BNY6" s="368"/>
      <c r="BNZ6" s="368"/>
      <c r="BOA6" s="368"/>
      <c r="BOB6" s="368"/>
      <c r="BOC6" s="368"/>
      <c r="BOD6" s="368"/>
      <c r="BOE6" s="368"/>
      <c r="BOF6" s="368"/>
      <c r="BOG6" s="368"/>
      <c r="BOH6" s="368"/>
      <c r="BOI6" s="368"/>
      <c r="BOJ6" s="368"/>
      <c r="BOK6" s="368"/>
      <c r="BOL6" s="368"/>
      <c r="BOM6" s="368"/>
      <c r="BON6" s="368"/>
      <c r="BOO6" s="368"/>
      <c r="BOP6" s="368"/>
      <c r="BOQ6" s="368"/>
      <c r="BOR6" s="368"/>
      <c r="BOS6" s="368"/>
      <c r="BOT6" s="368"/>
      <c r="BOU6" s="368"/>
      <c r="BOV6" s="368"/>
      <c r="BOW6" s="368"/>
      <c r="BOX6" s="368"/>
      <c r="BOY6" s="368"/>
      <c r="BOZ6" s="368"/>
      <c r="BPA6" s="368"/>
      <c r="BPB6" s="368"/>
      <c r="BPC6" s="368"/>
      <c r="BPD6" s="368"/>
      <c r="BPE6" s="368"/>
      <c r="BPF6" s="368"/>
      <c r="BPG6" s="368"/>
      <c r="BPH6" s="368"/>
      <c r="BPI6" s="368"/>
      <c r="BPJ6" s="368"/>
      <c r="BPK6" s="368"/>
      <c r="BPL6" s="368"/>
      <c r="BPM6" s="368"/>
      <c r="BPN6" s="368"/>
      <c r="BPO6" s="368"/>
      <c r="BPP6" s="368"/>
      <c r="BPQ6" s="368"/>
      <c r="BPR6" s="368"/>
      <c r="BPS6" s="368"/>
      <c r="BPT6" s="368"/>
      <c r="BPU6" s="368"/>
      <c r="BPV6" s="368"/>
      <c r="BPW6" s="368"/>
      <c r="BPX6" s="368"/>
      <c r="BPY6" s="368"/>
      <c r="BPZ6" s="368"/>
      <c r="BQA6" s="368"/>
      <c r="BQB6" s="368"/>
      <c r="BQC6" s="368"/>
      <c r="BQD6" s="368"/>
      <c r="BQE6" s="368"/>
      <c r="BQF6" s="368"/>
      <c r="BQG6" s="368"/>
      <c r="BQH6" s="368"/>
      <c r="BQI6" s="368"/>
      <c r="BQJ6" s="368"/>
      <c r="BQK6" s="368"/>
      <c r="BQL6" s="368"/>
      <c r="BQM6" s="368"/>
      <c r="BQN6" s="368"/>
      <c r="BQO6" s="368"/>
      <c r="BQP6" s="368"/>
      <c r="BQQ6" s="368"/>
      <c r="BQR6" s="368"/>
      <c r="BQS6" s="368"/>
      <c r="BQT6" s="368"/>
      <c r="BQU6" s="368"/>
      <c r="BQV6" s="368"/>
      <c r="BQW6" s="368"/>
      <c r="BQX6" s="368"/>
      <c r="BQY6" s="368"/>
      <c r="BQZ6" s="368"/>
      <c r="BRA6" s="368"/>
      <c r="BRB6" s="368"/>
      <c r="BRC6" s="368"/>
      <c r="BRD6" s="368"/>
      <c r="BRE6" s="368"/>
      <c r="BRF6" s="368"/>
      <c r="BRG6" s="368"/>
      <c r="BRH6" s="368"/>
      <c r="BRI6" s="368"/>
      <c r="BRJ6" s="368"/>
      <c r="BRK6" s="368"/>
      <c r="BRL6" s="368"/>
      <c r="BRM6" s="368"/>
      <c r="BRN6" s="368"/>
      <c r="BRO6" s="368"/>
      <c r="BRP6" s="368"/>
      <c r="BRQ6" s="368"/>
      <c r="BRR6" s="368"/>
      <c r="BRS6" s="368"/>
      <c r="BRT6" s="368"/>
      <c r="BRU6" s="368"/>
      <c r="BRV6" s="368"/>
      <c r="BRW6" s="368"/>
      <c r="BRX6" s="368"/>
      <c r="BRY6" s="368"/>
      <c r="BRZ6" s="368"/>
      <c r="BSA6" s="368"/>
      <c r="BSB6" s="368"/>
      <c r="BSC6" s="368"/>
      <c r="BSD6" s="368"/>
      <c r="BSE6" s="368"/>
      <c r="BSF6" s="368"/>
      <c r="BSG6" s="368"/>
      <c r="BSH6" s="368"/>
      <c r="BSI6" s="368"/>
      <c r="BSJ6" s="368"/>
      <c r="BSK6" s="368"/>
      <c r="BSL6" s="368"/>
      <c r="BSM6" s="368"/>
      <c r="BSN6" s="368"/>
      <c r="BSO6" s="368"/>
      <c r="BSP6" s="368"/>
      <c r="BSQ6" s="368"/>
      <c r="BSR6" s="368"/>
      <c r="BSS6" s="368"/>
      <c r="BST6" s="368"/>
      <c r="BSU6" s="368"/>
      <c r="BSV6" s="368"/>
      <c r="BSW6" s="368"/>
      <c r="BSX6" s="368"/>
      <c r="BSY6" s="368"/>
      <c r="BSZ6" s="368"/>
      <c r="BTA6" s="368"/>
      <c r="BTB6" s="368"/>
      <c r="BTC6" s="368"/>
      <c r="BTD6" s="368"/>
      <c r="BTE6" s="368"/>
      <c r="BTF6" s="368"/>
      <c r="BTG6" s="368"/>
      <c r="BTH6" s="368"/>
      <c r="BTI6" s="368"/>
      <c r="BTJ6" s="368"/>
      <c r="BTK6" s="368"/>
      <c r="BTL6" s="368"/>
      <c r="BTM6" s="368"/>
      <c r="BTN6" s="368"/>
      <c r="BTO6" s="368"/>
      <c r="BTP6" s="368"/>
      <c r="BTQ6" s="368"/>
      <c r="BTR6" s="368"/>
      <c r="BTS6" s="368"/>
      <c r="BTT6" s="368"/>
      <c r="BTU6" s="368"/>
      <c r="BTV6" s="368"/>
      <c r="BTW6" s="368"/>
      <c r="BTX6" s="368"/>
      <c r="BTY6" s="368"/>
      <c r="BTZ6" s="368"/>
      <c r="BUA6" s="368"/>
      <c r="BUB6" s="368"/>
      <c r="BUC6" s="368"/>
      <c r="BUD6" s="368"/>
      <c r="BUE6" s="368"/>
      <c r="BUF6" s="368"/>
      <c r="BUG6" s="368"/>
      <c r="BUH6" s="368"/>
      <c r="BUI6" s="368"/>
      <c r="BUJ6" s="368"/>
      <c r="BUK6" s="368"/>
      <c r="BUL6" s="368"/>
      <c r="BUM6" s="368"/>
      <c r="BUN6" s="368"/>
      <c r="BUO6" s="368"/>
      <c r="BUP6" s="368"/>
      <c r="BUQ6" s="368"/>
      <c r="BUR6" s="368"/>
      <c r="BUS6" s="368"/>
      <c r="BUT6" s="368"/>
      <c r="BUU6" s="368"/>
      <c r="BUV6" s="368"/>
      <c r="BUW6" s="368"/>
      <c r="BUX6" s="368"/>
      <c r="BUY6" s="368"/>
      <c r="BUZ6" s="368"/>
      <c r="BVA6" s="368"/>
      <c r="BVB6" s="368"/>
      <c r="BVC6" s="368"/>
      <c r="BVD6" s="368"/>
      <c r="BVE6" s="368"/>
      <c r="BVF6" s="368"/>
      <c r="BVG6" s="368"/>
      <c r="BVH6" s="368"/>
      <c r="BVI6" s="368"/>
      <c r="BVJ6" s="368"/>
      <c r="BVK6" s="368"/>
      <c r="BVL6" s="368"/>
      <c r="BVM6" s="368"/>
      <c r="BVN6" s="368"/>
      <c r="BVO6" s="368"/>
      <c r="BVP6" s="368"/>
      <c r="BVQ6" s="368"/>
      <c r="BVR6" s="368"/>
      <c r="BVS6" s="368"/>
      <c r="BVT6" s="368"/>
      <c r="BVU6" s="368"/>
      <c r="BVV6" s="368"/>
      <c r="BVW6" s="368"/>
      <c r="BVX6" s="368"/>
      <c r="BVY6" s="368"/>
      <c r="BVZ6" s="368"/>
      <c r="BWA6" s="368"/>
      <c r="BWB6" s="368"/>
      <c r="BWC6" s="368"/>
      <c r="BWD6" s="368"/>
      <c r="BWE6" s="368"/>
      <c r="BWF6" s="368"/>
      <c r="BWG6" s="368"/>
      <c r="BWH6" s="368"/>
      <c r="BWI6" s="368"/>
      <c r="BWJ6" s="368"/>
      <c r="BWK6" s="368"/>
      <c r="BWL6" s="368"/>
      <c r="BWM6" s="368"/>
      <c r="BWN6" s="368"/>
      <c r="BWO6" s="368"/>
      <c r="BWP6" s="368"/>
      <c r="BWQ6" s="368"/>
      <c r="BWR6" s="368"/>
      <c r="BWS6" s="368"/>
      <c r="BWT6" s="368"/>
      <c r="BWU6" s="368"/>
      <c r="BWV6" s="368"/>
      <c r="BWW6" s="368"/>
      <c r="BWX6" s="368"/>
      <c r="BWY6" s="368"/>
      <c r="BWZ6" s="368"/>
      <c r="BXA6" s="368"/>
      <c r="BXB6" s="368"/>
      <c r="BXC6" s="368"/>
      <c r="BXD6" s="368"/>
      <c r="BXE6" s="368"/>
      <c r="BXF6" s="368"/>
      <c r="BXG6" s="368"/>
      <c r="BXH6" s="368"/>
      <c r="BXI6" s="368"/>
      <c r="BXJ6" s="368"/>
      <c r="BXK6" s="368"/>
      <c r="BXL6" s="368"/>
      <c r="BXM6" s="368"/>
      <c r="BXN6" s="368"/>
      <c r="BXO6" s="368"/>
      <c r="BXP6" s="368"/>
      <c r="BXQ6" s="368"/>
      <c r="BXR6" s="368"/>
      <c r="BXS6" s="368"/>
      <c r="BXT6" s="368"/>
      <c r="BXU6" s="368"/>
      <c r="BXV6" s="368"/>
      <c r="BXW6" s="368"/>
      <c r="BXX6" s="368"/>
      <c r="BXY6" s="368"/>
      <c r="BXZ6" s="368"/>
      <c r="BYA6" s="368"/>
      <c r="BYB6" s="368"/>
      <c r="BYC6" s="368"/>
      <c r="BYD6" s="368"/>
      <c r="BYE6" s="368"/>
      <c r="BYF6" s="368"/>
      <c r="BYG6" s="368"/>
    </row>
    <row r="7" spans="1:2009" s="97" customFormat="1" ht="24.95" customHeight="1" x14ac:dyDescent="0.25">
      <c r="A7" s="130"/>
      <c r="B7" s="125" t="s">
        <v>311</v>
      </c>
      <c r="C7" s="164">
        <v>17670.689999999999</v>
      </c>
      <c r="D7" s="164"/>
      <c r="E7" s="164"/>
      <c r="F7" s="165"/>
      <c r="G7" s="166">
        <f>ROUND(SUM(C7:F7),5)</f>
        <v>17670.689999999999</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181</v>
      </c>
      <c r="C8" s="209">
        <f>SUM(C7)</f>
        <v>17670.689999999999</v>
      </c>
      <c r="D8" s="209">
        <f>SUM(D6:D7)</f>
        <v>28325.41</v>
      </c>
      <c r="E8" s="209"/>
      <c r="F8" s="209"/>
      <c r="G8" s="210">
        <f>ROUND(SUM(G3:G7),5)</f>
        <v>45996.1</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81</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55</v>
      </c>
      <c r="C11" s="171"/>
      <c r="D11" s="171"/>
      <c r="E11" s="172"/>
      <c r="F11" s="172"/>
      <c r="G11" s="173">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176</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250</v>
      </c>
      <c r="C13" s="171">
        <v>18866.98</v>
      </c>
      <c r="D13" s="171">
        <v>9458.15</v>
      </c>
      <c r="E13" s="172"/>
      <c r="F13" s="172"/>
      <c r="G13" s="173">
        <f>ROUND(SUM(C13:F13),5)</f>
        <v>28325.13</v>
      </c>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157</v>
      </c>
      <c r="C14" s="216">
        <f>ROUND(SUM(C10:C13),5)</f>
        <v>18866.98</v>
      </c>
      <c r="D14" s="216">
        <f>SUM(D12:D13)</f>
        <v>9458.15</v>
      </c>
      <c r="E14" s="216"/>
      <c r="F14" s="216"/>
      <c r="G14" s="217">
        <f>ROUND(SUM(G10:G13),5)</f>
        <v>28325.13</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82</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customHeight="1" x14ac:dyDescent="0.25">
      <c r="A17" s="136"/>
      <c r="B17" s="105" t="s">
        <v>261</v>
      </c>
      <c r="C17" s="179"/>
      <c r="D17" s="179">
        <v>6869.56</v>
      </c>
      <c r="E17" s="180"/>
      <c r="F17" s="180"/>
      <c r="G17" s="181">
        <f t="shared" ref="G17:G22" si="0">ROUND(SUM(C17:F17),5)</f>
        <v>6869.56</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customHeight="1" x14ac:dyDescent="0.25">
      <c r="A18" s="136"/>
      <c r="B18" s="105" t="s">
        <v>228</v>
      </c>
      <c r="C18" s="179"/>
      <c r="D18" s="179">
        <v>16991.060000000001</v>
      </c>
      <c r="E18" s="180">
        <v>13317.93</v>
      </c>
      <c r="F18" s="180">
        <f>73865.61-E18-D18-D17</f>
        <v>36687.06</v>
      </c>
      <c r="G18" s="181">
        <f t="shared" si="0"/>
        <v>66996.05</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312</v>
      </c>
      <c r="C19" s="179">
        <v>10733.32</v>
      </c>
      <c r="D19" s="179"/>
      <c r="E19" s="180"/>
      <c r="F19" s="180"/>
      <c r="G19" s="181">
        <f t="shared" si="0"/>
        <v>10733.32</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customHeight="1" x14ac:dyDescent="0.25">
      <c r="A20" s="136"/>
      <c r="B20" s="105" t="s">
        <v>229</v>
      </c>
      <c r="C20" s="179">
        <v>1238</v>
      </c>
      <c r="D20" s="179">
        <v>2605.42</v>
      </c>
      <c r="E20" s="180"/>
      <c r="F20" s="180"/>
      <c r="G20" s="181">
        <f t="shared" si="0"/>
        <v>3843.42</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customHeight="1" x14ac:dyDescent="0.25">
      <c r="A21" s="136"/>
      <c r="B21" s="105" t="s">
        <v>313</v>
      </c>
      <c r="C21" s="179">
        <v>2425.11</v>
      </c>
      <c r="D21" s="179"/>
      <c r="E21" s="180"/>
      <c r="F21" s="180"/>
      <c r="G21" s="181">
        <f t="shared" si="0"/>
        <v>2425.11</v>
      </c>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customHeight="1" x14ac:dyDescent="0.25">
      <c r="A22" s="137"/>
      <c r="B22" s="126" t="s">
        <v>213</v>
      </c>
      <c r="C22" s="179">
        <v>1861.63</v>
      </c>
      <c r="D22" s="179">
        <v>3172.16</v>
      </c>
      <c r="E22" s="180"/>
      <c r="F22" s="180"/>
      <c r="G22" s="181">
        <f t="shared" si="0"/>
        <v>5033.79</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customHeight="1" thickBot="1" x14ac:dyDescent="0.3">
      <c r="A23" s="219"/>
      <c r="B23" s="220" t="s">
        <v>83</v>
      </c>
      <c r="C23" s="221">
        <f>SUM(C17:C22)</f>
        <v>16258.060000000001</v>
      </c>
      <c r="D23" s="221">
        <f>SUM(D17:D22)</f>
        <v>29638.2</v>
      </c>
      <c r="E23" s="221">
        <f>SUM(E17:E22)</f>
        <v>13317.93</v>
      </c>
      <c r="F23" s="221">
        <f>SUM(F17:F22)</f>
        <v>36687.06</v>
      </c>
      <c r="G23" s="222">
        <f>SUM(G17:G22)</f>
        <v>95901.249999999985</v>
      </c>
      <c r="H23" s="223"/>
      <c r="I23" s="223"/>
      <c r="J23" s="223"/>
      <c r="K23" s="483"/>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84"/>
      <c r="L24" s="483">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108</v>
      </c>
      <c r="B25" s="139"/>
      <c r="C25" s="183"/>
      <c r="D25" s="183"/>
      <c r="E25" s="184"/>
      <c r="F25" s="184"/>
      <c r="G25" s="185"/>
      <c r="H25" s="94"/>
      <c r="I25" s="94"/>
      <c r="J25" s="94"/>
      <c r="K25" s="484"/>
      <c r="L25" s="484" t="s">
        <v>251</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180</v>
      </c>
      <c r="C26" s="186"/>
      <c r="D26" s="186"/>
      <c r="E26" s="187"/>
      <c r="F26" s="187"/>
      <c r="G26" s="188"/>
      <c r="H26" s="94"/>
      <c r="I26" s="94"/>
      <c r="J26" s="94"/>
      <c r="K26" s="485"/>
      <c r="L26"/>
      <c r="M26" s="486">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158</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178</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401"/>
      <c r="B30" s="114" t="s">
        <v>211</v>
      </c>
      <c r="C30" s="192"/>
      <c r="D30" s="192"/>
      <c r="E30" s="193"/>
      <c r="F30" s="193"/>
      <c r="G30" s="194">
        <f>SUM(C30:F30)</f>
        <v>0</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256</v>
      </c>
      <c r="C31" s="192">
        <v>23744.84</v>
      </c>
      <c r="D31" s="192">
        <v>23704.38</v>
      </c>
      <c r="E31" s="193"/>
      <c r="F31" s="193"/>
      <c r="G31" s="194">
        <f>SUM(C31:F31)</f>
        <v>47449.22</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179</v>
      </c>
      <c r="C32" s="234">
        <f>SUM(C30:C31)</f>
        <v>23744.84</v>
      </c>
      <c r="D32" s="234">
        <f>SUM(D30:D31)</f>
        <v>23704.38</v>
      </c>
      <c r="E32" s="234"/>
      <c r="F32" s="235"/>
      <c r="G32" s="236">
        <f>SUM(G30:G31)</f>
        <v>47449.22</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49</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50</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84</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56</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156</v>
      </c>
      <c r="C39" s="201">
        <v>3333.33</v>
      </c>
      <c r="D39" s="201"/>
      <c r="E39" s="202"/>
      <c r="F39" s="202"/>
      <c r="G39" s="203">
        <f>ROUND(SUM(C39:F39),5)</f>
        <v>3333.33</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hidden="1" customHeight="1" x14ac:dyDescent="0.25">
      <c r="A40" s="146"/>
      <c r="B40" s="117" t="s">
        <v>172</v>
      </c>
      <c r="C40" s="201"/>
      <c r="D40" s="201"/>
      <c r="E40" s="202"/>
      <c r="F40" s="202"/>
      <c r="G40" s="203">
        <f>SUM(C40:F40)</f>
        <v>0</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28" t="s">
        <v>57</v>
      </c>
      <c r="C41" s="201">
        <f>20534.98-3310.86</f>
        <v>17224.12</v>
      </c>
      <c r="D41" s="201">
        <f>3310.86+3946.83</f>
        <v>7257.6900000000005</v>
      </c>
      <c r="E41" s="202"/>
      <c r="F41" s="202">
        <v>3300</v>
      </c>
      <c r="G41" s="203">
        <f>ROUND(SUM(C41:F41),5)</f>
        <v>27781.81</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245" customFormat="1" ht="24.95" customHeight="1" thickBot="1" x14ac:dyDescent="0.3">
      <c r="A42" s="240"/>
      <c r="B42" s="241" t="s">
        <v>58</v>
      </c>
      <c r="C42" s="242">
        <f>SUM(C39:C41)</f>
        <v>20557.449999999997</v>
      </c>
      <c r="D42" s="242">
        <f>SUM(D39:D41)</f>
        <v>7257.6900000000005</v>
      </c>
      <c r="E42" s="242"/>
      <c r="F42" s="243"/>
      <c r="G42" s="244">
        <f t="shared" ref="G42" si="1">SUM(G39:G41)</f>
        <v>31115.14</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c r="AMS42" s="224"/>
      <c r="AMT42" s="224"/>
      <c r="AMU42" s="224"/>
      <c r="AMV42" s="224"/>
      <c r="AMW42" s="224"/>
      <c r="AMX42" s="224"/>
      <c r="AMY42" s="224"/>
      <c r="AMZ42" s="224"/>
      <c r="ANA42" s="224"/>
      <c r="ANB42" s="224"/>
      <c r="ANC42" s="224"/>
      <c r="AND42" s="224"/>
      <c r="ANE42" s="224"/>
      <c r="ANF42" s="224"/>
      <c r="ANG42" s="224"/>
      <c r="ANH42" s="224"/>
      <c r="ANI42" s="224"/>
      <c r="ANJ42" s="224"/>
      <c r="ANK42" s="224"/>
      <c r="ANL42" s="224"/>
      <c r="ANM42" s="224"/>
      <c r="ANN42" s="224"/>
      <c r="ANO42" s="224"/>
      <c r="ANP42" s="224"/>
      <c r="ANQ42" s="224"/>
      <c r="ANR42" s="224"/>
      <c r="ANS42" s="224"/>
      <c r="ANT42" s="224"/>
      <c r="ANU42" s="224"/>
      <c r="ANV42" s="224"/>
      <c r="ANW42" s="224"/>
      <c r="ANX42" s="224"/>
      <c r="ANY42" s="224"/>
      <c r="ANZ42" s="224"/>
      <c r="AOA42" s="224"/>
      <c r="AOB42" s="224"/>
      <c r="AOC42" s="224"/>
      <c r="AOD42" s="224"/>
      <c r="AOE42" s="224"/>
      <c r="AOF42" s="224"/>
      <c r="AOG42" s="224"/>
      <c r="AOH42" s="224"/>
      <c r="AOI42" s="224"/>
      <c r="AOJ42" s="224"/>
      <c r="AOK42" s="224"/>
      <c r="AOL42" s="224"/>
      <c r="AOM42" s="224"/>
      <c r="AON42" s="224"/>
      <c r="AOO42" s="224"/>
      <c r="AOP42" s="224"/>
      <c r="AOQ42" s="224"/>
      <c r="AOR42" s="224"/>
      <c r="AOS42" s="224"/>
      <c r="AOT42" s="224"/>
      <c r="AOU42" s="224"/>
      <c r="AOV42" s="224"/>
      <c r="AOW42" s="224"/>
      <c r="AOX42" s="224"/>
      <c r="AOY42" s="224"/>
      <c r="AOZ42" s="224"/>
      <c r="APA42" s="224"/>
      <c r="APB42" s="224"/>
      <c r="APC42" s="224"/>
      <c r="APD42" s="224"/>
      <c r="APE42" s="224"/>
      <c r="APF42" s="224"/>
      <c r="APG42" s="224"/>
      <c r="APH42" s="224"/>
      <c r="API42" s="224"/>
      <c r="APJ42" s="224"/>
      <c r="APK42" s="224"/>
      <c r="APL42" s="224"/>
      <c r="APM42" s="224"/>
      <c r="APN42" s="224"/>
      <c r="APO42" s="224"/>
      <c r="APP42" s="224"/>
      <c r="APQ42" s="224"/>
      <c r="APR42" s="224"/>
      <c r="APS42" s="224"/>
      <c r="APT42" s="224"/>
      <c r="APU42" s="224"/>
      <c r="APV42" s="224"/>
      <c r="APW42" s="224"/>
      <c r="APX42" s="224"/>
      <c r="APY42" s="224"/>
      <c r="APZ42" s="224"/>
      <c r="AQA42" s="224"/>
      <c r="AQB42" s="224"/>
      <c r="AQC42" s="224"/>
      <c r="AQD42" s="224"/>
      <c r="AQE42" s="224"/>
      <c r="AQF42" s="224"/>
      <c r="AQG42" s="224"/>
      <c r="AQH42" s="224"/>
      <c r="AQI42" s="224"/>
      <c r="AQJ42" s="224"/>
      <c r="AQK42" s="224"/>
      <c r="AQL42" s="224"/>
      <c r="AQM42" s="224"/>
      <c r="AQN42" s="224"/>
      <c r="AQO42" s="224"/>
      <c r="AQP42" s="224"/>
      <c r="AQQ42" s="224"/>
      <c r="AQR42" s="224"/>
      <c r="AQS42" s="224"/>
      <c r="AQT42" s="224"/>
      <c r="AQU42" s="224"/>
      <c r="AQV42" s="224"/>
      <c r="AQW42" s="224"/>
      <c r="AQX42" s="224"/>
      <c r="AQY42" s="224"/>
      <c r="AQZ42" s="224"/>
      <c r="ARA42" s="224"/>
      <c r="ARB42" s="224"/>
      <c r="ARC42" s="224"/>
      <c r="ARD42" s="224"/>
      <c r="ARE42" s="224"/>
      <c r="ARF42" s="224"/>
      <c r="ARG42" s="224"/>
      <c r="ARH42" s="224"/>
      <c r="ARI42" s="224"/>
      <c r="ARJ42" s="224"/>
      <c r="ARK42" s="224"/>
      <c r="ARL42" s="224"/>
      <c r="ARM42" s="224"/>
      <c r="ARN42" s="224"/>
      <c r="ARO42" s="224"/>
      <c r="ARP42" s="224"/>
      <c r="ARQ42" s="224"/>
      <c r="ARR42" s="224"/>
      <c r="ARS42" s="224"/>
      <c r="ART42" s="224"/>
      <c r="ARU42" s="224"/>
      <c r="ARV42" s="224"/>
      <c r="ARW42" s="224"/>
      <c r="ARX42" s="224"/>
      <c r="ARY42" s="224"/>
      <c r="ARZ42" s="224"/>
      <c r="ASA42" s="224"/>
      <c r="ASB42" s="224"/>
      <c r="ASC42" s="224"/>
      <c r="ASD42" s="224"/>
      <c r="ASE42" s="224"/>
      <c r="ASF42" s="224"/>
      <c r="ASG42" s="224"/>
      <c r="ASH42" s="224"/>
      <c r="ASI42" s="224"/>
      <c r="ASJ42" s="224"/>
      <c r="ASK42" s="224"/>
      <c r="ASL42" s="224"/>
      <c r="ASM42" s="224"/>
      <c r="ASN42" s="224"/>
      <c r="ASO42" s="224"/>
      <c r="ASP42" s="224"/>
      <c r="ASQ42" s="224"/>
      <c r="ASR42" s="224"/>
      <c r="ASS42" s="224"/>
      <c r="AST42" s="224"/>
      <c r="ASU42" s="224"/>
      <c r="ASV42" s="224"/>
      <c r="ASW42" s="224"/>
      <c r="ASX42" s="224"/>
      <c r="ASY42" s="224"/>
      <c r="ASZ42" s="224"/>
      <c r="ATA42" s="224"/>
      <c r="ATB42" s="224"/>
      <c r="ATC42" s="224"/>
      <c r="ATD42" s="224"/>
      <c r="ATE42" s="224"/>
      <c r="ATF42" s="224"/>
      <c r="ATG42" s="224"/>
      <c r="ATH42" s="224"/>
      <c r="ATI42" s="224"/>
      <c r="ATJ42" s="224"/>
      <c r="ATK42" s="224"/>
      <c r="ATL42" s="224"/>
      <c r="ATM42" s="224"/>
      <c r="ATN42" s="224"/>
      <c r="ATO42" s="224"/>
      <c r="ATP42" s="224"/>
      <c r="ATQ42" s="224"/>
      <c r="ATR42" s="224"/>
      <c r="ATS42" s="224"/>
      <c r="ATT42" s="224"/>
      <c r="ATU42" s="224"/>
      <c r="ATV42" s="224"/>
      <c r="ATW42" s="224"/>
      <c r="ATX42" s="224"/>
      <c r="ATY42" s="224"/>
      <c r="ATZ42" s="224"/>
      <c r="AUA42" s="224"/>
      <c r="AUB42" s="224"/>
      <c r="AUC42" s="224"/>
      <c r="AUD42" s="224"/>
      <c r="AUE42" s="224"/>
      <c r="AUF42" s="224"/>
      <c r="AUG42" s="224"/>
      <c r="AUH42" s="224"/>
      <c r="AUI42" s="224"/>
      <c r="AUJ42" s="224"/>
      <c r="AUK42" s="224"/>
      <c r="AUL42" s="224"/>
      <c r="AUM42" s="224"/>
      <c r="AUN42" s="224"/>
      <c r="AUO42" s="224"/>
      <c r="AUP42" s="224"/>
      <c r="AUQ42" s="224"/>
      <c r="AUR42" s="224"/>
      <c r="AUS42" s="224"/>
      <c r="AUT42" s="224"/>
      <c r="AUU42" s="224"/>
      <c r="AUV42" s="224"/>
      <c r="AUW42" s="224"/>
      <c r="AUX42" s="224"/>
      <c r="AUY42" s="224"/>
      <c r="AUZ42" s="224"/>
      <c r="AVA42" s="224"/>
      <c r="AVB42" s="224"/>
      <c r="AVC42" s="224"/>
      <c r="AVD42" s="224"/>
      <c r="AVE42" s="224"/>
      <c r="AVF42" s="224"/>
      <c r="AVG42" s="224"/>
      <c r="AVH42" s="224"/>
      <c r="AVI42" s="224"/>
      <c r="AVJ42" s="224"/>
      <c r="AVK42" s="224"/>
      <c r="AVL42" s="224"/>
      <c r="AVM42" s="224"/>
      <c r="AVN42" s="224"/>
      <c r="AVO42" s="224"/>
      <c r="AVP42" s="224"/>
      <c r="AVQ42" s="224"/>
      <c r="AVR42" s="224"/>
      <c r="AVS42" s="224"/>
      <c r="AVT42" s="224"/>
      <c r="AVU42" s="224"/>
      <c r="AVV42" s="224"/>
      <c r="AVW42" s="224"/>
      <c r="AVX42" s="224"/>
      <c r="AVY42" s="224"/>
      <c r="AVZ42" s="224"/>
      <c r="AWA42" s="224"/>
      <c r="AWB42" s="224"/>
      <c r="AWC42" s="224"/>
      <c r="AWD42" s="224"/>
      <c r="AWE42" s="224"/>
      <c r="AWF42" s="224"/>
      <c r="AWG42" s="224"/>
      <c r="AWH42" s="224"/>
      <c r="AWI42" s="224"/>
      <c r="AWJ42" s="224"/>
      <c r="AWK42" s="224"/>
      <c r="AWL42" s="224"/>
      <c r="AWM42" s="224"/>
      <c r="AWN42" s="224"/>
      <c r="AWO42" s="224"/>
      <c r="AWP42" s="224"/>
      <c r="AWQ42" s="224"/>
      <c r="AWR42" s="224"/>
      <c r="AWS42" s="224"/>
      <c r="AWT42" s="224"/>
      <c r="AWU42" s="224"/>
      <c r="AWV42" s="224"/>
      <c r="AWW42" s="224"/>
      <c r="AWX42" s="224"/>
      <c r="AWY42" s="224"/>
      <c r="AWZ42" s="224"/>
      <c r="AXA42" s="224"/>
      <c r="AXB42" s="224"/>
      <c r="AXC42" s="224"/>
      <c r="AXD42" s="224"/>
      <c r="AXE42" s="224"/>
      <c r="AXF42" s="224"/>
      <c r="AXG42" s="224"/>
      <c r="AXH42" s="224"/>
      <c r="AXI42" s="224"/>
      <c r="AXJ42" s="224"/>
      <c r="AXK42" s="224"/>
      <c r="AXL42" s="224"/>
      <c r="AXM42" s="224"/>
      <c r="AXN42" s="224"/>
      <c r="AXO42" s="224"/>
      <c r="AXP42" s="224"/>
      <c r="AXQ42" s="224"/>
      <c r="AXR42" s="224"/>
      <c r="AXS42" s="224"/>
      <c r="AXT42" s="224"/>
      <c r="AXU42" s="224"/>
      <c r="AXV42" s="224"/>
      <c r="AXW42" s="224"/>
      <c r="AXX42" s="224"/>
      <c r="AXY42" s="224"/>
      <c r="AXZ42" s="224"/>
      <c r="AYA42" s="224"/>
      <c r="AYB42" s="224"/>
      <c r="AYC42" s="224"/>
      <c r="AYD42" s="224"/>
      <c r="AYE42" s="224"/>
      <c r="AYF42" s="224"/>
      <c r="AYG42" s="224"/>
      <c r="AYH42" s="224"/>
      <c r="AYI42" s="224"/>
      <c r="AYJ42" s="224"/>
      <c r="AYK42" s="224"/>
      <c r="AYL42" s="224"/>
      <c r="AYM42" s="224"/>
      <c r="AYN42" s="224"/>
      <c r="AYO42" s="224"/>
      <c r="AYP42" s="224"/>
      <c r="AYQ42" s="224"/>
      <c r="AYR42" s="224"/>
      <c r="AYS42" s="224"/>
      <c r="AYT42" s="224"/>
      <c r="AYU42" s="224"/>
      <c r="AYV42" s="224"/>
      <c r="AYW42" s="224"/>
      <c r="AYX42" s="224"/>
      <c r="AYY42" s="224"/>
      <c r="AYZ42" s="224"/>
      <c r="AZA42" s="224"/>
      <c r="AZB42" s="224"/>
      <c r="AZC42" s="224"/>
      <c r="AZD42" s="224"/>
      <c r="AZE42" s="224"/>
      <c r="AZF42" s="224"/>
      <c r="AZG42" s="224"/>
      <c r="AZH42" s="224"/>
      <c r="AZI42" s="224"/>
      <c r="AZJ42" s="224"/>
      <c r="AZK42" s="224"/>
      <c r="AZL42" s="224"/>
      <c r="AZM42" s="224"/>
      <c r="AZN42" s="224"/>
      <c r="AZO42" s="224"/>
      <c r="AZP42" s="224"/>
      <c r="AZQ42" s="224"/>
      <c r="AZR42" s="224"/>
      <c r="AZS42" s="224"/>
      <c r="AZT42" s="224"/>
      <c r="AZU42" s="224"/>
      <c r="AZV42" s="224"/>
      <c r="AZW42" s="224"/>
      <c r="AZX42" s="224"/>
      <c r="AZY42" s="224"/>
      <c r="AZZ42" s="224"/>
      <c r="BAA42" s="224"/>
      <c r="BAB42" s="224"/>
      <c r="BAC42" s="224"/>
      <c r="BAD42" s="224"/>
      <c r="BAE42" s="224"/>
      <c r="BAF42" s="224"/>
      <c r="BAG42" s="224"/>
      <c r="BAH42" s="224"/>
      <c r="BAI42" s="224"/>
      <c r="BAJ42" s="224"/>
      <c r="BAK42" s="224"/>
      <c r="BAL42" s="224"/>
      <c r="BAM42" s="224"/>
      <c r="BAN42" s="224"/>
      <c r="BAO42" s="224"/>
      <c r="BAP42" s="224"/>
      <c r="BAQ42" s="224"/>
      <c r="BAR42" s="224"/>
      <c r="BAS42" s="224"/>
      <c r="BAT42" s="224"/>
      <c r="BAU42" s="224"/>
      <c r="BAV42" s="224"/>
      <c r="BAW42" s="224"/>
      <c r="BAX42" s="224"/>
      <c r="BAY42" s="224"/>
      <c r="BAZ42" s="224"/>
      <c r="BBA42" s="224"/>
      <c r="BBB42" s="224"/>
      <c r="BBC42" s="224"/>
      <c r="BBD42" s="224"/>
      <c r="BBE42" s="224"/>
      <c r="BBF42" s="224"/>
      <c r="BBG42" s="224"/>
      <c r="BBH42" s="224"/>
      <c r="BBI42" s="224"/>
      <c r="BBJ42" s="224"/>
      <c r="BBK42" s="224"/>
      <c r="BBL42" s="224"/>
      <c r="BBM42" s="224"/>
      <c r="BBN42" s="224"/>
      <c r="BBO42" s="224"/>
      <c r="BBP42" s="224"/>
      <c r="BBQ42" s="224"/>
      <c r="BBR42" s="224"/>
      <c r="BBS42" s="224"/>
      <c r="BBT42" s="224"/>
      <c r="BBU42" s="224"/>
      <c r="BBV42" s="224"/>
      <c r="BBW42" s="224"/>
      <c r="BBX42" s="224"/>
      <c r="BBY42" s="224"/>
      <c r="BBZ42" s="224"/>
      <c r="BCA42" s="224"/>
      <c r="BCB42" s="224"/>
      <c r="BCC42" s="224"/>
      <c r="BCD42" s="224"/>
      <c r="BCE42" s="224"/>
      <c r="BCF42" s="224"/>
      <c r="BCG42" s="224"/>
      <c r="BCH42" s="224"/>
      <c r="BCI42" s="224"/>
      <c r="BCJ42" s="224"/>
      <c r="BCK42" s="224"/>
      <c r="BCL42" s="224"/>
      <c r="BCM42" s="224"/>
      <c r="BCN42" s="224"/>
      <c r="BCO42" s="224"/>
      <c r="BCP42" s="224"/>
      <c r="BCQ42" s="224"/>
      <c r="BCR42" s="224"/>
      <c r="BCS42" s="224"/>
      <c r="BCT42" s="224"/>
      <c r="BCU42" s="224"/>
      <c r="BCV42" s="224"/>
      <c r="BCW42" s="224"/>
      <c r="BCX42" s="224"/>
      <c r="BCY42" s="224"/>
      <c r="BCZ42" s="224"/>
      <c r="BDA42" s="224"/>
      <c r="BDB42" s="224"/>
      <c r="BDC42" s="224"/>
      <c r="BDD42" s="224"/>
      <c r="BDE42" s="224"/>
      <c r="BDF42" s="224"/>
      <c r="BDG42" s="224"/>
      <c r="BDH42" s="224"/>
      <c r="BDI42" s="224"/>
      <c r="BDJ42" s="224"/>
      <c r="BDK42" s="224"/>
      <c r="BDL42" s="224"/>
      <c r="BDM42" s="224"/>
      <c r="BDN42" s="224"/>
      <c r="BDO42" s="224"/>
      <c r="BDP42" s="224"/>
      <c r="BDQ42" s="224"/>
      <c r="BDR42" s="224"/>
      <c r="BDS42" s="224"/>
      <c r="BDT42" s="224"/>
      <c r="BDU42" s="224"/>
      <c r="BDV42" s="224"/>
      <c r="BDW42" s="224"/>
      <c r="BDX42" s="224"/>
      <c r="BDY42" s="224"/>
      <c r="BDZ42" s="224"/>
      <c r="BEA42" s="224"/>
      <c r="BEB42" s="224"/>
      <c r="BEC42" s="224"/>
      <c r="BED42" s="224"/>
      <c r="BEE42" s="224"/>
      <c r="BEF42" s="224"/>
      <c r="BEG42" s="224"/>
      <c r="BEH42" s="224"/>
      <c r="BEI42" s="224"/>
      <c r="BEJ42" s="224"/>
      <c r="BEK42" s="224"/>
      <c r="BEL42" s="224"/>
      <c r="BEM42" s="224"/>
      <c r="BEN42" s="224"/>
      <c r="BEO42" s="224"/>
      <c r="BEP42" s="224"/>
      <c r="BEQ42" s="224"/>
      <c r="BER42" s="224"/>
      <c r="BES42" s="224"/>
      <c r="BET42" s="224"/>
      <c r="BEU42" s="224"/>
      <c r="BEV42" s="224"/>
      <c r="BEW42" s="224"/>
      <c r="BEX42" s="224"/>
      <c r="BEY42" s="224"/>
      <c r="BEZ42" s="224"/>
      <c r="BFA42" s="224"/>
      <c r="BFB42" s="224"/>
      <c r="BFC42" s="224"/>
      <c r="BFD42" s="224"/>
      <c r="BFE42" s="224"/>
      <c r="BFF42" s="224"/>
      <c r="BFG42" s="224"/>
      <c r="BFH42" s="224"/>
      <c r="BFI42" s="224"/>
      <c r="BFJ42" s="224"/>
      <c r="BFK42" s="224"/>
      <c r="BFL42" s="224"/>
      <c r="BFM42" s="224"/>
      <c r="BFN42" s="224"/>
      <c r="BFO42" s="224"/>
      <c r="BFP42" s="224"/>
      <c r="BFQ42" s="224"/>
      <c r="BFR42" s="224"/>
      <c r="BFS42" s="224"/>
      <c r="BFT42" s="224"/>
      <c r="BFU42" s="224"/>
      <c r="BFV42" s="224"/>
      <c r="BFW42" s="224"/>
      <c r="BFX42" s="224"/>
      <c r="BFY42" s="224"/>
      <c r="BFZ42" s="224"/>
      <c r="BGA42" s="224"/>
      <c r="BGB42" s="224"/>
      <c r="BGC42" s="224"/>
      <c r="BGD42" s="224"/>
      <c r="BGE42" s="224"/>
      <c r="BGF42" s="224"/>
      <c r="BGG42" s="224"/>
      <c r="BGH42" s="224"/>
      <c r="BGI42" s="224"/>
      <c r="BGJ42" s="224"/>
      <c r="BGK42" s="224"/>
      <c r="BGL42" s="224"/>
      <c r="BGM42" s="224"/>
      <c r="BGN42" s="224"/>
      <c r="BGO42" s="224"/>
      <c r="BGP42" s="224"/>
      <c r="BGQ42" s="224"/>
      <c r="BGR42" s="224"/>
      <c r="BGS42" s="224"/>
      <c r="BGT42" s="224"/>
      <c r="BGU42" s="224"/>
      <c r="BGV42" s="224"/>
      <c r="BGW42" s="224"/>
      <c r="BGX42" s="224"/>
      <c r="BGY42" s="224"/>
      <c r="BGZ42" s="224"/>
      <c r="BHA42" s="224"/>
      <c r="BHB42" s="224"/>
      <c r="BHC42" s="224"/>
      <c r="BHD42" s="224"/>
      <c r="BHE42" s="224"/>
      <c r="BHF42" s="224"/>
      <c r="BHG42" s="224"/>
      <c r="BHH42" s="224"/>
      <c r="BHI42" s="224"/>
      <c r="BHJ42" s="224"/>
      <c r="BHK42" s="224"/>
      <c r="BHL42" s="224"/>
      <c r="BHM42" s="224"/>
      <c r="BHN42" s="224"/>
      <c r="BHO42" s="224"/>
      <c r="BHP42" s="224"/>
      <c r="BHQ42" s="224"/>
      <c r="BHR42" s="224"/>
      <c r="BHS42" s="224"/>
      <c r="BHT42" s="224"/>
      <c r="BHU42" s="224"/>
      <c r="BHV42" s="224"/>
      <c r="BHW42" s="224"/>
      <c r="BHX42" s="224"/>
      <c r="BHY42" s="224"/>
      <c r="BHZ42" s="224"/>
      <c r="BIA42" s="224"/>
      <c r="BIB42" s="224"/>
      <c r="BIC42" s="224"/>
      <c r="BID42" s="224"/>
      <c r="BIE42" s="224"/>
      <c r="BIF42" s="224"/>
      <c r="BIG42" s="224"/>
      <c r="BIH42" s="224"/>
      <c r="BII42" s="224"/>
      <c r="BIJ42" s="224"/>
      <c r="BIK42" s="224"/>
      <c r="BIL42" s="224"/>
      <c r="BIM42" s="224"/>
      <c r="BIN42" s="224"/>
      <c r="BIO42" s="224"/>
      <c r="BIP42" s="224"/>
      <c r="BIQ42" s="224"/>
      <c r="BIR42" s="224"/>
      <c r="BIS42" s="224"/>
      <c r="BIT42" s="224"/>
      <c r="BIU42" s="224"/>
      <c r="BIV42" s="224"/>
      <c r="BIW42" s="224"/>
      <c r="BIX42" s="224"/>
      <c r="BIY42" s="224"/>
      <c r="BIZ42" s="224"/>
      <c r="BJA42" s="224"/>
      <c r="BJB42" s="224"/>
      <c r="BJC42" s="224"/>
      <c r="BJD42" s="224"/>
      <c r="BJE42" s="224"/>
      <c r="BJF42" s="224"/>
      <c r="BJG42" s="224"/>
      <c r="BJH42" s="224"/>
      <c r="BJI42" s="224"/>
      <c r="BJJ42" s="224"/>
      <c r="BJK42" s="224"/>
      <c r="BJL42" s="224"/>
      <c r="BJM42" s="224"/>
      <c r="BJN42" s="224"/>
      <c r="BJO42" s="224"/>
      <c r="BJP42" s="224"/>
      <c r="BJQ42" s="224"/>
      <c r="BJR42" s="224"/>
      <c r="BJS42" s="224"/>
      <c r="BJT42" s="224"/>
      <c r="BJU42" s="224"/>
      <c r="BJV42" s="224"/>
      <c r="BJW42" s="224"/>
      <c r="BJX42" s="224"/>
      <c r="BJY42" s="224"/>
      <c r="BJZ42" s="224"/>
      <c r="BKA42" s="224"/>
      <c r="BKB42" s="224"/>
      <c r="BKC42" s="224"/>
      <c r="BKD42" s="224"/>
      <c r="BKE42" s="224"/>
      <c r="BKF42" s="224"/>
      <c r="BKG42" s="224"/>
      <c r="BKH42" s="224"/>
      <c r="BKI42" s="224"/>
      <c r="BKJ42" s="224"/>
      <c r="BKK42" s="224"/>
      <c r="BKL42" s="224"/>
      <c r="BKM42" s="224"/>
      <c r="BKN42" s="224"/>
      <c r="BKO42" s="224"/>
      <c r="BKP42" s="224"/>
      <c r="BKQ42" s="224"/>
      <c r="BKR42" s="224"/>
      <c r="BKS42" s="224"/>
      <c r="BKT42" s="224"/>
      <c r="BKU42" s="224"/>
      <c r="BKV42" s="224"/>
      <c r="BKW42" s="224"/>
      <c r="BKX42" s="224"/>
      <c r="BKY42" s="224"/>
      <c r="BKZ42" s="224"/>
      <c r="BLA42" s="224"/>
      <c r="BLB42" s="224"/>
      <c r="BLC42" s="224"/>
      <c r="BLD42" s="224"/>
      <c r="BLE42" s="224"/>
      <c r="BLF42" s="224"/>
      <c r="BLG42" s="224"/>
      <c r="BLH42" s="224"/>
      <c r="BLI42" s="224"/>
      <c r="BLJ42" s="224"/>
      <c r="BLK42" s="224"/>
      <c r="BLL42" s="224"/>
      <c r="BLM42" s="224"/>
      <c r="BLN42" s="224"/>
      <c r="BLO42" s="224"/>
      <c r="BLP42" s="224"/>
      <c r="BLQ42" s="224"/>
      <c r="BLR42" s="224"/>
      <c r="BLS42" s="224"/>
      <c r="BLT42" s="224"/>
      <c r="BLU42" s="224"/>
      <c r="BLV42" s="224"/>
      <c r="BLW42" s="224"/>
      <c r="BLX42" s="224"/>
      <c r="BLY42" s="224"/>
      <c r="BLZ42" s="224"/>
      <c r="BMA42" s="224"/>
      <c r="BMB42" s="224"/>
      <c r="BMC42" s="224"/>
      <c r="BMD42" s="224"/>
      <c r="BME42" s="224"/>
      <c r="BMF42" s="224"/>
      <c r="BMG42" s="224"/>
      <c r="BMH42" s="224"/>
      <c r="BMI42" s="224"/>
      <c r="BMJ42" s="224"/>
      <c r="BMK42" s="224"/>
      <c r="BML42" s="224"/>
      <c r="BMM42" s="224"/>
      <c r="BMN42" s="224"/>
      <c r="BMO42" s="224"/>
      <c r="BMP42" s="224"/>
      <c r="BMQ42" s="224"/>
      <c r="BMR42" s="224"/>
      <c r="BMS42" s="224"/>
      <c r="BMT42" s="224"/>
      <c r="BMU42" s="224"/>
      <c r="BMV42" s="224"/>
      <c r="BMW42" s="224"/>
      <c r="BMX42" s="224"/>
      <c r="BMY42" s="224"/>
      <c r="BMZ42" s="224"/>
      <c r="BNA42" s="224"/>
      <c r="BNB42" s="224"/>
      <c r="BNC42" s="224"/>
      <c r="BND42" s="224"/>
      <c r="BNE42" s="224"/>
      <c r="BNF42" s="224"/>
      <c r="BNG42" s="224"/>
      <c r="BNH42" s="224"/>
      <c r="BNI42" s="224"/>
      <c r="BNJ42" s="224"/>
      <c r="BNK42" s="224"/>
      <c r="BNL42" s="224"/>
      <c r="BNM42" s="224"/>
      <c r="BNN42" s="224"/>
      <c r="BNO42" s="224"/>
      <c r="BNP42" s="224"/>
      <c r="BNQ42" s="224"/>
      <c r="BNR42" s="224"/>
      <c r="BNS42" s="224"/>
      <c r="BNT42" s="224"/>
      <c r="BNU42" s="224"/>
      <c r="BNV42" s="224"/>
      <c r="BNW42" s="224"/>
      <c r="BNX42" s="224"/>
      <c r="BNY42" s="224"/>
      <c r="BNZ42" s="224"/>
      <c r="BOA42" s="224"/>
      <c r="BOB42" s="224"/>
      <c r="BOC42" s="224"/>
      <c r="BOD42" s="224"/>
      <c r="BOE42" s="224"/>
      <c r="BOF42" s="224"/>
      <c r="BOG42" s="224"/>
      <c r="BOH42" s="224"/>
      <c r="BOI42" s="224"/>
      <c r="BOJ42" s="224"/>
      <c r="BOK42" s="224"/>
      <c r="BOL42" s="224"/>
      <c r="BOM42" s="224"/>
      <c r="BON42" s="224"/>
      <c r="BOO42" s="224"/>
      <c r="BOP42" s="224"/>
      <c r="BOQ42" s="224"/>
      <c r="BOR42" s="224"/>
      <c r="BOS42" s="224"/>
      <c r="BOT42" s="224"/>
      <c r="BOU42" s="224"/>
      <c r="BOV42" s="224"/>
      <c r="BOW42" s="224"/>
      <c r="BOX42" s="224"/>
      <c r="BOY42" s="224"/>
      <c r="BOZ42" s="224"/>
      <c r="BPA42" s="224"/>
      <c r="BPB42" s="224"/>
      <c r="BPC42" s="224"/>
      <c r="BPD42" s="224"/>
      <c r="BPE42" s="224"/>
      <c r="BPF42" s="224"/>
      <c r="BPG42" s="224"/>
      <c r="BPH42" s="224"/>
      <c r="BPI42" s="224"/>
      <c r="BPJ42" s="224"/>
      <c r="BPK42" s="224"/>
      <c r="BPL42" s="224"/>
      <c r="BPM42" s="224"/>
      <c r="BPN42" s="224"/>
      <c r="BPO42" s="224"/>
      <c r="BPP42" s="224"/>
      <c r="BPQ42" s="224"/>
      <c r="BPR42" s="224"/>
      <c r="BPS42" s="224"/>
      <c r="BPT42" s="224"/>
      <c r="BPU42" s="224"/>
      <c r="BPV42" s="224"/>
      <c r="BPW42" s="224"/>
      <c r="BPX42" s="224"/>
      <c r="BPY42" s="224"/>
      <c r="BPZ42" s="224"/>
      <c r="BQA42" s="224"/>
      <c r="BQB42" s="224"/>
      <c r="BQC42" s="224"/>
      <c r="BQD42" s="224"/>
      <c r="BQE42" s="224"/>
      <c r="BQF42" s="224"/>
      <c r="BQG42" s="224"/>
      <c r="BQH42" s="224"/>
      <c r="BQI42" s="224"/>
      <c r="BQJ42" s="224"/>
      <c r="BQK42" s="224"/>
      <c r="BQL42" s="224"/>
      <c r="BQM42" s="224"/>
      <c r="BQN42" s="224"/>
      <c r="BQO42" s="224"/>
      <c r="BQP42" s="224"/>
      <c r="BQQ42" s="224"/>
      <c r="BQR42" s="224"/>
      <c r="BQS42" s="224"/>
      <c r="BQT42" s="224"/>
      <c r="BQU42" s="224"/>
      <c r="BQV42" s="224"/>
      <c r="BQW42" s="224"/>
      <c r="BQX42" s="224"/>
      <c r="BQY42" s="224"/>
      <c r="BQZ42" s="224"/>
      <c r="BRA42" s="224"/>
      <c r="BRB42" s="224"/>
      <c r="BRC42" s="224"/>
      <c r="BRD42" s="224"/>
      <c r="BRE42" s="224"/>
      <c r="BRF42" s="224"/>
      <c r="BRG42" s="224"/>
      <c r="BRH42" s="224"/>
      <c r="BRI42" s="224"/>
      <c r="BRJ42" s="224"/>
      <c r="BRK42" s="224"/>
      <c r="BRL42" s="224"/>
      <c r="BRM42" s="224"/>
      <c r="BRN42" s="224"/>
      <c r="BRO42" s="224"/>
      <c r="BRP42" s="224"/>
      <c r="BRQ42" s="224"/>
      <c r="BRR42" s="224"/>
      <c r="BRS42" s="224"/>
      <c r="BRT42" s="224"/>
      <c r="BRU42" s="224"/>
      <c r="BRV42" s="224"/>
      <c r="BRW42" s="224"/>
      <c r="BRX42" s="224"/>
      <c r="BRY42" s="224"/>
      <c r="BRZ42" s="224"/>
      <c r="BSA42" s="224"/>
      <c r="BSB42" s="224"/>
      <c r="BSC42" s="224"/>
      <c r="BSD42" s="224"/>
      <c r="BSE42" s="224"/>
      <c r="BSF42" s="224"/>
      <c r="BSG42" s="224"/>
      <c r="BSH42" s="224"/>
      <c r="BSI42" s="224"/>
      <c r="BSJ42" s="224"/>
      <c r="BSK42" s="224"/>
      <c r="BSL42" s="224"/>
      <c r="BSM42" s="224"/>
      <c r="BSN42" s="224"/>
      <c r="BSO42" s="224"/>
      <c r="BSP42" s="224"/>
      <c r="BSQ42" s="224"/>
      <c r="BSR42" s="224"/>
      <c r="BSS42" s="224"/>
      <c r="BST42" s="224"/>
      <c r="BSU42" s="224"/>
      <c r="BSV42" s="224"/>
      <c r="BSW42" s="224"/>
      <c r="BSX42" s="224"/>
      <c r="BSY42" s="224"/>
      <c r="BSZ42" s="224"/>
      <c r="BTA42" s="224"/>
      <c r="BTB42" s="224"/>
      <c r="BTC42" s="224"/>
      <c r="BTD42" s="224"/>
      <c r="BTE42" s="224"/>
      <c r="BTF42" s="224"/>
      <c r="BTG42" s="224"/>
      <c r="BTH42" s="224"/>
      <c r="BTI42" s="224"/>
      <c r="BTJ42" s="224"/>
      <c r="BTK42" s="224"/>
      <c r="BTL42" s="224"/>
      <c r="BTM42" s="224"/>
      <c r="BTN42" s="224"/>
      <c r="BTO42" s="224"/>
      <c r="BTP42" s="224"/>
      <c r="BTQ42" s="224"/>
      <c r="BTR42" s="224"/>
      <c r="BTS42" s="224"/>
      <c r="BTT42" s="224"/>
      <c r="BTU42" s="224"/>
      <c r="BTV42" s="224"/>
      <c r="BTW42" s="224"/>
      <c r="BTX42" s="224"/>
      <c r="BTY42" s="224"/>
      <c r="BTZ42" s="224"/>
      <c r="BUA42" s="224"/>
      <c r="BUB42" s="224"/>
      <c r="BUC42" s="224"/>
      <c r="BUD42" s="224"/>
      <c r="BUE42" s="224"/>
      <c r="BUF42" s="224"/>
      <c r="BUG42" s="224"/>
      <c r="BUH42" s="224"/>
      <c r="BUI42" s="224"/>
      <c r="BUJ42" s="224"/>
      <c r="BUK42" s="224"/>
      <c r="BUL42" s="224"/>
      <c r="BUM42" s="224"/>
      <c r="BUN42" s="224"/>
      <c r="BUO42" s="224"/>
      <c r="BUP42" s="224"/>
      <c r="BUQ42" s="224"/>
      <c r="BUR42" s="224"/>
      <c r="BUS42" s="224"/>
      <c r="BUT42" s="224"/>
      <c r="BUU42" s="224"/>
      <c r="BUV42" s="224"/>
      <c r="BUW42" s="224"/>
      <c r="BUX42" s="224"/>
      <c r="BUY42" s="224"/>
      <c r="BUZ42" s="224"/>
      <c r="BVA42" s="224"/>
      <c r="BVB42" s="224"/>
      <c r="BVC42" s="224"/>
      <c r="BVD42" s="224"/>
      <c r="BVE42" s="224"/>
      <c r="BVF42" s="224"/>
      <c r="BVG42" s="224"/>
      <c r="BVH42" s="224"/>
      <c r="BVI42" s="224"/>
      <c r="BVJ42" s="224"/>
      <c r="BVK42" s="224"/>
      <c r="BVL42" s="224"/>
      <c r="BVM42" s="224"/>
      <c r="BVN42" s="224"/>
      <c r="BVO42" s="224"/>
      <c r="BVP42" s="224"/>
      <c r="BVQ42" s="224"/>
      <c r="BVR42" s="224"/>
      <c r="BVS42" s="224"/>
      <c r="BVT42" s="224"/>
      <c r="BVU42" s="224"/>
      <c r="BVV42" s="224"/>
      <c r="BVW42" s="224"/>
      <c r="BVX42" s="224"/>
      <c r="BVY42" s="224"/>
      <c r="BVZ42" s="224"/>
      <c r="BWA42" s="224"/>
      <c r="BWB42" s="224"/>
      <c r="BWC42" s="224"/>
      <c r="BWD42" s="224"/>
      <c r="BWE42" s="224"/>
      <c r="BWF42" s="224"/>
      <c r="BWG42" s="224"/>
      <c r="BWH42" s="224"/>
      <c r="BWI42" s="224"/>
      <c r="BWJ42" s="224"/>
      <c r="BWK42" s="224"/>
      <c r="BWL42" s="224"/>
      <c r="BWM42" s="224"/>
      <c r="BWN42" s="224"/>
      <c r="BWO42" s="224"/>
      <c r="BWP42" s="224"/>
      <c r="BWQ42" s="224"/>
      <c r="BWR42" s="224"/>
      <c r="BWS42" s="224"/>
      <c r="BWT42" s="224"/>
      <c r="BWU42" s="224"/>
      <c r="BWV42" s="224"/>
      <c r="BWW42" s="224"/>
      <c r="BWX42" s="224"/>
      <c r="BWY42" s="224"/>
      <c r="BWZ42" s="224"/>
      <c r="BXA42" s="224"/>
      <c r="BXB42" s="224"/>
      <c r="BXC42" s="224"/>
      <c r="BXD42" s="224"/>
      <c r="BXE42" s="224"/>
      <c r="BXF42" s="224"/>
      <c r="BXG42" s="224"/>
      <c r="BXH42" s="224"/>
      <c r="BXI42" s="224"/>
      <c r="BXJ42" s="224"/>
      <c r="BXK42" s="224"/>
      <c r="BXL42" s="224"/>
      <c r="BXM42" s="224"/>
      <c r="BXN42" s="224"/>
      <c r="BXO42" s="224"/>
      <c r="BXP42" s="224"/>
      <c r="BXQ42" s="224"/>
      <c r="BXR42" s="224"/>
      <c r="BXS42" s="224"/>
      <c r="BXT42" s="224"/>
      <c r="BXU42" s="224"/>
      <c r="BXV42" s="224"/>
      <c r="BXW42" s="224"/>
      <c r="BXX42" s="224"/>
      <c r="BXY42" s="224"/>
      <c r="BXZ42" s="224"/>
      <c r="BYA42" s="224"/>
      <c r="BYB42" s="224"/>
      <c r="BYC42" s="224"/>
      <c r="BYD42" s="224"/>
      <c r="BYE42" s="224"/>
      <c r="BYF42" s="224"/>
      <c r="BYG42" s="224"/>
    </row>
    <row r="43" spans="1:2009" s="101" customFormat="1" ht="12.75" customHeight="1" thickBot="1" x14ac:dyDescent="0.3">
      <c r="A43" s="98"/>
      <c r="B43" s="129"/>
      <c r="C43" s="175"/>
      <c r="D43" s="175"/>
      <c r="E43" s="175"/>
      <c r="F43" s="175"/>
      <c r="G43" s="175"/>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147" t="s">
        <v>159</v>
      </c>
      <c r="B44" s="492"/>
      <c r="C44" s="493"/>
      <c r="D44" s="493"/>
      <c r="E44" s="493"/>
      <c r="F44" s="494"/>
      <c r="G44" s="495"/>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customHeight="1" x14ac:dyDescent="0.25">
      <c r="A45" s="421"/>
      <c r="B45" s="502" t="s">
        <v>314</v>
      </c>
      <c r="C45" s="540">
        <v>1004.56</v>
      </c>
      <c r="D45" s="540"/>
      <c r="E45" s="505"/>
      <c r="F45" s="506"/>
      <c r="G45" s="507">
        <f>ROUND(SUM(C45:F45),5)</f>
        <v>1004.56</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21"/>
      <c r="B46" s="502" t="s">
        <v>315</v>
      </c>
      <c r="C46" s="540">
        <v>1719.43</v>
      </c>
      <c r="D46" s="540">
        <v>970.52</v>
      </c>
      <c r="E46" s="505"/>
      <c r="F46" s="506"/>
      <c r="G46" s="507">
        <f>ROUND(SUM(C46:F46),5)</f>
        <v>2689.95</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422"/>
      <c r="B47" s="502" t="s">
        <v>257</v>
      </c>
      <c r="C47" s="541">
        <v>3632.5</v>
      </c>
      <c r="D47" s="541">
        <v>4810.8999999999996</v>
      </c>
      <c r="E47" s="508"/>
      <c r="F47" s="509"/>
      <c r="G47" s="510">
        <f>ROUND(SUM(C47:F47),5)</f>
        <v>8443.4</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247" customFormat="1" ht="24.95" customHeight="1" thickBot="1" x14ac:dyDescent="0.3">
      <c r="A48" s="246"/>
      <c r="B48" s="503" t="s">
        <v>245</v>
      </c>
      <c r="C48" s="496">
        <f>SUM(C44:C47)</f>
        <v>6356.49</v>
      </c>
      <c r="D48" s="496">
        <f>SUM(D44:D47)</f>
        <v>5781.42</v>
      </c>
      <c r="E48" s="496"/>
      <c r="F48" s="496"/>
      <c r="G48" s="497">
        <f>ROUND(SUM(C48:F48),5)</f>
        <v>12137.91</v>
      </c>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c r="IO48" s="212"/>
      <c r="IP48" s="212"/>
      <c r="IQ48" s="212"/>
      <c r="IR48" s="212"/>
      <c r="IS48" s="212"/>
      <c r="IT48" s="212"/>
      <c r="IU48" s="212"/>
      <c r="IV48" s="212"/>
      <c r="IW48" s="212"/>
      <c r="IX48" s="212"/>
      <c r="IY48" s="212"/>
      <c r="IZ48" s="212"/>
      <c r="JA48" s="212"/>
      <c r="JB48" s="212"/>
      <c r="JC48" s="212"/>
      <c r="JD48" s="212"/>
      <c r="JE48" s="212"/>
      <c r="JF48" s="212"/>
      <c r="JG48" s="212"/>
      <c r="JH48" s="212"/>
      <c r="JI48" s="212"/>
      <c r="JJ48" s="212"/>
      <c r="JK48" s="212"/>
      <c r="JL48" s="212"/>
      <c r="JM48" s="212"/>
      <c r="JN48" s="212"/>
      <c r="JO48" s="212"/>
      <c r="JP48" s="212"/>
      <c r="JQ48" s="212"/>
      <c r="JR48" s="212"/>
      <c r="JS48" s="212"/>
      <c r="JT48" s="212"/>
      <c r="JU48" s="212"/>
      <c r="JV48" s="212"/>
      <c r="JW48" s="212"/>
      <c r="JX48" s="212"/>
      <c r="JY48" s="212"/>
      <c r="JZ48" s="212"/>
      <c r="KA48" s="212"/>
      <c r="KB48" s="212"/>
      <c r="KC48" s="212"/>
      <c r="KD48" s="212"/>
      <c r="KE48" s="212"/>
      <c r="KF48" s="212"/>
      <c r="KG48" s="212"/>
      <c r="KH48" s="212"/>
      <c r="KI48" s="212"/>
      <c r="KJ48" s="212"/>
      <c r="KK48" s="212"/>
      <c r="KL48" s="212"/>
      <c r="KM48" s="212"/>
      <c r="KN48" s="212"/>
      <c r="KO48" s="212"/>
      <c r="KP48" s="212"/>
      <c r="KQ48" s="212"/>
      <c r="KR48" s="212"/>
      <c r="KS48" s="212"/>
      <c r="KT48" s="212"/>
      <c r="KU48" s="212"/>
      <c r="KV48" s="212"/>
      <c r="KW48" s="212"/>
      <c r="KX48" s="212"/>
      <c r="KY48" s="212"/>
      <c r="KZ48" s="212"/>
      <c r="LA48" s="212"/>
      <c r="LB48" s="212"/>
      <c r="LC48" s="212"/>
      <c r="LD48" s="212"/>
      <c r="LE48" s="212"/>
      <c r="LF48" s="212"/>
      <c r="LG48" s="212"/>
      <c r="LH48" s="212"/>
      <c r="LI48" s="212"/>
      <c r="LJ48" s="212"/>
      <c r="LK48" s="212"/>
      <c r="LL48" s="212"/>
      <c r="LM48" s="212"/>
      <c r="LN48" s="212"/>
      <c r="LO48" s="212"/>
      <c r="LP48" s="212"/>
      <c r="LQ48" s="212"/>
      <c r="LR48" s="212"/>
      <c r="LS48" s="212"/>
      <c r="LT48" s="212"/>
      <c r="LU48" s="212"/>
      <c r="LV48" s="212"/>
      <c r="LW48" s="212"/>
      <c r="LX48" s="212"/>
      <c r="LY48" s="212"/>
      <c r="LZ48" s="212"/>
      <c r="MA48" s="212"/>
      <c r="MB48" s="212"/>
      <c r="MC48" s="212"/>
      <c r="MD48" s="212"/>
      <c r="ME48" s="212"/>
      <c r="MF48" s="212"/>
      <c r="MG48" s="212"/>
      <c r="MH48" s="212"/>
      <c r="MI48" s="212"/>
      <c r="MJ48" s="212"/>
      <c r="MK48" s="212"/>
      <c r="ML48" s="212"/>
      <c r="MM48" s="212"/>
      <c r="MN48" s="212"/>
      <c r="MO48" s="212"/>
      <c r="MP48" s="212"/>
      <c r="MQ48" s="212"/>
      <c r="MR48" s="212"/>
      <c r="MS48" s="212"/>
      <c r="MT48" s="212"/>
      <c r="MU48" s="212"/>
      <c r="MV48" s="212"/>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2"/>
      <c r="NT48" s="212"/>
      <c r="NU48" s="212"/>
      <c r="NV48" s="212"/>
      <c r="NW48" s="212"/>
      <c r="NX48" s="212"/>
      <c r="NY48" s="212"/>
      <c r="NZ48" s="212"/>
      <c r="OA48" s="212"/>
      <c r="OB48" s="212"/>
      <c r="OC48" s="212"/>
      <c r="OD48" s="212"/>
      <c r="OE48" s="212"/>
      <c r="OF48" s="212"/>
      <c r="OG48" s="212"/>
      <c r="OH48" s="212"/>
      <c r="OI48" s="212"/>
      <c r="OJ48" s="212"/>
      <c r="OK48" s="212"/>
      <c r="OL48" s="212"/>
      <c r="OM48" s="212"/>
      <c r="ON48" s="212"/>
      <c r="OO48" s="212"/>
      <c r="OP48" s="212"/>
      <c r="OQ48" s="212"/>
      <c r="OR48" s="212"/>
      <c r="OS48" s="212"/>
      <c r="OT48" s="212"/>
      <c r="OU48" s="212"/>
      <c r="OV48" s="212"/>
      <c r="OW48" s="212"/>
      <c r="OX48" s="212"/>
      <c r="OY48" s="212"/>
      <c r="OZ48" s="212"/>
      <c r="PA48" s="212"/>
      <c r="PB48" s="212"/>
      <c r="PC48" s="212"/>
      <c r="PD48" s="212"/>
      <c r="PE48" s="212"/>
      <c r="PF48" s="212"/>
      <c r="PG48" s="212"/>
      <c r="PH48" s="212"/>
      <c r="PI48" s="212"/>
      <c r="PJ48" s="212"/>
      <c r="PK48" s="212"/>
      <c r="PL48" s="212"/>
      <c r="PM48" s="212"/>
      <c r="PN48" s="212"/>
      <c r="PO48" s="212"/>
      <c r="PP48" s="212"/>
      <c r="PQ48" s="212"/>
      <c r="PR48" s="212"/>
      <c r="PS48" s="212"/>
      <c r="PT48" s="212"/>
      <c r="PU48" s="212"/>
      <c r="PV48" s="212"/>
      <c r="PW48" s="212"/>
      <c r="PX48" s="212"/>
      <c r="PY48" s="212"/>
      <c r="PZ48" s="212"/>
      <c r="QA48" s="212"/>
      <c r="QB48" s="212"/>
      <c r="QC48" s="212"/>
      <c r="QD48" s="212"/>
      <c r="QE48" s="212"/>
      <c r="QF48" s="212"/>
      <c r="QG48" s="212"/>
      <c r="QH48" s="212"/>
      <c r="QI48" s="212"/>
      <c r="QJ48" s="212"/>
      <c r="QK48" s="212"/>
      <c r="QL48" s="212"/>
      <c r="QM48" s="212"/>
      <c r="QN48" s="212"/>
      <c r="QO48" s="212"/>
      <c r="QP48" s="212"/>
      <c r="QQ48" s="212"/>
      <c r="QR48" s="212"/>
      <c r="QS48" s="212"/>
      <c r="QT48" s="212"/>
      <c r="QU48" s="212"/>
      <c r="QV48" s="212"/>
      <c r="QW48" s="212"/>
      <c r="QX48" s="212"/>
      <c r="QY48" s="212"/>
      <c r="QZ48" s="212"/>
      <c r="RA48" s="212"/>
      <c r="RB48" s="212"/>
      <c r="RC48" s="212"/>
      <c r="RD48" s="212"/>
      <c r="RE48" s="212"/>
      <c r="RF48" s="212"/>
      <c r="RG48" s="212"/>
      <c r="RH48" s="212"/>
      <c r="RI48" s="212"/>
      <c r="RJ48" s="212"/>
      <c r="RK48" s="212"/>
      <c r="RL48" s="212"/>
      <c r="RM48" s="212"/>
      <c r="RN48" s="212"/>
      <c r="RO48" s="212"/>
      <c r="RP48" s="212"/>
      <c r="RQ48" s="212"/>
      <c r="RR48" s="212"/>
      <c r="RS48" s="212"/>
      <c r="RT48" s="212"/>
      <c r="RU48" s="212"/>
      <c r="RV48" s="212"/>
      <c r="RW48" s="212"/>
      <c r="RX48" s="212"/>
      <c r="RY48" s="212"/>
      <c r="RZ48" s="212"/>
      <c r="SA48" s="212"/>
      <c r="SB48" s="212"/>
      <c r="SC48" s="212"/>
      <c r="SD48" s="212"/>
      <c r="SE48" s="212"/>
      <c r="SF48" s="212"/>
      <c r="SG48" s="212"/>
      <c r="SH48" s="212"/>
      <c r="SI48" s="212"/>
      <c r="SJ48" s="212"/>
      <c r="SK48" s="212"/>
      <c r="SL48" s="212"/>
      <c r="SM48" s="212"/>
      <c r="SN48" s="212"/>
      <c r="SO48" s="212"/>
      <c r="SP48" s="212"/>
      <c r="SQ48" s="212"/>
      <c r="SR48" s="212"/>
      <c r="SS48" s="212"/>
      <c r="ST48" s="212"/>
      <c r="SU48" s="212"/>
      <c r="SV48" s="212"/>
      <c r="SW48" s="212"/>
      <c r="SX48" s="212"/>
      <c r="SY48" s="212"/>
      <c r="SZ48" s="212"/>
      <c r="TA48" s="212"/>
      <c r="TB48" s="212"/>
      <c r="TC48" s="212"/>
      <c r="TD48" s="212"/>
      <c r="TE48" s="212"/>
      <c r="TF48" s="212"/>
      <c r="TG48" s="212"/>
      <c r="TH48" s="212"/>
      <c r="TI48" s="212"/>
      <c r="TJ48" s="212"/>
      <c r="TK48" s="212"/>
      <c r="TL48" s="212"/>
      <c r="TM48" s="212"/>
      <c r="TN48" s="212"/>
      <c r="TO48" s="212"/>
      <c r="TP48" s="212"/>
      <c r="TQ48" s="212"/>
      <c r="TR48" s="212"/>
      <c r="TS48" s="212"/>
      <c r="TT48" s="212"/>
      <c r="TU48" s="212"/>
      <c r="TV48" s="212"/>
      <c r="TW48" s="212"/>
      <c r="TX48" s="212"/>
      <c r="TY48" s="212"/>
      <c r="TZ48" s="212"/>
      <c r="UA48" s="212"/>
      <c r="UB48" s="212"/>
      <c r="UC48" s="212"/>
      <c r="UD48" s="212"/>
      <c r="UE48" s="212"/>
      <c r="UF48" s="212"/>
      <c r="UG48" s="212"/>
      <c r="UH48" s="212"/>
      <c r="UI48" s="212"/>
      <c r="UJ48" s="212"/>
      <c r="UK48" s="212"/>
      <c r="UL48" s="212"/>
      <c r="UM48" s="212"/>
      <c r="UN48" s="212"/>
      <c r="UO48" s="212"/>
      <c r="UP48" s="212"/>
      <c r="UQ48" s="212"/>
      <c r="UR48" s="212"/>
      <c r="US48" s="212"/>
      <c r="UT48" s="212"/>
      <c r="UU48" s="212"/>
      <c r="UV48" s="212"/>
      <c r="UW48" s="212"/>
      <c r="UX48" s="212"/>
      <c r="UY48" s="212"/>
      <c r="UZ48" s="212"/>
      <c r="VA48" s="212"/>
      <c r="VB48" s="212"/>
      <c r="VC48" s="212"/>
      <c r="VD48" s="212"/>
      <c r="VE48" s="212"/>
      <c r="VF48" s="212"/>
      <c r="VG48" s="212"/>
      <c r="VH48" s="212"/>
      <c r="VI48" s="212"/>
      <c r="VJ48" s="212"/>
      <c r="VK48" s="212"/>
      <c r="VL48" s="212"/>
      <c r="VM48" s="212"/>
      <c r="VN48" s="212"/>
      <c r="VO48" s="212"/>
      <c r="VP48" s="212"/>
      <c r="VQ48" s="212"/>
      <c r="VR48" s="212"/>
      <c r="VS48" s="212"/>
      <c r="VT48" s="212"/>
      <c r="VU48" s="212"/>
      <c r="VV48" s="212"/>
      <c r="VW48" s="212"/>
      <c r="VX48" s="212"/>
      <c r="VY48" s="212"/>
      <c r="VZ48" s="212"/>
      <c r="WA48" s="212"/>
      <c r="WB48" s="212"/>
      <c r="WC48" s="212"/>
      <c r="WD48" s="212"/>
      <c r="WE48" s="212"/>
      <c r="WF48" s="212"/>
      <c r="WG48" s="212"/>
      <c r="WH48" s="212"/>
      <c r="WI48" s="212"/>
      <c r="WJ48" s="212"/>
      <c r="WK48" s="212"/>
      <c r="WL48" s="212"/>
      <c r="WM48" s="212"/>
      <c r="WN48" s="212"/>
      <c r="WO48" s="212"/>
      <c r="WP48" s="212"/>
      <c r="WQ48" s="212"/>
      <c r="WR48" s="212"/>
      <c r="WS48" s="212"/>
      <c r="WT48" s="212"/>
      <c r="WU48" s="212"/>
      <c r="WV48" s="212"/>
      <c r="WW48" s="212"/>
      <c r="WX48" s="212"/>
      <c r="WY48" s="212"/>
      <c r="WZ48" s="212"/>
      <c r="XA48" s="212"/>
      <c r="XB48" s="212"/>
      <c r="XC48" s="212"/>
      <c r="XD48" s="212"/>
      <c r="XE48" s="212"/>
      <c r="XF48" s="212"/>
      <c r="XG48" s="212"/>
      <c r="XH48" s="212"/>
      <c r="XI48" s="212"/>
      <c r="XJ48" s="212"/>
      <c r="XK48" s="212"/>
      <c r="XL48" s="212"/>
      <c r="XM48" s="212"/>
      <c r="XN48" s="212"/>
      <c r="XO48" s="212"/>
      <c r="XP48" s="212"/>
      <c r="XQ48" s="212"/>
      <c r="XR48" s="212"/>
      <c r="XS48" s="212"/>
      <c r="XT48" s="212"/>
      <c r="XU48" s="212"/>
      <c r="XV48" s="212"/>
      <c r="XW48" s="212"/>
      <c r="XX48" s="212"/>
      <c r="XY48" s="212"/>
      <c r="XZ48" s="212"/>
      <c r="YA48" s="212"/>
      <c r="YB48" s="212"/>
      <c r="YC48" s="212"/>
      <c r="YD48" s="212"/>
      <c r="YE48" s="212"/>
      <c r="YF48" s="212"/>
      <c r="YG48" s="212"/>
      <c r="YH48" s="212"/>
      <c r="YI48" s="212"/>
      <c r="YJ48" s="212"/>
      <c r="YK48" s="212"/>
      <c r="YL48" s="212"/>
      <c r="YM48" s="212"/>
      <c r="YN48" s="212"/>
      <c r="YO48" s="212"/>
      <c r="YP48" s="212"/>
      <c r="YQ48" s="212"/>
      <c r="YR48" s="212"/>
      <c r="YS48" s="212"/>
      <c r="YT48" s="212"/>
      <c r="YU48" s="212"/>
      <c r="YV48" s="212"/>
      <c r="YW48" s="212"/>
      <c r="YX48" s="212"/>
      <c r="YY48" s="212"/>
      <c r="YZ48" s="212"/>
      <c r="ZA48" s="212"/>
      <c r="ZB48" s="212"/>
      <c r="ZC48" s="212"/>
      <c r="ZD48" s="212"/>
      <c r="ZE48" s="212"/>
      <c r="ZF48" s="212"/>
      <c r="ZG48" s="212"/>
      <c r="ZH48" s="212"/>
      <c r="ZI48" s="212"/>
      <c r="ZJ48" s="212"/>
      <c r="ZK48" s="212"/>
      <c r="ZL48" s="212"/>
      <c r="ZM48" s="212"/>
      <c r="ZN48" s="212"/>
      <c r="ZO48" s="212"/>
      <c r="ZP48" s="212"/>
      <c r="ZQ48" s="212"/>
      <c r="ZR48" s="212"/>
      <c r="ZS48" s="212"/>
      <c r="ZT48" s="212"/>
      <c r="ZU48" s="212"/>
      <c r="ZV48" s="212"/>
      <c r="ZW48" s="212"/>
      <c r="ZX48" s="212"/>
      <c r="ZY48" s="212"/>
      <c r="ZZ48" s="212"/>
      <c r="AAA48" s="212"/>
      <c r="AAB48" s="212"/>
      <c r="AAC48" s="212"/>
      <c r="AAD48" s="212"/>
      <c r="AAE48" s="212"/>
      <c r="AAF48" s="212"/>
      <c r="AAG48" s="212"/>
      <c r="AAH48" s="212"/>
      <c r="AAI48" s="212"/>
      <c r="AAJ48" s="212"/>
      <c r="AAK48" s="212"/>
      <c r="AAL48" s="212"/>
      <c r="AAM48" s="212"/>
      <c r="AAN48" s="212"/>
      <c r="AAO48" s="212"/>
      <c r="AAP48" s="212"/>
      <c r="AAQ48" s="212"/>
      <c r="AAR48" s="212"/>
      <c r="AAS48" s="212"/>
      <c r="AAT48" s="212"/>
      <c r="AAU48" s="212"/>
      <c r="AAV48" s="212"/>
      <c r="AAW48" s="212"/>
      <c r="AAX48" s="212"/>
      <c r="AAY48" s="212"/>
      <c r="AAZ48" s="212"/>
      <c r="ABA48" s="212"/>
      <c r="ABB48" s="212"/>
      <c r="ABC48" s="212"/>
      <c r="ABD48" s="212"/>
      <c r="ABE48" s="212"/>
      <c r="ABF48" s="212"/>
      <c r="ABG48" s="212"/>
      <c r="ABH48" s="212"/>
      <c r="ABI48" s="212"/>
      <c r="ABJ48" s="212"/>
      <c r="ABK48" s="212"/>
      <c r="ABL48" s="212"/>
      <c r="ABM48" s="212"/>
      <c r="ABN48" s="212"/>
      <c r="ABO48" s="212"/>
      <c r="ABP48" s="212"/>
      <c r="ABQ48" s="212"/>
      <c r="ABR48" s="212"/>
      <c r="ABS48" s="212"/>
      <c r="ABT48" s="212"/>
      <c r="ABU48" s="212"/>
      <c r="ABV48" s="212"/>
      <c r="ABW48" s="212"/>
      <c r="ABX48" s="212"/>
      <c r="ABY48" s="212"/>
      <c r="ABZ48" s="212"/>
      <c r="ACA48" s="212"/>
      <c r="ACB48" s="212"/>
      <c r="ACC48" s="212"/>
      <c r="ACD48" s="212"/>
      <c r="ACE48" s="212"/>
      <c r="ACF48" s="212"/>
      <c r="ACG48" s="212"/>
      <c r="ACH48" s="212"/>
      <c r="ACI48" s="212"/>
      <c r="ACJ48" s="212"/>
      <c r="ACK48" s="212"/>
      <c r="ACL48" s="212"/>
      <c r="ACM48" s="212"/>
      <c r="ACN48" s="212"/>
      <c r="ACO48" s="212"/>
      <c r="ACP48" s="212"/>
      <c r="ACQ48" s="212"/>
      <c r="ACR48" s="212"/>
      <c r="ACS48" s="212"/>
      <c r="ACT48" s="212"/>
      <c r="ACU48" s="212"/>
      <c r="ACV48" s="212"/>
      <c r="ACW48" s="212"/>
      <c r="ACX48" s="212"/>
      <c r="ACY48" s="212"/>
      <c r="ACZ48" s="212"/>
      <c r="ADA48" s="212"/>
      <c r="ADB48" s="212"/>
      <c r="ADC48" s="212"/>
      <c r="ADD48" s="212"/>
      <c r="ADE48" s="212"/>
      <c r="ADF48" s="212"/>
      <c r="ADG48" s="212"/>
      <c r="ADH48" s="212"/>
      <c r="ADI48" s="212"/>
      <c r="ADJ48" s="212"/>
      <c r="ADK48" s="212"/>
      <c r="ADL48" s="212"/>
      <c r="ADM48" s="212"/>
      <c r="ADN48" s="212"/>
      <c r="ADO48" s="212"/>
      <c r="ADP48" s="212"/>
      <c r="ADQ48" s="212"/>
      <c r="ADR48" s="212"/>
      <c r="ADS48" s="212"/>
      <c r="ADT48" s="212"/>
      <c r="ADU48" s="212"/>
      <c r="ADV48" s="212"/>
      <c r="ADW48" s="212"/>
      <c r="ADX48" s="212"/>
      <c r="ADY48" s="212"/>
      <c r="ADZ48" s="212"/>
      <c r="AEA48" s="212"/>
      <c r="AEB48" s="212"/>
      <c r="AEC48" s="212"/>
      <c r="AED48" s="212"/>
      <c r="AEE48" s="212"/>
      <c r="AEF48" s="212"/>
      <c r="AEG48" s="212"/>
      <c r="AEH48" s="212"/>
      <c r="AEI48" s="212"/>
      <c r="AEJ48" s="212"/>
      <c r="AEK48" s="212"/>
      <c r="AEL48" s="212"/>
      <c r="AEM48" s="212"/>
      <c r="AEN48" s="212"/>
      <c r="AEO48" s="212"/>
      <c r="AEP48" s="212"/>
      <c r="AEQ48" s="212"/>
      <c r="AER48" s="212"/>
      <c r="AES48" s="212"/>
      <c r="AET48" s="212"/>
      <c r="AEU48" s="212"/>
      <c r="AEV48" s="212"/>
      <c r="AEW48" s="212"/>
      <c r="AEX48" s="212"/>
      <c r="AEY48" s="212"/>
      <c r="AEZ48" s="212"/>
      <c r="AFA48" s="212"/>
      <c r="AFB48" s="212"/>
      <c r="AFC48" s="212"/>
      <c r="AFD48" s="212"/>
      <c r="AFE48" s="212"/>
      <c r="AFF48" s="212"/>
      <c r="AFG48" s="212"/>
      <c r="AFH48" s="212"/>
      <c r="AFI48" s="212"/>
      <c r="AFJ48" s="212"/>
      <c r="AFK48" s="212"/>
      <c r="AFL48" s="212"/>
      <c r="AFM48" s="212"/>
      <c r="AFN48" s="212"/>
      <c r="AFO48" s="212"/>
      <c r="AFP48" s="212"/>
      <c r="AFQ48" s="212"/>
      <c r="AFR48" s="212"/>
      <c r="AFS48" s="212"/>
      <c r="AFT48" s="212"/>
      <c r="AFU48" s="212"/>
      <c r="AFV48" s="212"/>
      <c r="AFW48" s="212"/>
      <c r="AFX48" s="212"/>
      <c r="AFY48" s="212"/>
      <c r="AFZ48" s="212"/>
      <c r="AGA48" s="212"/>
      <c r="AGB48" s="212"/>
      <c r="AGC48" s="212"/>
      <c r="AGD48" s="212"/>
      <c r="AGE48" s="212"/>
      <c r="AGF48" s="212"/>
      <c r="AGG48" s="212"/>
      <c r="AGH48" s="212"/>
      <c r="AGI48" s="212"/>
      <c r="AGJ48" s="212"/>
      <c r="AGK48" s="212"/>
      <c r="AGL48" s="212"/>
      <c r="AGM48" s="212"/>
      <c r="AGN48" s="212"/>
      <c r="AGO48" s="212"/>
      <c r="AGP48" s="212"/>
      <c r="AGQ48" s="212"/>
      <c r="AGR48" s="212"/>
      <c r="AGS48" s="212"/>
      <c r="AGT48" s="212"/>
      <c r="AGU48" s="212"/>
      <c r="AGV48" s="212"/>
      <c r="AGW48" s="212"/>
      <c r="AGX48" s="212"/>
      <c r="AGY48" s="212"/>
      <c r="AGZ48" s="212"/>
      <c r="AHA48" s="212"/>
      <c r="AHB48" s="212"/>
      <c r="AHC48" s="212"/>
      <c r="AHD48" s="212"/>
      <c r="AHE48" s="212"/>
      <c r="AHF48" s="212"/>
      <c r="AHG48" s="212"/>
      <c r="AHH48" s="212"/>
      <c r="AHI48" s="212"/>
      <c r="AHJ48" s="212"/>
      <c r="AHK48" s="212"/>
      <c r="AHL48" s="212"/>
      <c r="AHM48" s="212"/>
      <c r="AHN48" s="212"/>
      <c r="AHO48" s="212"/>
      <c r="AHP48" s="212"/>
      <c r="AHQ48" s="212"/>
      <c r="AHR48" s="212"/>
      <c r="AHS48" s="212"/>
      <c r="AHT48" s="212"/>
      <c r="AHU48" s="212"/>
      <c r="AHV48" s="212"/>
      <c r="AHW48" s="212"/>
      <c r="AHX48" s="212"/>
      <c r="AHY48" s="212"/>
      <c r="AHZ48" s="212"/>
      <c r="AIA48" s="212"/>
      <c r="AIB48" s="212"/>
      <c r="AIC48" s="212"/>
      <c r="AID48" s="212"/>
      <c r="AIE48" s="212"/>
      <c r="AIF48" s="212"/>
      <c r="AIG48" s="212"/>
      <c r="AIH48" s="212"/>
      <c r="AII48" s="212"/>
      <c r="AIJ48" s="212"/>
      <c r="AIK48" s="212"/>
      <c r="AIL48" s="212"/>
      <c r="AIM48" s="212"/>
      <c r="AIN48" s="212"/>
      <c r="AIO48" s="212"/>
      <c r="AIP48" s="212"/>
      <c r="AIQ48" s="212"/>
      <c r="AIR48" s="212"/>
      <c r="AIS48" s="212"/>
      <c r="AIT48" s="212"/>
      <c r="AIU48" s="212"/>
      <c r="AIV48" s="212"/>
      <c r="AIW48" s="212"/>
      <c r="AIX48" s="212"/>
      <c r="AIY48" s="212"/>
      <c r="AIZ48" s="212"/>
      <c r="AJA48" s="212"/>
      <c r="AJB48" s="212"/>
      <c r="AJC48" s="212"/>
      <c r="AJD48" s="212"/>
      <c r="AJE48" s="212"/>
      <c r="AJF48" s="212"/>
      <c r="AJG48" s="212"/>
      <c r="AJH48" s="212"/>
      <c r="AJI48" s="212"/>
      <c r="AJJ48" s="212"/>
      <c r="AJK48" s="212"/>
      <c r="AJL48" s="212"/>
      <c r="AJM48" s="212"/>
      <c r="AJN48" s="212"/>
      <c r="AJO48" s="212"/>
      <c r="AJP48" s="212"/>
      <c r="AJQ48" s="212"/>
      <c r="AJR48" s="212"/>
      <c r="AJS48" s="212"/>
      <c r="AJT48" s="212"/>
      <c r="AJU48" s="212"/>
      <c r="AJV48" s="212"/>
      <c r="AJW48" s="212"/>
      <c r="AJX48" s="212"/>
      <c r="AJY48" s="212"/>
      <c r="AJZ48" s="212"/>
      <c r="AKA48" s="212"/>
      <c r="AKB48" s="212"/>
      <c r="AKC48" s="212"/>
      <c r="AKD48" s="212"/>
      <c r="AKE48" s="212"/>
      <c r="AKF48" s="212"/>
      <c r="AKG48" s="212"/>
      <c r="AKH48" s="212"/>
      <c r="AKI48" s="212"/>
      <c r="AKJ48" s="212"/>
      <c r="AKK48" s="212"/>
      <c r="AKL48" s="212"/>
      <c r="AKM48" s="212"/>
      <c r="AKN48" s="212"/>
      <c r="AKO48" s="212"/>
      <c r="AKP48" s="212"/>
      <c r="AKQ48" s="212"/>
      <c r="AKR48" s="212"/>
      <c r="AKS48" s="212"/>
      <c r="AKT48" s="212"/>
      <c r="AKU48" s="212"/>
      <c r="AKV48" s="212"/>
      <c r="AKW48" s="212"/>
      <c r="AKX48" s="212"/>
      <c r="AKY48" s="212"/>
      <c r="AKZ48" s="212"/>
      <c r="ALA48" s="212"/>
      <c r="ALB48" s="212"/>
      <c r="ALC48" s="212"/>
      <c r="ALD48" s="212"/>
      <c r="ALE48" s="212"/>
      <c r="ALF48" s="212"/>
      <c r="ALG48" s="212"/>
      <c r="ALH48" s="212"/>
      <c r="ALI48" s="212"/>
      <c r="ALJ48" s="212"/>
      <c r="ALK48" s="212"/>
      <c r="ALL48" s="212"/>
      <c r="ALM48" s="212"/>
      <c r="ALN48" s="212"/>
      <c r="ALO48" s="212"/>
      <c r="ALP48" s="212"/>
      <c r="ALQ48" s="212"/>
      <c r="ALR48" s="212"/>
      <c r="ALS48" s="212"/>
      <c r="ALT48" s="212"/>
      <c r="ALU48" s="212"/>
      <c r="ALV48" s="212"/>
      <c r="ALW48" s="212"/>
      <c r="ALX48" s="212"/>
      <c r="ALY48" s="212"/>
      <c r="ALZ48" s="212"/>
      <c r="AMA48" s="212"/>
      <c r="AMB48" s="212"/>
      <c r="AMC48" s="212"/>
      <c r="AMD48" s="212"/>
      <c r="AME48" s="212"/>
      <c r="AMF48" s="212"/>
      <c r="AMG48" s="212"/>
      <c r="AMH48" s="212"/>
      <c r="AMI48" s="212"/>
      <c r="AMJ48" s="212"/>
      <c r="AMK48" s="212"/>
      <c r="AML48" s="212"/>
      <c r="AMM48" s="212"/>
      <c r="AMN48" s="212"/>
      <c r="AMO48" s="212"/>
      <c r="AMP48" s="212"/>
      <c r="AMQ48" s="212"/>
      <c r="AMR48" s="212"/>
      <c r="AMS48" s="212"/>
      <c r="AMT48" s="212"/>
      <c r="AMU48" s="212"/>
      <c r="AMV48" s="212"/>
      <c r="AMW48" s="212"/>
      <c r="AMX48" s="212"/>
      <c r="AMY48" s="212"/>
      <c r="AMZ48" s="212"/>
      <c r="ANA48" s="212"/>
      <c r="ANB48" s="212"/>
      <c r="ANC48" s="212"/>
      <c r="AND48" s="212"/>
      <c r="ANE48" s="212"/>
      <c r="ANF48" s="212"/>
      <c r="ANG48" s="212"/>
      <c r="ANH48" s="212"/>
      <c r="ANI48" s="212"/>
      <c r="ANJ48" s="212"/>
      <c r="ANK48" s="212"/>
      <c r="ANL48" s="212"/>
      <c r="ANM48" s="212"/>
      <c r="ANN48" s="212"/>
      <c r="ANO48" s="212"/>
      <c r="ANP48" s="212"/>
      <c r="ANQ48" s="212"/>
      <c r="ANR48" s="212"/>
      <c r="ANS48" s="212"/>
      <c r="ANT48" s="212"/>
      <c r="ANU48" s="212"/>
      <c r="ANV48" s="212"/>
      <c r="ANW48" s="212"/>
      <c r="ANX48" s="212"/>
      <c r="ANY48" s="212"/>
      <c r="ANZ48" s="212"/>
      <c r="AOA48" s="212"/>
      <c r="AOB48" s="212"/>
      <c r="AOC48" s="212"/>
      <c r="AOD48" s="212"/>
      <c r="AOE48" s="212"/>
      <c r="AOF48" s="212"/>
      <c r="AOG48" s="212"/>
      <c r="AOH48" s="212"/>
      <c r="AOI48" s="212"/>
      <c r="AOJ48" s="212"/>
      <c r="AOK48" s="212"/>
      <c r="AOL48" s="212"/>
      <c r="AOM48" s="212"/>
      <c r="AON48" s="212"/>
      <c r="AOO48" s="212"/>
      <c r="AOP48" s="212"/>
      <c r="AOQ48" s="212"/>
      <c r="AOR48" s="212"/>
      <c r="AOS48" s="212"/>
      <c r="AOT48" s="212"/>
      <c r="AOU48" s="212"/>
      <c r="AOV48" s="212"/>
      <c r="AOW48" s="212"/>
      <c r="AOX48" s="212"/>
      <c r="AOY48" s="212"/>
      <c r="AOZ48" s="212"/>
      <c r="APA48" s="212"/>
      <c r="APB48" s="212"/>
      <c r="APC48" s="212"/>
      <c r="APD48" s="212"/>
      <c r="APE48" s="212"/>
      <c r="APF48" s="212"/>
      <c r="APG48" s="212"/>
      <c r="APH48" s="212"/>
      <c r="API48" s="212"/>
      <c r="APJ48" s="212"/>
      <c r="APK48" s="212"/>
      <c r="APL48" s="212"/>
      <c r="APM48" s="212"/>
      <c r="APN48" s="212"/>
      <c r="APO48" s="212"/>
      <c r="APP48" s="212"/>
      <c r="APQ48" s="212"/>
      <c r="APR48" s="212"/>
      <c r="APS48" s="212"/>
      <c r="APT48" s="212"/>
      <c r="APU48" s="212"/>
      <c r="APV48" s="212"/>
      <c r="APW48" s="212"/>
      <c r="APX48" s="212"/>
      <c r="APY48" s="212"/>
      <c r="APZ48" s="212"/>
      <c r="AQA48" s="212"/>
      <c r="AQB48" s="212"/>
      <c r="AQC48" s="212"/>
      <c r="AQD48" s="212"/>
      <c r="AQE48" s="212"/>
      <c r="AQF48" s="212"/>
      <c r="AQG48" s="212"/>
      <c r="AQH48" s="212"/>
      <c r="AQI48" s="212"/>
      <c r="AQJ48" s="212"/>
      <c r="AQK48" s="212"/>
      <c r="AQL48" s="212"/>
      <c r="AQM48" s="212"/>
      <c r="AQN48" s="212"/>
      <c r="AQO48" s="212"/>
      <c r="AQP48" s="212"/>
      <c r="AQQ48" s="212"/>
      <c r="AQR48" s="212"/>
      <c r="AQS48" s="212"/>
      <c r="AQT48" s="212"/>
      <c r="AQU48" s="212"/>
      <c r="AQV48" s="212"/>
      <c r="AQW48" s="212"/>
      <c r="AQX48" s="212"/>
      <c r="AQY48" s="212"/>
      <c r="AQZ48" s="212"/>
      <c r="ARA48" s="212"/>
      <c r="ARB48" s="212"/>
      <c r="ARC48" s="212"/>
      <c r="ARD48" s="212"/>
      <c r="ARE48" s="212"/>
      <c r="ARF48" s="212"/>
      <c r="ARG48" s="212"/>
      <c r="ARH48" s="212"/>
      <c r="ARI48" s="212"/>
      <c r="ARJ48" s="212"/>
      <c r="ARK48" s="212"/>
      <c r="ARL48" s="212"/>
      <c r="ARM48" s="212"/>
      <c r="ARN48" s="212"/>
      <c r="ARO48" s="212"/>
      <c r="ARP48" s="212"/>
      <c r="ARQ48" s="212"/>
      <c r="ARR48" s="212"/>
      <c r="ARS48" s="212"/>
      <c r="ART48" s="212"/>
      <c r="ARU48" s="212"/>
      <c r="ARV48" s="212"/>
      <c r="ARW48" s="212"/>
      <c r="ARX48" s="212"/>
      <c r="ARY48" s="212"/>
      <c r="ARZ48" s="212"/>
      <c r="ASA48" s="212"/>
      <c r="ASB48" s="212"/>
      <c r="ASC48" s="212"/>
      <c r="ASD48" s="212"/>
      <c r="ASE48" s="212"/>
      <c r="ASF48" s="212"/>
      <c r="ASG48" s="212"/>
      <c r="ASH48" s="212"/>
      <c r="ASI48" s="212"/>
      <c r="ASJ48" s="212"/>
      <c r="ASK48" s="212"/>
      <c r="ASL48" s="212"/>
      <c r="ASM48" s="212"/>
      <c r="ASN48" s="212"/>
      <c r="ASO48" s="212"/>
      <c r="ASP48" s="212"/>
      <c r="ASQ48" s="212"/>
      <c r="ASR48" s="212"/>
      <c r="ASS48" s="212"/>
      <c r="AST48" s="212"/>
      <c r="ASU48" s="212"/>
      <c r="ASV48" s="212"/>
      <c r="ASW48" s="212"/>
      <c r="ASX48" s="212"/>
      <c r="ASY48" s="212"/>
      <c r="ASZ48" s="212"/>
      <c r="ATA48" s="212"/>
      <c r="ATB48" s="212"/>
      <c r="ATC48" s="212"/>
      <c r="ATD48" s="212"/>
      <c r="ATE48" s="212"/>
      <c r="ATF48" s="212"/>
      <c r="ATG48" s="212"/>
      <c r="ATH48" s="212"/>
      <c r="ATI48" s="212"/>
      <c r="ATJ48" s="212"/>
      <c r="ATK48" s="212"/>
      <c r="ATL48" s="212"/>
      <c r="ATM48" s="212"/>
      <c r="ATN48" s="212"/>
      <c r="ATO48" s="212"/>
      <c r="ATP48" s="212"/>
      <c r="ATQ48" s="212"/>
      <c r="ATR48" s="212"/>
      <c r="ATS48" s="212"/>
      <c r="ATT48" s="212"/>
      <c r="ATU48" s="212"/>
      <c r="ATV48" s="212"/>
      <c r="ATW48" s="212"/>
      <c r="ATX48" s="212"/>
      <c r="ATY48" s="212"/>
      <c r="ATZ48" s="212"/>
      <c r="AUA48" s="212"/>
      <c r="AUB48" s="212"/>
      <c r="AUC48" s="212"/>
      <c r="AUD48" s="212"/>
      <c r="AUE48" s="212"/>
      <c r="AUF48" s="212"/>
      <c r="AUG48" s="212"/>
      <c r="AUH48" s="212"/>
      <c r="AUI48" s="212"/>
      <c r="AUJ48" s="212"/>
      <c r="AUK48" s="212"/>
      <c r="AUL48" s="212"/>
      <c r="AUM48" s="212"/>
      <c r="AUN48" s="212"/>
      <c r="AUO48" s="212"/>
      <c r="AUP48" s="212"/>
      <c r="AUQ48" s="212"/>
      <c r="AUR48" s="212"/>
      <c r="AUS48" s="212"/>
      <c r="AUT48" s="212"/>
      <c r="AUU48" s="212"/>
      <c r="AUV48" s="212"/>
      <c r="AUW48" s="212"/>
      <c r="AUX48" s="212"/>
      <c r="AUY48" s="212"/>
      <c r="AUZ48" s="212"/>
      <c r="AVA48" s="212"/>
      <c r="AVB48" s="212"/>
      <c r="AVC48" s="212"/>
      <c r="AVD48" s="212"/>
      <c r="AVE48" s="212"/>
      <c r="AVF48" s="212"/>
      <c r="AVG48" s="212"/>
      <c r="AVH48" s="212"/>
      <c r="AVI48" s="212"/>
      <c r="AVJ48" s="212"/>
      <c r="AVK48" s="212"/>
      <c r="AVL48" s="212"/>
      <c r="AVM48" s="212"/>
      <c r="AVN48" s="212"/>
      <c r="AVO48" s="212"/>
      <c r="AVP48" s="212"/>
      <c r="AVQ48" s="212"/>
      <c r="AVR48" s="212"/>
      <c r="AVS48" s="212"/>
      <c r="AVT48" s="212"/>
      <c r="AVU48" s="212"/>
      <c r="AVV48" s="212"/>
      <c r="AVW48" s="212"/>
      <c r="AVX48" s="212"/>
      <c r="AVY48" s="212"/>
      <c r="AVZ48" s="212"/>
      <c r="AWA48" s="212"/>
      <c r="AWB48" s="212"/>
      <c r="AWC48" s="212"/>
      <c r="AWD48" s="212"/>
      <c r="AWE48" s="212"/>
      <c r="AWF48" s="212"/>
      <c r="AWG48" s="212"/>
      <c r="AWH48" s="212"/>
      <c r="AWI48" s="212"/>
      <c r="AWJ48" s="212"/>
      <c r="AWK48" s="212"/>
      <c r="AWL48" s="212"/>
      <c r="AWM48" s="212"/>
      <c r="AWN48" s="212"/>
      <c r="AWO48" s="212"/>
      <c r="AWP48" s="212"/>
      <c r="AWQ48" s="212"/>
      <c r="AWR48" s="212"/>
      <c r="AWS48" s="212"/>
      <c r="AWT48" s="212"/>
      <c r="AWU48" s="212"/>
      <c r="AWV48" s="212"/>
      <c r="AWW48" s="212"/>
      <c r="AWX48" s="212"/>
      <c r="AWY48" s="212"/>
      <c r="AWZ48" s="212"/>
      <c r="AXA48" s="212"/>
      <c r="AXB48" s="212"/>
      <c r="AXC48" s="212"/>
      <c r="AXD48" s="212"/>
      <c r="AXE48" s="212"/>
      <c r="AXF48" s="212"/>
      <c r="AXG48" s="212"/>
      <c r="AXH48" s="212"/>
      <c r="AXI48" s="212"/>
      <c r="AXJ48" s="212"/>
      <c r="AXK48" s="212"/>
      <c r="AXL48" s="212"/>
      <c r="AXM48" s="212"/>
      <c r="AXN48" s="212"/>
      <c r="AXO48" s="212"/>
      <c r="AXP48" s="212"/>
      <c r="AXQ48" s="212"/>
      <c r="AXR48" s="212"/>
      <c r="AXS48" s="212"/>
      <c r="AXT48" s="212"/>
      <c r="AXU48" s="212"/>
      <c r="AXV48" s="212"/>
      <c r="AXW48" s="212"/>
      <c r="AXX48" s="212"/>
      <c r="AXY48" s="212"/>
      <c r="AXZ48" s="212"/>
      <c r="AYA48" s="212"/>
      <c r="AYB48" s="212"/>
      <c r="AYC48" s="212"/>
      <c r="AYD48" s="212"/>
      <c r="AYE48" s="212"/>
      <c r="AYF48" s="212"/>
      <c r="AYG48" s="212"/>
      <c r="AYH48" s="212"/>
      <c r="AYI48" s="212"/>
      <c r="AYJ48" s="212"/>
      <c r="AYK48" s="212"/>
      <c r="AYL48" s="212"/>
      <c r="AYM48" s="212"/>
      <c r="AYN48" s="212"/>
      <c r="AYO48" s="212"/>
      <c r="AYP48" s="212"/>
      <c r="AYQ48" s="212"/>
      <c r="AYR48" s="212"/>
      <c r="AYS48" s="212"/>
      <c r="AYT48" s="212"/>
      <c r="AYU48" s="212"/>
      <c r="AYV48" s="212"/>
      <c r="AYW48" s="212"/>
      <c r="AYX48" s="212"/>
      <c r="AYY48" s="212"/>
      <c r="AYZ48" s="212"/>
      <c r="AZA48" s="212"/>
      <c r="AZB48" s="212"/>
      <c r="AZC48" s="212"/>
      <c r="AZD48" s="212"/>
      <c r="AZE48" s="212"/>
      <c r="AZF48" s="212"/>
      <c r="AZG48" s="212"/>
      <c r="AZH48" s="212"/>
      <c r="AZI48" s="212"/>
      <c r="AZJ48" s="212"/>
      <c r="AZK48" s="212"/>
      <c r="AZL48" s="212"/>
      <c r="AZM48" s="212"/>
      <c r="AZN48" s="212"/>
      <c r="AZO48" s="212"/>
      <c r="AZP48" s="212"/>
      <c r="AZQ48" s="212"/>
      <c r="AZR48" s="212"/>
      <c r="AZS48" s="212"/>
      <c r="AZT48" s="212"/>
      <c r="AZU48" s="212"/>
      <c r="AZV48" s="212"/>
      <c r="AZW48" s="212"/>
      <c r="AZX48" s="212"/>
      <c r="AZY48" s="212"/>
      <c r="AZZ48" s="212"/>
      <c r="BAA48" s="212"/>
      <c r="BAB48" s="212"/>
      <c r="BAC48" s="212"/>
      <c r="BAD48" s="212"/>
      <c r="BAE48" s="212"/>
      <c r="BAF48" s="212"/>
      <c r="BAG48" s="212"/>
      <c r="BAH48" s="212"/>
      <c r="BAI48" s="212"/>
      <c r="BAJ48" s="212"/>
      <c r="BAK48" s="212"/>
      <c r="BAL48" s="212"/>
      <c r="BAM48" s="212"/>
      <c r="BAN48" s="212"/>
      <c r="BAO48" s="212"/>
      <c r="BAP48" s="212"/>
      <c r="BAQ48" s="212"/>
      <c r="BAR48" s="212"/>
      <c r="BAS48" s="212"/>
      <c r="BAT48" s="212"/>
      <c r="BAU48" s="212"/>
      <c r="BAV48" s="212"/>
      <c r="BAW48" s="212"/>
      <c r="BAX48" s="212"/>
      <c r="BAY48" s="212"/>
      <c r="BAZ48" s="212"/>
      <c r="BBA48" s="212"/>
      <c r="BBB48" s="212"/>
      <c r="BBC48" s="212"/>
      <c r="BBD48" s="212"/>
      <c r="BBE48" s="212"/>
      <c r="BBF48" s="212"/>
      <c r="BBG48" s="212"/>
      <c r="BBH48" s="212"/>
      <c r="BBI48" s="212"/>
      <c r="BBJ48" s="212"/>
      <c r="BBK48" s="212"/>
      <c r="BBL48" s="212"/>
      <c r="BBM48" s="212"/>
      <c r="BBN48" s="212"/>
      <c r="BBO48" s="212"/>
      <c r="BBP48" s="212"/>
      <c r="BBQ48" s="212"/>
      <c r="BBR48" s="212"/>
      <c r="BBS48" s="212"/>
      <c r="BBT48" s="212"/>
      <c r="BBU48" s="212"/>
      <c r="BBV48" s="212"/>
      <c r="BBW48" s="212"/>
      <c r="BBX48" s="212"/>
      <c r="BBY48" s="212"/>
      <c r="BBZ48" s="212"/>
      <c r="BCA48" s="212"/>
      <c r="BCB48" s="212"/>
      <c r="BCC48" s="212"/>
      <c r="BCD48" s="212"/>
      <c r="BCE48" s="212"/>
      <c r="BCF48" s="212"/>
      <c r="BCG48" s="212"/>
      <c r="BCH48" s="212"/>
      <c r="BCI48" s="212"/>
      <c r="BCJ48" s="212"/>
      <c r="BCK48" s="212"/>
      <c r="BCL48" s="212"/>
      <c r="BCM48" s="212"/>
      <c r="BCN48" s="212"/>
      <c r="BCO48" s="212"/>
      <c r="BCP48" s="212"/>
      <c r="BCQ48" s="212"/>
      <c r="BCR48" s="212"/>
      <c r="BCS48" s="212"/>
      <c r="BCT48" s="212"/>
      <c r="BCU48" s="212"/>
      <c r="BCV48" s="212"/>
      <c r="BCW48" s="212"/>
      <c r="BCX48" s="212"/>
      <c r="BCY48" s="212"/>
      <c r="BCZ48" s="212"/>
      <c r="BDA48" s="212"/>
      <c r="BDB48" s="212"/>
      <c r="BDC48" s="212"/>
      <c r="BDD48" s="212"/>
      <c r="BDE48" s="212"/>
      <c r="BDF48" s="212"/>
      <c r="BDG48" s="212"/>
      <c r="BDH48" s="212"/>
      <c r="BDI48" s="212"/>
      <c r="BDJ48" s="212"/>
      <c r="BDK48" s="212"/>
      <c r="BDL48" s="212"/>
      <c r="BDM48" s="212"/>
      <c r="BDN48" s="212"/>
      <c r="BDO48" s="212"/>
      <c r="BDP48" s="212"/>
      <c r="BDQ48" s="212"/>
      <c r="BDR48" s="212"/>
      <c r="BDS48" s="212"/>
      <c r="BDT48" s="212"/>
      <c r="BDU48" s="212"/>
      <c r="BDV48" s="212"/>
      <c r="BDW48" s="212"/>
      <c r="BDX48" s="212"/>
      <c r="BDY48" s="212"/>
      <c r="BDZ48" s="212"/>
      <c r="BEA48" s="212"/>
      <c r="BEB48" s="212"/>
      <c r="BEC48" s="212"/>
      <c r="BED48" s="212"/>
      <c r="BEE48" s="212"/>
      <c r="BEF48" s="212"/>
      <c r="BEG48" s="212"/>
      <c r="BEH48" s="212"/>
      <c r="BEI48" s="212"/>
      <c r="BEJ48" s="212"/>
      <c r="BEK48" s="212"/>
      <c r="BEL48" s="212"/>
      <c r="BEM48" s="212"/>
      <c r="BEN48" s="212"/>
      <c r="BEO48" s="212"/>
      <c r="BEP48" s="212"/>
      <c r="BEQ48" s="212"/>
      <c r="BER48" s="212"/>
      <c r="BES48" s="212"/>
      <c r="BET48" s="212"/>
      <c r="BEU48" s="212"/>
      <c r="BEV48" s="212"/>
      <c r="BEW48" s="212"/>
      <c r="BEX48" s="212"/>
      <c r="BEY48" s="212"/>
      <c r="BEZ48" s="212"/>
      <c r="BFA48" s="212"/>
      <c r="BFB48" s="212"/>
      <c r="BFC48" s="212"/>
      <c r="BFD48" s="212"/>
      <c r="BFE48" s="212"/>
      <c r="BFF48" s="212"/>
      <c r="BFG48" s="212"/>
      <c r="BFH48" s="212"/>
      <c r="BFI48" s="212"/>
      <c r="BFJ48" s="212"/>
      <c r="BFK48" s="212"/>
      <c r="BFL48" s="212"/>
      <c r="BFM48" s="212"/>
      <c r="BFN48" s="212"/>
      <c r="BFO48" s="212"/>
      <c r="BFP48" s="212"/>
      <c r="BFQ48" s="212"/>
      <c r="BFR48" s="212"/>
      <c r="BFS48" s="212"/>
      <c r="BFT48" s="212"/>
      <c r="BFU48" s="212"/>
      <c r="BFV48" s="212"/>
      <c r="BFW48" s="212"/>
      <c r="BFX48" s="212"/>
      <c r="BFY48" s="212"/>
      <c r="BFZ48" s="212"/>
      <c r="BGA48" s="212"/>
      <c r="BGB48" s="212"/>
      <c r="BGC48" s="212"/>
      <c r="BGD48" s="212"/>
      <c r="BGE48" s="212"/>
      <c r="BGF48" s="212"/>
      <c r="BGG48" s="212"/>
      <c r="BGH48" s="212"/>
      <c r="BGI48" s="212"/>
      <c r="BGJ48" s="212"/>
      <c r="BGK48" s="212"/>
      <c r="BGL48" s="212"/>
      <c r="BGM48" s="212"/>
      <c r="BGN48" s="212"/>
      <c r="BGO48" s="212"/>
      <c r="BGP48" s="212"/>
      <c r="BGQ48" s="212"/>
      <c r="BGR48" s="212"/>
      <c r="BGS48" s="212"/>
      <c r="BGT48" s="212"/>
      <c r="BGU48" s="212"/>
      <c r="BGV48" s="212"/>
      <c r="BGW48" s="212"/>
      <c r="BGX48" s="212"/>
      <c r="BGY48" s="212"/>
      <c r="BGZ48" s="212"/>
      <c r="BHA48" s="212"/>
      <c r="BHB48" s="212"/>
      <c r="BHC48" s="212"/>
      <c r="BHD48" s="212"/>
      <c r="BHE48" s="212"/>
      <c r="BHF48" s="212"/>
      <c r="BHG48" s="212"/>
      <c r="BHH48" s="212"/>
      <c r="BHI48" s="212"/>
      <c r="BHJ48" s="212"/>
      <c r="BHK48" s="212"/>
      <c r="BHL48" s="212"/>
      <c r="BHM48" s="212"/>
      <c r="BHN48" s="212"/>
      <c r="BHO48" s="212"/>
      <c r="BHP48" s="212"/>
      <c r="BHQ48" s="212"/>
      <c r="BHR48" s="212"/>
      <c r="BHS48" s="212"/>
      <c r="BHT48" s="212"/>
      <c r="BHU48" s="212"/>
      <c r="BHV48" s="212"/>
      <c r="BHW48" s="212"/>
      <c r="BHX48" s="212"/>
      <c r="BHY48" s="212"/>
      <c r="BHZ48" s="212"/>
      <c r="BIA48" s="212"/>
      <c r="BIB48" s="212"/>
      <c r="BIC48" s="212"/>
      <c r="BID48" s="212"/>
      <c r="BIE48" s="212"/>
      <c r="BIF48" s="212"/>
      <c r="BIG48" s="212"/>
      <c r="BIH48" s="212"/>
      <c r="BII48" s="212"/>
      <c r="BIJ48" s="212"/>
      <c r="BIK48" s="212"/>
      <c r="BIL48" s="212"/>
      <c r="BIM48" s="212"/>
      <c r="BIN48" s="212"/>
      <c r="BIO48" s="212"/>
      <c r="BIP48" s="212"/>
      <c r="BIQ48" s="212"/>
      <c r="BIR48" s="212"/>
      <c r="BIS48" s="212"/>
      <c r="BIT48" s="212"/>
      <c r="BIU48" s="212"/>
      <c r="BIV48" s="212"/>
      <c r="BIW48" s="212"/>
      <c r="BIX48" s="212"/>
      <c r="BIY48" s="212"/>
      <c r="BIZ48" s="212"/>
      <c r="BJA48" s="212"/>
      <c r="BJB48" s="212"/>
      <c r="BJC48" s="212"/>
      <c r="BJD48" s="212"/>
      <c r="BJE48" s="212"/>
      <c r="BJF48" s="212"/>
      <c r="BJG48" s="212"/>
      <c r="BJH48" s="212"/>
      <c r="BJI48" s="212"/>
      <c r="BJJ48" s="212"/>
      <c r="BJK48" s="212"/>
      <c r="BJL48" s="212"/>
      <c r="BJM48" s="212"/>
      <c r="BJN48" s="212"/>
      <c r="BJO48" s="212"/>
      <c r="BJP48" s="212"/>
      <c r="BJQ48" s="212"/>
      <c r="BJR48" s="212"/>
      <c r="BJS48" s="212"/>
      <c r="BJT48" s="212"/>
      <c r="BJU48" s="212"/>
      <c r="BJV48" s="212"/>
      <c r="BJW48" s="212"/>
      <c r="BJX48" s="212"/>
      <c r="BJY48" s="212"/>
      <c r="BJZ48" s="212"/>
      <c r="BKA48" s="212"/>
      <c r="BKB48" s="212"/>
      <c r="BKC48" s="212"/>
      <c r="BKD48" s="212"/>
      <c r="BKE48" s="212"/>
      <c r="BKF48" s="212"/>
      <c r="BKG48" s="212"/>
      <c r="BKH48" s="212"/>
      <c r="BKI48" s="212"/>
      <c r="BKJ48" s="212"/>
      <c r="BKK48" s="212"/>
      <c r="BKL48" s="212"/>
      <c r="BKM48" s="212"/>
      <c r="BKN48" s="212"/>
      <c r="BKO48" s="212"/>
      <c r="BKP48" s="212"/>
      <c r="BKQ48" s="212"/>
      <c r="BKR48" s="212"/>
      <c r="BKS48" s="212"/>
      <c r="BKT48" s="212"/>
      <c r="BKU48" s="212"/>
      <c r="BKV48" s="212"/>
      <c r="BKW48" s="212"/>
      <c r="BKX48" s="212"/>
      <c r="BKY48" s="212"/>
      <c r="BKZ48" s="212"/>
      <c r="BLA48" s="212"/>
      <c r="BLB48" s="212"/>
      <c r="BLC48" s="212"/>
      <c r="BLD48" s="212"/>
      <c r="BLE48" s="212"/>
      <c r="BLF48" s="212"/>
      <c r="BLG48" s="212"/>
      <c r="BLH48" s="212"/>
      <c r="BLI48" s="212"/>
      <c r="BLJ48" s="212"/>
      <c r="BLK48" s="212"/>
      <c r="BLL48" s="212"/>
      <c r="BLM48" s="212"/>
      <c r="BLN48" s="212"/>
      <c r="BLO48" s="212"/>
      <c r="BLP48" s="212"/>
      <c r="BLQ48" s="212"/>
      <c r="BLR48" s="212"/>
      <c r="BLS48" s="212"/>
      <c r="BLT48" s="212"/>
      <c r="BLU48" s="212"/>
      <c r="BLV48" s="212"/>
      <c r="BLW48" s="212"/>
      <c r="BLX48" s="212"/>
      <c r="BLY48" s="212"/>
      <c r="BLZ48" s="212"/>
      <c r="BMA48" s="212"/>
      <c r="BMB48" s="212"/>
      <c r="BMC48" s="212"/>
      <c r="BMD48" s="212"/>
      <c r="BME48" s="212"/>
      <c r="BMF48" s="212"/>
      <c r="BMG48" s="212"/>
      <c r="BMH48" s="212"/>
      <c r="BMI48" s="212"/>
      <c r="BMJ48" s="212"/>
      <c r="BMK48" s="212"/>
      <c r="BML48" s="212"/>
      <c r="BMM48" s="212"/>
      <c r="BMN48" s="212"/>
      <c r="BMO48" s="212"/>
      <c r="BMP48" s="212"/>
      <c r="BMQ48" s="212"/>
      <c r="BMR48" s="212"/>
      <c r="BMS48" s="212"/>
      <c r="BMT48" s="212"/>
      <c r="BMU48" s="212"/>
      <c r="BMV48" s="212"/>
      <c r="BMW48" s="212"/>
      <c r="BMX48" s="212"/>
      <c r="BMY48" s="212"/>
      <c r="BMZ48" s="212"/>
      <c r="BNA48" s="212"/>
      <c r="BNB48" s="212"/>
      <c r="BNC48" s="212"/>
      <c r="BND48" s="212"/>
      <c r="BNE48" s="212"/>
      <c r="BNF48" s="212"/>
      <c r="BNG48" s="212"/>
      <c r="BNH48" s="212"/>
      <c r="BNI48" s="212"/>
      <c r="BNJ48" s="212"/>
      <c r="BNK48" s="212"/>
      <c r="BNL48" s="212"/>
      <c r="BNM48" s="212"/>
      <c r="BNN48" s="212"/>
      <c r="BNO48" s="212"/>
      <c r="BNP48" s="212"/>
      <c r="BNQ48" s="212"/>
      <c r="BNR48" s="212"/>
      <c r="BNS48" s="212"/>
      <c r="BNT48" s="212"/>
      <c r="BNU48" s="212"/>
      <c r="BNV48" s="212"/>
      <c r="BNW48" s="212"/>
      <c r="BNX48" s="212"/>
      <c r="BNY48" s="212"/>
      <c r="BNZ48" s="212"/>
      <c r="BOA48" s="212"/>
      <c r="BOB48" s="212"/>
      <c r="BOC48" s="212"/>
      <c r="BOD48" s="212"/>
      <c r="BOE48" s="212"/>
      <c r="BOF48" s="212"/>
      <c r="BOG48" s="212"/>
      <c r="BOH48" s="212"/>
      <c r="BOI48" s="212"/>
      <c r="BOJ48" s="212"/>
      <c r="BOK48" s="212"/>
      <c r="BOL48" s="212"/>
      <c r="BOM48" s="212"/>
      <c r="BON48" s="212"/>
      <c r="BOO48" s="212"/>
      <c r="BOP48" s="212"/>
      <c r="BOQ48" s="212"/>
      <c r="BOR48" s="212"/>
      <c r="BOS48" s="212"/>
      <c r="BOT48" s="212"/>
      <c r="BOU48" s="212"/>
      <c r="BOV48" s="212"/>
      <c r="BOW48" s="212"/>
      <c r="BOX48" s="212"/>
      <c r="BOY48" s="212"/>
      <c r="BOZ48" s="212"/>
      <c r="BPA48" s="212"/>
      <c r="BPB48" s="212"/>
      <c r="BPC48" s="212"/>
      <c r="BPD48" s="212"/>
      <c r="BPE48" s="212"/>
      <c r="BPF48" s="212"/>
      <c r="BPG48" s="212"/>
      <c r="BPH48" s="212"/>
      <c r="BPI48" s="212"/>
      <c r="BPJ48" s="212"/>
      <c r="BPK48" s="212"/>
      <c r="BPL48" s="212"/>
      <c r="BPM48" s="212"/>
      <c r="BPN48" s="212"/>
      <c r="BPO48" s="212"/>
      <c r="BPP48" s="212"/>
      <c r="BPQ48" s="212"/>
      <c r="BPR48" s="212"/>
      <c r="BPS48" s="212"/>
      <c r="BPT48" s="212"/>
      <c r="BPU48" s="212"/>
      <c r="BPV48" s="212"/>
      <c r="BPW48" s="212"/>
      <c r="BPX48" s="212"/>
      <c r="BPY48" s="212"/>
      <c r="BPZ48" s="212"/>
      <c r="BQA48" s="212"/>
      <c r="BQB48" s="212"/>
      <c r="BQC48" s="212"/>
      <c r="BQD48" s="212"/>
      <c r="BQE48" s="212"/>
      <c r="BQF48" s="212"/>
      <c r="BQG48" s="212"/>
      <c r="BQH48" s="212"/>
      <c r="BQI48" s="212"/>
      <c r="BQJ48" s="212"/>
      <c r="BQK48" s="212"/>
      <c r="BQL48" s="212"/>
      <c r="BQM48" s="212"/>
      <c r="BQN48" s="212"/>
      <c r="BQO48" s="212"/>
      <c r="BQP48" s="212"/>
      <c r="BQQ48" s="212"/>
      <c r="BQR48" s="212"/>
      <c r="BQS48" s="212"/>
      <c r="BQT48" s="212"/>
      <c r="BQU48" s="212"/>
      <c r="BQV48" s="212"/>
      <c r="BQW48" s="212"/>
      <c r="BQX48" s="212"/>
      <c r="BQY48" s="212"/>
      <c r="BQZ48" s="212"/>
      <c r="BRA48" s="212"/>
      <c r="BRB48" s="212"/>
      <c r="BRC48" s="212"/>
      <c r="BRD48" s="212"/>
      <c r="BRE48" s="212"/>
      <c r="BRF48" s="212"/>
      <c r="BRG48" s="212"/>
      <c r="BRH48" s="212"/>
      <c r="BRI48" s="212"/>
      <c r="BRJ48" s="212"/>
      <c r="BRK48" s="212"/>
      <c r="BRL48" s="212"/>
      <c r="BRM48" s="212"/>
      <c r="BRN48" s="212"/>
      <c r="BRO48" s="212"/>
      <c r="BRP48" s="212"/>
      <c r="BRQ48" s="212"/>
      <c r="BRR48" s="212"/>
      <c r="BRS48" s="212"/>
      <c r="BRT48" s="212"/>
      <c r="BRU48" s="212"/>
      <c r="BRV48" s="212"/>
      <c r="BRW48" s="212"/>
      <c r="BRX48" s="212"/>
      <c r="BRY48" s="212"/>
      <c r="BRZ48" s="212"/>
      <c r="BSA48" s="212"/>
      <c r="BSB48" s="212"/>
      <c r="BSC48" s="212"/>
      <c r="BSD48" s="212"/>
      <c r="BSE48" s="212"/>
      <c r="BSF48" s="212"/>
      <c r="BSG48" s="212"/>
      <c r="BSH48" s="212"/>
      <c r="BSI48" s="212"/>
      <c r="BSJ48" s="212"/>
      <c r="BSK48" s="212"/>
      <c r="BSL48" s="212"/>
      <c r="BSM48" s="212"/>
      <c r="BSN48" s="212"/>
      <c r="BSO48" s="212"/>
      <c r="BSP48" s="212"/>
      <c r="BSQ48" s="212"/>
      <c r="BSR48" s="212"/>
      <c r="BSS48" s="212"/>
      <c r="BST48" s="212"/>
      <c r="BSU48" s="212"/>
      <c r="BSV48" s="212"/>
      <c r="BSW48" s="212"/>
      <c r="BSX48" s="212"/>
      <c r="BSY48" s="212"/>
      <c r="BSZ48" s="212"/>
      <c r="BTA48" s="212"/>
      <c r="BTB48" s="212"/>
      <c r="BTC48" s="212"/>
      <c r="BTD48" s="212"/>
      <c r="BTE48" s="212"/>
      <c r="BTF48" s="212"/>
      <c r="BTG48" s="212"/>
      <c r="BTH48" s="212"/>
      <c r="BTI48" s="212"/>
      <c r="BTJ48" s="212"/>
      <c r="BTK48" s="212"/>
      <c r="BTL48" s="212"/>
      <c r="BTM48" s="212"/>
      <c r="BTN48" s="212"/>
      <c r="BTO48" s="212"/>
      <c r="BTP48" s="212"/>
      <c r="BTQ48" s="212"/>
      <c r="BTR48" s="212"/>
      <c r="BTS48" s="212"/>
      <c r="BTT48" s="212"/>
      <c r="BTU48" s="212"/>
      <c r="BTV48" s="212"/>
      <c r="BTW48" s="212"/>
      <c r="BTX48" s="212"/>
      <c r="BTY48" s="212"/>
      <c r="BTZ48" s="212"/>
      <c r="BUA48" s="212"/>
      <c r="BUB48" s="212"/>
      <c r="BUC48" s="212"/>
      <c r="BUD48" s="212"/>
      <c r="BUE48" s="212"/>
      <c r="BUF48" s="212"/>
      <c r="BUG48" s="212"/>
      <c r="BUH48" s="212"/>
      <c r="BUI48" s="212"/>
      <c r="BUJ48" s="212"/>
      <c r="BUK48" s="212"/>
      <c r="BUL48" s="212"/>
      <c r="BUM48" s="212"/>
      <c r="BUN48" s="212"/>
      <c r="BUO48" s="212"/>
      <c r="BUP48" s="212"/>
      <c r="BUQ48" s="212"/>
      <c r="BUR48" s="212"/>
      <c r="BUS48" s="212"/>
      <c r="BUT48" s="212"/>
      <c r="BUU48" s="212"/>
      <c r="BUV48" s="212"/>
      <c r="BUW48" s="212"/>
      <c r="BUX48" s="212"/>
      <c r="BUY48" s="212"/>
      <c r="BUZ48" s="212"/>
      <c r="BVA48" s="212"/>
      <c r="BVB48" s="212"/>
      <c r="BVC48" s="212"/>
      <c r="BVD48" s="212"/>
      <c r="BVE48" s="212"/>
      <c r="BVF48" s="212"/>
      <c r="BVG48" s="212"/>
      <c r="BVH48" s="212"/>
      <c r="BVI48" s="212"/>
      <c r="BVJ48" s="212"/>
      <c r="BVK48" s="212"/>
      <c r="BVL48" s="212"/>
      <c r="BVM48" s="212"/>
      <c r="BVN48" s="212"/>
      <c r="BVO48" s="212"/>
      <c r="BVP48" s="212"/>
      <c r="BVQ48" s="212"/>
      <c r="BVR48" s="212"/>
      <c r="BVS48" s="212"/>
      <c r="BVT48" s="212"/>
      <c r="BVU48" s="212"/>
      <c r="BVV48" s="212"/>
      <c r="BVW48" s="212"/>
      <c r="BVX48" s="212"/>
      <c r="BVY48" s="212"/>
      <c r="BVZ48" s="212"/>
      <c r="BWA48" s="212"/>
      <c r="BWB48" s="212"/>
      <c r="BWC48" s="212"/>
      <c r="BWD48" s="212"/>
      <c r="BWE48" s="212"/>
      <c r="BWF48" s="212"/>
      <c r="BWG48" s="212"/>
      <c r="BWH48" s="212"/>
      <c r="BWI48" s="212"/>
      <c r="BWJ48" s="212"/>
      <c r="BWK48" s="212"/>
      <c r="BWL48" s="212"/>
      <c r="BWM48" s="212"/>
      <c r="BWN48" s="212"/>
      <c r="BWO48" s="212"/>
      <c r="BWP48" s="212"/>
      <c r="BWQ48" s="212"/>
      <c r="BWR48" s="212"/>
      <c r="BWS48" s="212"/>
      <c r="BWT48" s="212"/>
      <c r="BWU48" s="212"/>
      <c r="BWV48" s="212"/>
      <c r="BWW48" s="212"/>
      <c r="BWX48" s="212"/>
      <c r="BWY48" s="212"/>
      <c r="BWZ48" s="212"/>
      <c r="BXA48" s="212"/>
      <c r="BXB48" s="212"/>
      <c r="BXC48" s="212"/>
      <c r="BXD48" s="212"/>
      <c r="BXE48" s="212"/>
      <c r="BXF48" s="212"/>
      <c r="BXG48" s="212"/>
      <c r="BXH48" s="212"/>
      <c r="BXI48" s="212"/>
      <c r="BXJ48" s="212"/>
      <c r="BXK48" s="212"/>
      <c r="BXL48" s="212"/>
      <c r="BXM48" s="212"/>
      <c r="BXN48" s="212"/>
      <c r="BXO48" s="212"/>
      <c r="BXP48" s="212"/>
      <c r="BXQ48" s="212"/>
      <c r="BXR48" s="212"/>
      <c r="BXS48" s="212"/>
      <c r="BXT48" s="212"/>
      <c r="BXU48" s="212"/>
      <c r="BXV48" s="212"/>
      <c r="BXW48" s="212"/>
      <c r="BXX48" s="212"/>
      <c r="BXY48" s="212"/>
      <c r="BXZ48" s="212"/>
      <c r="BYA48" s="212"/>
      <c r="BYB48" s="212"/>
      <c r="BYC48" s="212"/>
      <c r="BYD48" s="212"/>
      <c r="BYE48" s="212"/>
      <c r="BYF48" s="212"/>
      <c r="BYG48" s="212"/>
    </row>
    <row r="49" spans="1:2009" s="96" customFormat="1" ht="12.75" customHeight="1" thickBot="1" x14ac:dyDescent="0.3">
      <c r="A49" s="119"/>
      <c r="B49" s="120"/>
      <c r="C49" s="175"/>
      <c r="D49" s="175"/>
      <c r="E49" s="175"/>
      <c r="F49" s="175"/>
      <c r="G49" s="175"/>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row>
    <row r="50" spans="1:2009" s="121" customFormat="1" ht="24.95" customHeight="1" x14ac:dyDescent="0.25">
      <c r="A50" s="382" t="s">
        <v>218</v>
      </c>
      <c r="B50" s="383"/>
      <c r="C50" s="384"/>
      <c r="D50" s="400"/>
      <c r="E50" s="400"/>
      <c r="F50" s="400"/>
      <c r="G50" s="385"/>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86"/>
      <c r="B51" s="389" t="s">
        <v>329</v>
      </c>
      <c r="C51" s="542">
        <v>540</v>
      </c>
      <c r="D51" s="542">
        <v>1625</v>
      </c>
      <c r="E51" s="542"/>
      <c r="F51" s="542"/>
      <c r="G51" s="391">
        <f>SUM(C51:F51)</f>
        <v>2165</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7"/>
      <c r="B52" s="390" t="s">
        <v>330</v>
      </c>
      <c r="C52" s="543">
        <v>275</v>
      </c>
      <c r="D52" s="543">
        <f>772.15+1753.75-1625</f>
        <v>900.90000000000009</v>
      </c>
      <c r="E52" s="543"/>
      <c r="F52" s="543"/>
      <c r="G52" s="392">
        <f>SUM(C52:F52)</f>
        <v>1175.9000000000001</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thickBot="1" x14ac:dyDescent="0.3">
      <c r="A53" s="621" t="s">
        <v>219</v>
      </c>
      <c r="B53" s="622"/>
      <c r="C53" s="388">
        <f t="shared" ref="C53" si="2">SUM(C50:C52)</f>
        <v>815</v>
      </c>
      <c r="D53" s="388"/>
      <c r="E53" s="388"/>
      <c r="F53" s="388"/>
      <c r="G53" s="388">
        <f t="shared" ref="G53" si="3">SUM(G50:G52)</f>
        <v>3340.9</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95" customFormat="1" ht="12.75" customHeight="1" thickBot="1" x14ac:dyDescent="0.3">
      <c r="A54" s="111"/>
      <c r="B54" s="111"/>
      <c r="C54" s="182"/>
      <c r="D54" s="182"/>
      <c r="E54" s="182"/>
      <c r="F54" s="182"/>
      <c r="G54" s="182"/>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5" spans="1:2009" s="121" customFormat="1" ht="24.95" customHeight="1" thickBot="1" x14ac:dyDescent="0.3">
      <c r="A55" s="551" t="s">
        <v>318</v>
      </c>
      <c r="B55" s="547"/>
      <c r="C55" s="548">
        <v>460.7</v>
      </c>
      <c r="D55" s="549"/>
      <c r="E55" s="549"/>
      <c r="F55" s="549"/>
      <c r="G55" s="550">
        <f>SUM(C55:F55)</f>
        <v>460.7</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95" customFormat="1" ht="12.75" customHeight="1" thickBot="1" x14ac:dyDescent="0.3">
      <c r="A56" s="111"/>
      <c r="B56" s="111"/>
      <c r="C56" s="182"/>
      <c r="D56" s="182"/>
      <c r="E56" s="182"/>
      <c r="F56" s="182"/>
      <c r="G56" s="182"/>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row>
    <row r="57" spans="1:2009" s="121" customFormat="1" ht="24.95" customHeight="1" thickBot="1" x14ac:dyDescent="0.3">
      <c r="A57" s="423" t="s">
        <v>316</v>
      </c>
      <c r="B57" s="424"/>
      <c r="C57" s="425">
        <v>3214.97</v>
      </c>
      <c r="D57" s="426"/>
      <c r="E57" s="426"/>
      <c r="F57" s="426"/>
      <c r="G57" s="427">
        <f>SUM(C57:F57)</f>
        <v>3214.97</v>
      </c>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c r="IW57" s="95"/>
      <c r="IX57" s="95"/>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5"/>
      <c r="NJ57" s="95"/>
      <c r="NK57" s="95"/>
      <c r="NL57" s="95"/>
      <c r="NM57" s="95"/>
      <c r="NN57" s="95"/>
      <c r="NO57" s="95"/>
      <c r="NP57" s="95"/>
      <c r="NQ57" s="95"/>
      <c r="NR57" s="95"/>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5"/>
      <c r="SD57" s="95"/>
      <c r="SE57" s="95"/>
      <c r="SF57" s="95"/>
      <c r="SG57" s="95"/>
      <c r="SH57" s="95"/>
      <c r="SI57" s="95"/>
      <c r="SJ57" s="95"/>
      <c r="SK57" s="95"/>
      <c r="SL57" s="95"/>
      <c r="SM57" s="95"/>
      <c r="SN57" s="95"/>
      <c r="SO57" s="95"/>
      <c r="SP57" s="95"/>
      <c r="SQ57" s="95"/>
      <c r="SR57" s="95"/>
      <c r="SS57" s="95"/>
      <c r="ST57" s="95"/>
      <c r="SU57" s="95"/>
      <c r="SV57" s="95"/>
      <c r="SW57" s="95"/>
      <c r="SX57" s="95"/>
      <c r="SY57" s="95"/>
      <c r="SZ57" s="95"/>
      <c r="TA57" s="95"/>
      <c r="TB57" s="95"/>
      <c r="TC57" s="95"/>
      <c r="TD57" s="95"/>
      <c r="TE57" s="95"/>
      <c r="TF57" s="95"/>
      <c r="TG57" s="95"/>
      <c r="TH57" s="95"/>
      <c r="TI57" s="95"/>
      <c r="TJ57" s="95"/>
      <c r="TK57" s="95"/>
      <c r="TL57" s="95"/>
      <c r="TM57" s="95"/>
      <c r="TN57" s="95"/>
      <c r="TO57" s="95"/>
      <c r="TP57" s="95"/>
      <c r="TQ57" s="95"/>
      <c r="TR57" s="95"/>
      <c r="TS57" s="95"/>
      <c r="TT57" s="95"/>
      <c r="TU57" s="95"/>
      <c r="TV57" s="95"/>
      <c r="TW57" s="95"/>
      <c r="TX57" s="95"/>
      <c r="TY57" s="95"/>
      <c r="TZ57" s="95"/>
      <c r="UA57" s="95"/>
      <c r="UB57" s="95"/>
      <c r="UC57" s="95"/>
      <c r="UD57" s="95"/>
      <c r="UE57" s="95"/>
      <c r="UF57" s="95"/>
      <c r="UG57" s="95"/>
      <c r="UH57" s="95"/>
      <c r="UI57" s="95"/>
      <c r="UJ57" s="95"/>
      <c r="UK57" s="95"/>
      <c r="UL57" s="95"/>
      <c r="UM57" s="95"/>
      <c r="UN57" s="95"/>
      <c r="UO57" s="95"/>
      <c r="UP57" s="95"/>
      <c r="UQ57" s="95"/>
      <c r="UR57" s="95"/>
      <c r="US57" s="95"/>
      <c r="UT57" s="95"/>
      <c r="UU57" s="95"/>
      <c r="UV57" s="95"/>
      <c r="UW57" s="95"/>
      <c r="UX57" s="95"/>
      <c r="UY57" s="95"/>
      <c r="UZ57" s="95"/>
      <c r="VA57" s="95"/>
      <c r="VB57" s="95"/>
      <c r="VC57" s="95"/>
      <c r="VD57" s="95"/>
      <c r="VE57" s="95"/>
      <c r="VF57" s="95"/>
      <c r="VG57" s="95"/>
      <c r="VH57" s="95"/>
      <c r="VI57" s="95"/>
      <c r="VJ57" s="95"/>
      <c r="VK57" s="95"/>
      <c r="VL57" s="95"/>
      <c r="VM57" s="95"/>
      <c r="VN57" s="95"/>
      <c r="VO57" s="95"/>
      <c r="VP57" s="95"/>
      <c r="VQ57" s="95"/>
      <c r="VR57" s="95"/>
      <c r="VS57" s="95"/>
      <c r="VT57" s="95"/>
      <c r="VU57" s="95"/>
      <c r="VV57" s="95"/>
      <c r="VW57" s="95"/>
      <c r="VX57" s="95"/>
      <c r="VY57" s="95"/>
      <c r="VZ57" s="95"/>
      <c r="WA57" s="95"/>
      <c r="WB57" s="95"/>
      <c r="WC57" s="95"/>
      <c r="WD57" s="95"/>
      <c r="WE57" s="95"/>
      <c r="WF57" s="95"/>
      <c r="WG57" s="95"/>
      <c r="WH57" s="95"/>
      <c r="WI57" s="95"/>
      <c r="WJ57" s="95"/>
      <c r="WK57" s="95"/>
      <c r="WL57" s="95"/>
      <c r="WM57" s="95"/>
      <c r="WN57" s="95"/>
      <c r="WO57" s="95"/>
      <c r="WP57" s="95"/>
      <c r="WQ57" s="95"/>
      <c r="WR57" s="95"/>
      <c r="WS57" s="95"/>
      <c r="WT57" s="95"/>
      <c r="WU57" s="95"/>
      <c r="WV57" s="95"/>
      <c r="WW57" s="95"/>
      <c r="WX57" s="95"/>
      <c r="WY57" s="95"/>
      <c r="WZ57" s="95"/>
      <c r="XA57" s="95"/>
      <c r="XB57" s="95"/>
      <c r="XC57" s="95"/>
      <c r="XD57" s="95"/>
      <c r="XE57" s="95"/>
      <c r="XF57" s="95"/>
      <c r="XG57" s="95"/>
      <c r="XH57" s="95"/>
      <c r="XI57" s="95"/>
      <c r="XJ57" s="95"/>
      <c r="XK57" s="95"/>
      <c r="XL57" s="95"/>
      <c r="XM57" s="95"/>
      <c r="XN57" s="95"/>
      <c r="XO57" s="95"/>
      <c r="XP57" s="95"/>
      <c r="XQ57" s="95"/>
      <c r="XR57" s="95"/>
      <c r="XS57" s="95"/>
      <c r="XT57" s="95"/>
      <c r="XU57" s="95"/>
      <c r="XV57" s="95"/>
      <c r="XW57" s="95"/>
      <c r="XX57" s="95"/>
      <c r="XY57" s="95"/>
      <c r="XZ57" s="95"/>
      <c r="YA57" s="95"/>
      <c r="YB57" s="95"/>
      <c r="YC57" s="95"/>
      <c r="YD57" s="95"/>
      <c r="YE57" s="95"/>
      <c r="YF57" s="95"/>
      <c r="YG57" s="95"/>
      <c r="YH57" s="95"/>
      <c r="YI57" s="95"/>
      <c r="YJ57" s="95"/>
      <c r="YK57" s="95"/>
      <c r="YL57" s="95"/>
      <c r="YM57" s="95"/>
      <c r="YN57" s="95"/>
      <c r="YO57" s="95"/>
      <c r="YP57" s="95"/>
      <c r="YQ57" s="95"/>
      <c r="YR57" s="95"/>
      <c r="YS57" s="95"/>
      <c r="YT57" s="95"/>
      <c r="YU57" s="95"/>
      <c r="YV57" s="95"/>
      <c r="YW57" s="95"/>
      <c r="YX57" s="95"/>
      <c r="YY57" s="95"/>
      <c r="YZ57" s="95"/>
      <c r="ZA57" s="95"/>
      <c r="ZB57" s="95"/>
      <c r="ZC57" s="95"/>
      <c r="ZD57" s="95"/>
      <c r="ZE57" s="95"/>
      <c r="ZF57" s="95"/>
      <c r="ZG57" s="95"/>
      <c r="ZH57" s="95"/>
      <c r="ZI57" s="95"/>
      <c r="ZJ57" s="95"/>
      <c r="ZK57" s="95"/>
      <c r="ZL57" s="95"/>
      <c r="ZM57" s="95"/>
      <c r="ZN57" s="95"/>
      <c r="ZO57" s="95"/>
      <c r="ZP57" s="95"/>
      <c r="ZQ57" s="95"/>
      <c r="ZR57" s="95"/>
      <c r="ZS57" s="95"/>
      <c r="ZT57" s="95"/>
      <c r="ZU57" s="95"/>
      <c r="ZV57" s="95"/>
      <c r="ZW57" s="95"/>
      <c r="ZX57" s="95"/>
      <c r="ZY57" s="95"/>
      <c r="ZZ57" s="95"/>
      <c r="AAA57" s="95"/>
      <c r="AAB57" s="95"/>
      <c r="AAC57" s="95"/>
      <c r="AAD57" s="95"/>
      <c r="AAE57" s="95"/>
      <c r="AAF57" s="95"/>
      <c r="AAG57" s="95"/>
      <c r="AAH57" s="95"/>
      <c r="AAI57" s="95"/>
      <c r="AAJ57" s="95"/>
      <c r="AAK57" s="95"/>
      <c r="AAL57" s="95"/>
      <c r="AAM57" s="95"/>
      <c r="AAN57" s="95"/>
      <c r="AAO57" s="95"/>
      <c r="AAP57" s="95"/>
      <c r="AAQ57" s="95"/>
      <c r="AAR57" s="95"/>
      <c r="AAS57" s="95"/>
      <c r="AAT57" s="95"/>
      <c r="AAU57" s="95"/>
      <c r="AAV57" s="95"/>
      <c r="AAW57" s="95"/>
      <c r="AAX57" s="95"/>
      <c r="AAY57" s="95"/>
      <c r="AAZ57" s="95"/>
      <c r="ABA57" s="95"/>
      <c r="ABB57" s="95"/>
      <c r="ABC57" s="95"/>
      <c r="ABD57" s="95"/>
      <c r="ABE57" s="95"/>
      <c r="ABF57" s="95"/>
      <c r="ABG57" s="95"/>
      <c r="ABH57" s="95"/>
      <c r="ABI57" s="95"/>
      <c r="ABJ57" s="95"/>
      <c r="ABK57" s="95"/>
      <c r="ABL57" s="95"/>
      <c r="ABM57" s="95"/>
      <c r="ABN57" s="95"/>
      <c r="ABO57" s="95"/>
      <c r="ABP57" s="95"/>
      <c r="ABQ57" s="95"/>
      <c r="ABR57" s="95"/>
      <c r="ABS57" s="95"/>
      <c r="ABT57" s="95"/>
      <c r="ABU57" s="95"/>
      <c r="ABV57" s="95"/>
      <c r="ABW57" s="95"/>
      <c r="ABX57" s="95"/>
      <c r="ABY57" s="95"/>
      <c r="ABZ57" s="95"/>
      <c r="ACA57" s="95"/>
      <c r="ACB57" s="95"/>
      <c r="ACC57" s="95"/>
      <c r="ACD57" s="95"/>
      <c r="ACE57" s="95"/>
      <c r="ACF57" s="95"/>
      <c r="ACG57" s="95"/>
      <c r="ACH57" s="95"/>
      <c r="ACI57" s="95"/>
      <c r="ACJ57" s="95"/>
      <c r="ACK57" s="95"/>
      <c r="ACL57" s="95"/>
      <c r="ACM57" s="95"/>
      <c r="ACN57" s="95"/>
      <c r="ACO57" s="95"/>
      <c r="ACP57" s="95"/>
      <c r="ACQ57" s="95"/>
      <c r="ACR57" s="95"/>
      <c r="ACS57" s="95"/>
      <c r="ACT57" s="95"/>
      <c r="ACU57" s="95"/>
      <c r="ACV57" s="95"/>
      <c r="ACW57" s="95"/>
      <c r="ACX57" s="95"/>
      <c r="ACY57" s="95"/>
      <c r="ACZ57" s="95"/>
      <c r="ADA57" s="95"/>
      <c r="ADB57" s="95"/>
      <c r="ADC57" s="95"/>
      <c r="ADD57" s="95"/>
      <c r="ADE57" s="95"/>
      <c r="ADF57" s="95"/>
      <c r="ADG57" s="95"/>
      <c r="ADH57" s="95"/>
      <c r="ADI57" s="95"/>
      <c r="ADJ57" s="95"/>
      <c r="ADK57" s="95"/>
      <c r="ADL57" s="95"/>
      <c r="ADM57" s="95"/>
      <c r="ADN57" s="95"/>
      <c r="ADO57" s="95"/>
      <c r="ADP57" s="95"/>
      <c r="ADQ57" s="95"/>
      <c r="ADR57" s="95"/>
      <c r="ADS57" s="95"/>
      <c r="ADT57" s="95"/>
      <c r="ADU57" s="95"/>
      <c r="ADV57" s="95"/>
      <c r="ADW57" s="95"/>
      <c r="ADX57" s="95"/>
      <c r="ADY57" s="95"/>
      <c r="ADZ57" s="95"/>
      <c r="AEA57" s="95"/>
      <c r="AEB57" s="95"/>
      <c r="AEC57" s="95"/>
      <c r="AED57" s="95"/>
      <c r="AEE57" s="95"/>
      <c r="AEF57" s="95"/>
      <c r="AEG57" s="95"/>
      <c r="AEH57" s="95"/>
      <c r="AEI57" s="95"/>
      <c r="AEJ57" s="95"/>
      <c r="AEK57" s="95"/>
      <c r="AEL57" s="95"/>
      <c r="AEM57" s="95"/>
      <c r="AEN57" s="95"/>
      <c r="AEO57" s="95"/>
      <c r="AEP57" s="95"/>
      <c r="AEQ57" s="95"/>
      <c r="AER57" s="95"/>
      <c r="AES57" s="95"/>
      <c r="AET57" s="95"/>
      <c r="AEU57" s="95"/>
      <c r="AEV57" s="95"/>
      <c r="AEW57" s="95"/>
      <c r="AEX57" s="95"/>
      <c r="AEY57" s="95"/>
      <c r="AEZ57" s="95"/>
      <c r="AFA57" s="95"/>
      <c r="AFB57" s="95"/>
      <c r="AFC57" s="95"/>
      <c r="AFD57" s="95"/>
      <c r="AFE57" s="95"/>
      <c r="AFF57" s="95"/>
      <c r="AFG57" s="95"/>
      <c r="AFH57" s="95"/>
      <c r="AFI57" s="95"/>
      <c r="AFJ57" s="95"/>
      <c r="AFK57" s="95"/>
      <c r="AFL57" s="95"/>
      <c r="AFM57" s="95"/>
      <c r="AFN57" s="95"/>
      <c r="AFO57" s="95"/>
      <c r="AFP57" s="95"/>
      <c r="AFQ57" s="95"/>
      <c r="AFR57" s="95"/>
      <c r="AFS57" s="95"/>
      <c r="AFT57" s="95"/>
      <c r="AFU57" s="95"/>
      <c r="AFV57" s="95"/>
      <c r="AFW57" s="95"/>
      <c r="AFX57" s="95"/>
      <c r="AFY57" s="95"/>
      <c r="AFZ57" s="95"/>
      <c r="AGA57" s="95"/>
      <c r="AGB57" s="95"/>
      <c r="AGC57" s="95"/>
      <c r="AGD57" s="95"/>
      <c r="AGE57" s="95"/>
      <c r="AGF57" s="95"/>
      <c r="AGG57" s="95"/>
      <c r="AGH57" s="95"/>
      <c r="AGI57" s="95"/>
      <c r="AGJ57" s="95"/>
      <c r="AGK57" s="95"/>
      <c r="AGL57" s="95"/>
      <c r="AGM57" s="95"/>
      <c r="AGN57" s="95"/>
      <c r="AGO57" s="95"/>
      <c r="AGP57" s="95"/>
      <c r="AGQ57" s="95"/>
      <c r="AGR57" s="95"/>
      <c r="AGS57" s="95"/>
      <c r="AGT57" s="95"/>
      <c r="AGU57" s="95"/>
      <c r="AGV57" s="95"/>
      <c r="AGW57" s="95"/>
      <c r="AGX57" s="95"/>
      <c r="AGY57" s="95"/>
      <c r="AGZ57" s="95"/>
      <c r="AHA57" s="95"/>
      <c r="AHB57" s="95"/>
      <c r="AHC57" s="95"/>
      <c r="AHD57" s="95"/>
      <c r="AHE57" s="95"/>
      <c r="AHF57" s="95"/>
      <c r="AHG57" s="95"/>
      <c r="AHH57" s="95"/>
      <c r="AHI57" s="95"/>
      <c r="AHJ57" s="95"/>
      <c r="AHK57" s="95"/>
      <c r="AHL57" s="95"/>
      <c r="AHM57" s="95"/>
      <c r="AHN57" s="95"/>
      <c r="AHO57" s="95"/>
      <c r="AHP57" s="95"/>
      <c r="AHQ57" s="95"/>
      <c r="AHR57" s="95"/>
      <c r="AHS57" s="95"/>
      <c r="AHT57" s="95"/>
      <c r="AHU57" s="95"/>
      <c r="AHV57" s="95"/>
      <c r="AHW57" s="95"/>
      <c r="AHX57" s="95"/>
      <c r="AHY57" s="95"/>
      <c r="AHZ57" s="95"/>
      <c r="AIA57" s="95"/>
      <c r="AIB57" s="95"/>
      <c r="AIC57" s="95"/>
      <c r="AID57" s="95"/>
      <c r="AIE57" s="95"/>
      <c r="AIF57" s="95"/>
      <c r="AIG57" s="95"/>
      <c r="AIH57" s="95"/>
      <c r="AII57" s="95"/>
      <c r="AIJ57" s="95"/>
      <c r="AIK57" s="95"/>
      <c r="AIL57" s="95"/>
      <c r="AIM57" s="95"/>
      <c r="AIN57" s="95"/>
      <c r="AIO57" s="95"/>
      <c r="AIP57" s="95"/>
      <c r="AIQ57" s="95"/>
      <c r="AIR57" s="95"/>
      <c r="AIS57" s="95"/>
      <c r="AIT57" s="95"/>
      <c r="AIU57" s="95"/>
      <c r="AIV57" s="95"/>
      <c r="AIW57" s="95"/>
      <c r="AIX57" s="95"/>
      <c r="AIY57" s="95"/>
      <c r="AIZ57" s="95"/>
      <c r="AJA57" s="95"/>
      <c r="AJB57" s="95"/>
      <c r="AJC57" s="95"/>
      <c r="AJD57" s="95"/>
      <c r="AJE57" s="95"/>
      <c r="AJF57" s="95"/>
      <c r="AJG57" s="95"/>
      <c r="AJH57" s="95"/>
      <c r="AJI57" s="95"/>
      <c r="AJJ57" s="95"/>
      <c r="AJK57" s="95"/>
      <c r="AJL57" s="95"/>
      <c r="AJM57" s="95"/>
      <c r="AJN57" s="95"/>
      <c r="AJO57" s="95"/>
      <c r="AJP57" s="95"/>
      <c r="AJQ57" s="95"/>
      <c r="AJR57" s="95"/>
      <c r="AJS57" s="95"/>
      <c r="AJT57" s="95"/>
      <c r="AJU57" s="95"/>
      <c r="AJV57" s="95"/>
      <c r="AJW57" s="95"/>
      <c r="AJX57" s="95"/>
      <c r="AJY57" s="95"/>
      <c r="AJZ57" s="95"/>
      <c r="AKA57" s="95"/>
      <c r="AKB57" s="95"/>
      <c r="AKC57" s="95"/>
      <c r="AKD57" s="95"/>
      <c r="AKE57" s="95"/>
      <c r="AKF57" s="95"/>
      <c r="AKG57" s="95"/>
      <c r="AKH57" s="95"/>
      <c r="AKI57" s="95"/>
      <c r="AKJ57" s="95"/>
      <c r="AKK57" s="95"/>
      <c r="AKL57" s="95"/>
      <c r="AKM57" s="95"/>
      <c r="AKN57" s="95"/>
      <c r="AKO57" s="95"/>
      <c r="AKP57" s="95"/>
      <c r="AKQ57" s="95"/>
      <c r="AKR57" s="95"/>
      <c r="AKS57" s="95"/>
      <c r="AKT57" s="95"/>
      <c r="AKU57" s="95"/>
      <c r="AKV57" s="95"/>
      <c r="AKW57" s="95"/>
      <c r="AKX57" s="95"/>
      <c r="AKY57" s="95"/>
      <c r="AKZ57" s="95"/>
      <c r="ALA57" s="95"/>
      <c r="ALB57" s="95"/>
      <c r="ALC57" s="95"/>
      <c r="ALD57" s="95"/>
      <c r="ALE57" s="95"/>
      <c r="ALF57" s="95"/>
      <c r="ALG57" s="95"/>
      <c r="ALH57" s="95"/>
      <c r="ALI57" s="95"/>
      <c r="ALJ57" s="95"/>
      <c r="ALK57" s="95"/>
      <c r="ALL57" s="95"/>
      <c r="ALM57" s="95"/>
      <c r="ALN57" s="95"/>
      <c r="ALO57" s="95"/>
      <c r="ALP57" s="95"/>
      <c r="ALQ57" s="95"/>
      <c r="ALR57" s="95"/>
      <c r="ALS57" s="95"/>
      <c r="ALT57" s="95"/>
      <c r="ALU57" s="95"/>
      <c r="ALV57" s="95"/>
      <c r="ALW57" s="95"/>
      <c r="ALX57" s="95"/>
      <c r="ALY57" s="95"/>
      <c r="ALZ57" s="95"/>
      <c r="AMA57" s="95"/>
      <c r="AMB57" s="95"/>
      <c r="AMC57" s="95"/>
      <c r="AMD57" s="95"/>
      <c r="AME57" s="95"/>
      <c r="AMF57" s="95"/>
      <c r="AMG57" s="95"/>
      <c r="AMH57" s="95"/>
      <c r="AMI57" s="95"/>
      <c r="AMJ57" s="95"/>
      <c r="AMK57" s="95"/>
      <c r="AML57" s="95"/>
      <c r="AMM57" s="95"/>
      <c r="AMN57" s="95"/>
      <c r="AMO57" s="95"/>
      <c r="AMP57" s="95"/>
      <c r="AMQ57" s="95"/>
      <c r="AMR57" s="95"/>
      <c r="AMS57" s="95"/>
      <c r="AMT57" s="95"/>
      <c r="AMU57" s="95"/>
      <c r="AMV57" s="95"/>
      <c r="AMW57" s="95"/>
      <c r="AMX57" s="95"/>
      <c r="AMY57" s="95"/>
      <c r="AMZ57" s="95"/>
      <c r="ANA57" s="95"/>
      <c r="ANB57" s="95"/>
      <c r="ANC57" s="95"/>
      <c r="AND57" s="95"/>
      <c r="ANE57" s="95"/>
      <c r="ANF57" s="95"/>
      <c r="ANG57" s="95"/>
      <c r="ANH57" s="95"/>
      <c r="ANI57" s="95"/>
      <c r="ANJ57" s="95"/>
      <c r="ANK57" s="95"/>
      <c r="ANL57" s="95"/>
      <c r="ANM57" s="95"/>
      <c r="ANN57" s="95"/>
      <c r="ANO57" s="95"/>
      <c r="ANP57" s="95"/>
      <c r="ANQ57" s="95"/>
      <c r="ANR57" s="95"/>
      <c r="ANS57" s="95"/>
      <c r="ANT57" s="95"/>
      <c r="ANU57" s="95"/>
      <c r="ANV57" s="95"/>
      <c r="ANW57" s="95"/>
      <c r="ANX57" s="95"/>
      <c r="ANY57" s="95"/>
      <c r="ANZ57" s="95"/>
      <c r="AOA57" s="95"/>
      <c r="AOB57" s="95"/>
      <c r="AOC57" s="95"/>
      <c r="AOD57" s="95"/>
      <c r="AOE57" s="95"/>
      <c r="AOF57" s="95"/>
      <c r="AOG57" s="95"/>
      <c r="AOH57" s="95"/>
      <c r="AOI57" s="95"/>
      <c r="AOJ57" s="95"/>
      <c r="AOK57" s="95"/>
      <c r="AOL57" s="95"/>
      <c r="AOM57" s="95"/>
      <c r="AON57" s="95"/>
      <c r="AOO57" s="95"/>
      <c r="AOP57" s="95"/>
      <c r="AOQ57" s="95"/>
      <c r="AOR57" s="95"/>
      <c r="AOS57" s="95"/>
      <c r="AOT57" s="95"/>
      <c r="AOU57" s="95"/>
      <c r="AOV57" s="95"/>
      <c r="AOW57" s="95"/>
      <c r="AOX57" s="95"/>
      <c r="AOY57" s="95"/>
      <c r="AOZ57" s="95"/>
      <c r="APA57" s="95"/>
      <c r="APB57" s="95"/>
      <c r="APC57" s="95"/>
      <c r="APD57" s="95"/>
      <c r="APE57" s="95"/>
      <c r="APF57" s="95"/>
      <c r="APG57" s="95"/>
      <c r="APH57" s="95"/>
      <c r="API57" s="95"/>
      <c r="APJ57" s="95"/>
      <c r="APK57" s="95"/>
      <c r="APL57" s="95"/>
      <c r="APM57" s="95"/>
      <c r="APN57" s="95"/>
      <c r="APO57" s="95"/>
      <c r="APP57" s="95"/>
      <c r="APQ57" s="95"/>
      <c r="APR57" s="95"/>
      <c r="APS57" s="95"/>
      <c r="APT57" s="95"/>
      <c r="APU57" s="95"/>
      <c r="APV57" s="95"/>
      <c r="APW57" s="95"/>
      <c r="APX57" s="95"/>
      <c r="APY57" s="95"/>
      <c r="APZ57" s="95"/>
      <c r="AQA57" s="95"/>
      <c r="AQB57" s="95"/>
      <c r="AQC57" s="95"/>
      <c r="AQD57" s="95"/>
      <c r="AQE57" s="95"/>
      <c r="AQF57" s="95"/>
      <c r="AQG57" s="95"/>
      <c r="AQH57" s="95"/>
      <c r="AQI57" s="95"/>
      <c r="AQJ57" s="95"/>
      <c r="AQK57" s="95"/>
      <c r="AQL57" s="95"/>
      <c r="AQM57" s="95"/>
      <c r="AQN57" s="95"/>
      <c r="AQO57" s="95"/>
      <c r="AQP57" s="95"/>
      <c r="AQQ57" s="95"/>
      <c r="AQR57" s="95"/>
      <c r="AQS57" s="95"/>
      <c r="AQT57" s="95"/>
      <c r="AQU57" s="95"/>
      <c r="AQV57" s="95"/>
      <c r="AQW57" s="95"/>
      <c r="AQX57" s="95"/>
      <c r="AQY57" s="95"/>
      <c r="AQZ57" s="95"/>
      <c r="ARA57" s="95"/>
      <c r="ARB57" s="95"/>
      <c r="ARC57" s="95"/>
      <c r="ARD57" s="95"/>
      <c r="ARE57" s="95"/>
      <c r="ARF57" s="95"/>
      <c r="ARG57" s="95"/>
      <c r="ARH57" s="95"/>
      <c r="ARI57" s="95"/>
      <c r="ARJ57" s="95"/>
      <c r="ARK57" s="95"/>
      <c r="ARL57" s="95"/>
      <c r="ARM57" s="95"/>
      <c r="ARN57" s="95"/>
      <c r="ARO57" s="95"/>
      <c r="ARP57" s="95"/>
      <c r="ARQ57" s="95"/>
      <c r="ARR57" s="95"/>
      <c r="ARS57" s="95"/>
      <c r="ART57" s="95"/>
      <c r="ARU57" s="95"/>
      <c r="ARV57" s="95"/>
      <c r="ARW57" s="95"/>
      <c r="ARX57" s="95"/>
      <c r="ARY57" s="95"/>
      <c r="ARZ57" s="95"/>
      <c r="ASA57" s="95"/>
      <c r="ASB57" s="95"/>
      <c r="ASC57" s="95"/>
      <c r="ASD57" s="95"/>
      <c r="ASE57" s="95"/>
      <c r="ASF57" s="95"/>
      <c r="ASG57" s="95"/>
      <c r="ASH57" s="95"/>
      <c r="ASI57" s="95"/>
      <c r="ASJ57" s="95"/>
      <c r="ASK57" s="95"/>
      <c r="ASL57" s="95"/>
      <c r="ASM57" s="95"/>
      <c r="ASN57" s="95"/>
      <c r="ASO57" s="95"/>
      <c r="ASP57" s="95"/>
      <c r="ASQ57" s="95"/>
      <c r="ASR57" s="95"/>
      <c r="ASS57" s="95"/>
      <c r="AST57" s="95"/>
      <c r="ASU57" s="95"/>
      <c r="ASV57" s="95"/>
      <c r="ASW57" s="95"/>
      <c r="ASX57" s="95"/>
      <c r="ASY57" s="95"/>
      <c r="ASZ57" s="95"/>
      <c r="ATA57" s="95"/>
      <c r="ATB57" s="95"/>
      <c r="ATC57" s="95"/>
      <c r="ATD57" s="95"/>
      <c r="ATE57" s="95"/>
      <c r="ATF57" s="95"/>
      <c r="ATG57" s="95"/>
      <c r="ATH57" s="95"/>
      <c r="ATI57" s="95"/>
      <c r="ATJ57" s="95"/>
      <c r="ATK57" s="95"/>
      <c r="ATL57" s="95"/>
      <c r="ATM57" s="95"/>
      <c r="ATN57" s="95"/>
      <c r="ATO57" s="95"/>
      <c r="ATP57" s="95"/>
      <c r="ATQ57" s="95"/>
      <c r="ATR57" s="95"/>
      <c r="ATS57" s="95"/>
      <c r="ATT57" s="95"/>
      <c r="ATU57" s="95"/>
      <c r="ATV57" s="95"/>
      <c r="ATW57" s="95"/>
      <c r="ATX57" s="95"/>
      <c r="ATY57" s="95"/>
      <c r="ATZ57" s="95"/>
      <c r="AUA57" s="95"/>
      <c r="AUB57" s="95"/>
      <c r="AUC57" s="95"/>
      <c r="AUD57" s="95"/>
      <c r="AUE57" s="95"/>
      <c r="AUF57" s="95"/>
      <c r="AUG57" s="95"/>
      <c r="AUH57" s="95"/>
      <c r="AUI57" s="95"/>
      <c r="AUJ57" s="95"/>
      <c r="AUK57" s="95"/>
      <c r="AUL57" s="95"/>
      <c r="AUM57" s="95"/>
      <c r="AUN57" s="95"/>
      <c r="AUO57" s="95"/>
      <c r="AUP57" s="95"/>
      <c r="AUQ57" s="95"/>
      <c r="AUR57" s="95"/>
      <c r="AUS57" s="95"/>
      <c r="AUT57" s="95"/>
      <c r="AUU57" s="95"/>
      <c r="AUV57" s="95"/>
      <c r="AUW57" s="95"/>
      <c r="AUX57" s="95"/>
      <c r="AUY57" s="95"/>
      <c r="AUZ57" s="95"/>
      <c r="AVA57" s="95"/>
      <c r="AVB57" s="95"/>
      <c r="AVC57" s="95"/>
      <c r="AVD57" s="95"/>
      <c r="AVE57" s="95"/>
      <c r="AVF57" s="95"/>
      <c r="AVG57" s="95"/>
      <c r="AVH57" s="95"/>
      <c r="AVI57" s="95"/>
      <c r="AVJ57" s="95"/>
      <c r="AVK57" s="95"/>
      <c r="AVL57" s="95"/>
      <c r="AVM57" s="95"/>
      <c r="AVN57" s="95"/>
      <c r="AVO57" s="95"/>
      <c r="AVP57" s="95"/>
      <c r="AVQ57" s="95"/>
      <c r="AVR57" s="95"/>
      <c r="AVS57" s="95"/>
      <c r="AVT57" s="95"/>
      <c r="AVU57" s="95"/>
      <c r="AVV57" s="95"/>
      <c r="AVW57" s="95"/>
      <c r="AVX57" s="95"/>
      <c r="AVY57" s="95"/>
      <c r="AVZ57" s="95"/>
      <c r="AWA57" s="95"/>
      <c r="AWB57" s="95"/>
      <c r="AWC57" s="95"/>
      <c r="AWD57" s="95"/>
      <c r="AWE57" s="95"/>
      <c r="AWF57" s="95"/>
      <c r="AWG57" s="95"/>
      <c r="AWH57" s="95"/>
      <c r="AWI57" s="95"/>
      <c r="AWJ57" s="95"/>
      <c r="AWK57" s="95"/>
      <c r="AWL57" s="95"/>
      <c r="AWM57" s="95"/>
      <c r="AWN57" s="95"/>
      <c r="AWO57" s="95"/>
      <c r="AWP57" s="95"/>
      <c r="AWQ57" s="95"/>
      <c r="AWR57" s="95"/>
      <c r="AWS57" s="95"/>
      <c r="AWT57" s="95"/>
      <c r="AWU57" s="95"/>
      <c r="AWV57" s="95"/>
      <c r="AWW57" s="95"/>
      <c r="AWX57" s="95"/>
      <c r="AWY57" s="95"/>
      <c r="AWZ57" s="95"/>
      <c r="AXA57" s="95"/>
      <c r="AXB57" s="95"/>
      <c r="AXC57" s="95"/>
      <c r="AXD57" s="95"/>
      <c r="AXE57" s="95"/>
      <c r="AXF57" s="95"/>
      <c r="AXG57" s="95"/>
      <c r="AXH57" s="95"/>
      <c r="AXI57" s="95"/>
      <c r="AXJ57" s="95"/>
      <c r="AXK57" s="95"/>
      <c r="AXL57" s="95"/>
      <c r="AXM57" s="95"/>
      <c r="AXN57" s="95"/>
      <c r="AXO57" s="95"/>
      <c r="AXP57" s="95"/>
      <c r="AXQ57" s="95"/>
      <c r="AXR57" s="95"/>
      <c r="AXS57" s="95"/>
      <c r="AXT57" s="95"/>
      <c r="AXU57" s="95"/>
      <c r="AXV57" s="95"/>
      <c r="AXW57" s="95"/>
      <c r="AXX57" s="95"/>
      <c r="AXY57" s="95"/>
      <c r="AXZ57" s="95"/>
      <c r="AYA57" s="95"/>
      <c r="AYB57" s="95"/>
      <c r="AYC57" s="95"/>
      <c r="AYD57" s="95"/>
      <c r="AYE57" s="95"/>
      <c r="AYF57" s="95"/>
      <c r="AYG57" s="95"/>
      <c r="AYH57" s="95"/>
      <c r="AYI57" s="95"/>
      <c r="AYJ57" s="95"/>
      <c r="AYK57" s="95"/>
      <c r="AYL57" s="95"/>
      <c r="AYM57" s="95"/>
      <c r="AYN57" s="95"/>
      <c r="AYO57" s="95"/>
      <c r="AYP57" s="95"/>
      <c r="AYQ57" s="95"/>
      <c r="AYR57" s="95"/>
      <c r="AYS57" s="95"/>
      <c r="AYT57" s="95"/>
      <c r="AYU57" s="95"/>
      <c r="AYV57" s="95"/>
      <c r="AYW57" s="95"/>
      <c r="AYX57" s="95"/>
      <c r="AYY57" s="95"/>
      <c r="AYZ57" s="95"/>
      <c r="AZA57" s="95"/>
      <c r="AZB57" s="95"/>
      <c r="AZC57" s="95"/>
      <c r="AZD57" s="95"/>
      <c r="AZE57" s="95"/>
      <c r="AZF57" s="95"/>
      <c r="AZG57" s="95"/>
      <c r="AZH57" s="95"/>
      <c r="AZI57" s="95"/>
      <c r="AZJ57" s="95"/>
      <c r="AZK57" s="95"/>
      <c r="AZL57" s="95"/>
      <c r="AZM57" s="95"/>
      <c r="AZN57" s="95"/>
      <c r="AZO57" s="95"/>
      <c r="AZP57" s="95"/>
      <c r="AZQ57" s="95"/>
      <c r="AZR57" s="95"/>
      <c r="AZS57" s="95"/>
      <c r="AZT57" s="95"/>
      <c r="AZU57" s="95"/>
      <c r="AZV57" s="95"/>
      <c r="AZW57" s="95"/>
      <c r="AZX57" s="95"/>
      <c r="AZY57" s="95"/>
      <c r="AZZ57" s="95"/>
      <c r="BAA57" s="95"/>
      <c r="BAB57" s="95"/>
      <c r="BAC57" s="95"/>
      <c r="BAD57" s="95"/>
      <c r="BAE57" s="95"/>
      <c r="BAF57" s="95"/>
      <c r="BAG57" s="95"/>
      <c r="BAH57" s="95"/>
      <c r="BAI57" s="95"/>
      <c r="BAJ57" s="95"/>
      <c r="BAK57" s="95"/>
      <c r="BAL57" s="95"/>
      <c r="BAM57" s="95"/>
      <c r="BAN57" s="95"/>
      <c r="BAO57" s="95"/>
      <c r="BAP57" s="95"/>
      <c r="BAQ57" s="95"/>
      <c r="BAR57" s="95"/>
      <c r="BAS57" s="95"/>
      <c r="BAT57" s="95"/>
      <c r="BAU57" s="95"/>
      <c r="BAV57" s="95"/>
      <c r="BAW57" s="95"/>
      <c r="BAX57" s="95"/>
      <c r="BAY57" s="95"/>
      <c r="BAZ57" s="95"/>
      <c r="BBA57" s="95"/>
      <c r="BBB57" s="95"/>
      <c r="BBC57" s="95"/>
      <c r="BBD57" s="95"/>
      <c r="BBE57" s="95"/>
      <c r="BBF57" s="95"/>
      <c r="BBG57" s="95"/>
      <c r="BBH57" s="95"/>
      <c r="BBI57" s="95"/>
      <c r="BBJ57" s="95"/>
      <c r="BBK57" s="95"/>
      <c r="BBL57" s="95"/>
      <c r="BBM57" s="95"/>
      <c r="BBN57" s="95"/>
      <c r="BBO57" s="95"/>
      <c r="BBP57" s="95"/>
      <c r="BBQ57" s="95"/>
      <c r="BBR57" s="95"/>
      <c r="BBS57" s="95"/>
      <c r="BBT57" s="95"/>
      <c r="BBU57" s="95"/>
      <c r="BBV57" s="95"/>
      <c r="BBW57" s="95"/>
      <c r="BBX57" s="95"/>
      <c r="BBY57" s="95"/>
      <c r="BBZ57" s="95"/>
      <c r="BCA57" s="95"/>
      <c r="BCB57" s="95"/>
      <c r="BCC57" s="95"/>
      <c r="BCD57" s="95"/>
      <c r="BCE57" s="95"/>
      <c r="BCF57" s="95"/>
      <c r="BCG57" s="95"/>
      <c r="BCH57" s="95"/>
      <c r="BCI57" s="95"/>
      <c r="BCJ57" s="95"/>
      <c r="BCK57" s="95"/>
      <c r="BCL57" s="95"/>
      <c r="BCM57" s="95"/>
      <c r="BCN57" s="95"/>
      <c r="BCO57" s="95"/>
      <c r="BCP57" s="95"/>
      <c r="BCQ57" s="95"/>
      <c r="BCR57" s="95"/>
      <c r="BCS57" s="95"/>
      <c r="BCT57" s="95"/>
      <c r="BCU57" s="95"/>
      <c r="BCV57" s="95"/>
      <c r="BCW57" s="95"/>
      <c r="BCX57" s="95"/>
      <c r="BCY57" s="95"/>
      <c r="BCZ57" s="95"/>
      <c r="BDA57" s="95"/>
      <c r="BDB57" s="95"/>
      <c r="BDC57" s="95"/>
      <c r="BDD57" s="95"/>
      <c r="BDE57" s="95"/>
      <c r="BDF57" s="95"/>
      <c r="BDG57" s="95"/>
      <c r="BDH57" s="95"/>
      <c r="BDI57" s="95"/>
      <c r="BDJ57" s="95"/>
      <c r="BDK57" s="95"/>
      <c r="BDL57" s="95"/>
      <c r="BDM57" s="95"/>
      <c r="BDN57" s="95"/>
      <c r="BDO57" s="95"/>
      <c r="BDP57" s="95"/>
      <c r="BDQ57" s="95"/>
      <c r="BDR57" s="95"/>
      <c r="BDS57" s="95"/>
      <c r="BDT57" s="95"/>
      <c r="BDU57" s="95"/>
      <c r="BDV57" s="95"/>
      <c r="BDW57" s="95"/>
      <c r="BDX57" s="95"/>
      <c r="BDY57" s="95"/>
      <c r="BDZ57" s="95"/>
      <c r="BEA57" s="95"/>
      <c r="BEB57" s="95"/>
      <c r="BEC57" s="95"/>
      <c r="BED57" s="95"/>
      <c r="BEE57" s="95"/>
      <c r="BEF57" s="95"/>
      <c r="BEG57" s="95"/>
      <c r="BEH57" s="95"/>
      <c r="BEI57" s="95"/>
      <c r="BEJ57" s="95"/>
      <c r="BEK57" s="95"/>
      <c r="BEL57" s="95"/>
      <c r="BEM57" s="95"/>
      <c r="BEN57" s="95"/>
      <c r="BEO57" s="95"/>
      <c r="BEP57" s="95"/>
      <c r="BEQ57" s="95"/>
      <c r="BER57" s="95"/>
      <c r="BES57" s="95"/>
      <c r="BET57" s="95"/>
      <c r="BEU57" s="95"/>
      <c r="BEV57" s="95"/>
      <c r="BEW57" s="95"/>
      <c r="BEX57" s="95"/>
      <c r="BEY57" s="95"/>
      <c r="BEZ57" s="95"/>
      <c r="BFA57" s="95"/>
      <c r="BFB57" s="95"/>
      <c r="BFC57" s="95"/>
      <c r="BFD57" s="95"/>
      <c r="BFE57" s="95"/>
      <c r="BFF57" s="95"/>
      <c r="BFG57" s="95"/>
      <c r="BFH57" s="95"/>
      <c r="BFI57" s="95"/>
      <c r="BFJ57" s="95"/>
      <c r="BFK57" s="95"/>
      <c r="BFL57" s="95"/>
      <c r="BFM57" s="95"/>
      <c r="BFN57" s="95"/>
      <c r="BFO57" s="95"/>
      <c r="BFP57" s="95"/>
      <c r="BFQ57" s="95"/>
      <c r="BFR57" s="95"/>
      <c r="BFS57" s="95"/>
      <c r="BFT57" s="95"/>
      <c r="BFU57" s="95"/>
      <c r="BFV57" s="95"/>
      <c r="BFW57" s="95"/>
      <c r="BFX57" s="95"/>
      <c r="BFY57" s="95"/>
      <c r="BFZ57" s="95"/>
      <c r="BGA57" s="95"/>
      <c r="BGB57" s="95"/>
      <c r="BGC57" s="95"/>
      <c r="BGD57" s="95"/>
      <c r="BGE57" s="95"/>
      <c r="BGF57" s="95"/>
      <c r="BGG57" s="95"/>
      <c r="BGH57" s="95"/>
      <c r="BGI57" s="95"/>
      <c r="BGJ57" s="95"/>
      <c r="BGK57" s="95"/>
      <c r="BGL57" s="95"/>
      <c r="BGM57" s="95"/>
      <c r="BGN57" s="95"/>
      <c r="BGO57" s="95"/>
      <c r="BGP57" s="95"/>
      <c r="BGQ57" s="95"/>
      <c r="BGR57" s="95"/>
      <c r="BGS57" s="95"/>
      <c r="BGT57" s="95"/>
      <c r="BGU57" s="95"/>
      <c r="BGV57" s="95"/>
      <c r="BGW57" s="95"/>
      <c r="BGX57" s="95"/>
      <c r="BGY57" s="95"/>
      <c r="BGZ57" s="95"/>
      <c r="BHA57" s="95"/>
      <c r="BHB57" s="95"/>
      <c r="BHC57" s="95"/>
      <c r="BHD57" s="95"/>
      <c r="BHE57" s="95"/>
      <c r="BHF57" s="95"/>
      <c r="BHG57" s="95"/>
      <c r="BHH57" s="95"/>
      <c r="BHI57" s="95"/>
      <c r="BHJ57" s="95"/>
      <c r="BHK57" s="95"/>
      <c r="BHL57" s="95"/>
      <c r="BHM57" s="95"/>
      <c r="BHN57" s="95"/>
      <c r="BHO57" s="95"/>
      <c r="BHP57" s="95"/>
      <c r="BHQ57" s="95"/>
      <c r="BHR57" s="95"/>
      <c r="BHS57" s="95"/>
      <c r="BHT57" s="95"/>
      <c r="BHU57" s="95"/>
      <c r="BHV57" s="95"/>
      <c r="BHW57" s="95"/>
      <c r="BHX57" s="95"/>
      <c r="BHY57" s="95"/>
      <c r="BHZ57" s="95"/>
      <c r="BIA57" s="95"/>
      <c r="BIB57" s="95"/>
      <c r="BIC57" s="95"/>
      <c r="BID57" s="95"/>
      <c r="BIE57" s="95"/>
      <c r="BIF57" s="95"/>
      <c r="BIG57" s="95"/>
      <c r="BIH57" s="95"/>
      <c r="BII57" s="95"/>
      <c r="BIJ57" s="95"/>
      <c r="BIK57" s="95"/>
      <c r="BIL57" s="95"/>
      <c r="BIM57" s="95"/>
      <c r="BIN57" s="95"/>
      <c r="BIO57" s="95"/>
      <c r="BIP57" s="95"/>
      <c r="BIQ57" s="95"/>
      <c r="BIR57" s="95"/>
      <c r="BIS57" s="95"/>
      <c r="BIT57" s="95"/>
      <c r="BIU57" s="95"/>
      <c r="BIV57" s="95"/>
      <c r="BIW57" s="95"/>
      <c r="BIX57" s="95"/>
      <c r="BIY57" s="95"/>
      <c r="BIZ57" s="95"/>
      <c r="BJA57" s="95"/>
      <c r="BJB57" s="95"/>
      <c r="BJC57" s="95"/>
      <c r="BJD57" s="95"/>
      <c r="BJE57" s="95"/>
      <c r="BJF57" s="95"/>
      <c r="BJG57" s="95"/>
      <c r="BJH57" s="95"/>
      <c r="BJI57" s="95"/>
      <c r="BJJ57" s="95"/>
      <c r="BJK57" s="95"/>
      <c r="BJL57" s="95"/>
      <c r="BJM57" s="95"/>
      <c r="BJN57" s="95"/>
      <c r="BJO57" s="95"/>
      <c r="BJP57" s="95"/>
      <c r="BJQ57" s="95"/>
      <c r="BJR57" s="95"/>
      <c r="BJS57" s="95"/>
      <c r="BJT57" s="95"/>
      <c r="BJU57" s="95"/>
      <c r="BJV57" s="95"/>
      <c r="BJW57" s="95"/>
      <c r="BJX57" s="95"/>
      <c r="BJY57" s="95"/>
      <c r="BJZ57" s="95"/>
      <c r="BKA57" s="95"/>
      <c r="BKB57" s="95"/>
      <c r="BKC57" s="95"/>
      <c r="BKD57" s="95"/>
      <c r="BKE57" s="95"/>
      <c r="BKF57" s="95"/>
      <c r="BKG57" s="95"/>
      <c r="BKH57" s="95"/>
      <c r="BKI57" s="95"/>
      <c r="BKJ57" s="95"/>
      <c r="BKK57" s="95"/>
      <c r="BKL57" s="95"/>
      <c r="BKM57" s="95"/>
      <c r="BKN57" s="95"/>
      <c r="BKO57" s="95"/>
      <c r="BKP57" s="95"/>
      <c r="BKQ57" s="95"/>
      <c r="BKR57" s="95"/>
      <c r="BKS57" s="95"/>
      <c r="BKT57" s="95"/>
      <c r="BKU57" s="95"/>
      <c r="BKV57" s="95"/>
      <c r="BKW57" s="95"/>
      <c r="BKX57" s="95"/>
      <c r="BKY57" s="95"/>
      <c r="BKZ57" s="95"/>
      <c r="BLA57" s="95"/>
      <c r="BLB57" s="95"/>
      <c r="BLC57" s="95"/>
      <c r="BLD57" s="95"/>
      <c r="BLE57" s="95"/>
      <c r="BLF57" s="95"/>
      <c r="BLG57" s="95"/>
      <c r="BLH57" s="95"/>
      <c r="BLI57" s="95"/>
      <c r="BLJ57" s="95"/>
      <c r="BLK57" s="95"/>
      <c r="BLL57" s="95"/>
      <c r="BLM57" s="95"/>
      <c r="BLN57" s="95"/>
      <c r="BLO57" s="95"/>
      <c r="BLP57" s="95"/>
      <c r="BLQ57" s="95"/>
      <c r="BLR57" s="95"/>
      <c r="BLS57" s="95"/>
      <c r="BLT57" s="95"/>
      <c r="BLU57" s="95"/>
      <c r="BLV57" s="95"/>
      <c r="BLW57" s="95"/>
      <c r="BLX57" s="95"/>
      <c r="BLY57" s="95"/>
      <c r="BLZ57" s="95"/>
      <c r="BMA57" s="95"/>
      <c r="BMB57" s="95"/>
      <c r="BMC57" s="95"/>
      <c r="BMD57" s="95"/>
      <c r="BME57" s="95"/>
      <c r="BMF57" s="95"/>
      <c r="BMG57" s="95"/>
      <c r="BMH57" s="95"/>
      <c r="BMI57" s="95"/>
      <c r="BMJ57" s="95"/>
      <c r="BMK57" s="95"/>
      <c r="BML57" s="95"/>
      <c r="BMM57" s="95"/>
      <c r="BMN57" s="95"/>
      <c r="BMO57" s="95"/>
      <c r="BMP57" s="95"/>
      <c r="BMQ57" s="95"/>
      <c r="BMR57" s="95"/>
      <c r="BMS57" s="95"/>
      <c r="BMT57" s="95"/>
      <c r="BMU57" s="95"/>
      <c r="BMV57" s="95"/>
      <c r="BMW57" s="95"/>
      <c r="BMX57" s="95"/>
      <c r="BMY57" s="95"/>
      <c r="BMZ57" s="95"/>
      <c r="BNA57" s="95"/>
      <c r="BNB57" s="95"/>
      <c r="BNC57" s="95"/>
      <c r="BND57" s="95"/>
      <c r="BNE57" s="95"/>
      <c r="BNF57" s="95"/>
      <c r="BNG57" s="95"/>
      <c r="BNH57" s="95"/>
      <c r="BNI57" s="95"/>
      <c r="BNJ57" s="95"/>
      <c r="BNK57" s="95"/>
      <c r="BNL57" s="95"/>
      <c r="BNM57" s="95"/>
      <c r="BNN57" s="95"/>
      <c r="BNO57" s="95"/>
      <c r="BNP57" s="95"/>
      <c r="BNQ57" s="95"/>
      <c r="BNR57" s="95"/>
      <c r="BNS57" s="95"/>
      <c r="BNT57" s="95"/>
      <c r="BNU57" s="95"/>
      <c r="BNV57" s="95"/>
      <c r="BNW57" s="95"/>
      <c r="BNX57" s="95"/>
      <c r="BNY57" s="95"/>
      <c r="BNZ57" s="95"/>
      <c r="BOA57" s="95"/>
      <c r="BOB57" s="95"/>
      <c r="BOC57" s="95"/>
      <c r="BOD57" s="95"/>
      <c r="BOE57" s="95"/>
      <c r="BOF57" s="95"/>
      <c r="BOG57" s="95"/>
      <c r="BOH57" s="95"/>
      <c r="BOI57" s="95"/>
      <c r="BOJ57" s="95"/>
      <c r="BOK57" s="95"/>
      <c r="BOL57" s="95"/>
      <c r="BOM57" s="95"/>
      <c r="BON57" s="95"/>
      <c r="BOO57" s="95"/>
      <c r="BOP57" s="95"/>
      <c r="BOQ57" s="95"/>
      <c r="BOR57" s="95"/>
      <c r="BOS57" s="95"/>
      <c r="BOT57" s="95"/>
      <c r="BOU57" s="95"/>
      <c r="BOV57" s="95"/>
      <c r="BOW57" s="95"/>
      <c r="BOX57" s="95"/>
      <c r="BOY57" s="95"/>
      <c r="BOZ57" s="95"/>
      <c r="BPA57" s="95"/>
      <c r="BPB57" s="95"/>
      <c r="BPC57" s="95"/>
      <c r="BPD57" s="95"/>
      <c r="BPE57" s="95"/>
      <c r="BPF57" s="95"/>
      <c r="BPG57" s="95"/>
      <c r="BPH57" s="95"/>
      <c r="BPI57" s="95"/>
      <c r="BPJ57" s="95"/>
      <c r="BPK57" s="95"/>
      <c r="BPL57" s="95"/>
      <c r="BPM57" s="95"/>
      <c r="BPN57" s="95"/>
      <c r="BPO57" s="95"/>
      <c r="BPP57" s="95"/>
      <c r="BPQ57" s="95"/>
      <c r="BPR57" s="95"/>
      <c r="BPS57" s="95"/>
      <c r="BPT57" s="95"/>
      <c r="BPU57" s="95"/>
      <c r="BPV57" s="95"/>
      <c r="BPW57" s="95"/>
      <c r="BPX57" s="95"/>
      <c r="BPY57" s="95"/>
      <c r="BPZ57" s="95"/>
      <c r="BQA57" s="95"/>
      <c r="BQB57" s="95"/>
      <c r="BQC57" s="95"/>
      <c r="BQD57" s="95"/>
      <c r="BQE57" s="95"/>
      <c r="BQF57" s="95"/>
      <c r="BQG57" s="95"/>
      <c r="BQH57" s="95"/>
      <c r="BQI57" s="95"/>
      <c r="BQJ57" s="95"/>
      <c r="BQK57" s="95"/>
      <c r="BQL57" s="95"/>
      <c r="BQM57" s="95"/>
      <c r="BQN57" s="95"/>
      <c r="BQO57" s="95"/>
      <c r="BQP57" s="95"/>
      <c r="BQQ57" s="95"/>
      <c r="BQR57" s="95"/>
      <c r="BQS57" s="95"/>
      <c r="BQT57" s="95"/>
      <c r="BQU57" s="95"/>
      <c r="BQV57" s="95"/>
      <c r="BQW57" s="95"/>
      <c r="BQX57" s="95"/>
      <c r="BQY57" s="95"/>
      <c r="BQZ57" s="95"/>
      <c r="BRA57" s="95"/>
      <c r="BRB57" s="95"/>
      <c r="BRC57" s="95"/>
      <c r="BRD57" s="95"/>
      <c r="BRE57" s="95"/>
      <c r="BRF57" s="95"/>
      <c r="BRG57" s="95"/>
      <c r="BRH57" s="95"/>
      <c r="BRI57" s="95"/>
      <c r="BRJ57" s="95"/>
      <c r="BRK57" s="95"/>
      <c r="BRL57" s="95"/>
      <c r="BRM57" s="95"/>
      <c r="BRN57" s="95"/>
      <c r="BRO57" s="95"/>
      <c r="BRP57" s="95"/>
      <c r="BRQ57" s="95"/>
      <c r="BRR57" s="95"/>
      <c r="BRS57" s="95"/>
      <c r="BRT57" s="95"/>
      <c r="BRU57" s="95"/>
      <c r="BRV57" s="95"/>
      <c r="BRW57" s="95"/>
      <c r="BRX57" s="95"/>
      <c r="BRY57" s="95"/>
      <c r="BRZ57" s="95"/>
      <c r="BSA57" s="95"/>
      <c r="BSB57" s="95"/>
      <c r="BSC57" s="95"/>
      <c r="BSD57" s="95"/>
      <c r="BSE57" s="95"/>
      <c r="BSF57" s="95"/>
      <c r="BSG57" s="95"/>
      <c r="BSH57" s="95"/>
      <c r="BSI57" s="95"/>
      <c r="BSJ57" s="95"/>
      <c r="BSK57" s="95"/>
      <c r="BSL57" s="95"/>
      <c r="BSM57" s="95"/>
      <c r="BSN57" s="95"/>
      <c r="BSO57" s="95"/>
      <c r="BSP57" s="95"/>
      <c r="BSQ57" s="95"/>
      <c r="BSR57" s="95"/>
      <c r="BSS57" s="95"/>
      <c r="BST57" s="95"/>
      <c r="BSU57" s="95"/>
      <c r="BSV57" s="95"/>
      <c r="BSW57" s="95"/>
      <c r="BSX57" s="95"/>
      <c r="BSY57" s="95"/>
      <c r="BSZ57" s="95"/>
      <c r="BTA57" s="95"/>
      <c r="BTB57" s="95"/>
      <c r="BTC57" s="95"/>
      <c r="BTD57" s="95"/>
      <c r="BTE57" s="95"/>
      <c r="BTF57" s="95"/>
      <c r="BTG57" s="95"/>
      <c r="BTH57" s="95"/>
      <c r="BTI57" s="95"/>
      <c r="BTJ57" s="95"/>
      <c r="BTK57" s="95"/>
      <c r="BTL57" s="95"/>
      <c r="BTM57" s="95"/>
      <c r="BTN57" s="95"/>
      <c r="BTO57" s="95"/>
      <c r="BTP57" s="95"/>
      <c r="BTQ57" s="95"/>
      <c r="BTR57" s="95"/>
      <c r="BTS57" s="95"/>
      <c r="BTT57" s="95"/>
      <c r="BTU57" s="95"/>
      <c r="BTV57" s="95"/>
      <c r="BTW57" s="95"/>
      <c r="BTX57" s="95"/>
      <c r="BTY57" s="95"/>
      <c r="BTZ57" s="95"/>
      <c r="BUA57" s="95"/>
      <c r="BUB57" s="95"/>
      <c r="BUC57" s="95"/>
      <c r="BUD57" s="95"/>
      <c r="BUE57" s="95"/>
      <c r="BUF57" s="95"/>
      <c r="BUG57" s="95"/>
      <c r="BUH57" s="95"/>
      <c r="BUI57" s="95"/>
      <c r="BUJ57" s="95"/>
      <c r="BUK57" s="95"/>
      <c r="BUL57" s="95"/>
      <c r="BUM57" s="95"/>
      <c r="BUN57" s="95"/>
      <c r="BUO57" s="95"/>
      <c r="BUP57" s="95"/>
      <c r="BUQ57" s="95"/>
      <c r="BUR57" s="95"/>
      <c r="BUS57" s="95"/>
      <c r="BUT57" s="95"/>
      <c r="BUU57" s="95"/>
      <c r="BUV57" s="95"/>
      <c r="BUW57" s="95"/>
      <c r="BUX57" s="95"/>
      <c r="BUY57" s="95"/>
      <c r="BUZ57" s="95"/>
      <c r="BVA57" s="95"/>
      <c r="BVB57" s="95"/>
      <c r="BVC57" s="95"/>
      <c r="BVD57" s="95"/>
      <c r="BVE57" s="95"/>
      <c r="BVF57" s="95"/>
      <c r="BVG57" s="95"/>
      <c r="BVH57" s="95"/>
      <c r="BVI57" s="95"/>
      <c r="BVJ57" s="95"/>
      <c r="BVK57" s="95"/>
      <c r="BVL57" s="95"/>
      <c r="BVM57" s="95"/>
      <c r="BVN57" s="95"/>
      <c r="BVO57" s="95"/>
      <c r="BVP57" s="95"/>
      <c r="BVQ57" s="95"/>
      <c r="BVR57" s="95"/>
      <c r="BVS57" s="95"/>
      <c r="BVT57" s="95"/>
      <c r="BVU57" s="95"/>
      <c r="BVV57" s="95"/>
      <c r="BVW57" s="95"/>
      <c r="BVX57" s="95"/>
      <c r="BVY57" s="95"/>
      <c r="BVZ57" s="95"/>
      <c r="BWA57" s="95"/>
      <c r="BWB57" s="95"/>
      <c r="BWC57" s="95"/>
      <c r="BWD57" s="95"/>
      <c r="BWE57" s="95"/>
      <c r="BWF57" s="95"/>
      <c r="BWG57" s="95"/>
      <c r="BWH57" s="95"/>
      <c r="BWI57" s="95"/>
      <c r="BWJ57" s="95"/>
      <c r="BWK57" s="95"/>
      <c r="BWL57" s="95"/>
      <c r="BWM57" s="95"/>
      <c r="BWN57" s="95"/>
      <c r="BWO57" s="95"/>
      <c r="BWP57" s="95"/>
      <c r="BWQ57" s="95"/>
      <c r="BWR57" s="95"/>
      <c r="BWS57" s="95"/>
      <c r="BWT57" s="95"/>
      <c r="BWU57" s="95"/>
      <c r="BWV57" s="95"/>
      <c r="BWW57" s="95"/>
      <c r="BWX57" s="95"/>
      <c r="BWY57" s="95"/>
      <c r="BWZ57" s="95"/>
      <c r="BXA57" s="95"/>
      <c r="BXB57" s="95"/>
      <c r="BXC57" s="95"/>
      <c r="BXD57" s="95"/>
      <c r="BXE57" s="95"/>
      <c r="BXF57" s="95"/>
      <c r="BXG57" s="95"/>
      <c r="BXH57" s="95"/>
      <c r="BXI57" s="95"/>
      <c r="BXJ57" s="95"/>
      <c r="BXK57" s="95"/>
      <c r="BXL57" s="95"/>
      <c r="BXM57" s="95"/>
      <c r="BXN57" s="95"/>
      <c r="BXO57" s="95"/>
      <c r="BXP57" s="95"/>
      <c r="BXQ57" s="95"/>
      <c r="BXR57" s="95"/>
      <c r="BXS57" s="95"/>
      <c r="BXT57" s="95"/>
      <c r="BXU57" s="95"/>
      <c r="BXV57" s="95"/>
      <c r="BXW57" s="95"/>
      <c r="BXX57" s="95"/>
      <c r="BXY57" s="95"/>
      <c r="BXZ57" s="95"/>
      <c r="BYA57" s="95"/>
      <c r="BYB57" s="95"/>
      <c r="BYC57" s="95"/>
      <c r="BYD57" s="95"/>
      <c r="BYE57" s="95"/>
      <c r="BYF57" s="95"/>
      <c r="BYG57" s="95"/>
    </row>
    <row r="58" spans="1:2009" s="121" customFormat="1" ht="13.5" customHeight="1" thickBot="1" x14ac:dyDescent="0.3">
      <c r="A58" s="111"/>
      <c r="B58" s="111"/>
      <c r="C58" s="511"/>
      <c r="D58" s="182"/>
      <c r="E58" s="182"/>
      <c r="F58" s="182"/>
      <c r="G58" s="511"/>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24.95" customHeight="1" thickBot="1" x14ac:dyDescent="0.3">
      <c r="A59" s="546" t="s">
        <v>272</v>
      </c>
      <c r="B59" s="545"/>
      <c r="C59" s="512">
        <v>24500</v>
      </c>
      <c r="D59" s="513"/>
      <c r="E59" s="513"/>
      <c r="F59" s="513"/>
      <c r="G59" s="514">
        <f>SUM(C59:F59)</f>
        <v>24500</v>
      </c>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96" customFormat="1" ht="12.75" customHeight="1" thickBot="1" x14ac:dyDescent="0.3">
      <c r="A60" s="120"/>
      <c r="B60" s="120"/>
      <c r="C60" s="175"/>
      <c r="D60" s="175"/>
      <c r="E60" s="175"/>
      <c r="F60" s="175"/>
      <c r="G60" s="175"/>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249" customFormat="1" ht="24.95" customHeight="1" thickBot="1" x14ac:dyDescent="0.3">
      <c r="A61" s="248"/>
      <c r="B61" s="544" t="s">
        <v>317</v>
      </c>
      <c r="C61" s="306">
        <f>SUM(C8+C14+C23+C27+C32+C42+C53)+C36+C48+C57+C59+C55</f>
        <v>132445.18</v>
      </c>
      <c r="D61" s="306">
        <f>SUM(D8+D14+D23+D27+D32+D42+D53)+D36+D48+D57+D55</f>
        <v>104165.25</v>
      </c>
      <c r="E61" s="306">
        <f>SUM(E8+E14+E23+E27+E32+E42+E53)+E36+E48+E57</f>
        <v>13317.93</v>
      </c>
      <c r="F61" s="306">
        <f>SUM(F8+F14+F23+F27+F32+F42+F53)+F36+F48+F57</f>
        <v>36687.06</v>
      </c>
      <c r="G61" s="306">
        <f>SUM(G8+G14+G23+G27+G32+G42+G53)+G36+G48+G57+G59+G55</f>
        <v>292441.31999999995</v>
      </c>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c r="IO61" s="212"/>
      <c r="IP61" s="212"/>
      <c r="IQ61" s="212"/>
      <c r="IR61" s="212"/>
      <c r="IS61" s="212"/>
      <c r="IT61" s="212"/>
      <c r="IU61" s="212"/>
      <c r="IV61" s="212"/>
      <c r="IW61" s="212"/>
      <c r="IX61" s="212"/>
      <c r="IY61" s="212"/>
      <c r="IZ61" s="212"/>
      <c r="JA61" s="212"/>
      <c r="JB61" s="212"/>
      <c r="JC61" s="212"/>
      <c r="JD61" s="212"/>
      <c r="JE61" s="212"/>
      <c r="JF61" s="212"/>
      <c r="JG61" s="212"/>
      <c r="JH61" s="212"/>
      <c r="JI61" s="212"/>
      <c r="JJ61" s="212"/>
      <c r="JK61" s="212"/>
      <c r="JL61" s="212"/>
      <c r="JM61" s="212"/>
      <c r="JN61" s="212"/>
      <c r="JO61" s="212"/>
      <c r="JP61" s="212"/>
      <c r="JQ61" s="212"/>
      <c r="JR61" s="212"/>
      <c r="JS61" s="212"/>
      <c r="JT61" s="212"/>
      <c r="JU61" s="212"/>
      <c r="JV61" s="212"/>
      <c r="JW61" s="212"/>
      <c r="JX61" s="212"/>
      <c r="JY61" s="212"/>
      <c r="JZ61" s="212"/>
      <c r="KA61" s="212"/>
      <c r="KB61" s="212"/>
      <c r="KC61" s="212"/>
      <c r="KD61" s="212"/>
      <c r="KE61" s="212"/>
      <c r="KF61" s="212"/>
      <c r="KG61" s="212"/>
      <c r="KH61" s="212"/>
      <c r="KI61" s="212"/>
      <c r="KJ61" s="212"/>
      <c r="KK61" s="212"/>
      <c r="KL61" s="212"/>
      <c r="KM61" s="212"/>
      <c r="KN61" s="212"/>
      <c r="KO61" s="212"/>
      <c r="KP61" s="212"/>
      <c r="KQ61" s="212"/>
      <c r="KR61" s="212"/>
      <c r="KS61" s="212"/>
      <c r="KT61" s="212"/>
      <c r="KU61" s="212"/>
      <c r="KV61" s="212"/>
      <c r="KW61" s="212"/>
      <c r="KX61" s="212"/>
      <c r="KY61" s="212"/>
      <c r="KZ61" s="212"/>
      <c r="LA61" s="212"/>
      <c r="LB61" s="212"/>
      <c r="LC61" s="212"/>
      <c r="LD61" s="212"/>
      <c r="LE61" s="212"/>
      <c r="LF61" s="212"/>
      <c r="LG61" s="212"/>
      <c r="LH61" s="212"/>
      <c r="LI61" s="212"/>
      <c r="LJ61" s="212"/>
      <c r="LK61" s="212"/>
      <c r="LL61" s="212"/>
      <c r="LM61" s="212"/>
      <c r="LN61" s="212"/>
      <c r="LO61" s="212"/>
      <c r="LP61" s="212"/>
      <c r="LQ61" s="212"/>
      <c r="LR61" s="212"/>
      <c r="LS61" s="212"/>
      <c r="LT61" s="212"/>
      <c r="LU61" s="212"/>
      <c r="LV61" s="212"/>
      <c r="LW61" s="212"/>
      <c r="LX61" s="212"/>
      <c r="LY61" s="212"/>
      <c r="LZ61" s="212"/>
      <c r="MA61" s="212"/>
      <c r="MB61" s="212"/>
      <c r="MC61" s="212"/>
      <c r="MD61" s="212"/>
      <c r="ME61" s="212"/>
      <c r="MF61" s="212"/>
      <c r="MG61" s="212"/>
      <c r="MH61" s="212"/>
      <c r="MI61" s="212"/>
      <c r="MJ61" s="212"/>
      <c r="MK61" s="212"/>
      <c r="ML61" s="212"/>
      <c r="MM61" s="212"/>
      <c r="MN61" s="212"/>
      <c r="MO61" s="212"/>
      <c r="MP61" s="212"/>
      <c r="MQ61" s="212"/>
      <c r="MR61" s="212"/>
      <c r="MS61" s="212"/>
      <c r="MT61" s="212"/>
      <c r="MU61" s="212"/>
      <c r="MV61" s="212"/>
      <c r="MW61" s="212"/>
      <c r="MX61" s="212"/>
      <c r="MY61" s="212"/>
      <c r="MZ61" s="212"/>
      <c r="NA61" s="212"/>
      <c r="NB61" s="212"/>
      <c r="NC61" s="212"/>
      <c r="ND61" s="212"/>
      <c r="NE61" s="212"/>
      <c r="NF61" s="212"/>
      <c r="NG61" s="212"/>
      <c r="NH61" s="212"/>
      <c r="NI61" s="212"/>
      <c r="NJ61" s="212"/>
      <c r="NK61" s="212"/>
      <c r="NL61" s="212"/>
      <c r="NM61" s="212"/>
      <c r="NN61" s="212"/>
      <c r="NO61" s="212"/>
      <c r="NP61" s="212"/>
      <c r="NQ61" s="212"/>
      <c r="NR61" s="212"/>
      <c r="NS61" s="212"/>
      <c r="NT61" s="212"/>
      <c r="NU61" s="212"/>
      <c r="NV61" s="212"/>
      <c r="NW61" s="212"/>
      <c r="NX61" s="212"/>
      <c r="NY61" s="212"/>
      <c r="NZ61" s="212"/>
      <c r="OA61" s="212"/>
      <c r="OB61" s="212"/>
      <c r="OC61" s="212"/>
      <c r="OD61" s="212"/>
      <c r="OE61" s="212"/>
      <c r="OF61" s="212"/>
      <c r="OG61" s="212"/>
      <c r="OH61" s="212"/>
      <c r="OI61" s="212"/>
      <c r="OJ61" s="212"/>
      <c r="OK61" s="212"/>
      <c r="OL61" s="212"/>
      <c r="OM61" s="212"/>
      <c r="ON61" s="212"/>
      <c r="OO61" s="212"/>
      <c r="OP61" s="212"/>
      <c r="OQ61" s="212"/>
      <c r="OR61" s="212"/>
      <c r="OS61" s="212"/>
      <c r="OT61" s="212"/>
      <c r="OU61" s="212"/>
      <c r="OV61" s="212"/>
      <c r="OW61" s="212"/>
      <c r="OX61" s="212"/>
      <c r="OY61" s="212"/>
      <c r="OZ61" s="212"/>
      <c r="PA61" s="212"/>
      <c r="PB61" s="212"/>
      <c r="PC61" s="212"/>
      <c r="PD61" s="212"/>
      <c r="PE61" s="212"/>
      <c r="PF61" s="212"/>
      <c r="PG61" s="212"/>
      <c r="PH61" s="212"/>
      <c r="PI61" s="212"/>
      <c r="PJ61" s="212"/>
      <c r="PK61" s="212"/>
      <c r="PL61" s="212"/>
      <c r="PM61" s="212"/>
      <c r="PN61" s="212"/>
      <c r="PO61" s="212"/>
      <c r="PP61" s="212"/>
      <c r="PQ61" s="212"/>
      <c r="PR61" s="212"/>
      <c r="PS61" s="212"/>
      <c r="PT61" s="212"/>
      <c r="PU61" s="212"/>
      <c r="PV61" s="212"/>
      <c r="PW61" s="212"/>
      <c r="PX61" s="212"/>
      <c r="PY61" s="212"/>
      <c r="PZ61" s="212"/>
      <c r="QA61" s="212"/>
      <c r="QB61" s="212"/>
      <c r="QC61" s="212"/>
      <c r="QD61" s="212"/>
      <c r="QE61" s="212"/>
      <c r="QF61" s="212"/>
      <c r="QG61" s="212"/>
      <c r="QH61" s="212"/>
      <c r="QI61" s="212"/>
      <c r="QJ61" s="212"/>
      <c r="QK61" s="212"/>
      <c r="QL61" s="212"/>
      <c r="QM61" s="212"/>
      <c r="QN61" s="212"/>
      <c r="QO61" s="212"/>
      <c r="QP61" s="212"/>
      <c r="QQ61" s="212"/>
      <c r="QR61" s="212"/>
      <c r="QS61" s="212"/>
      <c r="QT61" s="212"/>
      <c r="QU61" s="212"/>
      <c r="QV61" s="212"/>
      <c r="QW61" s="212"/>
      <c r="QX61" s="212"/>
      <c r="QY61" s="212"/>
      <c r="QZ61" s="212"/>
      <c r="RA61" s="212"/>
      <c r="RB61" s="212"/>
      <c r="RC61" s="212"/>
      <c r="RD61" s="212"/>
      <c r="RE61" s="212"/>
      <c r="RF61" s="212"/>
      <c r="RG61" s="212"/>
      <c r="RH61" s="212"/>
      <c r="RI61" s="212"/>
      <c r="RJ61" s="212"/>
      <c r="RK61" s="212"/>
      <c r="RL61" s="212"/>
      <c r="RM61" s="212"/>
      <c r="RN61" s="212"/>
      <c r="RO61" s="212"/>
      <c r="RP61" s="212"/>
      <c r="RQ61" s="212"/>
      <c r="RR61" s="212"/>
      <c r="RS61" s="212"/>
      <c r="RT61" s="212"/>
      <c r="RU61" s="212"/>
      <c r="RV61" s="212"/>
      <c r="RW61" s="212"/>
      <c r="RX61" s="212"/>
      <c r="RY61" s="212"/>
      <c r="RZ61" s="212"/>
      <c r="SA61" s="212"/>
      <c r="SB61" s="212"/>
      <c r="SC61" s="212"/>
      <c r="SD61" s="212"/>
      <c r="SE61" s="212"/>
      <c r="SF61" s="212"/>
      <c r="SG61" s="212"/>
      <c r="SH61" s="212"/>
      <c r="SI61" s="212"/>
      <c r="SJ61" s="212"/>
      <c r="SK61" s="212"/>
      <c r="SL61" s="212"/>
      <c r="SM61" s="212"/>
      <c r="SN61" s="212"/>
      <c r="SO61" s="212"/>
      <c r="SP61" s="212"/>
      <c r="SQ61" s="212"/>
      <c r="SR61" s="212"/>
      <c r="SS61" s="212"/>
      <c r="ST61" s="212"/>
      <c r="SU61" s="212"/>
      <c r="SV61" s="212"/>
      <c r="SW61" s="212"/>
      <c r="SX61" s="212"/>
      <c r="SY61" s="212"/>
      <c r="SZ61" s="212"/>
      <c r="TA61" s="212"/>
      <c r="TB61" s="212"/>
      <c r="TC61" s="212"/>
      <c r="TD61" s="212"/>
      <c r="TE61" s="212"/>
      <c r="TF61" s="212"/>
      <c r="TG61" s="212"/>
      <c r="TH61" s="212"/>
      <c r="TI61" s="212"/>
      <c r="TJ61" s="212"/>
      <c r="TK61" s="212"/>
      <c r="TL61" s="212"/>
      <c r="TM61" s="212"/>
      <c r="TN61" s="212"/>
      <c r="TO61" s="212"/>
      <c r="TP61" s="212"/>
      <c r="TQ61" s="212"/>
      <c r="TR61" s="212"/>
      <c r="TS61" s="212"/>
      <c r="TT61" s="212"/>
      <c r="TU61" s="212"/>
      <c r="TV61" s="212"/>
      <c r="TW61" s="212"/>
      <c r="TX61" s="212"/>
      <c r="TY61" s="212"/>
      <c r="TZ61" s="212"/>
      <c r="UA61" s="212"/>
      <c r="UB61" s="212"/>
      <c r="UC61" s="212"/>
      <c r="UD61" s="212"/>
      <c r="UE61" s="212"/>
      <c r="UF61" s="212"/>
      <c r="UG61" s="212"/>
      <c r="UH61" s="212"/>
      <c r="UI61" s="212"/>
      <c r="UJ61" s="212"/>
      <c r="UK61" s="212"/>
      <c r="UL61" s="212"/>
      <c r="UM61" s="212"/>
      <c r="UN61" s="212"/>
      <c r="UO61" s="212"/>
      <c r="UP61" s="212"/>
      <c r="UQ61" s="212"/>
      <c r="UR61" s="212"/>
      <c r="US61" s="212"/>
      <c r="UT61" s="212"/>
      <c r="UU61" s="212"/>
      <c r="UV61" s="212"/>
      <c r="UW61" s="212"/>
      <c r="UX61" s="212"/>
      <c r="UY61" s="212"/>
      <c r="UZ61" s="212"/>
      <c r="VA61" s="212"/>
      <c r="VB61" s="212"/>
      <c r="VC61" s="212"/>
      <c r="VD61" s="212"/>
      <c r="VE61" s="212"/>
      <c r="VF61" s="212"/>
      <c r="VG61" s="212"/>
      <c r="VH61" s="212"/>
      <c r="VI61" s="212"/>
      <c r="VJ61" s="212"/>
      <c r="VK61" s="212"/>
      <c r="VL61" s="212"/>
      <c r="VM61" s="212"/>
      <c r="VN61" s="212"/>
      <c r="VO61" s="212"/>
      <c r="VP61" s="212"/>
      <c r="VQ61" s="212"/>
      <c r="VR61" s="212"/>
      <c r="VS61" s="212"/>
      <c r="VT61" s="212"/>
      <c r="VU61" s="212"/>
      <c r="VV61" s="212"/>
      <c r="VW61" s="212"/>
      <c r="VX61" s="212"/>
      <c r="VY61" s="212"/>
      <c r="VZ61" s="212"/>
      <c r="WA61" s="212"/>
      <c r="WB61" s="212"/>
      <c r="WC61" s="212"/>
      <c r="WD61" s="212"/>
      <c r="WE61" s="212"/>
      <c r="WF61" s="212"/>
      <c r="WG61" s="212"/>
      <c r="WH61" s="212"/>
      <c r="WI61" s="212"/>
      <c r="WJ61" s="212"/>
      <c r="WK61" s="212"/>
      <c r="WL61" s="212"/>
      <c r="WM61" s="212"/>
      <c r="WN61" s="212"/>
      <c r="WO61" s="212"/>
      <c r="WP61" s="212"/>
      <c r="WQ61" s="212"/>
      <c r="WR61" s="212"/>
      <c r="WS61" s="212"/>
      <c r="WT61" s="212"/>
      <c r="WU61" s="212"/>
      <c r="WV61" s="212"/>
      <c r="WW61" s="212"/>
      <c r="WX61" s="212"/>
      <c r="WY61" s="212"/>
      <c r="WZ61" s="212"/>
      <c r="XA61" s="212"/>
      <c r="XB61" s="212"/>
      <c r="XC61" s="212"/>
      <c r="XD61" s="212"/>
      <c r="XE61" s="212"/>
      <c r="XF61" s="212"/>
      <c r="XG61" s="212"/>
      <c r="XH61" s="212"/>
      <c r="XI61" s="212"/>
      <c r="XJ61" s="212"/>
      <c r="XK61" s="212"/>
      <c r="XL61" s="212"/>
      <c r="XM61" s="212"/>
      <c r="XN61" s="212"/>
      <c r="XO61" s="212"/>
      <c r="XP61" s="212"/>
      <c r="XQ61" s="212"/>
      <c r="XR61" s="212"/>
      <c r="XS61" s="212"/>
      <c r="XT61" s="212"/>
      <c r="XU61" s="212"/>
      <c r="XV61" s="212"/>
      <c r="XW61" s="212"/>
      <c r="XX61" s="212"/>
      <c r="XY61" s="212"/>
      <c r="XZ61" s="212"/>
      <c r="YA61" s="212"/>
      <c r="YB61" s="212"/>
      <c r="YC61" s="212"/>
      <c r="YD61" s="212"/>
      <c r="YE61" s="212"/>
      <c r="YF61" s="212"/>
      <c r="YG61" s="212"/>
      <c r="YH61" s="212"/>
      <c r="YI61" s="212"/>
      <c r="YJ61" s="212"/>
      <c r="YK61" s="212"/>
      <c r="YL61" s="212"/>
      <c r="YM61" s="212"/>
      <c r="YN61" s="212"/>
      <c r="YO61" s="212"/>
      <c r="YP61" s="212"/>
      <c r="YQ61" s="212"/>
      <c r="YR61" s="212"/>
      <c r="YS61" s="212"/>
      <c r="YT61" s="212"/>
      <c r="YU61" s="212"/>
      <c r="YV61" s="212"/>
      <c r="YW61" s="212"/>
      <c r="YX61" s="212"/>
      <c r="YY61" s="212"/>
      <c r="YZ61" s="212"/>
      <c r="ZA61" s="212"/>
      <c r="ZB61" s="212"/>
      <c r="ZC61" s="212"/>
      <c r="ZD61" s="212"/>
      <c r="ZE61" s="212"/>
      <c r="ZF61" s="212"/>
      <c r="ZG61" s="212"/>
      <c r="ZH61" s="212"/>
      <c r="ZI61" s="212"/>
      <c r="ZJ61" s="212"/>
      <c r="ZK61" s="212"/>
      <c r="ZL61" s="212"/>
      <c r="ZM61" s="212"/>
      <c r="ZN61" s="212"/>
      <c r="ZO61" s="212"/>
      <c r="ZP61" s="212"/>
      <c r="ZQ61" s="212"/>
      <c r="ZR61" s="212"/>
      <c r="ZS61" s="212"/>
      <c r="ZT61" s="212"/>
      <c r="ZU61" s="212"/>
      <c r="ZV61" s="212"/>
      <c r="ZW61" s="212"/>
      <c r="ZX61" s="212"/>
      <c r="ZY61" s="212"/>
      <c r="ZZ61" s="212"/>
      <c r="AAA61" s="212"/>
      <c r="AAB61" s="212"/>
      <c r="AAC61" s="212"/>
      <c r="AAD61" s="212"/>
      <c r="AAE61" s="212"/>
      <c r="AAF61" s="212"/>
      <c r="AAG61" s="212"/>
      <c r="AAH61" s="212"/>
      <c r="AAI61" s="212"/>
      <c r="AAJ61" s="212"/>
      <c r="AAK61" s="212"/>
      <c r="AAL61" s="212"/>
      <c r="AAM61" s="212"/>
      <c r="AAN61" s="212"/>
      <c r="AAO61" s="212"/>
      <c r="AAP61" s="212"/>
      <c r="AAQ61" s="212"/>
      <c r="AAR61" s="212"/>
      <c r="AAS61" s="212"/>
      <c r="AAT61" s="212"/>
      <c r="AAU61" s="212"/>
      <c r="AAV61" s="212"/>
      <c r="AAW61" s="212"/>
      <c r="AAX61" s="212"/>
      <c r="AAY61" s="212"/>
      <c r="AAZ61" s="212"/>
      <c r="ABA61" s="212"/>
      <c r="ABB61" s="212"/>
      <c r="ABC61" s="212"/>
      <c r="ABD61" s="212"/>
      <c r="ABE61" s="212"/>
      <c r="ABF61" s="212"/>
      <c r="ABG61" s="212"/>
      <c r="ABH61" s="212"/>
      <c r="ABI61" s="212"/>
      <c r="ABJ61" s="212"/>
      <c r="ABK61" s="212"/>
      <c r="ABL61" s="212"/>
      <c r="ABM61" s="212"/>
      <c r="ABN61" s="212"/>
      <c r="ABO61" s="212"/>
      <c r="ABP61" s="212"/>
      <c r="ABQ61" s="212"/>
      <c r="ABR61" s="212"/>
      <c r="ABS61" s="212"/>
      <c r="ABT61" s="212"/>
      <c r="ABU61" s="212"/>
      <c r="ABV61" s="212"/>
      <c r="ABW61" s="212"/>
      <c r="ABX61" s="212"/>
      <c r="ABY61" s="212"/>
      <c r="ABZ61" s="212"/>
      <c r="ACA61" s="212"/>
      <c r="ACB61" s="212"/>
      <c r="ACC61" s="212"/>
      <c r="ACD61" s="212"/>
      <c r="ACE61" s="212"/>
      <c r="ACF61" s="212"/>
      <c r="ACG61" s="212"/>
      <c r="ACH61" s="212"/>
      <c r="ACI61" s="212"/>
      <c r="ACJ61" s="212"/>
      <c r="ACK61" s="212"/>
      <c r="ACL61" s="212"/>
      <c r="ACM61" s="212"/>
      <c r="ACN61" s="212"/>
      <c r="ACO61" s="212"/>
      <c r="ACP61" s="212"/>
      <c r="ACQ61" s="212"/>
      <c r="ACR61" s="212"/>
      <c r="ACS61" s="212"/>
      <c r="ACT61" s="212"/>
      <c r="ACU61" s="212"/>
      <c r="ACV61" s="212"/>
      <c r="ACW61" s="212"/>
      <c r="ACX61" s="212"/>
      <c r="ACY61" s="212"/>
      <c r="ACZ61" s="212"/>
      <c r="ADA61" s="212"/>
      <c r="ADB61" s="212"/>
      <c r="ADC61" s="212"/>
      <c r="ADD61" s="212"/>
      <c r="ADE61" s="212"/>
      <c r="ADF61" s="212"/>
      <c r="ADG61" s="212"/>
      <c r="ADH61" s="212"/>
      <c r="ADI61" s="212"/>
      <c r="ADJ61" s="212"/>
      <c r="ADK61" s="212"/>
      <c r="ADL61" s="212"/>
      <c r="ADM61" s="212"/>
      <c r="ADN61" s="212"/>
      <c r="ADO61" s="212"/>
      <c r="ADP61" s="212"/>
      <c r="ADQ61" s="212"/>
      <c r="ADR61" s="212"/>
      <c r="ADS61" s="212"/>
      <c r="ADT61" s="212"/>
      <c r="ADU61" s="212"/>
      <c r="ADV61" s="212"/>
      <c r="ADW61" s="212"/>
      <c r="ADX61" s="212"/>
      <c r="ADY61" s="212"/>
      <c r="ADZ61" s="212"/>
      <c r="AEA61" s="212"/>
      <c r="AEB61" s="212"/>
      <c r="AEC61" s="212"/>
      <c r="AED61" s="212"/>
      <c r="AEE61" s="212"/>
      <c r="AEF61" s="212"/>
      <c r="AEG61" s="212"/>
      <c r="AEH61" s="212"/>
      <c r="AEI61" s="212"/>
      <c r="AEJ61" s="212"/>
      <c r="AEK61" s="212"/>
      <c r="AEL61" s="212"/>
      <c r="AEM61" s="212"/>
      <c r="AEN61" s="212"/>
      <c r="AEO61" s="212"/>
      <c r="AEP61" s="212"/>
      <c r="AEQ61" s="212"/>
      <c r="AER61" s="212"/>
      <c r="AES61" s="212"/>
      <c r="AET61" s="212"/>
      <c r="AEU61" s="212"/>
      <c r="AEV61" s="212"/>
      <c r="AEW61" s="212"/>
      <c r="AEX61" s="212"/>
      <c r="AEY61" s="212"/>
      <c r="AEZ61" s="212"/>
      <c r="AFA61" s="212"/>
      <c r="AFB61" s="212"/>
      <c r="AFC61" s="212"/>
      <c r="AFD61" s="212"/>
      <c r="AFE61" s="212"/>
      <c r="AFF61" s="212"/>
      <c r="AFG61" s="212"/>
      <c r="AFH61" s="212"/>
      <c r="AFI61" s="212"/>
      <c r="AFJ61" s="212"/>
      <c r="AFK61" s="212"/>
      <c r="AFL61" s="212"/>
      <c r="AFM61" s="212"/>
      <c r="AFN61" s="212"/>
      <c r="AFO61" s="212"/>
      <c r="AFP61" s="212"/>
      <c r="AFQ61" s="212"/>
      <c r="AFR61" s="212"/>
      <c r="AFS61" s="212"/>
      <c r="AFT61" s="212"/>
      <c r="AFU61" s="212"/>
      <c r="AFV61" s="212"/>
      <c r="AFW61" s="212"/>
      <c r="AFX61" s="212"/>
      <c r="AFY61" s="212"/>
      <c r="AFZ61" s="212"/>
      <c r="AGA61" s="212"/>
      <c r="AGB61" s="212"/>
      <c r="AGC61" s="212"/>
      <c r="AGD61" s="212"/>
      <c r="AGE61" s="212"/>
      <c r="AGF61" s="212"/>
      <c r="AGG61" s="212"/>
      <c r="AGH61" s="212"/>
      <c r="AGI61" s="212"/>
      <c r="AGJ61" s="212"/>
      <c r="AGK61" s="212"/>
      <c r="AGL61" s="212"/>
      <c r="AGM61" s="212"/>
      <c r="AGN61" s="212"/>
      <c r="AGO61" s="212"/>
      <c r="AGP61" s="212"/>
      <c r="AGQ61" s="212"/>
      <c r="AGR61" s="212"/>
      <c r="AGS61" s="212"/>
      <c r="AGT61" s="212"/>
      <c r="AGU61" s="212"/>
      <c r="AGV61" s="212"/>
      <c r="AGW61" s="212"/>
      <c r="AGX61" s="212"/>
      <c r="AGY61" s="212"/>
      <c r="AGZ61" s="212"/>
      <c r="AHA61" s="212"/>
      <c r="AHB61" s="212"/>
      <c r="AHC61" s="212"/>
      <c r="AHD61" s="212"/>
      <c r="AHE61" s="212"/>
      <c r="AHF61" s="212"/>
      <c r="AHG61" s="212"/>
      <c r="AHH61" s="212"/>
      <c r="AHI61" s="212"/>
      <c r="AHJ61" s="212"/>
      <c r="AHK61" s="212"/>
      <c r="AHL61" s="212"/>
      <c r="AHM61" s="212"/>
      <c r="AHN61" s="212"/>
      <c r="AHO61" s="212"/>
      <c r="AHP61" s="212"/>
      <c r="AHQ61" s="212"/>
      <c r="AHR61" s="212"/>
      <c r="AHS61" s="212"/>
      <c r="AHT61" s="212"/>
      <c r="AHU61" s="212"/>
      <c r="AHV61" s="212"/>
      <c r="AHW61" s="212"/>
      <c r="AHX61" s="212"/>
      <c r="AHY61" s="212"/>
      <c r="AHZ61" s="212"/>
      <c r="AIA61" s="212"/>
      <c r="AIB61" s="212"/>
      <c r="AIC61" s="212"/>
      <c r="AID61" s="212"/>
      <c r="AIE61" s="212"/>
      <c r="AIF61" s="212"/>
      <c r="AIG61" s="212"/>
      <c r="AIH61" s="212"/>
      <c r="AII61" s="212"/>
      <c r="AIJ61" s="212"/>
      <c r="AIK61" s="212"/>
      <c r="AIL61" s="212"/>
      <c r="AIM61" s="212"/>
      <c r="AIN61" s="212"/>
      <c r="AIO61" s="212"/>
      <c r="AIP61" s="212"/>
      <c r="AIQ61" s="212"/>
      <c r="AIR61" s="212"/>
      <c r="AIS61" s="212"/>
      <c r="AIT61" s="212"/>
      <c r="AIU61" s="212"/>
      <c r="AIV61" s="212"/>
      <c r="AIW61" s="212"/>
      <c r="AIX61" s="212"/>
      <c r="AIY61" s="212"/>
      <c r="AIZ61" s="212"/>
      <c r="AJA61" s="212"/>
      <c r="AJB61" s="212"/>
      <c r="AJC61" s="212"/>
      <c r="AJD61" s="212"/>
      <c r="AJE61" s="212"/>
      <c r="AJF61" s="212"/>
      <c r="AJG61" s="212"/>
      <c r="AJH61" s="212"/>
      <c r="AJI61" s="212"/>
      <c r="AJJ61" s="212"/>
      <c r="AJK61" s="212"/>
      <c r="AJL61" s="212"/>
      <c r="AJM61" s="212"/>
      <c r="AJN61" s="212"/>
      <c r="AJO61" s="212"/>
      <c r="AJP61" s="212"/>
      <c r="AJQ61" s="212"/>
      <c r="AJR61" s="212"/>
      <c r="AJS61" s="212"/>
      <c r="AJT61" s="212"/>
      <c r="AJU61" s="212"/>
      <c r="AJV61" s="212"/>
      <c r="AJW61" s="212"/>
      <c r="AJX61" s="212"/>
      <c r="AJY61" s="212"/>
      <c r="AJZ61" s="212"/>
      <c r="AKA61" s="212"/>
      <c r="AKB61" s="212"/>
      <c r="AKC61" s="212"/>
      <c r="AKD61" s="212"/>
      <c r="AKE61" s="212"/>
      <c r="AKF61" s="212"/>
      <c r="AKG61" s="212"/>
      <c r="AKH61" s="212"/>
      <c r="AKI61" s="212"/>
      <c r="AKJ61" s="212"/>
      <c r="AKK61" s="212"/>
      <c r="AKL61" s="212"/>
      <c r="AKM61" s="212"/>
      <c r="AKN61" s="212"/>
      <c r="AKO61" s="212"/>
      <c r="AKP61" s="212"/>
      <c r="AKQ61" s="212"/>
      <c r="AKR61" s="212"/>
      <c r="AKS61" s="212"/>
      <c r="AKT61" s="212"/>
      <c r="AKU61" s="212"/>
      <c r="AKV61" s="212"/>
      <c r="AKW61" s="212"/>
      <c r="AKX61" s="212"/>
      <c r="AKY61" s="212"/>
      <c r="AKZ61" s="212"/>
      <c r="ALA61" s="212"/>
      <c r="ALB61" s="212"/>
      <c r="ALC61" s="212"/>
      <c r="ALD61" s="212"/>
      <c r="ALE61" s="212"/>
      <c r="ALF61" s="212"/>
      <c r="ALG61" s="212"/>
      <c r="ALH61" s="212"/>
      <c r="ALI61" s="212"/>
      <c r="ALJ61" s="212"/>
      <c r="ALK61" s="212"/>
      <c r="ALL61" s="212"/>
      <c r="ALM61" s="212"/>
      <c r="ALN61" s="212"/>
      <c r="ALO61" s="212"/>
      <c r="ALP61" s="212"/>
      <c r="ALQ61" s="212"/>
      <c r="ALR61" s="212"/>
      <c r="ALS61" s="212"/>
      <c r="ALT61" s="212"/>
      <c r="ALU61" s="212"/>
      <c r="ALV61" s="212"/>
      <c r="ALW61" s="212"/>
      <c r="ALX61" s="212"/>
      <c r="ALY61" s="212"/>
      <c r="ALZ61" s="212"/>
      <c r="AMA61" s="212"/>
      <c r="AMB61" s="212"/>
      <c r="AMC61" s="212"/>
      <c r="AMD61" s="212"/>
      <c r="AME61" s="212"/>
      <c r="AMF61" s="212"/>
      <c r="AMG61" s="212"/>
      <c r="AMH61" s="212"/>
      <c r="AMI61" s="212"/>
      <c r="AMJ61" s="212"/>
      <c r="AMK61" s="212"/>
      <c r="AML61" s="212"/>
      <c r="AMM61" s="212"/>
      <c r="AMN61" s="212"/>
      <c r="AMO61" s="212"/>
      <c r="AMP61" s="212"/>
      <c r="AMQ61" s="212"/>
      <c r="AMR61" s="212"/>
      <c r="AMS61" s="212"/>
      <c r="AMT61" s="212"/>
      <c r="AMU61" s="212"/>
      <c r="AMV61" s="212"/>
      <c r="AMW61" s="212"/>
      <c r="AMX61" s="212"/>
      <c r="AMY61" s="212"/>
      <c r="AMZ61" s="212"/>
      <c r="ANA61" s="212"/>
      <c r="ANB61" s="212"/>
      <c r="ANC61" s="212"/>
      <c r="AND61" s="212"/>
      <c r="ANE61" s="212"/>
      <c r="ANF61" s="212"/>
      <c r="ANG61" s="212"/>
      <c r="ANH61" s="212"/>
      <c r="ANI61" s="212"/>
      <c r="ANJ61" s="212"/>
      <c r="ANK61" s="212"/>
      <c r="ANL61" s="212"/>
      <c r="ANM61" s="212"/>
      <c r="ANN61" s="212"/>
      <c r="ANO61" s="212"/>
      <c r="ANP61" s="212"/>
      <c r="ANQ61" s="212"/>
      <c r="ANR61" s="212"/>
      <c r="ANS61" s="212"/>
      <c r="ANT61" s="212"/>
      <c r="ANU61" s="212"/>
      <c r="ANV61" s="212"/>
      <c r="ANW61" s="212"/>
      <c r="ANX61" s="212"/>
      <c r="ANY61" s="212"/>
      <c r="ANZ61" s="212"/>
      <c r="AOA61" s="212"/>
      <c r="AOB61" s="212"/>
      <c r="AOC61" s="212"/>
      <c r="AOD61" s="212"/>
      <c r="AOE61" s="212"/>
      <c r="AOF61" s="212"/>
      <c r="AOG61" s="212"/>
      <c r="AOH61" s="212"/>
      <c r="AOI61" s="212"/>
      <c r="AOJ61" s="212"/>
      <c r="AOK61" s="212"/>
      <c r="AOL61" s="212"/>
      <c r="AOM61" s="212"/>
      <c r="AON61" s="212"/>
      <c r="AOO61" s="212"/>
      <c r="AOP61" s="212"/>
      <c r="AOQ61" s="212"/>
      <c r="AOR61" s="212"/>
      <c r="AOS61" s="212"/>
      <c r="AOT61" s="212"/>
      <c r="AOU61" s="212"/>
      <c r="AOV61" s="212"/>
      <c r="AOW61" s="212"/>
      <c r="AOX61" s="212"/>
      <c r="AOY61" s="212"/>
      <c r="AOZ61" s="212"/>
      <c r="APA61" s="212"/>
      <c r="APB61" s="212"/>
      <c r="APC61" s="212"/>
      <c r="APD61" s="212"/>
      <c r="APE61" s="212"/>
      <c r="APF61" s="212"/>
      <c r="APG61" s="212"/>
      <c r="APH61" s="212"/>
      <c r="API61" s="212"/>
      <c r="APJ61" s="212"/>
      <c r="APK61" s="212"/>
      <c r="APL61" s="212"/>
      <c r="APM61" s="212"/>
      <c r="APN61" s="212"/>
      <c r="APO61" s="212"/>
      <c r="APP61" s="212"/>
      <c r="APQ61" s="212"/>
      <c r="APR61" s="212"/>
      <c r="APS61" s="212"/>
      <c r="APT61" s="212"/>
      <c r="APU61" s="212"/>
      <c r="APV61" s="212"/>
      <c r="APW61" s="212"/>
      <c r="APX61" s="212"/>
      <c r="APY61" s="212"/>
      <c r="APZ61" s="212"/>
      <c r="AQA61" s="212"/>
      <c r="AQB61" s="212"/>
      <c r="AQC61" s="212"/>
      <c r="AQD61" s="212"/>
      <c r="AQE61" s="212"/>
      <c r="AQF61" s="212"/>
      <c r="AQG61" s="212"/>
      <c r="AQH61" s="212"/>
      <c r="AQI61" s="212"/>
      <c r="AQJ61" s="212"/>
      <c r="AQK61" s="212"/>
      <c r="AQL61" s="212"/>
      <c r="AQM61" s="212"/>
      <c r="AQN61" s="212"/>
      <c r="AQO61" s="212"/>
      <c r="AQP61" s="212"/>
      <c r="AQQ61" s="212"/>
      <c r="AQR61" s="212"/>
      <c r="AQS61" s="212"/>
      <c r="AQT61" s="212"/>
      <c r="AQU61" s="212"/>
      <c r="AQV61" s="212"/>
      <c r="AQW61" s="212"/>
      <c r="AQX61" s="212"/>
      <c r="AQY61" s="212"/>
      <c r="AQZ61" s="212"/>
      <c r="ARA61" s="212"/>
      <c r="ARB61" s="212"/>
      <c r="ARC61" s="212"/>
      <c r="ARD61" s="212"/>
      <c r="ARE61" s="212"/>
      <c r="ARF61" s="212"/>
      <c r="ARG61" s="212"/>
      <c r="ARH61" s="212"/>
      <c r="ARI61" s="212"/>
      <c r="ARJ61" s="212"/>
      <c r="ARK61" s="212"/>
      <c r="ARL61" s="212"/>
      <c r="ARM61" s="212"/>
      <c r="ARN61" s="212"/>
      <c r="ARO61" s="212"/>
      <c r="ARP61" s="212"/>
      <c r="ARQ61" s="212"/>
      <c r="ARR61" s="212"/>
      <c r="ARS61" s="212"/>
      <c r="ART61" s="212"/>
      <c r="ARU61" s="212"/>
      <c r="ARV61" s="212"/>
      <c r="ARW61" s="212"/>
      <c r="ARX61" s="212"/>
      <c r="ARY61" s="212"/>
      <c r="ARZ61" s="212"/>
      <c r="ASA61" s="212"/>
      <c r="ASB61" s="212"/>
      <c r="ASC61" s="212"/>
      <c r="ASD61" s="212"/>
      <c r="ASE61" s="212"/>
      <c r="ASF61" s="212"/>
      <c r="ASG61" s="212"/>
      <c r="ASH61" s="212"/>
      <c r="ASI61" s="212"/>
      <c r="ASJ61" s="212"/>
      <c r="ASK61" s="212"/>
      <c r="ASL61" s="212"/>
      <c r="ASM61" s="212"/>
      <c r="ASN61" s="212"/>
      <c r="ASO61" s="212"/>
      <c r="ASP61" s="212"/>
      <c r="ASQ61" s="212"/>
      <c r="ASR61" s="212"/>
      <c r="ASS61" s="212"/>
      <c r="AST61" s="212"/>
      <c r="ASU61" s="212"/>
      <c r="ASV61" s="212"/>
      <c r="ASW61" s="212"/>
      <c r="ASX61" s="212"/>
      <c r="ASY61" s="212"/>
      <c r="ASZ61" s="212"/>
      <c r="ATA61" s="212"/>
      <c r="ATB61" s="212"/>
      <c r="ATC61" s="212"/>
      <c r="ATD61" s="212"/>
      <c r="ATE61" s="212"/>
      <c r="ATF61" s="212"/>
      <c r="ATG61" s="212"/>
      <c r="ATH61" s="212"/>
      <c r="ATI61" s="212"/>
      <c r="ATJ61" s="212"/>
      <c r="ATK61" s="212"/>
      <c r="ATL61" s="212"/>
      <c r="ATM61" s="212"/>
      <c r="ATN61" s="212"/>
      <c r="ATO61" s="212"/>
      <c r="ATP61" s="212"/>
      <c r="ATQ61" s="212"/>
      <c r="ATR61" s="212"/>
      <c r="ATS61" s="212"/>
      <c r="ATT61" s="212"/>
      <c r="ATU61" s="212"/>
      <c r="ATV61" s="212"/>
      <c r="ATW61" s="212"/>
      <c r="ATX61" s="212"/>
      <c r="ATY61" s="212"/>
      <c r="ATZ61" s="212"/>
      <c r="AUA61" s="212"/>
      <c r="AUB61" s="212"/>
      <c r="AUC61" s="212"/>
      <c r="AUD61" s="212"/>
      <c r="AUE61" s="212"/>
      <c r="AUF61" s="212"/>
      <c r="AUG61" s="212"/>
      <c r="AUH61" s="212"/>
      <c r="AUI61" s="212"/>
      <c r="AUJ61" s="212"/>
      <c r="AUK61" s="212"/>
      <c r="AUL61" s="212"/>
      <c r="AUM61" s="212"/>
      <c r="AUN61" s="212"/>
      <c r="AUO61" s="212"/>
      <c r="AUP61" s="212"/>
      <c r="AUQ61" s="212"/>
      <c r="AUR61" s="212"/>
      <c r="AUS61" s="212"/>
      <c r="AUT61" s="212"/>
      <c r="AUU61" s="212"/>
      <c r="AUV61" s="212"/>
      <c r="AUW61" s="212"/>
      <c r="AUX61" s="212"/>
      <c r="AUY61" s="212"/>
      <c r="AUZ61" s="212"/>
      <c r="AVA61" s="212"/>
      <c r="AVB61" s="212"/>
      <c r="AVC61" s="212"/>
      <c r="AVD61" s="212"/>
      <c r="AVE61" s="212"/>
      <c r="AVF61" s="212"/>
      <c r="AVG61" s="212"/>
      <c r="AVH61" s="212"/>
      <c r="AVI61" s="212"/>
      <c r="AVJ61" s="212"/>
      <c r="AVK61" s="212"/>
      <c r="AVL61" s="212"/>
      <c r="AVM61" s="212"/>
      <c r="AVN61" s="212"/>
      <c r="AVO61" s="212"/>
      <c r="AVP61" s="212"/>
      <c r="AVQ61" s="212"/>
      <c r="AVR61" s="212"/>
      <c r="AVS61" s="212"/>
      <c r="AVT61" s="212"/>
      <c r="AVU61" s="212"/>
      <c r="AVV61" s="212"/>
      <c r="AVW61" s="212"/>
      <c r="AVX61" s="212"/>
      <c r="AVY61" s="212"/>
      <c r="AVZ61" s="212"/>
      <c r="AWA61" s="212"/>
      <c r="AWB61" s="212"/>
      <c r="AWC61" s="212"/>
      <c r="AWD61" s="212"/>
      <c r="AWE61" s="212"/>
      <c r="AWF61" s="212"/>
      <c r="AWG61" s="212"/>
      <c r="AWH61" s="212"/>
      <c r="AWI61" s="212"/>
      <c r="AWJ61" s="212"/>
      <c r="AWK61" s="212"/>
      <c r="AWL61" s="212"/>
      <c r="AWM61" s="212"/>
      <c r="AWN61" s="212"/>
      <c r="AWO61" s="212"/>
      <c r="AWP61" s="212"/>
      <c r="AWQ61" s="212"/>
      <c r="AWR61" s="212"/>
      <c r="AWS61" s="212"/>
      <c r="AWT61" s="212"/>
      <c r="AWU61" s="212"/>
      <c r="AWV61" s="212"/>
      <c r="AWW61" s="212"/>
      <c r="AWX61" s="212"/>
      <c r="AWY61" s="212"/>
      <c r="AWZ61" s="212"/>
      <c r="AXA61" s="212"/>
      <c r="AXB61" s="212"/>
      <c r="AXC61" s="212"/>
      <c r="AXD61" s="212"/>
      <c r="AXE61" s="212"/>
      <c r="AXF61" s="212"/>
      <c r="AXG61" s="212"/>
      <c r="AXH61" s="212"/>
      <c r="AXI61" s="212"/>
      <c r="AXJ61" s="212"/>
      <c r="AXK61" s="212"/>
      <c r="AXL61" s="212"/>
      <c r="AXM61" s="212"/>
      <c r="AXN61" s="212"/>
      <c r="AXO61" s="212"/>
      <c r="AXP61" s="212"/>
      <c r="AXQ61" s="212"/>
      <c r="AXR61" s="212"/>
      <c r="AXS61" s="212"/>
      <c r="AXT61" s="212"/>
      <c r="AXU61" s="212"/>
      <c r="AXV61" s="212"/>
      <c r="AXW61" s="212"/>
      <c r="AXX61" s="212"/>
      <c r="AXY61" s="212"/>
      <c r="AXZ61" s="212"/>
      <c r="AYA61" s="212"/>
      <c r="AYB61" s="212"/>
      <c r="AYC61" s="212"/>
      <c r="AYD61" s="212"/>
      <c r="AYE61" s="212"/>
      <c r="AYF61" s="212"/>
      <c r="AYG61" s="212"/>
      <c r="AYH61" s="212"/>
      <c r="AYI61" s="212"/>
      <c r="AYJ61" s="212"/>
      <c r="AYK61" s="212"/>
      <c r="AYL61" s="212"/>
      <c r="AYM61" s="212"/>
      <c r="AYN61" s="212"/>
      <c r="AYO61" s="212"/>
      <c r="AYP61" s="212"/>
      <c r="AYQ61" s="212"/>
      <c r="AYR61" s="212"/>
      <c r="AYS61" s="212"/>
      <c r="AYT61" s="212"/>
      <c r="AYU61" s="212"/>
      <c r="AYV61" s="212"/>
      <c r="AYW61" s="212"/>
      <c r="AYX61" s="212"/>
      <c r="AYY61" s="212"/>
      <c r="AYZ61" s="212"/>
      <c r="AZA61" s="212"/>
      <c r="AZB61" s="212"/>
      <c r="AZC61" s="212"/>
      <c r="AZD61" s="212"/>
      <c r="AZE61" s="212"/>
      <c r="AZF61" s="212"/>
      <c r="AZG61" s="212"/>
      <c r="AZH61" s="212"/>
      <c r="AZI61" s="212"/>
      <c r="AZJ61" s="212"/>
      <c r="AZK61" s="212"/>
      <c r="AZL61" s="212"/>
      <c r="AZM61" s="212"/>
      <c r="AZN61" s="212"/>
      <c r="AZO61" s="212"/>
      <c r="AZP61" s="212"/>
      <c r="AZQ61" s="212"/>
      <c r="AZR61" s="212"/>
      <c r="AZS61" s="212"/>
      <c r="AZT61" s="212"/>
      <c r="AZU61" s="212"/>
      <c r="AZV61" s="212"/>
      <c r="AZW61" s="212"/>
      <c r="AZX61" s="212"/>
      <c r="AZY61" s="212"/>
      <c r="AZZ61" s="212"/>
      <c r="BAA61" s="212"/>
      <c r="BAB61" s="212"/>
      <c r="BAC61" s="212"/>
      <c r="BAD61" s="212"/>
      <c r="BAE61" s="212"/>
      <c r="BAF61" s="212"/>
      <c r="BAG61" s="212"/>
      <c r="BAH61" s="212"/>
      <c r="BAI61" s="212"/>
      <c r="BAJ61" s="212"/>
      <c r="BAK61" s="212"/>
      <c r="BAL61" s="212"/>
      <c r="BAM61" s="212"/>
      <c r="BAN61" s="212"/>
      <c r="BAO61" s="212"/>
      <c r="BAP61" s="212"/>
      <c r="BAQ61" s="212"/>
      <c r="BAR61" s="212"/>
      <c r="BAS61" s="212"/>
      <c r="BAT61" s="212"/>
      <c r="BAU61" s="212"/>
      <c r="BAV61" s="212"/>
      <c r="BAW61" s="212"/>
      <c r="BAX61" s="212"/>
      <c r="BAY61" s="212"/>
      <c r="BAZ61" s="212"/>
      <c r="BBA61" s="212"/>
      <c r="BBB61" s="212"/>
      <c r="BBC61" s="212"/>
      <c r="BBD61" s="212"/>
      <c r="BBE61" s="212"/>
      <c r="BBF61" s="212"/>
      <c r="BBG61" s="212"/>
      <c r="BBH61" s="212"/>
      <c r="BBI61" s="212"/>
      <c r="BBJ61" s="212"/>
      <c r="BBK61" s="212"/>
      <c r="BBL61" s="212"/>
      <c r="BBM61" s="212"/>
      <c r="BBN61" s="212"/>
      <c r="BBO61" s="212"/>
      <c r="BBP61" s="212"/>
      <c r="BBQ61" s="212"/>
      <c r="BBR61" s="212"/>
      <c r="BBS61" s="212"/>
      <c r="BBT61" s="212"/>
      <c r="BBU61" s="212"/>
      <c r="BBV61" s="212"/>
      <c r="BBW61" s="212"/>
      <c r="BBX61" s="212"/>
      <c r="BBY61" s="212"/>
      <c r="BBZ61" s="212"/>
      <c r="BCA61" s="212"/>
      <c r="BCB61" s="212"/>
      <c r="BCC61" s="212"/>
      <c r="BCD61" s="212"/>
      <c r="BCE61" s="212"/>
      <c r="BCF61" s="212"/>
      <c r="BCG61" s="212"/>
      <c r="BCH61" s="212"/>
      <c r="BCI61" s="212"/>
      <c r="BCJ61" s="212"/>
      <c r="BCK61" s="212"/>
      <c r="BCL61" s="212"/>
      <c r="BCM61" s="212"/>
      <c r="BCN61" s="212"/>
      <c r="BCO61" s="212"/>
      <c r="BCP61" s="212"/>
      <c r="BCQ61" s="212"/>
      <c r="BCR61" s="212"/>
      <c r="BCS61" s="212"/>
      <c r="BCT61" s="212"/>
      <c r="BCU61" s="212"/>
      <c r="BCV61" s="212"/>
      <c r="BCW61" s="212"/>
      <c r="BCX61" s="212"/>
      <c r="BCY61" s="212"/>
      <c r="BCZ61" s="212"/>
      <c r="BDA61" s="212"/>
      <c r="BDB61" s="212"/>
      <c r="BDC61" s="212"/>
      <c r="BDD61" s="212"/>
      <c r="BDE61" s="212"/>
      <c r="BDF61" s="212"/>
      <c r="BDG61" s="212"/>
      <c r="BDH61" s="212"/>
      <c r="BDI61" s="212"/>
      <c r="BDJ61" s="212"/>
      <c r="BDK61" s="212"/>
      <c r="BDL61" s="212"/>
      <c r="BDM61" s="212"/>
      <c r="BDN61" s="212"/>
      <c r="BDO61" s="212"/>
      <c r="BDP61" s="212"/>
      <c r="BDQ61" s="212"/>
      <c r="BDR61" s="212"/>
      <c r="BDS61" s="212"/>
      <c r="BDT61" s="212"/>
      <c r="BDU61" s="212"/>
      <c r="BDV61" s="212"/>
      <c r="BDW61" s="212"/>
      <c r="BDX61" s="212"/>
      <c r="BDY61" s="212"/>
      <c r="BDZ61" s="212"/>
      <c r="BEA61" s="212"/>
      <c r="BEB61" s="212"/>
      <c r="BEC61" s="212"/>
      <c r="BED61" s="212"/>
      <c r="BEE61" s="212"/>
      <c r="BEF61" s="212"/>
      <c r="BEG61" s="212"/>
      <c r="BEH61" s="212"/>
      <c r="BEI61" s="212"/>
      <c r="BEJ61" s="212"/>
      <c r="BEK61" s="212"/>
      <c r="BEL61" s="212"/>
      <c r="BEM61" s="212"/>
      <c r="BEN61" s="212"/>
      <c r="BEO61" s="212"/>
      <c r="BEP61" s="212"/>
      <c r="BEQ61" s="212"/>
      <c r="BER61" s="212"/>
      <c r="BES61" s="212"/>
      <c r="BET61" s="212"/>
      <c r="BEU61" s="212"/>
      <c r="BEV61" s="212"/>
      <c r="BEW61" s="212"/>
      <c r="BEX61" s="212"/>
      <c r="BEY61" s="212"/>
      <c r="BEZ61" s="212"/>
      <c r="BFA61" s="212"/>
      <c r="BFB61" s="212"/>
      <c r="BFC61" s="212"/>
      <c r="BFD61" s="212"/>
      <c r="BFE61" s="212"/>
      <c r="BFF61" s="212"/>
      <c r="BFG61" s="212"/>
      <c r="BFH61" s="212"/>
      <c r="BFI61" s="212"/>
      <c r="BFJ61" s="212"/>
      <c r="BFK61" s="212"/>
      <c r="BFL61" s="212"/>
      <c r="BFM61" s="212"/>
      <c r="BFN61" s="212"/>
      <c r="BFO61" s="212"/>
      <c r="BFP61" s="212"/>
      <c r="BFQ61" s="212"/>
      <c r="BFR61" s="212"/>
      <c r="BFS61" s="212"/>
      <c r="BFT61" s="212"/>
      <c r="BFU61" s="212"/>
      <c r="BFV61" s="212"/>
      <c r="BFW61" s="212"/>
      <c r="BFX61" s="212"/>
      <c r="BFY61" s="212"/>
      <c r="BFZ61" s="212"/>
      <c r="BGA61" s="212"/>
      <c r="BGB61" s="212"/>
      <c r="BGC61" s="212"/>
      <c r="BGD61" s="212"/>
      <c r="BGE61" s="212"/>
      <c r="BGF61" s="212"/>
      <c r="BGG61" s="212"/>
      <c r="BGH61" s="212"/>
      <c r="BGI61" s="212"/>
      <c r="BGJ61" s="212"/>
      <c r="BGK61" s="212"/>
      <c r="BGL61" s="212"/>
      <c r="BGM61" s="212"/>
      <c r="BGN61" s="212"/>
      <c r="BGO61" s="212"/>
      <c r="BGP61" s="212"/>
      <c r="BGQ61" s="212"/>
      <c r="BGR61" s="212"/>
      <c r="BGS61" s="212"/>
      <c r="BGT61" s="212"/>
      <c r="BGU61" s="212"/>
      <c r="BGV61" s="212"/>
      <c r="BGW61" s="212"/>
      <c r="BGX61" s="212"/>
      <c r="BGY61" s="212"/>
      <c r="BGZ61" s="212"/>
      <c r="BHA61" s="212"/>
      <c r="BHB61" s="212"/>
      <c r="BHC61" s="212"/>
      <c r="BHD61" s="212"/>
      <c r="BHE61" s="212"/>
      <c r="BHF61" s="212"/>
      <c r="BHG61" s="212"/>
      <c r="BHH61" s="212"/>
      <c r="BHI61" s="212"/>
      <c r="BHJ61" s="212"/>
      <c r="BHK61" s="212"/>
      <c r="BHL61" s="212"/>
      <c r="BHM61" s="212"/>
      <c r="BHN61" s="212"/>
      <c r="BHO61" s="212"/>
      <c r="BHP61" s="212"/>
      <c r="BHQ61" s="212"/>
      <c r="BHR61" s="212"/>
      <c r="BHS61" s="212"/>
      <c r="BHT61" s="212"/>
      <c r="BHU61" s="212"/>
      <c r="BHV61" s="212"/>
      <c r="BHW61" s="212"/>
      <c r="BHX61" s="212"/>
      <c r="BHY61" s="212"/>
      <c r="BHZ61" s="212"/>
      <c r="BIA61" s="212"/>
      <c r="BIB61" s="212"/>
      <c r="BIC61" s="212"/>
      <c r="BID61" s="212"/>
      <c r="BIE61" s="212"/>
      <c r="BIF61" s="212"/>
      <c r="BIG61" s="212"/>
      <c r="BIH61" s="212"/>
      <c r="BII61" s="212"/>
      <c r="BIJ61" s="212"/>
      <c r="BIK61" s="212"/>
      <c r="BIL61" s="212"/>
      <c r="BIM61" s="212"/>
      <c r="BIN61" s="212"/>
      <c r="BIO61" s="212"/>
      <c r="BIP61" s="212"/>
      <c r="BIQ61" s="212"/>
      <c r="BIR61" s="212"/>
      <c r="BIS61" s="212"/>
      <c r="BIT61" s="212"/>
      <c r="BIU61" s="212"/>
      <c r="BIV61" s="212"/>
      <c r="BIW61" s="212"/>
      <c r="BIX61" s="212"/>
      <c r="BIY61" s="212"/>
      <c r="BIZ61" s="212"/>
      <c r="BJA61" s="212"/>
      <c r="BJB61" s="212"/>
      <c r="BJC61" s="212"/>
      <c r="BJD61" s="212"/>
      <c r="BJE61" s="212"/>
      <c r="BJF61" s="212"/>
      <c r="BJG61" s="212"/>
      <c r="BJH61" s="212"/>
      <c r="BJI61" s="212"/>
      <c r="BJJ61" s="212"/>
      <c r="BJK61" s="212"/>
      <c r="BJL61" s="212"/>
      <c r="BJM61" s="212"/>
      <c r="BJN61" s="212"/>
      <c r="BJO61" s="212"/>
      <c r="BJP61" s="212"/>
      <c r="BJQ61" s="212"/>
      <c r="BJR61" s="212"/>
      <c r="BJS61" s="212"/>
      <c r="BJT61" s="212"/>
      <c r="BJU61" s="212"/>
      <c r="BJV61" s="212"/>
      <c r="BJW61" s="212"/>
      <c r="BJX61" s="212"/>
      <c r="BJY61" s="212"/>
      <c r="BJZ61" s="212"/>
      <c r="BKA61" s="212"/>
      <c r="BKB61" s="212"/>
      <c r="BKC61" s="212"/>
      <c r="BKD61" s="212"/>
      <c r="BKE61" s="212"/>
      <c r="BKF61" s="212"/>
      <c r="BKG61" s="212"/>
      <c r="BKH61" s="212"/>
      <c r="BKI61" s="212"/>
      <c r="BKJ61" s="212"/>
      <c r="BKK61" s="212"/>
      <c r="BKL61" s="212"/>
      <c r="BKM61" s="212"/>
      <c r="BKN61" s="212"/>
      <c r="BKO61" s="212"/>
      <c r="BKP61" s="212"/>
      <c r="BKQ61" s="212"/>
      <c r="BKR61" s="212"/>
      <c r="BKS61" s="212"/>
      <c r="BKT61" s="212"/>
      <c r="BKU61" s="212"/>
      <c r="BKV61" s="212"/>
      <c r="BKW61" s="212"/>
      <c r="BKX61" s="212"/>
      <c r="BKY61" s="212"/>
      <c r="BKZ61" s="212"/>
      <c r="BLA61" s="212"/>
      <c r="BLB61" s="212"/>
      <c r="BLC61" s="212"/>
      <c r="BLD61" s="212"/>
      <c r="BLE61" s="212"/>
      <c r="BLF61" s="212"/>
      <c r="BLG61" s="212"/>
      <c r="BLH61" s="212"/>
      <c r="BLI61" s="212"/>
      <c r="BLJ61" s="212"/>
      <c r="BLK61" s="212"/>
      <c r="BLL61" s="212"/>
      <c r="BLM61" s="212"/>
      <c r="BLN61" s="212"/>
      <c r="BLO61" s="212"/>
      <c r="BLP61" s="212"/>
      <c r="BLQ61" s="212"/>
      <c r="BLR61" s="212"/>
      <c r="BLS61" s="212"/>
      <c r="BLT61" s="212"/>
      <c r="BLU61" s="212"/>
      <c r="BLV61" s="212"/>
      <c r="BLW61" s="212"/>
      <c r="BLX61" s="212"/>
      <c r="BLY61" s="212"/>
      <c r="BLZ61" s="212"/>
      <c r="BMA61" s="212"/>
      <c r="BMB61" s="212"/>
      <c r="BMC61" s="212"/>
      <c r="BMD61" s="212"/>
      <c r="BME61" s="212"/>
      <c r="BMF61" s="212"/>
      <c r="BMG61" s="212"/>
      <c r="BMH61" s="212"/>
      <c r="BMI61" s="212"/>
      <c r="BMJ61" s="212"/>
      <c r="BMK61" s="212"/>
      <c r="BML61" s="212"/>
      <c r="BMM61" s="212"/>
      <c r="BMN61" s="212"/>
      <c r="BMO61" s="212"/>
      <c r="BMP61" s="212"/>
      <c r="BMQ61" s="212"/>
      <c r="BMR61" s="212"/>
      <c r="BMS61" s="212"/>
      <c r="BMT61" s="212"/>
      <c r="BMU61" s="212"/>
      <c r="BMV61" s="212"/>
      <c r="BMW61" s="212"/>
      <c r="BMX61" s="212"/>
      <c r="BMY61" s="212"/>
      <c r="BMZ61" s="212"/>
      <c r="BNA61" s="212"/>
      <c r="BNB61" s="212"/>
      <c r="BNC61" s="212"/>
      <c r="BND61" s="212"/>
      <c r="BNE61" s="212"/>
      <c r="BNF61" s="212"/>
      <c r="BNG61" s="212"/>
      <c r="BNH61" s="212"/>
      <c r="BNI61" s="212"/>
      <c r="BNJ61" s="212"/>
      <c r="BNK61" s="212"/>
      <c r="BNL61" s="212"/>
      <c r="BNM61" s="212"/>
      <c r="BNN61" s="212"/>
      <c r="BNO61" s="212"/>
      <c r="BNP61" s="212"/>
      <c r="BNQ61" s="212"/>
      <c r="BNR61" s="212"/>
      <c r="BNS61" s="212"/>
      <c r="BNT61" s="212"/>
      <c r="BNU61" s="212"/>
      <c r="BNV61" s="212"/>
      <c r="BNW61" s="212"/>
      <c r="BNX61" s="212"/>
      <c r="BNY61" s="212"/>
      <c r="BNZ61" s="212"/>
      <c r="BOA61" s="212"/>
      <c r="BOB61" s="212"/>
      <c r="BOC61" s="212"/>
      <c r="BOD61" s="212"/>
      <c r="BOE61" s="212"/>
      <c r="BOF61" s="212"/>
      <c r="BOG61" s="212"/>
      <c r="BOH61" s="212"/>
      <c r="BOI61" s="212"/>
      <c r="BOJ61" s="212"/>
      <c r="BOK61" s="212"/>
      <c r="BOL61" s="212"/>
      <c r="BOM61" s="212"/>
      <c r="BON61" s="212"/>
      <c r="BOO61" s="212"/>
      <c r="BOP61" s="212"/>
      <c r="BOQ61" s="212"/>
      <c r="BOR61" s="212"/>
      <c r="BOS61" s="212"/>
      <c r="BOT61" s="212"/>
      <c r="BOU61" s="212"/>
      <c r="BOV61" s="212"/>
      <c r="BOW61" s="212"/>
      <c r="BOX61" s="212"/>
      <c r="BOY61" s="212"/>
      <c r="BOZ61" s="212"/>
      <c r="BPA61" s="212"/>
      <c r="BPB61" s="212"/>
      <c r="BPC61" s="212"/>
      <c r="BPD61" s="212"/>
      <c r="BPE61" s="212"/>
      <c r="BPF61" s="212"/>
      <c r="BPG61" s="212"/>
      <c r="BPH61" s="212"/>
      <c r="BPI61" s="212"/>
      <c r="BPJ61" s="212"/>
      <c r="BPK61" s="212"/>
      <c r="BPL61" s="212"/>
      <c r="BPM61" s="212"/>
      <c r="BPN61" s="212"/>
      <c r="BPO61" s="212"/>
      <c r="BPP61" s="212"/>
      <c r="BPQ61" s="212"/>
      <c r="BPR61" s="212"/>
      <c r="BPS61" s="212"/>
      <c r="BPT61" s="212"/>
      <c r="BPU61" s="212"/>
      <c r="BPV61" s="212"/>
      <c r="BPW61" s="212"/>
      <c r="BPX61" s="212"/>
      <c r="BPY61" s="212"/>
      <c r="BPZ61" s="212"/>
      <c r="BQA61" s="212"/>
      <c r="BQB61" s="212"/>
      <c r="BQC61" s="212"/>
      <c r="BQD61" s="212"/>
      <c r="BQE61" s="212"/>
      <c r="BQF61" s="212"/>
      <c r="BQG61" s="212"/>
      <c r="BQH61" s="212"/>
      <c r="BQI61" s="212"/>
      <c r="BQJ61" s="212"/>
      <c r="BQK61" s="212"/>
      <c r="BQL61" s="212"/>
      <c r="BQM61" s="212"/>
      <c r="BQN61" s="212"/>
      <c r="BQO61" s="212"/>
      <c r="BQP61" s="212"/>
      <c r="BQQ61" s="212"/>
      <c r="BQR61" s="212"/>
      <c r="BQS61" s="212"/>
      <c r="BQT61" s="212"/>
      <c r="BQU61" s="212"/>
      <c r="BQV61" s="212"/>
      <c r="BQW61" s="212"/>
      <c r="BQX61" s="212"/>
      <c r="BQY61" s="212"/>
      <c r="BQZ61" s="212"/>
      <c r="BRA61" s="212"/>
      <c r="BRB61" s="212"/>
      <c r="BRC61" s="212"/>
      <c r="BRD61" s="212"/>
      <c r="BRE61" s="212"/>
      <c r="BRF61" s="212"/>
      <c r="BRG61" s="212"/>
      <c r="BRH61" s="212"/>
      <c r="BRI61" s="212"/>
      <c r="BRJ61" s="212"/>
      <c r="BRK61" s="212"/>
      <c r="BRL61" s="212"/>
      <c r="BRM61" s="212"/>
      <c r="BRN61" s="212"/>
      <c r="BRO61" s="212"/>
      <c r="BRP61" s="212"/>
      <c r="BRQ61" s="212"/>
      <c r="BRR61" s="212"/>
      <c r="BRS61" s="212"/>
      <c r="BRT61" s="212"/>
      <c r="BRU61" s="212"/>
      <c r="BRV61" s="212"/>
      <c r="BRW61" s="212"/>
      <c r="BRX61" s="212"/>
      <c r="BRY61" s="212"/>
      <c r="BRZ61" s="212"/>
      <c r="BSA61" s="212"/>
      <c r="BSB61" s="212"/>
      <c r="BSC61" s="212"/>
      <c r="BSD61" s="212"/>
      <c r="BSE61" s="212"/>
      <c r="BSF61" s="212"/>
      <c r="BSG61" s="212"/>
      <c r="BSH61" s="212"/>
      <c r="BSI61" s="212"/>
      <c r="BSJ61" s="212"/>
      <c r="BSK61" s="212"/>
      <c r="BSL61" s="212"/>
      <c r="BSM61" s="212"/>
      <c r="BSN61" s="212"/>
      <c r="BSO61" s="212"/>
      <c r="BSP61" s="212"/>
      <c r="BSQ61" s="212"/>
      <c r="BSR61" s="212"/>
      <c r="BSS61" s="212"/>
      <c r="BST61" s="212"/>
      <c r="BSU61" s="212"/>
      <c r="BSV61" s="212"/>
      <c r="BSW61" s="212"/>
      <c r="BSX61" s="212"/>
      <c r="BSY61" s="212"/>
      <c r="BSZ61" s="212"/>
      <c r="BTA61" s="212"/>
      <c r="BTB61" s="212"/>
      <c r="BTC61" s="212"/>
      <c r="BTD61" s="212"/>
      <c r="BTE61" s="212"/>
      <c r="BTF61" s="212"/>
      <c r="BTG61" s="212"/>
      <c r="BTH61" s="212"/>
      <c r="BTI61" s="212"/>
      <c r="BTJ61" s="212"/>
      <c r="BTK61" s="212"/>
      <c r="BTL61" s="212"/>
      <c r="BTM61" s="212"/>
      <c r="BTN61" s="212"/>
      <c r="BTO61" s="212"/>
      <c r="BTP61" s="212"/>
      <c r="BTQ61" s="212"/>
      <c r="BTR61" s="212"/>
      <c r="BTS61" s="212"/>
      <c r="BTT61" s="212"/>
      <c r="BTU61" s="212"/>
      <c r="BTV61" s="212"/>
      <c r="BTW61" s="212"/>
      <c r="BTX61" s="212"/>
      <c r="BTY61" s="212"/>
      <c r="BTZ61" s="212"/>
      <c r="BUA61" s="212"/>
      <c r="BUB61" s="212"/>
      <c r="BUC61" s="212"/>
      <c r="BUD61" s="212"/>
      <c r="BUE61" s="212"/>
      <c r="BUF61" s="212"/>
      <c r="BUG61" s="212"/>
      <c r="BUH61" s="212"/>
      <c r="BUI61" s="212"/>
      <c r="BUJ61" s="212"/>
      <c r="BUK61" s="212"/>
      <c r="BUL61" s="212"/>
      <c r="BUM61" s="212"/>
      <c r="BUN61" s="212"/>
      <c r="BUO61" s="212"/>
      <c r="BUP61" s="212"/>
      <c r="BUQ61" s="212"/>
      <c r="BUR61" s="212"/>
      <c r="BUS61" s="212"/>
      <c r="BUT61" s="212"/>
      <c r="BUU61" s="212"/>
      <c r="BUV61" s="212"/>
      <c r="BUW61" s="212"/>
      <c r="BUX61" s="212"/>
      <c r="BUY61" s="212"/>
      <c r="BUZ61" s="212"/>
      <c r="BVA61" s="212"/>
      <c r="BVB61" s="212"/>
      <c r="BVC61" s="212"/>
      <c r="BVD61" s="212"/>
      <c r="BVE61" s="212"/>
      <c r="BVF61" s="212"/>
      <c r="BVG61" s="212"/>
      <c r="BVH61" s="212"/>
      <c r="BVI61" s="212"/>
      <c r="BVJ61" s="212"/>
      <c r="BVK61" s="212"/>
      <c r="BVL61" s="212"/>
      <c r="BVM61" s="212"/>
      <c r="BVN61" s="212"/>
      <c r="BVO61" s="212"/>
      <c r="BVP61" s="212"/>
      <c r="BVQ61" s="212"/>
      <c r="BVR61" s="212"/>
      <c r="BVS61" s="212"/>
      <c r="BVT61" s="212"/>
      <c r="BVU61" s="212"/>
      <c r="BVV61" s="212"/>
      <c r="BVW61" s="212"/>
      <c r="BVX61" s="212"/>
      <c r="BVY61" s="212"/>
      <c r="BVZ61" s="212"/>
      <c r="BWA61" s="212"/>
      <c r="BWB61" s="212"/>
      <c r="BWC61" s="212"/>
      <c r="BWD61" s="212"/>
      <c r="BWE61" s="212"/>
      <c r="BWF61" s="212"/>
      <c r="BWG61" s="212"/>
      <c r="BWH61" s="212"/>
      <c r="BWI61" s="212"/>
      <c r="BWJ61" s="212"/>
      <c r="BWK61" s="212"/>
      <c r="BWL61" s="212"/>
      <c r="BWM61" s="212"/>
      <c r="BWN61" s="212"/>
      <c r="BWO61" s="212"/>
      <c r="BWP61" s="212"/>
      <c r="BWQ61" s="212"/>
      <c r="BWR61" s="212"/>
      <c r="BWS61" s="212"/>
      <c r="BWT61" s="212"/>
      <c r="BWU61" s="212"/>
      <c r="BWV61" s="212"/>
      <c r="BWW61" s="212"/>
      <c r="BWX61" s="212"/>
      <c r="BWY61" s="212"/>
      <c r="BWZ61" s="212"/>
      <c r="BXA61" s="212"/>
      <c r="BXB61" s="212"/>
      <c r="BXC61" s="212"/>
      <c r="BXD61" s="212"/>
      <c r="BXE61" s="212"/>
      <c r="BXF61" s="212"/>
      <c r="BXG61" s="212"/>
      <c r="BXH61" s="212"/>
      <c r="BXI61" s="212"/>
      <c r="BXJ61" s="212"/>
      <c r="BXK61" s="212"/>
      <c r="BXL61" s="212"/>
      <c r="BXM61" s="212"/>
      <c r="BXN61" s="212"/>
      <c r="BXO61" s="212"/>
      <c r="BXP61" s="212"/>
      <c r="BXQ61" s="212"/>
      <c r="BXR61" s="212"/>
      <c r="BXS61" s="212"/>
      <c r="BXT61" s="212"/>
      <c r="BXU61" s="212"/>
      <c r="BXV61" s="212"/>
      <c r="BXW61" s="212"/>
      <c r="BXX61" s="212"/>
      <c r="BXY61" s="212"/>
      <c r="BXZ61" s="212"/>
      <c r="BYA61" s="212"/>
      <c r="BYB61" s="212"/>
      <c r="BYC61" s="212"/>
      <c r="BYD61" s="212"/>
      <c r="BYE61" s="212"/>
      <c r="BYF61" s="212"/>
      <c r="BYG61" s="212"/>
    </row>
    <row r="62" spans="1:2009" s="96" customFormat="1" ht="10.5" customHeight="1" x14ac:dyDescent="0.25">
      <c r="A62" s="122"/>
      <c r="B62" s="122"/>
      <c r="C62" s="204"/>
      <c r="D62" s="204"/>
      <c r="E62" s="204"/>
      <c r="F62" s="204"/>
      <c r="G62" s="20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96" customFormat="1" ht="10.5"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7" ht="15" customHeight="1" x14ac:dyDescent="0.25">
      <c r="A65" s="123"/>
      <c r="B65" s="346" t="s">
        <v>319</v>
      </c>
      <c r="C65" s="205"/>
      <c r="D65" s="205"/>
      <c r="E65" s="205"/>
      <c r="F65" s="205"/>
      <c r="G65" s="205"/>
    </row>
    <row r="66" spans="1:7" ht="8.25" customHeight="1" x14ac:dyDescent="0.25">
      <c r="A66" s="123"/>
      <c r="B66" s="162"/>
      <c r="C66" s="205"/>
      <c r="D66" s="205"/>
      <c r="E66" s="205"/>
      <c r="F66" s="205"/>
      <c r="G66" s="205"/>
    </row>
    <row r="67" spans="1:7" ht="15" customHeight="1" x14ac:dyDescent="0.25">
      <c r="A67" s="457"/>
      <c r="B67" s="515" t="s">
        <v>212</v>
      </c>
      <c r="C67" s="463">
        <v>3946.83</v>
      </c>
      <c r="D67" s="205"/>
      <c r="E67" s="205"/>
      <c r="F67" s="205"/>
      <c r="G67" s="205"/>
    </row>
    <row r="68" spans="1:7" ht="15" customHeight="1" x14ac:dyDescent="0.25">
      <c r="A68" s="457"/>
      <c r="B68" s="515" t="s">
        <v>320</v>
      </c>
      <c r="C68" s="402">
        <v>28325</v>
      </c>
      <c r="D68" s="205"/>
      <c r="E68" s="205"/>
      <c r="F68" s="205"/>
      <c r="G68" s="205"/>
    </row>
    <row r="69" spans="1:7" ht="15" customHeight="1" x14ac:dyDescent="0.25">
      <c r="A69" s="457"/>
      <c r="B69" s="515" t="s">
        <v>321</v>
      </c>
      <c r="C69" s="402">
        <v>1767.66</v>
      </c>
      <c r="D69" s="205"/>
      <c r="E69" s="205"/>
      <c r="F69" s="205"/>
      <c r="G69" s="205"/>
    </row>
    <row r="70" spans="1:7" ht="15" customHeight="1" x14ac:dyDescent="0.25">
      <c r="A70" s="457"/>
      <c r="B70" s="515" t="s">
        <v>328</v>
      </c>
      <c r="C70" s="402">
        <v>4810.8999999999996</v>
      </c>
      <c r="D70" s="205"/>
      <c r="E70" s="205"/>
      <c r="F70" s="205"/>
      <c r="G70" s="205"/>
    </row>
    <row r="71" spans="1:7" ht="15" customHeight="1" x14ac:dyDescent="0.25">
      <c r="A71" s="457"/>
      <c r="B71" s="515" t="s">
        <v>272</v>
      </c>
      <c r="C71" s="504">
        <v>24500</v>
      </c>
      <c r="D71" s="205"/>
      <c r="E71" s="205"/>
      <c r="F71" s="205"/>
      <c r="G71" s="205"/>
    </row>
    <row r="72" spans="1:7" ht="15" hidden="1" customHeight="1" x14ac:dyDescent="0.25">
      <c r="A72" s="457"/>
      <c r="B72" s="515"/>
      <c r="C72" s="402"/>
      <c r="D72" s="205"/>
      <c r="E72" s="205"/>
      <c r="F72" s="205"/>
      <c r="G72" s="205"/>
    </row>
    <row r="73" spans="1:7" ht="15" hidden="1" customHeight="1" x14ac:dyDescent="0.25">
      <c r="A73" s="457"/>
      <c r="B73" s="515" t="s">
        <v>258</v>
      </c>
      <c r="C73" s="402"/>
      <c r="D73" s="205"/>
      <c r="E73" s="205"/>
      <c r="F73" s="205"/>
      <c r="G73" s="205"/>
    </row>
    <row r="74" spans="1:7" ht="15" hidden="1" customHeight="1" x14ac:dyDescent="0.25">
      <c r="A74" s="457"/>
      <c r="B74" s="515" t="s">
        <v>259</v>
      </c>
      <c r="C74" s="402"/>
      <c r="D74" s="205"/>
      <c r="E74" s="205"/>
      <c r="F74" s="205"/>
      <c r="G74" s="205"/>
    </row>
    <row r="75" spans="1:7" ht="15" customHeight="1" x14ac:dyDescent="0.25">
      <c r="A75" s="457"/>
      <c r="B75" s="515"/>
      <c r="C75" s="402"/>
      <c r="D75" s="205"/>
      <c r="E75" s="205"/>
      <c r="F75" s="205"/>
      <c r="G75" s="205"/>
    </row>
    <row r="76" spans="1:7" ht="15" hidden="1" customHeight="1" x14ac:dyDescent="0.25">
      <c r="A76" s="457"/>
      <c r="B76" s="345" t="s">
        <v>269</v>
      </c>
      <c r="C76" s="402">
        <v>0</v>
      </c>
      <c r="D76" s="205"/>
      <c r="E76" s="205"/>
      <c r="F76" s="205"/>
      <c r="G76" s="205"/>
    </row>
    <row r="77" spans="1:7" ht="15" hidden="1" customHeight="1" x14ac:dyDescent="0.25">
      <c r="A77" s="457"/>
      <c r="B77" s="345" t="s">
        <v>270</v>
      </c>
      <c r="C77" s="402"/>
      <c r="D77" s="205"/>
      <c r="E77" s="205"/>
      <c r="F77" s="205"/>
      <c r="G77" s="205"/>
    </row>
    <row r="78" spans="1:7" ht="15" hidden="1" customHeight="1" x14ac:dyDescent="0.25">
      <c r="A78" s="457"/>
      <c r="B78" s="345" t="s">
        <v>271</v>
      </c>
      <c r="C78" s="464"/>
      <c r="D78" s="205"/>
      <c r="E78" s="205"/>
      <c r="F78" s="205"/>
      <c r="G78" s="205"/>
    </row>
    <row r="79" spans="1:7" ht="15" x14ac:dyDescent="0.25">
      <c r="A79" s="458"/>
      <c r="B79" s="163" t="s">
        <v>322</v>
      </c>
      <c r="C79" s="394">
        <f>SUM(C66:C78)</f>
        <v>63350.390000000007</v>
      </c>
      <c r="D79" s="206"/>
      <c r="E79" s="206"/>
      <c r="F79" s="206"/>
      <c r="G79" s="206"/>
    </row>
    <row r="80" spans="1:7" ht="5.25" customHeight="1" x14ac:dyDescent="0.2">
      <c r="C80" s="206"/>
      <c r="D80" s="206"/>
      <c r="E80" s="206"/>
      <c r="F80" s="206"/>
      <c r="G80" s="206"/>
    </row>
    <row r="81" spans="2:7" ht="15.75" thickBot="1" x14ac:dyDescent="0.3">
      <c r="B81" s="163" t="s">
        <v>323</v>
      </c>
      <c r="C81" s="441">
        <f>G61-C79</f>
        <v>229090.92999999993</v>
      </c>
      <c r="D81" s="206"/>
      <c r="E81" s="206"/>
      <c r="F81" s="206"/>
      <c r="G81" s="206"/>
    </row>
    <row r="82" spans="2:7" ht="12" customHeight="1" thickTop="1" x14ac:dyDescent="0.2">
      <c r="C82" s="206"/>
      <c r="D82" s="206"/>
      <c r="E82" s="206"/>
      <c r="F82" s="206"/>
      <c r="G82" s="206"/>
    </row>
    <row r="83" spans="2:7" ht="15.75" x14ac:dyDescent="0.25">
      <c r="B83" s="346" t="s">
        <v>215</v>
      </c>
      <c r="C83" s="206"/>
      <c r="D83" s="206"/>
      <c r="E83" s="206"/>
      <c r="F83" s="206"/>
      <c r="G83" s="206"/>
    </row>
    <row r="84" spans="2:7" x14ac:dyDescent="0.2">
      <c r="B84" s="500" t="s">
        <v>324</v>
      </c>
      <c r="C84" s="395">
        <v>49850</v>
      </c>
      <c r="D84" s="206"/>
      <c r="E84" s="206"/>
      <c r="F84" s="206"/>
      <c r="G84" s="206"/>
    </row>
    <row r="85" spans="2:7" x14ac:dyDescent="0.2">
      <c r="B85" s="500" t="s">
        <v>325</v>
      </c>
      <c r="C85" s="403">
        <v>35000</v>
      </c>
      <c r="D85" s="206"/>
      <c r="E85" s="206"/>
      <c r="F85" s="206"/>
      <c r="G85" s="206"/>
    </row>
    <row r="86" spans="2:7" x14ac:dyDescent="0.2">
      <c r="B86" s="500" t="s">
        <v>326</v>
      </c>
      <c r="C86" s="403">
        <v>6000</v>
      </c>
      <c r="D86" s="206"/>
      <c r="E86" s="206"/>
      <c r="F86" s="206"/>
      <c r="G86" s="206"/>
    </row>
    <row r="87" spans="2:7" x14ac:dyDescent="0.2">
      <c r="B87" s="500"/>
      <c r="C87" s="403"/>
      <c r="D87" s="206"/>
      <c r="E87" s="206"/>
      <c r="F87" s="206"/>
      <c r="G87" s="206"/>
    </row>
    <row r="88" spans="2:7" ht="16.5" customHeight="1" x14ac:dyDescent="0.25">
      <c r="B88" s="516" t="s">
        <v>262</v>
      </c>
      <c r="C88" s="403"/>
      <c r="D88" s="206"/>
      <c r="E88" s="206"/>
      <c r="F88" s="206"/>
      <c r="G88" s="206"/>
    </row>
    <row r="89" spans="2:7" ht="16.5" customHeight="1" x14ac:dyDescent="0.25">
      <c r="B89" s="515" t="s">
        <v>327</v>
      </c>
      <c r="C89" s="206">
        <v>6869.56</v>
      </c>
      <c r="D89" s="206"/>
      <c r="E89" s="206"/>
      <c r="F89" s="206"/>
      <c r="G89" s="206"/>
    </row>
    <row r="90" spans="2:7" ht="16.5" customHeight="1" x14ac:dyDescent="0.2">
      <c r="B90" s="307"/>
      <c r="C90" s="206"/>
      <c r="D90" s="206"/>
      <c r="E90" s="206"/>
      <c r="F90" s="206"/>
      <c r="G90" s="206"/>
    </row>
    <row r="91" spans="2:7" ht="16.5" customHeight="1" x14ac:dyDescent="0.2">
      <c r="B91" s="307"/>
      <c r="C91" s="206"/>
      <c r="D91" s="206"/>
      <c r="E91" s="206"/>
      <c r="F91" s="206"/>
      <c r="G91" s="206"/>
    </row>
    <row r="92" spans="2:7" ht="16.5" customHeight="1" x14ac:dyDescent="0.2">
      <c r="B92" s="307"/>
      <c r="C92" s="206"/>
      <c r="D92" s="206"/>
      <c r="E92" s="206"/>
      <c r="F92" s="206"/>
      <c r="G92" s="206"/>
    </row>
    <row r="93" spans="2:7" ht="16.5" customHeight="1" x14ac:dyDescent="0.2">
      <c r="B93" s="307"/>
      <c r="C93" s="206"/>
      <c r="D93" s="206"/>
      <c r="E93" s="206"/>
      <c r="F93" s="206"/>
      <c r="G93" s="206"/>
    </row>
    <row r="94" spans="2:7" ht="16.5" customHeight="1" x14ac:dyDescent="0.2">
      <c r="B94" s="307"/>
      <c r="C94" s="206"/>
      <c r="D94" s="206"/>
      <c r="E94" s="206"/>
      <c r="F94" s="206"/>
      <c r="G94" s="206"/>
    </row>
    <row r="95" spans="2:7" ht="12" customHeight="1" x14ac:dyDescent="0.2">
      <c r="B95" s="307"/>
      <c r="C95" s="206"/>
      <c r="D95" s="206"/>
      <c r="E95" s="206"/>
      <c r="F95" s="206"/>
      <c r="G95" s="206"/>
    </row>
    <row r="96" spans="2:7" ht="12" customHeight="1" x14ac:dyDescent="0.2">
      <c r="C96" s="206"/>
      <c r="D96" s="206"/>
      <c r="E96" s="206"/>
      <c r="F96" s="206"/>
      <c r="G96" s="206"/>
    </row>
    <row r="97" spans="3:7" ht="12" customHeight="1" x14ac:dyDescent="0.2">
      <c r="C97" s="206"/>
      <c r="D97" s="206"/>
      <c r="E97" s="206"/>
      <c r="F97" s="206"/>
      <c r="G97" s="206"/>
    </row>
    <row r="98" spans="3:7" ht="12" customHeight="1" x14ac:dyDescent="0.2">
      <c r="C98" s="206"/>
      <c r="D98" s="206"/>
      <c r="E98" s="206"/>
      <c r="F98" s="206"/>
      <c r="G98" s="206"/>
    </row>
    <row r="99" spans="3:7" ht="12" customHeight="1" x14ac:dyDescent="0.2">
      <c r="C99" s="206"/>
      <c r="D99" s="206"/>
      <c r="E99" s="206"/>
      <c r="F99" s="206"/>
      <c r="G99" s="206"/>
    </row>
    <row r="100" spans="3:7" ht="12" customHeight="1" x14ac:dyDescent="0.2">
      <c r="C100" s="206"/>
      <c r="D100" s="206"/>
      <c r="E100" s="206"/>
      <c r="F100" s="206"/>
      <c r="G100" s="206"/>
    </row>
    <row r="101" spans="3:7" ht="12" customHeight="1" x14ac:dyDescent="0.2">
      <c r="C101" s="206"/>
      <c r="D101" s="206"/>
      <c r="E101" s="206"/>
      <c r="F101" s="206"/>
      <c r="G101" s="206"/>
    </row>
    <row r="102" spans="3:7" ht="12" customHeight="1" x14ac:dyDescent="0.2">
      <c r="C102" s="206"/>
      <c r="D102" s="206"/>
      <c r="E102" s="206"/>
      <c r="F102" s="206"/>
      <c r="G102" s="206"/>
    </row>
    <row r="103" spans="3:7" ht="12" customHeight="1" x14ac:dyDescent="0.2">
      <c r="C103" s="206"/>
      <c r="D103" s="206"/>
      <c r="E103" s="206"/>
      <c r="F103" s="206"/>
      <c r="G103" s="206"/>
    </row>
    <row r="104" spans="3:7" ht="12" customHeight="1" x14ac:dyDescent="0.2">
      <c r="C104" s="206"/>
      <c r="D104" s="206"/>
      <c r="E104" s="206"/>
      <c r="F104" s="206"/>
      <c r="G104" s="206"/>
    </row>
    <row r="105" spans="3:7" ht="12" customHeight="1" x14ac:dyDescent="0.2">
      <c r="C105" s="206"/>
      <c r="D105" s="206"/>
      <c r="E105" s="206"/>
      <c r="F105" s="206"/>
      <c r="G105" s="206"/>
    </row>
    <row r="106" spans="3:7" ht="12" customHeight="1" x14ac:dyDescent="0.2">
      <c r="C106" s="206"/>
      <c r="D106" s="206"/>
      <c r="E106" s="206"/>
      <c r="F106" s="206"/>
      <c r="G106" s="206"/>
    </row>
    <row r="107" spans="3:7" ht="12" customHeight="1" x14ac:dyDescent="0.2">
      <c r="C107" s="206"/>
      <c r="D107" s="206"/>
      <c r="E107" s="206"/>
      <c r="F107" s="206"/>
      <c r="G107" s="206"/>
    </row>
    <row r="108" spans="3:7" ht="12" customHeight="1" x14ac:dyDescent="0.2">
      <c r="C108" s="206"/>
      <c r="D108" s="206"/>
      <c r="E108" s="206"/>
      <c r="F108" s="206"/>
      <c r="G108" s="206"/>
    </row>
    <row r="109" spans="3:7" ht="12" customHeight="1" x14ac:dyDescent="0.2">
      <c r="C109" s="206"/>
      <c r="D109" s="206"/>
      <c r="E109" s="206"/>
      <c r="F109" s="206"/>
      <c r="G109" s="206"/>
    </row>
    <row r="110" spans="3:7" ht="12" customHeight="1" x14ac:dyDescent="0.2">
      <c r="C110" s="206"/>
      <c r="D110" s="206"/>
      <c r="E110" s="206"/>
      <c r="F110" s="206"/>
      <c r="G110" s="206"/>
    </row>
    <row r="111" spans="3:7" ht="12" customHeight="1" x14ac:dyDescent="0.2">
      <c r="C111" s="206"/>
      <c r="D111" s="206"/>
      <c r="E111" s="206"/>
      <c r="F111" s="206"/>
      <c r="G111" s="206"/>
    </row>
    <row r="112" spans="3: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2:7" ht="12" customHeight="1" x14ac:dyDescent="0.2">
      <c r="C145" s="206"/>
      <c r="D145" s="206"/>
      <c r="E145" s="206"/>
      <c r="F145" s="206"/>
      <c r="G145" s="206"/>
    </row>
    <row r="146" spans="2:7" ht="12" customHeight="1" x14ac:dyDescent="0.2">
      <c r="C146" s="206"/>
      <c r="D146" s="206"/>
      <c r="E146" s="206"/>
      <c r="F146" s="206"/>
      <c r="G146" s="206"/>
    </row>
    <row r="147" spans="2:7" ht="12" customHeight="1" x14ac:dyDescent="0.2">
      <c r="C147" s="206"/>
      <c r="D147" s="206"/>
      <c r="E147" s="206"/>
      <c r="F147" s="206"/>
      <c r="G147" s="206"/>
    </row>
    <row r="148" spans="2:7" ht="12" customHeight="1" x14ac:dyDescent="0.2">
      <c r="C148" s="206"/>
      <c r="D148" s="206"/>
      <c r="E148" s="206"/>
      <c r="F148" s="206"/>
      <c r="G148" s="206"/>
    </row>
    <row r="149" spans="2:7" ht="12" customHeight="1" x14ac:dyDescent="0.2">
      <c r="C149" s="206"/>
      <c r="D149" s="206"/>
      <c r="E149" s="206"/>
      <c r="F149" s="206"/>
      <c r="G149" s="206"/>
    </row>
    <row r="150" spans="2:7" ht="12" customHeight="1" x14ac:dyDescent="0.2">
      <c r="C150" s="206"/>
      <c r="D150" s="206"/>
      <c r="E150" s="206"/>
      <c r="F150" s="206"/>
      <c r="G150" s="206"/>
    </row>
    <row r="151" spans="2:7" ht="12" customHeight="1" x14ac:dyDescent="0.2">
      <c r="C151" s="206"/>
      <c r="D151" s="206"/>
      <c r="E151" s="206"/>
      <c r="F151" s="206"/>
      <c r="G151" s="206"/>
    </row>
    <row r="152" spans="2:7" ht="12" customHeight="1" x14ac:dyDescent="0.2">
      <c r="C152" s="206"/>
      <c r="D152" s="206"/>
      <c r="E152" s="206"/>
      <c r="F152" s="206"/>
      <c r="G152" s="206"/>
    </row>
    <row r="153" spans="2:7" ht="12" customHeight="1" x14ac:dyDescent="0.2">
      <c r="C153" s="206"/>
      <c r="D153" s="206"/>
      <c r="E153" s="206"/>
      <c r="F153" s="206"/>
      <c r="G153" s="206"/>
    </row>
    <row r="154" spans="2:7" ht="12" customHeight="1" x14ac:dyDescent="0.2">
      <c r="C154" s="206"/>
      <c r="D154" s="206"/>
      <c r="E154" s="206"/>
      <c r="F154" s="206"/>
      <c r="G154" s="206"/>
    </row>
    <row r="155" spans="2:7" ht="12" customHeight="1" x14ac:dyDescent="0.2">
      <c r="C155" s="206"/>
      <c r="D155" s="206"/>
      <c r="E155" s="206"/>
      <c r="F155" s="206"/>
      <c r="G155" s="206"/>
    </row>
    <row r="156" spans="2:7" ht="12" customHeight="1" x14ac:dyDescent="0.2">
      <c r="C156" s="206"/>
      <c r="D156" s="206"/>
      <c r="E156" s="206"/>
      <c r="F156" s="206"/>
      <c r="G156" s="206"/>
    </row>
    <row r="157" spans="2:7" ht="12" customHeight="1" x14ac:dyDescent="0.2">
      <c r="C157" s="206"/>
      <c r="D157" s="206"/>
      <c r="E157" s="206"/>
      <c r="F157" s="206"/>
      <c r="G157" s="206"/>
    </row>
    <row r="158" spans="2:7" ht="12" customHeight="1" x14ac:dyDescent="0.2">
      <c r="C158" s="206"/>
      <c r="D158" s="206"/>
      <c r="E158" s="206"/>
      <c r="F158" s="206"/>
      <c r="G158" s="206"/>
    </row>
    <row r="159" spans="2:7" ht="14.25" customHeight="1" x14ac:dyDescent="0.2"/>
    <row r="160" spans="2:7" ht="15.75" hidden="1" x14ac:dyDescent="0.25">
      <c r="B160" s="393"/>
      <c r="C160" s="250"/>
    </row>
    <row r="161" spans="2:14" ht="15" hidden="1" x14ac:dyDescent="0.25">
      <c r="B161" s="347"/>
      <c r="C161" s="395"/>
    </row>
    <row r="162" spans="2:14" ht="15" hidden="1" x14ac:dyDescent="0.25">
      <c r="B162" s="347"/>
      <c r="C162" s="403"/>
    </row>
    <row r="163" spans="2:14" ht="15" hidden="1" x14ac:dyDescent="0.25">
      <c r="B163" s="347"/>
      <c r="C163" s="206"/>
    </row>
    <row r="164" spans="2:14" hidden="1" x14ac:dyDescent="0.2">
      <c r="B164" s="307"/>
    </row>
    <row r="165" spans="2:14" hidden="1" x14ac:dyDescent="0.2">
      <c r="B165" s="307"/>
    </row>
    <row r="166" spans="2:14" hidden="1" x14ac:dyDescent="0.2">
      <c r="B166" s="307"/>
    </row>
    <row r="167" spans="2:14" hidden="1" x14ac:dyDescent="0.2"/>
    <row r="168" spans="2:14" hidden="1" x14ac:dyDescent="0.2"/>
    <row r="169" spans="2:14" hidden="1" x14ac:dyDescent="0.2">
      <c r="C169" s="343">
        <v>41698</v>
      </c>
      <c r="D169" s="343">
        <v>41609</v>
      </c>
      <c r="E169" s="343">
        <v>41548</v>
      </c>
      <c r="F169" s="343">
        <v>41487</v>
      </c>
      <c r="G169" s="343">
        <v>41426</v>
      </c>
      <c r="H169" s="343">
        <v>41365</v>
      </c>
      <c r="I169" s="343">
        <v>41306</v>
      </c>
      <c r="J169" s="343">
        <v>41274</v>
      </c>
      <c r="K169" s="343">
        <v>41213</v>
      </c>
      <c r="L169" s="343">
        <v>41152</v>
      </c>
      <c r="M169" s="344">
        <v>41090</v>
      </c>
      <c r="N169" s="343">
        <v>41029</v>
      </c>
    </row>
    <row r="170" spans="2:14" hidden="1" x14ac:dyDescent="0.2">
      <c r="B170" s="58" t="s">
        <v>152</v>
      </c>
      <c r="C170" s="250">
        <f>C61</f>
        <v>132445.18</v>
      </c>
      <c r="D170" s="250">
        <f>105452.64+311868.06-305987</f>
        <v>111333.70000000001</v>
      </c>
      <c r="E170" s="250">
        <v>85798.300000000017</v>
      </c>
      <c r="F170" s="206">
        <f>53253.08+18642.89</f>
        <v>71895.97</v>
      </c>
      <c r="G170" s="206">
        <v>126315</v>
      </c>
      <c r="H170" s="206">
        <v>69404</v>
      </c>
      <c r="I170" s="206">
        <v>75744</v>
      </c>
      <c r="J170" s="206">
        <v>119840.47</v>
      </c>
      <c r="K170" s="206">
        <v>120024</v>
      </c>
      <c r="L170" s="206">
        <v>109142</v>
      </c>
      <c r="M170" s="342">
        <v>142216.66</v>
      </c>
      <c r="N170" s="206">
        <v>104785.62</v>
      </c>
    </row>
    <row r="171" spans="2:14" hidden="1" x14ac:dyDescent="0.2">
      <c r="B171" s="58" t="s">
        <v>153</v>
      </c>
      <c r="C171" s="250">
        <f>D61</f>
        <v>104165.25</v>
      </c>
      <c r="D171" s="250">
        <f>74767.18-13600.56</f>
        <v>61166.619999999995</v>
      </c>
      <c r="E171" s="250">
        <v>86248.31</v>
      </c>
      <c r="F171" s="206">
        <v>43187.16</v>
      </c>
      <c r="G171" s="206">
        <v>60049</v>
      </c>
      <c r="H171" s="206">
        <v>101941</v>
      </c>
      <c r="I171" s="206">
        <v>43152</v>
      </c>
      <c r="J171" s="206">
        <v>58938.2</v>
      </c>
      <c r="K171" s="206">
        <v>85767</v>
      </c>
      <c r="L171" s="206">
        <v>119436</v>
      </c>
      <c r="M171" s="342">
        <v>73223.850000000006</v>
      </c>
      <c r="N171" s="206">
        <v>86907.23</v>
      </c>
    </row>
    <row r="172" spans="2:14" hidden="1" x14ac:dyDescent="0.2">
      <c r="B172" s="58" t="s">
        <v>154</v>
      </c>
      <c r="C172" s="250">
        <f>E61</f>
        <v>13317.93</v>
      </c>
      <c r="D172" s="250">
        <f>66720.93-13675.33</f>
        <v>53045.599999999991</v>
      </c>
      <c r="E172" s="250">
        <v>32950.589999999997</v>
      </c>
      <c r="F172" s="206">
        <v>65970.55</v>
      </c>
      <c r="G172" s="206">
        <v>18719</v>
      </c>
      <c r="H172" s="206">
        <v>3668</v>
      </c>
      <c r="I172" s="206">
        <v>50430</v>
      </c>
      <c r="J172" s="206">
        <v>88408.17</v>
      </c>
      <c r="K172" s="206">
        <v>26680</v>
      </c>
      <c r="L172" s="206">
        <v>51922</v>
      </c>
      <c r="M172" s="342">
        <v>77261.37</v>
      </c>
      <c r="N172" s="206">
        <v>11021.67</v>
      </c>
    </row>
    <row r="173" spans="2:14" hidden="1" x14ac:dyDescent="0.2">
      <c r="B173" s="58" t="s">
        <v>155</v>
      </c>
      <c r="C173" s="250">
        <f>F61</f>
        <v>36687.06</v>
      </c>
      <c r="D173" s="250">
        <v>86322.43</v>
      </c>
      <c r="E173" s="250">
        <v>66109.450000000012</v>
      </c>
      <c r="F173" s="206">
        <v>56011.13</v>
      </c>
      <c r="G173" s="206">
        <v>1250</v>
      </c>
      <c r="H173" s="206">
        <v>0</v>
      </c>
      <c r="I173" s="206">
        <v>9959</v>
      </c>
      <c r="J173" s="206">
        <v>18374.45</v>
      </c>
      <c r="K173" s="206">
        <v>22103</v>
      </c>
      <c r="L173" s="206">
        <v>71168</v>
      </c>
      <c r="M173" s="342">
        <v>55167.87</v>
      </c>
      <c r="N173" s="206"/>
    </row>
    <row r="174" spans="2:14" hidden="1" x14ac:dyDescent="0.2">
      <c r="C174" s="250">
        <f>SUM(C170:C173)</f>
        <v>286615.42</v>
      </c>
      <c r="D174" s="250">
        <f>SUM(D170:D173)</f>
        <v>311868.34999999998</v>
      </c>
      <c r="E174" s="250">
        <v>271106.65000000002</v>
      </c>
      <c r="F174" s="206">
        <f>SUM(F170:F173)</f>
        <v>237064.81</v>
      </c>
      <c r="G174" s="206">
        <f t="shared" ref="G174:N174" si="4">SUM(G170:G173)</f>
        <v>206333</v>
      </c>
      <c r="H174" s="206">
        <f t="shared" si="4"/>
        <v>175013</v>
      </c>
      <c r="I174" s="206">
        <f t="shared" si="4"/>
        <v>179285</v>
      </c>
      <c r="J174" s="206">
        <f t="shared" si="4"/>
        <v>285561.28999999998</v>
      </c>
      <c r="K174" s="206">
        <f t="shared" si="4"/>
        <v>254574</v>
      </c>
      <c r="L174" s="206">
        <f t="shared" si="4"/>
        <v>351668</v>
      </c>
      <c r="M174" s="206">
        <f t="shared" si="4"/>
        <v>347869.75</v>
      </c>
      <c r="N174" s="206">
        <f t="shared" si="4"/>
        <v>202714.52</v>
      </c>
    </row>
    <row r="175" spans="2:14" hidden="1" x14ac:dyDescent="0.2">
      <c r="D175" s="206"/>
      <c r="E175" s="206"/>
      <c r="F175" s="206"/>
      <c r="G175" s="206"/>
      <c r="H175" s="206"/>
      <c r="I175" s="206"/>
      <c r="J175" s="206"/>
      <c r="K175" s="206"/>
      <c r="L175" s="342"/>
    </row>
    <row r="176" spans="2:14" hidden="1" x14ac:dyDescent="0.2">
      <c r="C176" s="206"/>
      <c r="D176" s="206"/>
      <c r="E176" s="206"/>
      <c r="F176" s="206"/>
      <c r="G176" s="206"/>
      <c r="H176" s="342"/>
      <c r="I176" s="342"/>
      <c r="J176" s="342"/>
      <c r="K176" s="342"/>
    </row>
    <row r="177" spans="3:11" hidden="1" x14ac:dyDescent="0.2">
      <c r="C177" s="206"/>
      <c r="D177" s="206"/>
      <c r="E177" s="206"/>
      <c r="F177" s="206"/>
      <c r="G177" s="206"/>
      <c r="H177" s="342"/>
      <c r="I177" s="342"/>
      <c r="J177" s="342"/>
      <c r="K177" s="342"/>
    </row>
    <row r="178" spans="3:11" hidden="1" x14ac:dyDescent="0.2"/>
    <row r="179" spans="3:11" hidden="1" x14ac:dyDescent="0.2"/>
    <row r="180" spans="3:11" hidden="1" x14ac:dyDescent="0.2"/>
    <row r="181" spans="3:11" hidden="1" x14ac:dyDescent="0.2"/>
    <row r="182" spans="3:11" hidden="1" x14ac:dyDescent="0.2"/>
    <row r="183" spans="3:11" hidden="1" x14ac:dyDescent="0.2"/>
    <row r="184" spans="3:11" hidden="1" x14ac:dyDescent="0.2"/>
    <row r="185" spans="3:11" hidden="1" x14ac:dyDescent="0.2"/>
    <row r="186" spans="3:11" hidden="1" x14ac:dyDescent="0.2"/>
    <row r="187" spans="3:11" hidden="1" x14ac:dyDescent="0.2"/>
    <row r="188" spans="3:11" hidden="1" x14ac:dyDescent="0.2"/>
    <row r="189" spans="3:11" hidden="1" x14ac:dyDescent="0.2"/>
    <row r="190" spans="3:11" hidden="1" x14ac:dyDescent="0.2"/>
    <row r="191" spans="3:11" hidden="1" x14ac:dyDescent="0.2"/>
    <row r="192" spans="3:1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sheetData>
  <sortState ref="A82:J85">
    <sortCondition ref="A82:A85"/>
  </sortState>
  <mergeCells count="2">
    <mergeCell ref="A5:B5"/>
    <mergeCell ref="A53:B53"/>
  </mergeCells>
  <pageMargins left="0.45" right="0.25" top="0.25" bottom="0.25" header="0.3" footer="0.3"/>
  <pageSetup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99"/>
  <sheetViews>
    <sheetView zoomScale="75" zoomScaleNormal="75" workbookViewId="0">
      <selection activeCell="Q68" sqref="Q6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2.25" style="267" hidden="1" customWidth="1"/>
    <col min="8" max="8" width="1.25" style="299" hidden="1" customWidth="1"/>
    <col min="9" max="9" width="24" style="18" hidden="1" customWidth="1"/>
    <col min="10" max="10" width="1.5" style="18" hidden="1" customWidth="1"/>
    <col min="11" max="11" width="23.875" style="18" hidden="1" customWidth="1"/>
    <col min="12" max="12" width="1.25" style="18" customWidth="1"/>
    <col min="13" max="13" width="24" style="18" customWidth="1"/>
    <col min="14" max="14" width="1.25" style="18" customWidth="1"/>
    <col min="15" max="15" width="24" style="18" customWidth="1"/>
    <col min="16" max="16" width="1.25" style="18" customWidth="1"/>
    <col min="17" max="17" width="24" style="18" customWidth="1"/>
    <col min="18" max="20" width="9" style="18"/>
    <col min="21" max="21" width="12.5" style="18" bestFit="1" customWidth="1"/>
    <col min="22" max="66" width="9" style="18"/>
    <col min="260" max="260" width="2.875" customWidth="1"/>
    <col min="261" max="261" width="8.125" customWidth="1"/>
    <col min="262" max="262" width="8.75" customWidth="1"/>
    <col min="263" max="263" width="11" customWidth="1"/>
    <col min="264" max="264" width="2.875" customWidth="1"/>
    <col min="265" max="265" width="77.625" customWidth="1"/>
    <col min="266" max="266" width="20.875" customWidth="1"/>
    <col min="516" max="516" width="2.875" customWidth="1"/>
    <col min="517" max="517" width="8.125" customWidth="1"/>
    <col min="518" max="518" width="8.75" customWidth="1"/>
    <col min="519" max="519" width="11" customWidth="1"/>
    <col min="520" max="520" width="2.875" customWidth="1"/>
    <col min="521" max="521" width="77.625" customWidth="1"/>
    <col min="522" max="522" width="20.875" customWidth="1"/>
    <col min="772" max="772" width="2.875" customWidth="1"/>
    <col min="773" max="773" width="8.125" customWidth="1"/>
    <col min="774" max="774" width="8.75" customWidth="1"/>
    <col min="775" max="775" width="11" customWidth="1"/>
    <col min="776" max="776" width="2.875" customWidth="1"/>
    <col min="777" max="777" width="77.625" customWidth="1"/>
    <col min="778" max="778" width="20.875" customWidth="1"/>
    <col min="1028" max="1028" width="2.875" customWidth="1"/>
    <col min="1029" max="1029" width="8.125" customWidth="1"/>
    <col min="1030" max="1030" width="8.75" customWidth="1"/>
    <col min="1031" max="1031" width="11" customWidth="1"/>
    <col min="1032" max="1032" width="2.875" customWidth="1"/>
    <col min="1033" max="1033" width="77.625" customWidth="1"/>
    <col min="1034" max="1034" width="20.875" customWidth="1"/>
    <col min="1284" max="1284" width="2.875" customWidth="1"/>
    <col min="1285" max="1285" width="8.125" customWidth="1"/>
    <col min="1286" max="1286" width="8.75" customWidth="1"/>
    <col min="1287" max="1287" width="11" customWidth="1"/>
    <col min="1288" max="1288" width="2.875" customWidth="1"/>
    <col min="1289" max="1289" width="77.625" customWidth="1"/>
    <col min="1290" max="1290" width="20.875" customWidth="1"/>
    <col min="1540" max="1540" width="2.875" customWidth="1"/>
    <col min="1541" max="1541" width="8.125" customWidth="1"/>
    <col min="1542" max="1542" width="8.75" customWidth="1"/>
    <col min="1543" max="1543" width="11" customWidth="1"/>
    <col min="1544" max="1544" width="2.875" customWidth="1"/>
    <col min="1545" max="1545" width="77.625" customWidth="1"/>
    <col min="1546" max="1546" width="20.875" customWidth="1"/>
    <col min="1796" max="1796" width="2.875" customWidth="1"/>
    <col min="1797" max="1797" width="8.125" customWidth="1"/>
    <col min="1798" max="1798" width="8.75" customWidth="1"/>
    <col min="1799" max="1799" width="11" customWidth="1"/>
    <col min="1800" max="1800" width="2.875" customWidth="1"/>
    <col min="1801" max="1801" width="77.625" customWidth="1"/>
    <col min="1802" max="1802" width="20.875" customWidth="1"/>
    <col min="2052" max="2052" width="2.875" customWidth="1"/>
    <col min="2053" max="2053" width="8.125" customWidth="1"/>
    <col min="2054" max="2054" width="8.75" customWidth="1"/>
    <col min="2055" max="2055" width="11" customWidth="1"/>
    <col min="2056" max="2056" width="2.875" customWidth="1"/>
    <col min="2057" max="2057" width="77.625" customWidth="1"/>
    <col min="2058" max="2058" width="20.875" customWidth="1"/>
    <col min="2308" max="2308" width="2.875" customWidth="1"/>
    <col min="2309" max="2309" width="8.125" customWidth="1"/>
    <col min="2310" max="2310" width="8.75" customWidth="1"/>
    <col min="2311" max="2311" width="11" customWidth="1"/>
    <col min="2312" max="2312" width="2.875" customWidth="1"/>
    <col min="2313" max="2313" width="77.625" customWidth="1"/>
    <col min="2314" max="2314" width="20.875" customWidth="1"/>
    <col min="2564" max="2564" width="2.875" customWidth="1"/>
    <col min="2565" max="2565" width="8.125" customWidth="1"/>
    <col min="2566" max="2566" width="8.75" customWidth="1"/>
    <col min="2567" max="2567" width="11" customWidth="1"/>
    <col min="2568" max="2568" width="2.875" customWidth="1"/>
    <col min="2569" max="2569" width="77.625" customWidth="1"/>
    <col min="2570" max="2570" width="20.875" customWidth="1"/>
    <col min="2820" max="2820" width="2.875" customWidth="1"/>
    <col min="2821" max="2821" width="8.125" customWidth="1"/>
    <col min="2822" max="2822" width="8.75" customWidth="1"/>
    <col min="2823" max="2823" width="11" customWidth="1"/>
    <col min="2824" max="2824" width="2.875" customWidth="1"/>
    <col min="2825" max="2825" width="77.625" customWidth="1"/>
    <col min="2826" max="2826" width="20.875" customWidth="1"/>
    <col min="3076" max="3076" width="2.875" customWidth="1"/>
    <col min="3077" max="3077" width="8.125" customWidth="1"/>
    <col min="3078" max="3078" width="8.75" customWidth="1"/>
    <col min="3079" max="3079" width="11" customWidth="1"/>
    <col min="3080" max="3080" width="2.875" customWidth="1"/>
    <col min="3081" max="3081" width="77.625" customWidth="1"/>
    <col min="3082" max="3082" width="20.875" customWidth="1"/>
    <col min="3332" max="3332" width="2.875" customWidth="1"/>
    <col min="3333" max="3333" width="8.125" customWidth="1"/>
    <col min="3334" max="3334" width="8.75" customWidth="1"/>
    <col min="3335" max="3335" width="11" customWidth="1"/>
    <col min="3336" max="3336" width="2.875" customWidth="1"/>
    <col min="3337" max="3337" width="77.625" customWidth="1"/>
    <col min="3338" max="3338" width="20.875" customWidth="1"/>
    <col min="3588" max="3588" width="2.875" customWidth="1"/>
    <col min="3589" max="3589" width="8.125" customWidth="1"/>
    <col min="3590" max="3590" width="8.75" customWidth="1"/>
    <col min="3591" max="3591" width="11" customWidth="1"/>
    <col min="3592" max="3592" width="2.875" customWidth="1"/>
    <col min="3593" max="3593" width="77.625" customWidth="1"/>
    <col min="3594" max="3594" width="20.875" customWidth="1"/>
    <col min="3844" max="3844" width="2.875" customWidth="1"/>
    <col min="3845" max="3845" width="8.125" customWidth="1"/>
    <col min="3846" max="3846" width="8.75" customWidth="1"/>
    <col min="3847" max="3847" width="11" customWidth="1"/>
    <col min="3848" max="3848" width="2.875" customWidth="1"/>
    <col min="3849" max="3849" width="77.625" customWidth="1"/>
    <col min="3850" max="3850" width="20.875" customWidth="1"/>
    <col min="4100" max="4100" width="2.875" customWidth="1"/>
    <col min="4101" max="4101" width="8.125" customWidth="1"/>
    <col min="4102" max="4102" width="8.75" customWidth="1"/>
    <col min="4103" max="4103" width="11" customWidth="1"/>
    <col min="4104" max="4104" width="2.875" customWidth="1"/>
    <col min="4105" max="4105" width="77.625" customWidth="1"/>
    <col min="4106" max="4106" width="20.875" customWidth="1"/>
    <col min="4356" max="4356" width="2.875" customWidth="1"/>
    <col min="4357" max="4357" width="8.125" customWidth="1"/>
    <col min="4358" max="4358" width="8.75" customWidth="1"/>
    <col min="4359" max="4359" width="11" customWidth="1"/>
    <col min="4360" max="4360" width="2.875" customWidth="1"/>
    <col min="4361" max="4361" width="77.625" customWidth="1"/>
    <col min="4362" max="4362" width="20.875" customWidth="1"/>
    <col min="4612" max="4612" width="2.875" customWidth="1"/>
    <col min="4613" max="4613" width="8.125" customWidth="1"/>
    <col min="4614" max="4614" width="8.75" customWidth="1"/>
    <col min="4615" max="4615" width="11" customWidth="1"/>
    <col min="4616" max="4616" width="2.875" customWidth="1"/>
    <col min="4617" max="4617" width="77.625" customWidth="1"/>
    <col min="4618" max="4618" width="20.875" customWidth="1"/>
    <col min="4868" max="4868" width="2.875" customWidth="1"/>
    <col min="4869" max="4869" width="8.125" customWidth="1"/>
    <col min="4870" max="4870" width="8.75" customWidth="1"/>
    <col min="4871" max="4871" width="11" customWidth="1"/>
    <col min="4872" max="4872" width="2.875" customWidth="1"/>
    <col min="4873" max="4873" width="77.625" customWidth="1"/>
    <col min="4874" max="4874" width="20.875" customWidth="1"/>
    <col min="5124" max="5124" width="2.875" customWidth="1"/>
    <col min="5125" max="5125" width="8.125" customWidth="1"/>
    <col min="5126" max="5126" width="8.75" customWidth="1"/>
    <col min="5127" max="5127" width="11" customWidth="1"/>
    <col min="5128" max="5128" width="2.875" customWidth="1"/>
    <col min="5129" max="5129" width="77.625" customWidth="1"/>
    <col min="5130" max="5130" width="20.875" customWidth="1"/>
    <col min="5380" max="5380" width="2.875" customWidth="1"/>
    <col min="5381" max="5381" width="8.125" customWidth="1"/>
    <col min="5382" max="5382" width="8.75" customWidth="1"/>
    <col min="5383" max="5383" width="11" customWidth="1"/>
    <col min="5384" max="5384" width="2.875" customWidth="1"/>
    <col min="5385" max="5385" width="77.625" customWidth="1"/>
    <col min="5386" max="5386" width="20.875" customWidth="1"/>
    <col min="5636" max="5636" width="2.875" customWidth="1"/>
    <col min="5637" max="5637" width="8.125" customWidth="1"/>
    <col min="5638" max="5638" width="8.75" customWidth="1"/>
    <col min="5639" max="5639" width="11" customWidth="1"/>
    <col min="5640" max="5640" width="2.875" customWidth="1"/>
    <col min="5641" max="5641" width="77.625" customWidth="1"/>
    <col min="5642" max="5642" width="20.875" customWidth="1"/>
    <col min="5892" max="5892" width="2.875" customWidth="1"/>
    <col min="5893" max="5893" width="8.125" customWidth="1"/>
    <col min="5894" max="5894" width="8.75" customWidth="1"/>
    <col min="5895" max="5895" width="11" customWidth="1"/>
    <col min="5896" max="5896" width="2.875" customWidth="1"/>
    <col min="5897" max="5897" width="77.625" customWidth="1"/>
    <col min="5898" max="5898" width="20.875" customWidth="1"/>
    <col min="6148" max="6148" width="2.875" customWidth="1"/>
    <col min="6149" max="6149" width="8.125" customWidth="1"/>
    <col min="6150" max="6150" width="8.75" customWidth="1"/>
    <col min="6151" max="6151" width="11" customWidth="1"/>
    <col min="6152" max="6152" width="2.875" customWidth="1"/>
    <col min="6153" max="6153" width="77.625" customWidth="1"/>
    <col min="6154" max="6154" width="20.875" customWidth="1"/>
    <col min="6404" max="6404" width="2.875" customWidth="1"/>
    <col min="6405" max="6405" width="8.125" customWidth="1"/>
    <col min="6406" max="6406" width="8.75" customWidth="1"/>
    <col min="6407" max="6407" width="11" customWidth="1"/>
    <col min="6408" max="6408" width="2.875" customWidth="1"/>
    <col min="6409" max="6409" width="77.625" customWidth="1"/>
    <col min="6410" max="6410" width="20.875" customWidth="1"/>
    <col min="6660" max="6660" width="2.875" customWidth="1"/>
    <col min="6661" max="6661" width="8.125" customWidth="1"/>
    <col min="6662" max="6662" width="8.75" customWidth="1"/>
    <col min="6663" max="6663" width="11" customWidth="1"/>
    <col min="6664" max="6664" width="2.875" customWidth="1"/>
    <col min="6665" max="6665" width="77.625" customWidth="1"/>
    <col min="6666" max="6666" width="20.875" customWidth="1"/>
    <col min="6916" max="6916" width="2.875" customWidth="1"/>
    <col min="6917" max="6917" width="8.125" customWidth="1"/>
    <col min="6918" max="6918" width="8.75" customWidth="1"/>
    <col min="6919" max="6919" width="11" customWidth="1"/>
    <col min="6920" max="6920" width="2.875" customWidth="1"/>
    <col min="6921" max="6921" width="77.625" customWidth="1"/>
    <col min="6922" max="6922" width="20.875" customWidth="1"/>
    <col min="7172" max="7172" width="2.875" customWidth="1"/>
    <col min="7173" max="7173" width="8.125" customWidth="1"/>
    <col min="7174" max="7174" width="8.75" customWidth="1"/>
    <col min="7175" max="7175" width="11" customWidth="1"/>
    <col min="7176" max="7176" width="2.875" customWidth="1"/>
    <col min="7177" max="7177" width="77.625" customWidth="1"/>
    <col min="7178" max="7178" width="20.875" customWidth="1"/>
    <col min="7428" max="7428" width="2.875" customWidth="1"/>
    <col min="7429" max="7429" width="8.125" customWidth="1"/>
    <col min="7430" max="7430" width="8.75" customWidth="1"/>
    <col min="7431" max="7431" width="11" customWidth="1"/>
    <col min="7432" max="7432" width="2.875" customWidth="1"/>
    <col min="7433" max="7433" width="77.625" customWidth="1"/>
    <col min="7434" max="7434" width="20.875" customWidth="1"/>
    <col min="7684" max="7684" width="2.875" customWidth="1"/>
    <col min="7685" max="7685" width="8.125" customWidth="1"/>
    <col min="7686" max="7686" width="8.75" customWidth="1"/>
    <col min="7687" max="7687" width="11" customWidth="1"/>
    <col min="7688" max="7688" width="2.875" customWidth="1"/>
    <col min="7689" max="7689" width="77.625" customWidth="1"/>
    <col min="7690" max="7690" width="20.875" customWidth="1"/>
    <col min="7940" max="7940" width="2.875" customWidth="1"/>
    <col min="7941" max="7941" width="8.125" customWidth="1"/>
    <col min="7942" max="7942" width="8.75" customWidth="1"/>
    <col min="7943" max="7943" width="11" customWidth="1"/>
    <col min="7944" max="7944" width="2.875" customWidth="1"/>
    <col min="7945" max="7945" width="77.625" customWidth="1"/>
    <col min="7946" max="7946" width="20.875" customWidth="1"/>
    <col min="8196" max="8196" width="2.875" customWidth="1"/>
    <col min="8197" max="8197" width="8.125" customWidth="1"/>
    <col min="8198" max="8198" width="8.75" customWidth="1"/>
    <col min="8199" max="8199" width="11" customWidth="1"/>
    <col min="8200" max="8200" width="2.875" customWidth="1"/>
    <col min="8201" max="8201" width="77.625" customWidth="1"/>
    <col min="8202" max="8202" width="20.875" customWidth="1"/>
    <col min="8452" max="8452" width="2.875" customWidth="1"/>
    <col min="8453" max="8453" width="8.125" customWidth="1"/>
    <col min="8454" max="8454" width="8.75" customWidth="1"/>
    <col min="8455" max="8455" width="11" customWidth="1"/>
    <col min="8456" max="8456" width="2.875" customWidth="1"/>
    <col min="8457" max="8457" width="77.625" customWidth="1"/>
    <col min="8458" max="8458" width="20.875" customWidth="1"/>
    <col min="8708" max="8708" width="2.875" customWidth="1"/>
    <col min="8709" max="8709" width="8.125" customWidth="1"/>
    <col min="8710" max="8710" width="8.75" customWidth="1"/>
    <col min="8711" max="8711" width="11" customWidth="1"/>
    <col min="8712" max="8712" width="2.875" customWidth="1"/>
    <col min="8713" max="8713" width="77.625" customWidth="1"/>
    <col min="8714" max="8714" width="20.875" customWidth="1"/>
    <col min="8964" max="8964" width="2.875" customWidth="1"/>
    <col min="8965" max="8965" width="8.125" customWidth="1"/>
    <col min="8966" max="8966" width="8.75" customWidth="1"/>
    <col min="8967" max="8967" width="11" customWidth="1"/>
    <col min="8968" max="8968" width="2.875" customWidth="1"/>
    <col min="8969" max="8969" width="77.625" customWidth="1"/>
    <col min="8970" max="8970" width="20.875" customWidth="1"/>
    <col min="9220" max="9220" width="2.875" customWidth="1"/>
    <col min="9221" max="9221" width="8.125" customWidth="1"/>
    <col min="9222" max="9222" width="8.75" customWidth="1"/>
    <col min="9223" max="9223" width="11" customWidth="1"/>
    <col min="9224" max="9224" width="2.875" customWidth="1"/>
    <col min="9225" max="9225" width="77.625" customWidth="1"/>
    <col min="9226" max="9226" width="20.875" customWidth="1"/>
    <col min="9476" max="9476" width="2.875" customWidth="1"/>
    <col min="9477" max="9477" width="8.125" customWidth="1"/>
    <col min="9478" max="9478" width="8.75" customWidth="1"/>
    <col min="9479" max="9479" width="11" customWidth="1"/>
    <col min="9480" max="9480" width="2.875" customWidth="1"/>
    <col min="9481" max="9481" width="77.625" customWidth="1"/>
    <col min="9482" max="9482" width="20.875" customWidth="1"/>
    <col min="9732" max="9732" width="2.875" customWidth="1"/>
    <col min="9733" max="9733" width="8.125" customWidth="1"/>
    <col min="9734" max="9734" width="8.75" customWidth="1"/>
    <col min="9735" max="9735" width="11" customWidth="1"/>
    <col min="9736" max="9736" width="2.875" customWidth="1"/>
    <col min="9737" max="9737" width="77.625" customWidth="1"/>
    <col min="9738" max="9738" width="20.875" customWidth="1"/>
    <col min="9988" max="9988" width="2.875" customWidth="1"/>
    <col min="9989" max="9989" width="8.125" customWidth="1"/>
    <col min="9990" max="9990" width="8.75" customWidth="1"/>
    <col min="9991" max="9991" width="11" customWidth="1"/>
    <col min="9992" max="9992" width="2.875" customWidth="1"/>
    <col min="9993" max="9993" width="77.625" customWidth="1"/>
    <col min="9994" max="9994" width="20.875" customWidth="1"/>
    <col min="10244" max="10244" width="2.875" customWidth="1"/>
    <col min="10245" max="10245" width="8.125" customWidth="1"/>
    <col min="10246" max="10246" width="8.75" customWidth="1"/>
    <col min="10247" max="10247" width="11" customWidth="1"/>
    <col min="10248" max="10248" width="2.875" customWidth="1"/>
    <col min="10249" max="10249" width="77.625" customWidth="1"/>
    <col min="10250" max="10250" width="20.875" customWidth="1"/>
    <col min="10500" max="10500" width="2.875" customWidth="1"/>
    <col min="10501" max="10501" width="8.125" customWidth="1"/>
    <col min="10502" max="10502" width="8.75" customWidth="1"/>
    <col min="10503" max="10503" width="11" customWidth="1"/>
    <col min="10504" max="10504" width="2.875" customWidth="1"/>
    <col min="10505" max="10505" width="77.625" customWidth="1"/>
    <col min="10506" max="10506" width="20.875" customWidth="1"/>
    <col min="10756" max="10756" width="2.875" customWidth="1"/>
    <col min="10757" max="10757" width="8.125" customWidth="1"/>
    <col min="10758" max="10758" width="8.75" customWidth="1"/>
    <col min="10759" max="10759" width="11" customWidth="1"/>
    <col min="10760" max="10760" width="2.875" customWidth="1"/>
    <col min="10761" max="10761" width="77.625" customWidth="1"/>
    <col min="10762" max="10762" width="20.875" customWidth="1"/>
    <col min="11012" max="11012" width="2.875" customWidth="1"/>
    <col min="11013" max="11013" width="8.125" customWidth="1"/>
    <col min="11014" max="11014" width="8.75" customWidth="1"/>
    <col min="11015" max="11015" width="11" customWidth="1"/>
    <col min="11016" max="11016" width="2.875" customWidth="1"/>
    <col min="11017" max="11017" width="77.625" customWidth="1"/>
    <col min="11018" max="11018" width="20.875" customWidth="1"/>
    <col min="11268" max="11268" width="2.875" customWidth="1"/>
    <col min="11269" max="11269" width="8.125" customWidth="1"/>
    <col min="11270" max="11270" width="8.75" customWidth="1"/>
    <col min="11271" max="11271" width="11" customWidth="1"/>
    <col min="11272" max="11272" width="2.875" customWidth="1"/>
    <col min="11273" max="11273" width="77.625" customWidth="1"/>
    <col min="11274" max="11274" width="20.875" customWidth="1"/>
    <col min="11524" max="11524" width="2.875" customWidth="1"/>
    <col min="11525" max="11525" width="8.125" customWidth="1"/>
    <col min="11526" max="11526" width="8.75" customWidth="1"/>
    <col min="11527" max="11527" width="11" customWidth="1"/>
    <col min="11528" max="11528" width="2.875" customWidth="1"/>
    <col min="11529" max="11529" width="77.625" customWidth="1"/>
    <col min="11530" max="11530" width="20.875" customWidth="1"/>
    <col min="11780" max="11780" width="2.875" customWidth="1"/>
    <col min="11781" max="11781" width="8.125" customWidth="1"/>
    <col min="11782" max="11782" width="8.75" customWidth="1"/>
    <col min="11783" max="11783" width="11" customWidth="1"/>
    <col min="11784" max="11784" width="2.875" customWidth="1"/>
    <col min="11785" max="11785" width="77.625" customWidth="1"/>
    <col min="11786" max="11786" width="20.875" customWidth="1"/>
    <col min="12036" max="12036" width="2.875" customWidth="1"/>
    <col min="12037" max="12037" width="8.125" customWidth="1"/>
    <col min="12038" max="12038" width="8.75" customWidth="1"/>
    <col min="12039" max="12039" width="11" customWidth="1"/>
    <col min="12040" max="12040" width="2.875" customWidth="1"/>
    <col min="12041" max="12041" width="77.625" customWidth="1"/>
    <col min="12042" max="12042" width="20.875" customWidth="1"/>
    <col min="12292" max="12292" width="2.875" customWidth="1"/>
    <col min="12293" max="12293" width="8.125" customWidth="1"/>
    <col min="12294" max="12294" width="8.75" customWidth="1"/>
    <col min="12295" max="12295" width="11" customWidth="1"/>
    <col min="12296" max="12296" width="2.875" customWidth="1"/>
    <col min="12297" max="12297" width="77.625" customWidth="1"/>
    <col min="12298" max="12298" width="20.875" customWidth="1"/>
    <col min="12548" max="12548" width="2.875" customWidth="1"/>
    <col min="12549" max="12549" width="8.125" customWidth="1"/>
    <col min="12550" max="12550" width="8.75" customWidth="1"/>
    <col min="12551" max="12551" width="11" customWidth="1"/>
    <col min="12552" max="12552" width="2.875" customWidth="1"/>
    <col min="12553" max="12553" width="77.625" customWidth="1"/>
    <col min="12554" max="12554" width="20.875" customWidth="1"/>
    <col min="12804" max="12804" width="2.875" customWidth="1"/>
    <col min="12805" max="12805" width="8.125" customWidth="1"/>
    <col min="12806" max="12806" width="8.75" customWidth="1"/>
    <col min="12807" max="12807" width="11" customWidth="1"/>
    <col min="12808" max="12808" width="2.875" customWidth="1"/>
    <col min="12809" max="12809" width="77.625" customWidth="1"/>
    <col min="12810" max="12810" width="20.875" customWidth="1"/>
    <col min="13060" max="13060" width="2.875" customWidth="1"/>
    <col min="13061" max="13061" width="8.125" customWidth="1"/>
    <col min="13062" max="13062" width="8.75" customWidth="1"/>
    <col min="13063" max="13063" width="11" customWidth="1"/>
    <col min="13064" max="13064" width="2.875" customWidth="1"/>
    <col min="13065" max="13065" width="77.625" customWidth="1"/>
    <col min="13066" max="13066" width="20.875" customWidth="1"/>
    <col min="13316" max="13316" width="2.875" customWidth="1"/>
    <col min="13317" max="13317" width="8.125" customWidth="1"/>
    <col min="13318" max="13318" width="8.75" customWidth="1"/>
    <col min="13319" max="13319" width="11" customWidth="1"/>
    <col min="13320" max="13320" width="2.875" customWidth="1"/>
    <col min="13321" max="13321" width="77.625" customWidth="1"/>
    <col min="13322" max="13322" width="20.875" customWidth="1"/>
    <col min="13572" max="13572" width="2.875" customWidth="1"/>
    <col min="13573" max="13573" width="8.125" customWidth="1"/>
    <col min="13574" max="13574" width="8.75" customWidth="1"/>
    <col min="13575" max="13575" width="11" customWidth="1"/>
    <col min="13576" max="13576" width="2.875" customWidth="1"/>
    <col min="13577" max="13577" width="77.625" customWidth="1"/>
    <col min="13578" max="13578" width="20.875" customWidth="1"/>
    <col min="13828" max="13828" width="2.875" customWidth="1"/>
    <col min="13829" max="13829" width="8.125" customWidth="1"/>
    <col min="13830" max="13830" width="8.75" customWidth="1"/>
    <col min="13831" max="13831" width="11" customWidth="1"/>
    <col min="13832" max="13832" width="2.875" customWidth="1"/>
    <col min="13833" max="13833" width="77.625" customWidth="1"/>
    <col min="13834" max="13834" width="20.875" customWidth="1"/>
    <col min="14084" max="14084" width="2.875" customWidth="1"/>
    <col min="14085" max="14085" width="8.125" customWidth="1"/>
    <col min="14086" max="14086" width="8.75" customWidth="1"/>
    <col min="14087" max="14087" width="11" customWidth="1"/>
    <col min="14088" max="14088" width="2.875" customWidth="1"/>
    <col min="14089" max="14089" width="77.625" customWidth="1"/>
    <col min="14090" max="14090" width="20.875" customWidth="1"/>
    <col min="14340" max="14340" width="2.875" customWidth="1"/>
    <col min="14341" max="14341" width="8.125" customWidth="1"/>
    <col min="14342" max="14342" width="8.75" customWidth="1"/>
    <col min="14343" max="14343" width="11" customWidth="1"/>
    <col min="14344" max="14344" width="2.875" customWidth="1"/>
    <col min="14345" max="14345" width="77.625" customWidth="1"/>
    <col min="14346" max="14346" width="20.875" customWidth="1"/>
    <col min="14596" max="14596" width="2.875" customWidth="1"/>
    <col min="14597" max="14597" width="8.125" customWidth="1"/>
    <col min="14598" max="14598" width="8.75" customWidth="1"/>
    <col min="14599" max="14599" width="11" customWidth="1"/>
    <col min="14600" max="14600" width="2.875" customWidth="1"/>
    <col min="14601" max="14601" width="77.625" customWidth="1"/>
    <col min="14602" max="14602" width="20.875" customWidth="1"/>
    <col min="14852" max="14852" width="2.875" customWidth="1"/>
    <col min="14853" max="14853" width="8.125" customWidth="1"/>
    <col min="14854" max="14854" width="8.75" customWidth="1"/>
    <col min="14855" max="14855" width="11" customWidth="1"/>
    <col min="14856" max="14856" width="2.875" customWidth="1"/>
    <col min="14857" max="14857" width="77.625" customWidth="1"/>
    <col min="14858" max="14858" width="20.875" customWidth="1"/>
    <col min="15108" max="15108" width="2.875" customWidth="1"/>
    <col min="15109" max="15109" width="8.125" customWidth="1"/>
    <col min="15110" max="15110" width="8.75" customWidth="1"/>
    <col min="15111" max="15111" width="11" customWidth="1"/>
    <col min="15112" max="15112" width="2.875" customWidth="1"/>
    <col min="15113" max="15113" width="77.625" customWidth="1"/>
    <col min="15114" max="15114" width="20.875" customWidth="1"/>
    <col min="15364" max="15364" width="2.875" customWidth="1"/>
    <col min="15365" max="15365" width="8.125" customWidth="1"/>
    <col min="15366" max="15366" width="8.75" customWidth="1"/>
    <col min="15367" max="15367" width="11" customWidth="1"/>
    <col min="15368" max="15368" width="2.875" customWidth="1"/>
    <col min="15369" max="15369" width="77.625" customWidth="1"/>
    <col min="15370" max="15370" width="20.875" customWidth="1"/>
    <col min="15620" max="15620" width="2.875" customWidth="1"/>
    <col min="15621" max="15621" width="8.125" customWidth="1"/>
    <col min="15622" max="15622" width="8.75" customWidth="1"/>
    <col min="15623" max="15623" width="11" customWidth="1"/>
    <col min="15624" max="15624" width="2.875" customWidth="1"/>
    <col min="15625" max="15625" width="77.625" customWidth="1"/>
    <col min="15626" max="15626" width="20.875" customWidth="1"/>
    <col min="15876" max="15876" width="2.875" customWidth="1"/>
    <col min="15877" max="15877" width="8.125" customWidth="1"/>
    <col min="15878" max="15878" width="8.75" customWidth="1"/>
    <col min="15879" max="15879" width="11" customWidth="1"/>
    <col min="15880" max="15880" width="2.875" customWidth="1"/>
    <col min="15881" max="15881" width="77.625" customWidth="1"/>
    <col min="15882" max="15882" width="20.875" customWidth="1"/>
    <col min="16132" max="16132" width="2.875" customWidth="1"/>
    <col min="16133" max="16133" width="8.125" customWidth="1"/>
    <col min="16134" max="16134" width="8.75" customWidth="1"/>
    <col min="16135" max="16135" width="11" customWidth="1"/>
    <col min="16136" max="16136" width="2.875" customWidth="1"/>
    <col min="16137" max="16137" width="77.625" customWidth="1"/>
    <col min="16138" max="16138" width="20.875" customWidth="1"/>
  </cols>
  <sheetData>
    <row r="1" spans="1:133" ht="22.5" customHeight="1" x14ac:dyDescent="0.4">
      <c r="A1" s="59" t="s">
        <v>110</v>
      </c>
      <c r="B1" s="60"/>
      <c r="C1" s="61"/>
      <c r="D1" s="61"/>
      <c r="E1" s="61"/>
      <c r="F1" s="60"/>
      <c r="G1" s="253"/>
      <c r="H1" s="396"/>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row>
    <row r="2" spans="1:133" ht="22.5" customHeight="1" x14ac:dyDescent="0.4">
      <c r="A2" s="59" t="s">
        <v>204</v>
      </c>
      <c r="B2" s="60"/>
      <c r="C2" s="61"/>
      <c r="D2" s="61"/>
      <c r="E2" s="61"/>
      <c r="F2" s="60"/>
      <c r="G2" s="253"/>
      <c r="H2" s="396"/>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row>
    <row r="3" spans="1:133" ht="11.25" customHeight="1" x14ac:dyDescent="0.4">
      <c r="A3" s="59"/>
      <c r="B3" s="60"/>
      <c r="C3" s="61"/>
      <c r="D3" s="61"/>
      <c r="E3" s="61"/>
      <c r="F3" s="60"/>
      <c r="G3" s="253"/>
      <c r="H3" s="396"/>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row>
    <row r="4" spans="1:133" ht="35.1" hidden="1" customHeight="1" x14ac:dyDescent="0.4">
      <c r="A4" s="59" t="s">
        <v>61</v>
      </c>
      <c r="B4" s="60"/>
      <c r="C4" s="61"/>
      <c r="D4" s="61"/>
      <c r="E4" s="61"/>
      <c r="F4" s="60"/>
      <c r="G4" s="253"/>
      <c r="H4" s="396"/>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row>
    <row r="5" spans="1:133" s="64" customFormat="1" ht="8.25" customHeight="1" thickBot="1" x14ac:dyDescent="0.25">
      <c r="A5" s="62"/>
      <c r="B5" s="62"/>
      <c r="C5" s="62"/>
      <c r="D5" s="62"/>
      <c r="E5" s="62"/>
      <c r="F5" s="62"/>
      <c r="G5" s="254"/>
      <c r="H5" s="254"/>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row>
    <row r="6" spans="1:133" s="67" customFormat="1" ht="27.75" thickTop="1" thickBot="1" x14ac:dyDescent="0.25">
      <c r="A6" s="65" t="s">
        <v>62</v>
      </c>
      <c r="B6" s="65"/>
      <c r="C6" s="65"/>
      <c r="D6" s="65"/>
      <c r="E6" s="65"/>
      <c r="F6" s="65"/>
      <c r="G6" s="264" t="s">
        <v>63</v>
      </c>
      <c r="H6" s="264"/>
      <c r="I6" s="264"/>
      <c r="J6" s="264"/>
      <c r="K6" s="264"/>
      <c r="L6" s="623" t="s">
        <v>63</v>
      </c>
      <c r="M6" s="623"/>
      <c r="N6" s="623"/>
      <c r="O6" s="623"/>
      <c r="P6" s="623"/>
      <c r="Q6" s="264"/>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133" s="69" customFormat="1" ht="8.25" customHeight="1" thickTop="1" x14ac:dyDescent="0.2">
      <c r="A7" s="68"/>
      <c r="B7" s="68"/>
      <c r="C7" s="68"/>
      <c r="D7" s="68"/>
      <c r="E7" s="68"/>
      <c r="F7" s="68"/>
      <c r="G7" s="255"/>
      <c r="H7" s="255"/>
    </row>
    <row r="8" spans="1:133" s="73" customFormat="1" ht="21" thickBot="1" x14ac:dyDescent="0.35">
      <c r="A8" s="70"/>
      <c r="B8" s="155" t="s">
        <v>64</v>
      </c>
      <c r="C8" s="155"/>
      <c r="D8" s="155"/>
      <c r="E8" s="155"/>
      <c r="F8" s="155"/>
      <c r="G8" s="309">
        <v>41090</v>
      </c>
      <c r="H8" s="360"/>
      <c r="I8" s="309">
        <v>41455</v>
      </c>
      <c r="J8" s="360"/>
      <c r="K8" s="309">
        <v>41639</v>
      </c>
      <c r="L8" s="309"/>
      <c r="M8" s="309">
        <v>42490</v>
      </c>
      <c r="N8" s="72"/>
      <c r="O8" s="309">
        <v>42369</v>
      </c>
      <c r="P8" s="72"/>
      <c r="Q8" s="309">
        <f>M8-366</f>
        <v>42124</v>
      </c>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133" s="75" customFormat="1" ht="6.75" customHeight="1" x14ac:dyDescent="0.2">
      <c r="A9" s="74"/>
      <c r="B9" s="74"/>
      <c r="C9" s="74"/>
      <c r="D9" s="74"/>
      <c r="E9" s="74"/>
      <c r="F9" s="74"/>
      <c r="G9" s="257"/>
      <c r="H9" s="255"/>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row>
    <row r="10" spans="1:133" s="75" customFormat="1" ht="20.25" x14ac:dyDescent="0.2">
      <c r="A10" s="74"/>
      <c r="B10" s="74"/>
      <c r="C10" s="74" t="s">
        <v>65</v>
      </c>
      <c r="D10" s="74"/>
      <c r="E10" s="74"/>
      <c r="F10" s="74"/>
      <c r="G10" s="257"/>
      <c r="H10" s="255"/>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row>
    <row r="11" spans="1:133" s="78" customFormat="1" ht="20.25" hidden="1" x14ac:dyDescent="0.2">
      <c r="A11" s="76"/>
      <c r="B11" s="76"/>
      <c r="C11" s="76"/>
      <c r="D11" s="76" t="s">
        <v>92</v>
      </c>
      <c r="E11" s="76"/>
      <c r="F11" s="76"/>
      <c r="G11" s="268">
        <v>10134.870000000001</v>
      </c>
      <c r="H11" s="270"/>
      <c r="I11" s="288" t="s">
        <v>116</v>
      </c>
      <c r="J11" s="288"/>
      <c r="K11" s="288" t="s">
        <v>116</v>
      </c>
      <c r="L11" s="288"/>
      <c r="M11" s="288" t="s">
        <v>116</v>
      </c>
      <c r="N11" s="77"/>
      <c r="O11" s="288" t="s">
        <v>116</v>
      </c>
      <c r="P11" s="77"/>
      <c r="Q11" s="288" t="s">
        <v>116</v>
      </c>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row>
    <row r="12" spans="1:133" s="78" customFormat="1" ht="20.25" hidden="1" x14ac:dyDescent="0.2">
      <c r="A12" s="76"/>
      <c r="B12" s="76"/>
      <c r="C12" s="76"/>
      <c r="D12" s="76" t="s">
        <v>93</v>
      </c>
      <c r="E12" s="76"/>
      <c r="F12" s="76"/>
      <c r="G12" s="257">
        <v>450.42</v>
      </c>
      <c r="H12" s="255"/>
      <c r="I12" s="288" t="s">
        <v>116</v>
      </c>
      <c r="J12" s="288"/>
      <c r="K12" s="288" t="s">
        <v>116</v>
      </c>
      <c r="L12" s="288"/>
      <c r="M12" s="288" t="s">
        <v>116</v>
      </c>
      <c r="N12" s="77"/>
      <c r="O12" s="288" t="s">
        <v>116</v>
      </c>
      <c r="P12" s="77"/>
      <c r="Q12" s="288" t="s">
        <v>116</v>
      </c>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row>
    <row r="13" spans="1:133" s="78" customFormat="1" ht="20.25" x14ac:dyDescent="0.2">
      <c r="A13" s="76"/>
      <c r="B13" s="76"/>
      <c r="C13" s="76"/>
      <c r="D13" s="76" t="s">
        <v>226</v>
      </c>
      <c r="E13" s="76"/>
      <c r="F13" s="76"/>
      <c r="G13" s="268">
        <v>145331.82999999999</v>
      </c>
      <c r="H13" s="255"/>
      <c r="I13" s="268">
        <v>292506.39</v>
      </c>
      <c r="J13" s="268"/>
      <c r="K13" s="268">
        <v>197801.29</v>
      </c>
      <c r="L13" s="268"/>
      <c r="M13" s="268">
        <v>320979.96999999997</v>
      </c>
      <c r="N13" s="77"/>
      <c r="O13" s="268">
        <v>316020.78000000003</v>
      </c>
      <c r="P13" s="77"/>
      <c r="Q13" s="268">
        <v>408772.18</v>
      </c>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row>
    <row r="14" spans="1:133" s="78" customFormat="1" ht="20.25" x14ac:dyDescent="0.2">
      <c r="A14" s="76"/>
      <c r="B14" s="76"/>
      <c r="C14" s="76"/>
      <c r="D14" s="76" t="s">
        <v>227</v>
      </c>
      <c r="E14" s="76"/>
      <c r="F14" s="76"/>
      <c r="G14" s="257">
        <v>692</v>
      </c>
      <c r="H14" s="255"/>
      <c r="I14" s="257">
        <v>134.44999999999999</v>
      </c>
      <c r="J14" s="257"/>
      <c r="K14" s="257">
        <v>12917.57</v>
      </c>
      <c r="L14" s="257"/>
      <c r="M14" s="257">
        <v>59.09</v>
      </c>
      <c r="N14" s="77"/>
      <c r="O14" s="257">
        <v>1016.96</v>
      </c>
      <c r="P14" s="77"/>
      <c r="Q14" s="257">
        <v>1031.54</v>
      </c>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row>
    <row r="15" spans="1:133" s="78" customFormat="1" ht="20.25" x14ac:dyDescent="0.2">
      <c r="A15" s="76"/>
      <c r="B15" s="76"/>
      <c r="C15" s="79"/>
      <c r="D15" s="79" t="s">
        <v>94</v>
      </c>
      <c r="E15" s="79"/>
      <c r="F15" s="79"/>
      <c r="G15" s="258">
        <v>200</v>
      </c>
      <c r="H15" s="255"/>
      <c r="I15" s="258">
        <v>200</v>
      </c>
      <c r="J15" s="255"/>
      <c r="K15" s="258">
        <v>200</v>
      </c>
      <c r="L15" s="255"/>
      <c r="M15" s="258">
        <v>200</v>
      </c>
      <c r="N15" s="77"/>
      <c r="O15" s="258">
        <v>200</v>
      </c>
      <c r="P15" s="77"/>
      <c r="Q15" s="258">
        <v>200</v>
      </c>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row>
    <row r="16" spans="1:133" s="75" customFormat="1" ht="20.25" x14ac:dyDescent="0.2">
      <c r="A16" s="74"/>
      <c r="B16" s="74"/>
      <c r="C16" s="74" t="s">
        <v>66</v>
      </c>
      <c r="D16" s="74"/>
      <c r="E16" s="74"/>
      <c r="F16" s="74"/>
      <c r="G16" s="259">
        <f>ROUND(SUM(G10:G15),5)</f>
        <v>156809.12</v>
      </c>
      <c r="H16" s="260"/>
      <c r="I16" s="259">
        <f>ROUND(SUM(I10:I15),5)</f>
        <v>292840.84000000003</v>
      </c>
      <c r="J16" s="259"/>
      <c r="K16" s="259">
        <f>ROUND(SUM(K10:K15),5)</f>
        <v>210918.86</v>
      </c>
      <c r="L16" s="259"/>
      <c r="M16" s="259">
        <f>ROUND(SUM(M10:M15),5)</f>
        <v>321239.06</v>
      </c>
      <c r="N16" s="69"/>
      <c r="O16" s="259">
        <f>ROUND(SUM(O10:O15),5)</f>
        <v>317237.74</v>
      </c>
      <c r="P16" s="69"/>
      <c r="Q16" s="259">
        <f>ROUND(SUM(Q10:Q15),5)</f>
        <v>410003.72</v>
      </c>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row>
    <row r="17" spans="1:66" s="75" customFormat="1" ht="14.25" customHeight="1" x14ac:dyDescent="0.2">
      <c r="A17" s="74"/>
      <c r="B17" s="74"/>
      <c r="C17" s="74"/>
      <c r="D17" s="74"/>
      <c r="E17" s="74"/>
      <c r="F17" s="74"/>
      <c r="G17" s="257"/>
      <c r="H17" s="255"/>
      <c r="I17" s="257"/>
      <c r="J17" s="257"/>
      <c r="K17" s="257"/>
      <c r="L17" s="257"/>
      <c r="M17" s="257"/>
      <c r="N17" s="69"/>
      <c r="O17" s="257"/>
      <c r="P17" s="69"/>
      <c r="Q17" s="257"/>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row>
    <row r="18" spans="1:66" s="75" customFormat="1" ht="20.25" x14ac:dyDescent="0.2">
      <c r="A18" s="74"/>
      <c r="B18" s="74"/>
      <c r="C18" s="74" t="s">
        <v>68</v>
      </c>
      <c r="D18" s="74"/>
      <c r="E18" s="74"/>
      <c r="F18" s="74"/>
      <c r="G18" s="257"/>
      <c r="H18" s="255"/>
      <c r="I18" s="257"/>
      <c r="J18" s="257"/>
      <c r="K18" s="257"/>
      <c r="L18" s="257"/>
      <c r="M18" s="257"/>
      <c r="N18" s="69"/>
      <c r="O18" s="257"/>
      <c r="P18" s="69"/>
      <c r="Q18" s="257"/>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row>
    <row r="19" spans="1:66" s="78" customFormat="1" ht="20.25" x14ac:dyDescent="0.2">
      <c r="A19" s="76"/>
      <c r="B19" s="76"/>
      <c r="C19" s="80"/>
      <c r="D19" s="80" t="s">
        <v>174</v>
      </c>
      <c r="E19" s="80"/>
      <c r="F19" s="80"/>
      <c r="G19" s="255">
        <v>347869.75</v>
      </c>
      <c r="H19" s="255"/>
      <c r="I19" s="308">
        <v>192875.7</v>
      </c>
      <c r="J19" s="308"/>
      <c r="K19" s="308">
        <v>311774.73</v>
      </c>
      <c r="L19" s="308"/>
      <c r="M19" s="308">
        <f>'April''16 AR Aging '!G61</f>
        <v>292441.31999999995</v>
      </c>
      <c r="N19" s="271"/>
      <c r="O19" s="308">
        <v>256955.64</v>
      </c>
      <c r="P19" s="77"/>
      <c r="Q19" s="257">
        <v>219033.57</v>
      </c>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row>
    <row r="20" spans="1:66" s="78" customFormat="1" ht="20.25" x14ac:dyDescent="0.2">
      <c r="A20" s="448"/>
      <c r="B20" s="451"/>
      <c r="C20" s="80"/>
      <c r="D20" s="80" t="s">
        <v>193</v>
      </c>
      <c r="E20" s="80"/>
      <c r="F20" s="80"/>
      <c r="G20" s="255"/>
      <c r="H20" s="255"/>
      <c r="I20" s="308"/>
      <c r="J20" s="308"/>
      <c r="K20" s="308">
        <v>5142.0600000000004</v>
      </c>
      <c r="L20" s="308"/>
      <c r="M20" s="308">
        <v>0</v>
      </c>
      <c r="N20" s="271"/>
      <c r="O20" s="308"/>
      <c r="P20" s="77"/>
      <c r="Q20" s="257">
        <f t="shared" ref="Q20" si="0">O20</f>
        <v>0</v>
      </c>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row>
    <row r="21" spans="1:66" s="78" customFormat="1" ht="20.25" x14ac:dyDescent="0.2">
      <c r="A21" s="76"/>
      <c r="B21" s="451"/>
      <c r="C21" s="76"/>
      <c r="D21" s="76" t="s">
        <v>341</v>
      </c>
      <c r="E21" s="76"/>
      <c r="F21" s="76"/>
      <c r="G21" s="257">
        <v>30505.9</v>
      </c>
      <c r="H21" s="255"/>
      <c r="I21" s="257">
        <v>29987.94</v>
      </c>
      <c r="J21" s="257"/>
      <c r="K21" s="257">
        <v>30012.080000000002</v>
      </c>
      <c r="L21" s="257"/>
      <c r="M21" s="257">
        <v>151035.72</v>
      </c>
      <c r="N21" s="271"/>
      <c r="O21" s="257">
        <v>30670.65</v>
      </c>
      <c r="P21" s="77"/>
      <c r="Q21" s="257">
        <v>31448.18</v>
      </c>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row>
    <row r="22" spans="1:66" s="78" customFormat="1" ht="20.25" x14ac:dyDescent="0.2">
      <c r="A22" s="491"/>
      <c r="B22" s="451"/>
      <c r="C22" s="491"/>
      <c r="D22" s="624" t="s">
        <v>264</v>
      </c>
      <c r="E22" s="624"/>
      <c r="F22" s="624"/>
      <c r="G22" s="257"/>
      <c r="H22" s="255"/>
      <c r="I22" s="257"/>
      <c r="J22" s="257"/>
      <c r="K22" s="257"/>
      <c r="L22" s="257"/>
      <c r="M22" s="257">
        <v>316.8</v>
      </c>
      <c r="N22" s="271"/>
      <c r="O22" s="257">
        <v>838.39</v>
      </c>
      <c r="P22" s="77"/>
      <c r="Q22" s="257">
        <v>0</v>
      </c>
      <c r="R22" s="77"/>
      <c r="S22" s="77"/>
      <c r="T22" s="271"/>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row>
    <row r="23" spans="1:66" s="78" customFormat="1" ht="20.25" x14ac:dyDescent="0.2">
      <c r="A23" s="76"/>
      <c r="B23" s="451"/>
      <c r="C23" s="79"/>
      <c r="D23" s="79" t="s">
        <v>95</v>
      </c>
      <c r="E23" s="79"/>
      <c r="F23" s="79"/>
      <c r="G23" s="258">
        <f>1051.41+611.29+577.49</f>
        <v>2240.19</v>
      </c>
      <c r="H23" s="255"/>
      <c r="I23" s="258">
        <f>5038.66+643.04+451.79</f>
        <v>6133.49</v>
      </c>
      <c r="J23" s="255"/>
      <c r="K23" s="258">
        <f>2941+1337.37+451.79</f>
        <v>4730.16</v>
      </c>
      <c r="L23" s="255"/>
      <c r="M23" s="459">
        <f>6869.02+1485.69</f>
        <v>8354.7100000000009</v>
      </c>
      <c r="N23" s="271"/>
      <c r="O23" s="258">
        <f>9703.37+1124.15</f>
        <v>10827.52</v>
      </c>
      <c r="P23" s="77"/>
      <c r="Q23" s="258">
        <f>7655.53+1124.15</f>
        <v>8779.68</v>
      </c>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row>
    <row r="24" spans="1:66" s="75" customFormat="1" ht="20.25" x14ac:dyDescent="0.2">
      <c r="A24" s="74"/>
      <c r="B24" s="68"/>
      <c r="C24" s="68" t="s">
        <v>69</v>
      </c>
      <c r="D24" s="68"/>
      <c r="E24" s="68"/>
      <c r="F24" s="68"/>
      <c r="G24" s="260">
        <f>SUM(G19:G23)</f>
        <v>380615.84</v>
      </c>
      <c r="H24" s="260"/>
      <c r="I24" s="260">
        <f>SUM(I19:I23)</f>
        <v>228997.13</v>
      </c>
      <c r="J24" s="260"/>
      <c r="K24" s="260">
        <f>SUM(K19:K23)</f>
        <v>351659.02999999997</v>
      </c>
      <c r="L24" s="260"/>
      <c r="M24" s="260">
        <f>SUM(M19:M23)</f>
        <v>452148.54999999993</v>
      </c>
      <c r="N24" s="289"/>
      <c r="O24" s="260">
        <f>SUM(O19:O23)</f>
        <v>299292.20000000007</v>
      </c>
      <c r="P24" s="69"/>
      <c r="Q24" s="260">
        <f>SUM(Q19:Q23)</f>
        <v>259261.43</v>
      </c>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row>
    <row r="25" spans="1:66" s="75" customFormat="1" ht="20.25" x14ac:dyDescent="0.2">
      <c r="A25" s="74"/>
      <c r="B25" s="68"/>
      <c r="C25" s="68"/>
      <c r="D25" s="68"/>
      <c r="E25" s="68"/>
      <c r="F25" s="68"/>
      <c r="G25" s="255"/>
      <c r="H25" s="255"/>
      <c r="I25" s="255"/>
      <c r="J25" s="255"/>
      <c r="K25" s="255"/>
      <c r="L25" s="255"/>
      <c r="M25" s="255"/>
      <c r="N25" s="69"/>
      <c r="O25" s="255"/>
      <c r="P25" s="69"/>
      <c r="Q25" s="255"/>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row>
    <row r="26" spans="1:66" s="75" customFormat="1" ht="21" thickBot="1" x14ac:dyDescent="0.25">
      <c r="A26" s="74"/>
      <c r="B26" s="81" t="s">
        <v>70</v>
      </c>
      <c r="C26" s="81"/>
      <c r="D26" s="81"/>
      <c r="E26" s="81"/>
      <c r="F26" s="81"/>
      <c r="G26" s="261">
        <f>G16+G24</f>
        <v>537424.96</v>
      </c>
      <c r="H26" s="260"/>
      <c r="I26" s="261">
        <f>I16+I24</f>
        <v>521837.97000000003</v>
      </c>
      <c r="J26" s="260"/>
      <c r="K26" s="261">
        <f>K16+K24</f>
        <v>562577.8899999999</v>
      </c>
      <c r="L26" s="260"/>
      <c r="M26" s="261">
        <f>M16+M24</f>
        <v>773387.60999999987</v>
      </c>
      <c r="N26" s="69"/>
      <c r="O26" s="261">
        <f>O16+O24</f>
        <v>616529.94000000006</v>
      </c>
      <c r="P26" s="69"/>
      <c r="Q26" s="261">
        <f>Q16+Q24</f>
        <v>669265.14999999991</v>
      </c>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row>
    <row r="27" spans="1:66" s="75" customFormat="1" ht="21" thickTop="1" x14ac:dyDescent="0.2">
      <c r="A27" s="74"/>
      <c r="B27" s="74"/>
      <c r="C27" s="74"/>
      <c r="D27" s="74"/>
      <c r="E27" s="74"/>
      <c r="F27" s="74"/>
      <c r="G27" s="259"/>
      <c r="H27" s="260"/>
      <c r="I27" s="259"/>
      <c r="J27" s="260"/>
      <c r="K27" s="259"/>
      <c r="L27" s="260"/>
      <c r="M27" s="259"/>
      <c r="N27" s="69"/>
      <c r="O27" s="259"/>
      <c r="P27" s="69"/>
      <c r="Q27" s="25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row>
    <row r="28" spans="1:66" s="73" customFormat="1" ht="20.25" x14ac:dyDescent="0.3">
      <c r="A28" s="70"/>
      <c r="B28" s="71" t="s">
        <v>71</v>
      </c>
      <c r="C28" s="71"/>
      <c r="D28" s="71"/>
      <c r="E28" s="71"/>
      <c r="F28" s="71"/>
      <c r="G28" s="262"/>
      <c r="H28" s="294"/>
      <c r="I28" s="262"/>
      <c r="J28" s="294"/>
      <c r="K28" s="262"/>
      <c r="L28" s="294"/>
      <c r="M28" s="262"/>
      <c r="N28" s="72"/>
      <c r="O28" s="262"/>
      <c r="P28" s="72"/>
      <c r="Q28" s="26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78" customFormat="1" ht="20.25" x14ac:dyDescent="0.2">
      <c r="A29" s="76"/>
      <c r="B29" s="451"/>
      <c r="C29" s="76"/>
      <c r="D29" s="76" t="s">
        <v>96</v>
      </c>
      <c r="E29" s="76"/>
      <c r="F29" s="76"/>
      <c r="G29" s="257">
        <f>121189.1</f>
        <v>121189.1</v>
      </c>
      <c r="H29" s="255"/>
      <c r="I29" s="257">
        <v>127946.4</v>
      </c>
      <c r="J29" s="255"/>
      <c r="K29" s="257">
        <v>142887.91999999998</v>
      </c>
      <c r="L29" s="255"/>
      <c r="M29" s="257">
        <v>183923.03</v>
      </c>
      <c r="N29" s="271"/>
      <c r="O29" s="257">
        <v>183923.03</v>
      </c>
      <c r="P29" s="77"/>
      <c r="Q29" s="257">
        <f>183425.03</f>
        <v>183425.03</v>
      </c>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row>
    <row r="30" spans="1:66" s="78" customFormat="1" ht="20.25" x14ac:dyDescent="0.2">
      <c r="A30" s="76"/>
      <c r="B30" s="451"/>
      <c r="C30" s="76"/>
      <c r="D30" s="76" t="s">
        <v>97</v>
      </c>
      <c r="E30" s="76"/>
      <c r="F30" s="76"/>
      <c r="G30" s="257">
        <v>33330</v>
      </c>
      <c r="H30" s="255"/>
      <c r="I30" s="257">
        <v>33330</v>
      </c>
      <c r="J30" s="255"/>
      <c r="K30" s="257">
        <v>33330</v>
      </c>
      <c r="L30" s="255"/>
      <c r="M30" s="257">
        <v>49562</v>
      </c>
      <c r="N30" s="271"/>
      <c r="O30" s="257">
        <v>49562</v>
      </c>
      <c r="P30" s="77"/>
      <c r="Q30" s="257">
        <v>82672</v>
      </c>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row>
    <row r="31" spans="1:66" s="78" customFormat="1" ht="20.25" x14ac:dyDescent="0.2">
      <c r="A31" s="76"/>
      <c r="B31" s="451"/>
      <c r="C31" s="76"/>
      <c r="D31" s="76" t="s">
        <v>98</v>
      </c>
      <c r="E31" s="76"/>
      <c r="F31" s="76"/>
      <c r="G31" s="257">
        <v>106341.41</v>
      </c>
      <c r="H31" s="255"/>
      <c r="I31" s="257">
        <v>127821.26</v>
      </c>
      <c r="J31" s="255"/>
      <c r="K31" s="257">
        <v>127821.26</v>
      </c>
      <c r="L31" s="255"/>
      <c r="M31" s="257">
        <v>142411.66</v>
      </c>
      <c r="N31" s="271"/>
      <c r="O31" s="257">
        <f>170125.66-27714</f>
        <v>142411.66</v>
      </c>
      <c r="P31" s="77"/>
      <c r="Q31" s="257">
        <v>142411.66</v>
      </c>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row>
    <row r="32" spans="1:66" s="78" customFormat="1" ht="20.25" x14ac:dyDescent="0.2">
      <c r="A32" s="76"/>
      <c r="B32" s="80"/>
      <c r="C32" s="80"/>
      <c r="D32" s="80" t="s">
        <v>99</v>
      </c>
      <c r="E32" s="80"/>
      <c r="F32" s="80"/>
      <c r="G32" s="255">
        <f>-174909-1</f>
        <v>-174910</v>
      </c>
      <c r="H32" s="255"/>
      <c r="I32" s="255">
        <v>-199818</v>
      </c>
      <c r="J32" s="255"/>
      <c r="K32" s="255">
        <f>-215091</f>
        <v>-215091</v>
      </c>
      <c r="L32" s="255"/>
      <c r="M32" s="255">
        <f>-253710.68</f>
        <v>-253710.68</v>
      </c>
      <c r="N32" s="271"/>
      <c r="O32" s="255">
        <f>-240514</f>
        <v>-240514</v>
      </c>
      <c r="P32" s="77"/>
      <c r="Q32" s="255">
        <f>-240417</f>
        <v>-240417</v>
      </c>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row>
    <row r="33" spans="1:66" s="75" customFormat="1" ht="20.25" x14ac:dyDescent="0.2">
      <c r="A33" s="74"/>
      <c r="B33" s="81" t="s">
        <v>72</v>
      </c>
      <c r="C33" s="81"/>
      <c r="D33" s="81"/>
      <c r="E33" s="81"/>
      <c r="F33" s="81"/>
      <c r="G33" s="263">
        <f>SUM(G29:G32)</f>
        <v>85950.510000000009</v>
      </c>
      <c r="H33" s="260"/>
      <c r="I33" s="263">
        <f>SUM(I29:I32)</f>
        <v>89279.659999999974</v>
      </c>
      <c r="J33" s="260"/>
      <c r="K33" s="263">
        <f>SUM(K29:K32)</f>
        <v>88948.18</v>
      </c>
      <c r="L33" s="260"/>
      <c r="M33" s="263">
        <f>SUM(M29:M32)</f>
        <v>122186.01000000001</v>
      </c>
      <c r="N33" s="69"/>
      <c r="O33" s="263">
        <f>SUM(O29:O32)</f>
        <v>135382.69</v>
      </c>
      <c r="P33" s="69"/>
      <c r="Q33" s="263">
        <f>SUM(Q29:Q32)</f>
        <v>168091.69000000006</v>
      </c>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row>
    <row r="34" spans="1:66" s="75" customFormat="1" ht="7.5" customHeight="1" x14ac:dyDescent="0.2">
      <c r="A34" s="74"/>
      <c r="B34" s="74"/>
      <c r="C34" s="74"/>
      <c r="D34" s="74"/>
      <c r="E34" s="74"/>
      <c r="F34" s="74"/>
      <c r="G34" s="259"/>
      <c r="H34" s="260"/>
      <c r="I34" s="259"/>
      <c r="J34" s="260"/>
      <c r="K34" s="259"/>
      <c r="L34" s="260"/>
      <c r="M34" s="259"/>
      <c r="N34" s="69"/>
      <c r="O34" s="259"/>
      <c r="P34" s="69"/>
      <c r="Q34" s="25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row>
    <row r="35" spans="1:66" s="75" customFormat="1" ht="12.75" customHeight="1" thickBot="1" x14ac:dyDescent="0.25">
      <c r="A35" s="74"/>
      <c r="B35" s="74"/>
      <c r="C35" s="74"/>
      <c r="D35" s="74"/>
      <c r="E35" s="74"/>
      <c r="F35" s="74"/>
      <c r="G35" s="255"/>
      <c r="H35" s="255"/>
      <c r="I35" s="255"/>
      <c r="J35" s="255"/>
      <c r="K35" s="255"/>
      <c r="L35" s="255"/>
      <c r="M35" s="255"/>
      <c r="N35" s="69"/>
      <c r="O35" s="255"/>
      <c r="P35" s="69"/>
      <c r="Q35" s="255"/>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row>
    <row r="36" spans="1:66" s="84" customFormat="1" ht="27.75" thickTop="1" thickBot="1" x14ac:dyDescent="0.25">
      <c r="A36" s="82" t="s">
        <v>73</v>
      </c>
      <c r="B36" s="82"/>
      <c r="C36" s="82"/>
      <c r="D36" s="82"/>
      <c r="E36" s="82"/>
      <c r="F36" s="82"/>
      <c r="G36" s="269">
        <f>G26+G33+1</f>
        <v>623376.47</v>
      </c>
      <c r="H36" s="296"/>
      <c r="I36" s="269">
        <f>I26+I33</f>
        <v>611117.63</v>
      </c>
      <c r="J36" s="296"/>
      <c r="K36" s="269">
        <f>K26+K33</f>
        <v>651526.06999999983</v>
      </c>
      <c r="L36" s="296"/>
      <c r="M36" s="269">
        <f>M26+M33</f>
        <v>895573.61999999988</v>
      </c>
      <c r="N36" s="83"/>
      <c r="O36" s="269">
        <f>O26+O33</f>
        <v>751912.63000000012</v>
      </c>
      <c r="P36" s="83"/>
      <c r="Q36" s="269">
        <f>Q26+Q33</f>
        <v>837356.84</v>
      </c>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row>
    <row r="37" spans="1:66" s="86" customFormat="1" ht="33" customHeight="1" thickTop="1" thickBot="1" x14ac:dyDescent="0.25">
      <c r="A37" s="74"/>
      <c r="B37" s="74"/>
      <c r="C37" s="74"/>
      <c r="D37" s="74"/>
      <c r="E37" s="74"/>
      <c r="F37" s="74"/>
      <c r="G37" s="362"/>
      <c r="H37" s="362"/>
      <c r="I37" s="362"/>
      <c r="J37" s="362"/>
      <c r="K37" s="260"/>
      <c r="L37" s="260"/>
      <c r="M37" s="260"/>
      <c r="N37" s="85"/>
      <c r="O37" s="260"/>
      <c r="P37" s="85"/>
      <c r="Q37" s="362"/>
      <c r="R37" s="85"/>
      <c r="S37" s="85"/>
      <c r="T37" s="85"/>
      <c r="U37" s="46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row>
    <row r="38" spans="1:66" s="67" customFormat="1" ht="27.75" thickTop="1" thickBot="1" x14ac:dyDescent="0.25">
      <c r="A38" s="65" t="s">
        <v>74</v>
      </c>
      <c r="B38" s="65"/>
      <c r="C38" s="65"/>
      <c r="D38" s="65"/>
      <c r="E38" s="65"/>
      <c r="F38" s="65"/>
      <c r="G38" s="264"/>
      <c r="H38" s="264"/>
      <c r="I38" s="264"/>
      <c r="J38" s="361"/>
      <c r="K38" s="264"/>
      <c r="L38" s="264"/>
      <c r="M38" s="264"/>
      <c r="N38" s="66"/>
      <c r="O38" s="264"/>
      <c r="P38" s="66"/>
      <c r="Q38" s="264"/>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row>
    <row r="39" spans="1:66" s="75" customFormat="1" ht="12.75" customHeight="1" thickTop="1" x14ac:dyDescent="0.2">
      <c r="A39" s="74"/>
      <c r="B39" s="74"/>
      <c r="C39" s="74"/>
      <c r="D39" s="74"/>
      <c r="E39" s="74"/>
      <c r="F39" s="74"/>
      <c r="G39" s="257"/>
      <c r="H39" s="255"/>
      <c r="I39" s="257"/>
      <c r="J39" s="257"/>
      <c r="K39" s="257"/>
      <c r="L39" s="255"/>
      <c r="M39" s="257"/>
      <c r="N39" s="69"/>
      <c r="O39" s="257"/>
      <c r="P39" s="69"/>
      <c r="Q39" s="257"/>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row>
    <row r="40" spans="1:66" s="75" customFormat="1" ht="24" thickBot="1" x14ac:dyDescent="0.25">
      <c r="A40" s="74"/>
      <c r="B40" s="87" t="s">
        <v>75</v>
      </c>
      <c r="C40" s="88"/>
      <c r="D40" s="88"/>
      <c r="E40" s="88"/>
      <c r="F40" s="88"/>
      <c r="G40" s="265"/>
      <c r="H40" s="255"/>
      <c r="I40" s="265"/>
      <c r="J40" s="265"/>
      <c r="K40" s="265"/>
      <c r="L40" s="265"/>
      <c r="M40" s="265"/>
      <c r="N40" s="69"/>
      <c r="O40" s="265"/>
      <c r="P40" s="69"/>
      <c r="Q40" s="265"/>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row>
    <row r="41" spans="1:66" s="75" customFormat="1" ht="9" customHeight="1" x14ac:dyDescent="0.2">
      <c r="A41" s="74"/>
      <c r="B41" s="74"/>
      <c r="C41" s="74"/>
      <c r="D41" s="74"/>
      <c r="E41" s="74"/>
      <c r="F41" s="74"/>
      <c r="G41" s="257"/>
      <c r="H41" s="255"/>
      <c r="I41" s="257"/>
      <c r="J41" s="255"/>
      <c r="K41" s="257"/>
      <c r="L41" s="255"/>
      <c r="M41" s="257"/>
      <c r="N41" s="69"/>
      <c r="O41" s="257"/>
      <c r="P41" s="69"/>
      <c r="Q41" s="257"/>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row>
    <row r="42" spans="1:66" s="73" customFormat="1" ht="21" thickBot="1" x14ac:dyDescent="0.35">
      <c r="A42" s="70"/>
      <c r="B42" s="155" t="s">
        <v>76</v>
      </c>
      <c r="C42" s="156"/>
      <c r="D42" s="155"/>
      <c r="E42" s="155"/>
      <c r="F42" s="155"/>
      <c r="G42" s="256"/>
      <c r="H42" s="294"/>
      <c r="I42" s="256"/>
      <c r="J42" s="294"/>
      <c r="K42" s="256"/>
      <c r="L42" s="294"/>
      <c r="M42" s="256"/>
      <c r="N42" s="72"/>
      <c r="O42" s="256"/>
      <c r="P42" s="72"/>
      <c r="Q42" s="256"/>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78" customFormat="1" ht="20.25" x14ac:dyDescent="0.2">
      <c r="A43" s="76"/>
      <c r="B43" s="76"/>
      <c r="C43" s="76"/>
      <c r="D43" s="76" t="s">
        <v>175</v>
      </c>
      <c r="F43" s="76"/>
      <c r="G43" s="270">
        <f>69820-97</f>
        <v>69723</v>
      </c>
      <c r="H43" s="270"/>
      <c r="I43" s="270">
        <f>28372.96+7920.21+107.28+634.51</f>
        <v>37034.959999999999</v>
      </c>
      <c r="J43" s="270"/>
      <c r="K43" s="270">
        <f>22719.28+6420.21+11878.57+10402.49</f>
        <v>51420.549999999996</v>
      </c>
      <c r="L43" s="270"/>
      <c r="M43" s="270">
        <f>17305.68+3420.21+6268.53+5260</f>
        <v>32254.42</v>
      </c>
      <c r="N43" s="434"/>
      <c r="O43" s="270">
        <f>17645.26+3420.21+4148.75+1210.18</f>
        <v>26424.399999999998</v>
      </c>
      <c r="P43" s="77"/>
      <c r="Q43" s="270">
        <f>36716.46+4920.21+275.65+4604.46</f>
        <v>46516.78</v>
      </c>
      <c r="R43" s="77"/>
      <c r="S43" s="434"/>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row>
    <row r="44" spans="1:66" s="78" customFormat="1" ht="20.25" x14ac:dyDescent="0.2">
      <c r="A44" s="76"/>
      <c r="B44" s="76"/>
      <c r="C44" s="76"/>
      <c r="D44" s="76" t="s">
        <v>112</v>
      </c>
      <c r="F44" s="76"/>
      <c r="G44" s="255">
        <v>96.97</v>
      </c>
      <c r="H44" s="255"/>
      <c r="I44" s="255">
        <v>1455.99</v>
      </c>
      <c r="J44" s="255"/>
      <c r="K44" s="255">
        <v>292.60000000000002</v>
      </c>
      <c r="L44" s="255"/>
      <c r="M44" s="255">
        <v>2097.7800000000002</v>
      </c>
      <c r="N44" s="77"/>
      <c r="O44" s="255">
        <v>188.99</v>
      </c>
      <c r="P44" s="77"/>
      <c r="Q44" s="255">
        <v>1581.41</v>
      </c>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row>
    <row r="45" spans="1:66" s="78" customFormat="1" ht="20.25" x14ac:dyDescent="0.2">
      <c r="A45" s="76"/>
      <c r="B45" s="76"/>
      <c r="C45" s="76"/>
      <c r="D45" s="80" t="s">
        <v>100</v>
      </c>
      <c r="F45" s="76"/>
      <c r="G45" s="257">
        <f>21801.7-8500</f>
        <v>13301.7</v>
      </c>
      <c r="H45" s="255"/>
      <c r="I45" s="257">
        <f>56994.65-I46</f>
        <v>167.52999999999884</v>
      </c>
      <c r="J45" s="255"/>
      <c r="K45" s="257">
        <v>462.51</v>
      </c>
      <c r="L45" s="257"/>
      <c r="M45" s="257">
        <v>2000</v>
      </c>
      <c r="N45" s="77"/>
      <c r="O45" s="257">
        <v>0</v>
      </c>
      <c r="P45" s="77"/>
      <c r="Q45" s="257">
        <v>9100</v>
      </c>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row>
    <row r="46" spans="1:66" s="78" customFormat="1" ht="20.25" hidden="1" x14ac:dyDescent="0.2">
      <c r="A46" s="76"/>
      <c r="B46" s="76"/>
      <c r="C46" s="76"/>
      <c r="D46" s="80" t="s">
        <v>184</v>
      </c>
      <c r="F46" s="76"/>
      <c r="G46" s="257"/>
      <c r="H46" s="255"/>
      <c r="I46" s="257">
        <v>56827.12</v>
      </c>
      <c r="J46" s="255"/>
      <c r="K46" s="257">
        <v>0</v>
      </c>
      <c r="L46" s="257"/>
      <c r="M46" s="257">
        <v>0</v>
      </c>
      <c r="N46" s="77"/>
      <c r="O46" s="257">
        <v>0</v>
      </c>
      <c r="P46" s="77"/>
      <c r="Q46" s="257">
        <v>0</v>
      </c>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row>
    <row r="47" spans="1:66" s="78" customFormat="1" ht="20.25" x14ac:dyDescent="0.2">
      <c r="A47" s="76"/>
      <c r="B47" s="76"/>
      <c r="C47" s="76"/>
      <c r="D47" s="79" t="s">
        <v>111</v>
      </c>
      <c r="E47" s="154"/>
      <c r="F47" s="79"/>
      <c r="G47" s="257">
        <v>21927</v>
      </c>
      <c r="H47" s="255"/>
      <c r="I47" s="257">
        <v>35416.79</v>
      </c>
      <c r="J47" s="255"/>
      <c r="K47" s="257">
        <v>101836.85</v>
      </c>
      <c r="L47" s="359"/>
      <c r="M47" s="257">
        <f>'April''16 Revenues &amp; Expenses'!L47</f>
        <v>132360.70000000001</v>
      </c>
      <c r="N47" s="271"/>
      <c r="O47" s="257">
        <v>76308.009999999995</v>
      </c>
      <c r="P47" s="77"/>
      <c r="Q47" s="257">
        <v>99569.93</v>
      </c>
      <c r="R47" s="77"/>
      <c r="S47" s="77"/>
      <c r="T47" s="77"/>
      <c r="U47" s="271"/>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row>
    <row r="48" spans="1:66" s="78" customFormat="1" ht="20.25" x14ac:dyDescent="0.2">
      <c r="A48" s="76"/>
      <c r="B48" s="76"/>
      <c r="C48" s="81" t="s">
        <v>87</v>
      </c>
      <c r="D48" s="76"/>
      <c r="F48" s="76"/>
      <c r="G48" s="266">
        <f>SUM(G43:G47)</f>
        <v>105048.67</v>
      </c>
      <c r="H48" s="255"/>
      <c r="I48" s="266">
        <f>SUM(I43:I47)</f>
        <v>130902.39000000001</v>
      </c>
      <c r="J48" s="255"/>
      <c r="K48" s="266">
        <f>SUM(K43:K47)</f>
        <v>154012.51</v>
      </c>
      <c r="L48" s="359"/>
      <c r="M48" s="266">
        <f>SUM(M43:M47)</f>
        <v>168712.90000000002</v>
      </c>
      <c r="N48" s="77"/>
      <c r="O48" s="266">
        <f>SUM(O43:O47)</f>
        <v>102921.4</v>
      </c>
      <c r="P48" s="77"/>
      <c r="Q48" s="266">
        <f>SUM(Q43:Q47)</f>
        <v>156768.12</v>
      </c>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row>
    <row r="49" spans="1:66" s="78" customFormat="1" ht="9.75" customHeight="1" x14ac:dyDescent="0.2">
      <c r="A49" s="76"/>
      <c r="B49" s="76"/>
      <c r="C49" s="76"/>
      <c r="D49" s="76"/>
      <c r="E49" s="76"/>
      <c r="F49" s="76"/>
      <c r="G49" s="257"/>
      <c r="H49" s="255"/>
      <c r="I49" s="257"/>
      <c r="J49" s="255"/>
      <c r="K49" s="257"/>
      <c r="L49" s="359"/>
      <c r="M49" s="257"/>
      <c r="N49" s="77"/>
      <c r="O49" s="257"/>
      <c r="P49" s="77"/>
      <c r="Q49" s="25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row>
    <row r="50" spans="1:66" s="78" customFormat="1" ht="20.25" x14ac:dyDescent="0.2">
      <c r="A50" s="76"/>
      <c r="B50" s="76"/>
      <c r="C50" s="89" t="s">
        <v>89</v>
      </c>
      <c r="D50" s="89"/>
      <c r="E50" s="154"/>
      <c r="F50" s="154"/>
      <c r="G50" s="258"/>
      <c r="H50" s="255"/>
      <c r="I50" s="258"/>
      <c r="J50" s="255"/>
      <c r="K50" s="258"/>
      <c r="L50" s="359"/>
      <c r="M50" s="258"/>
      <c r="N50" s="77"/>
      <c r="O50" s="258"/>
      <c r="P50" s="77"/>
      <c r="Q50" s="258"/>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row>
    <row r="51" spans="1:66" s="78" customFormat="1" ht="20.25" x14ac:dyDescent="0.2">
      <c r="A51" s="76"/>
      <c r="B51" s="76"/>
      <c r="C51" s="76"/>
      <c r="D51" s="76" t="s">
        <v>103</v>
      </c>
      <c r="E51" s="76"/>
      <c r="F51" s="76"/>
      <c r="G51" s="255">
        <f>1715.84+401.3+1316.76+28782.64+303.94</f>
        <v>32520.48</v>
      </c>
      <c r="H51" s="255"/>
      <c r="I51" s="255">
        <f>27523.73+2139.48-16.18</f>
        <v>29647.03</v>
      </c>
      <c r="J51" s="255"/>
      <c r="K51" s="255">
        <f>40113.7+2042.28-244.92-49.87-18080.71</f>
        <v>23780.479999999996</v>
      </c>
      <c r="L51" s="359"/>
      <c r="M51" s="255">
        <f>36929.26+0.01+781.31-262.94</f>
        <v>37447.64</v>
      </c>
      <c r="N51" s="77"/>
      <c r="O51" s="255">
        <f>15042.62+4022.68-O53-O54</f>
        <v>16958.989999999998</v>
      </c>
      <c r="P51" s="77"/>
      <c r="Q51" s="255">
        <f>32987.19+1968.35+1113.57</f>
        <v>36069.11</v>
      </c>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row>
    <row r="52" spans="1:66" s="78" customFormat="1" ht="20.25" x14ac:dyDescent="0.2">
      <c r="A52" s="76"/>
      <c r="B52" s="76"/>
      <c r="C52" s="76"/>
      <c r="D52" s="76" t="s">
        <v>104</v>
      </c>
      <c r="E52" s="76"/>
      <c r="F52" s="76"/>
      <c r="G52" s="255">
        <f>24766.94-3</f>
        <v>24763.94</v>
      </c>
      <c r="H52" s="255"/>
      <c r="I52" s="255">
        <f>10565.84+12679.94</f>
        <v>23245.78</v>
      </c>
      <c r="J52" s="255"/>
      <c r="K52" s="255">
        <f>9261.54+12728.46</f>
        <v>21990</v>
      </c>
      <c r="L52" s="359"/>
      <c r="M52" s="255">
        <v>28974.23</v>
      </c>
      <c r="N52" s="77"/>
      <c r="O52" s="255">
        <v>20679.34</v>
      </c>
      <c r="P52" s="77"/>
      <c r="Q52" s="255">
        <f>15564.15+10745.85</f>
        <v>26310</v>
      </c>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66" s="78" customFormat="1" ht="20.25" x14ac:dyDescent="0.2">
      <c r="A53" s="76"/>
      <c r="B53" s="76"/>
      <c r="C53" s="76"/>
      <c r="D53" s="76" t="s">
        <v>105</v>
      </c>
      <c r="E53" s="76"/>
      <c r="F53" s="76"/>
      <c r="G53" s="257">
        <v>2831.74</v>
      </c>
      <c r="H53" s="255"/>
      <c r="I53" s="257">
        <v>1679.74</v>
      </c>
      <c r="J53" s="255"/>
      <c r="K53" s="257">
        <v>2333.42</v>
      </c>
      <c r="L53" s="359"/>
      <c r="M53" s="257">
        <v>1853.73</v>
      </c>
      <c r="N53" s="77"/>
      <c r="O53" s="257">
        <v>1853.73</v>
      </c>
      <c r="P53" s="77"/>
      <c r="Q53" s="257">
        <v>2100.81</v>
      </c>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66" s="78" customFormat="1" ht="20.25" x14ac:dyDescent="0.2">
      <c r="A54" s="76"/>
      <c r="B54" s="76"/>
      <c r="C54" s="76"/>
      <c r="D54" s="76" t="s">
        <v>106</v>
      </c>
      <c r="E54" s="76"/>
      <c r="F54" s="76"/>
      <c r="G54" s="258">
        <v>243.82</v>
      </c>
      <c r="H54" s="255"/>
      <c r="I54" s="258">
        <v>197.3</v>
      </c>
      <c r="J54" s="255"/>
      <c r="K54" s="258">
        <v>352.78</v>
      </c>
      <c r="L54" s="359"/>
      <c r="M54" s="258">
        <v>274.33999999999997</v>
      </c>
      <c r="N54" s="77"/>
      <c r="O54" s="258">
        <v>252.58</v>
      </c>
      <c r="P54" s="77"/>
      <c r="Q54" s="258">
        <v>328.55</v>
      </c>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66" s="78" customFormat="1" ht="20.25" x14ac:dyDescent="0.2">
      <c r="A55" s="76"/>
      <c r="B55" s="76"/>
      <c r="C55" s="68" t="s">
        <v>88</v>
      </c>
      <c r="D55" s="76"/>
      <c r="F55" s="80"/>
      <c r="G55" s="255">
        <f>ROUND(SUM(G50:G54),5)</f>
        <v>60359.98</v>
      </c>
      <c r="H55" s="255"/>
      <c r="I55" s="255">
        <f>ROUND(SUM(I50:I54),5)</f>
        <v>54769.85</v>
      </c>
      <c r="J55" s="255"/>
      <c r="K55" s="255">
        <f>ROUND(SUM(K50:K54),5)</f>
        <v>48456.68</v>
      </c>
      <c r="L55" s="359"/>
      <c r="M55" s="255">
        <f>ROUND(SUM(M50:M54),5)</f>
        <v>68549.94</v>
      </c>
      <c r="N55" s="77"/>
      <c r="O55" s="255">
        <f>ROUND(SUM(O50:O54),5)</f>
        <v>39744.639999999999</v>
      </c>
      <c r="P55" s="77"/>
      <c r="Q55" s="255">
        <f>ROUND(SUM(Q50:Q54),5)</f>
        <v>64808.47</v>
      </c>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66" s="78" customFormat="1" ht="7.5" customHeight="1" x14ac:dyDescent="0.2">
      <c r="A56" s="76"/>
      <c r="B56" s="76"/>
      <c r="C56" s="79"/>
      <c r="D56" s="79"/>
      <c r="E56" s="79"/>
      <c r="F56" s="79"/>
      <c r="G56" s="258"/>
      <c r="H56" s="255"/>
      <c r="I56" s="258"/>
      <c r="J56" s="255"/>
      <c r="K56" s="258"/>
      <c r="L56" s="359"/>
      <c r="M56" s="258"/>
      <c r="N56" s="77"/>
      <c r="O56" s="258"/>
      <c r="P56" s="77"/>
      <c r="Q56" s="258"/>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row>
    <row r="57" spans="1:66" s="75" customFormat="1" ht="20.25" x14ac:dyDescent="0.2">
      <c r="A57" s="74"/>
      <c r="B57" s="74"/>
      <c r="C57" s="74" t="s">
        <v>90</v>
      </c>
      <c r="D57" s="74"/>
      <c r="E57" s="74"/>
      <c r="F57" s="74"/>
      <c r="G57" s="259">
        <f>G48+G55</f>
        <v>165408.65</v>
      </c>
      <c r="H57" s="260"/>
      <c r="I57" s="259">
        <f>I48+I55</f>
        <v>185672.24000000002</v>
      </c>
      <c r="J57" s="260"/>
      <c r="K57" s="259">
        <f>K48+K55</f>
        <v>202469.19</v>
      </c>
      <c r="L57" s="443"/>
      <c r="M57" s="259">
        <f>M48+M55</f>
        <v>237262.84000000003</v>
      </c>
      <c r="N57" s="289"/>
      <c r="O57" s="259">
        <f>O48+O55</f>
        <v>142666.03999999998</v>
      </c>
      <c r="P57" s="69"/>
      <c r="Q57" s="259">
        <f>Q48+Q55</f>
        <v>221576.59</v>
      </c>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row>
    <row r="58" spans="1:66" s="75" customFormat="1" ht="18.75" customHeight="1" x14ac:dyDescent="0.2">
      <c r="A58" s="74"/>
      <c r="B58" s="74"/>
      <c r="C58" s="74"/>
      <c r="D58" s="74"/>
      <c r="E58" s="74"/>
      <c r="F58" s="74"/>
      <c r="G58" s="259"/>
      <c r="H58" s="260"/>
      <c r="I58" s="259"/>
      <c r="J58" s="260"/>
      <c r="K58" s="259"/>
      <c r="L58" s="443"/>
      <c r="P58" s="69"/>
      <c r="Q58" s="25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row>
    <row r="59" spans="1:66" s="75" customFormat="1" ht="24" thickBot="1" x14ac:dyDescent="0.25">
      <c r="A59" s="74"/>
      <c r="B59" s="87" t="s">
        <v>77</v>
      </c>
      <c r="C59" s="88"/>
      <c r="D59" s="88"/>
      <c r="E59" s="88"/>
      <c r="F59" s="88"/>
      <c r="G59" s="265"/>
      <c r="H59" s="255"/>
      <c r="I59" s="265"/>
      <c r="J59" s="255"/>
      <c r="K59" s="265"/>
      <c r="L59" s="359"/>
      <c r="M59" s="265"/>
      <c r="N59" s="69"/>
      <c r="O59" s="265"/>
      <c r="P59" s="69"/>
      <c r="Q59" s="265"/>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row>
    <row r="60" spans="1:66" s="78" customFormat="1" ht="20.25" x14ac:dyDescent="0.2">
      <c r="A60" s="76"/>
      <c r="B60" s="76"/>
      <c r="D60" s="76" t="s">
        <v>101</v>
      </c>
      <c r="E60" s="76"/>
      <c r="F60" s="76"/>
      <c r="G60" s="257">
        <f>383624-G62</f>
        <v>342317</v>
      </c>
      <c r="H60" s="255"/>
      <c r="I60" s="257">
        <f>319119.59+35972.48+12500</f>
        <v>367592.07</v>
      </c>
      <c r="J60" s="255"/>
      <c r="K60" s="257">
        <f>319119.59+35972.48+12500</f>
        <v>367592.07</v>
      </c>
      <c r="L60" s="359"/>
      <c r="M60" s="257">
        <f>O60+O62</f>
        <v>570399.89999999956</v>
      </c>
      <c r="N60" s="271"/>
      <c r="O60" s="257">
        <f>432855.35+35972.48+12500</f>
        <v>481327.82999999996</v>
      </c>
      <c r="P60" s="77"/>
      <c r="Q60" s="257">
        <f>O60</f>
        <v>481327.82999999996</v>
      </c>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row>
    <row r="61" spans="1:66" s="78" customFormat="1" ht="20.25" x14ac:dyDescent="0.2">
      <c r="A61" s="76"/>
      <c r="B61" s="76"/>
      <c r="D61" s="76" t="s">
        <v>107</v>
      </c>
      <c r="E61" s="76"/>
      <c r="F61" s="76"/>
      <c r="G61" s="257">
        <v>74343</v>
      </c>
      <c r="H61" s="255"/>
      <c r="I61" s="257">
        <v>77939.64</v>
      </c>
      <c r="J61" s="255"/>
      <c r="K61" s="257">
        <v>52578.720000000001</v>
      </c>
      <c r="L61" s="359"/>
      <c r="M61" s="257">
        <f>'April''16 Revenues &amp; Expenses'!L64</f>
        <v>77114.756666666668</v>
      </c>
      <c r="N61" s="271"/>
      <c r="O61" s="257">
        <v>38846.69</v>
      </c>
      <c r="P61" s="77"/>
      <c r="Q61" s="257">
        <v>67564.27</v>
      </c>
      <c r="R61" s="77"/>
      <c r="S61" s="77"/>
      <c r="T61" s="271"/>
      <c r="U61" s="271"/>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row>
    <row r="62" spans="1:66" s="75" customFormat="1" ht="21" thickBot="1" x14ac:dyDescent="0.25">
      <c r="A62" s="74"/>
      <c r="B62" s="74"/>
      <c r="D62" s="76" t="s">
        <v>146</v>
      </c>
      <c r="E62" s="74"/>
      <c r="F62" s="88"/>
      <c r="G62" s="265">
        <v>41307</v>
      </c>
      <c r="H62" s="255"/>
      <c r="I62" s="265">
        <f>-20086.32</f>
        <v>-20086.32</v>
      </c>
      <c r="J62" s="359"/>
      <c r="K62" s="265">
        <v>28886.09</v>
      </c>
      <c r="L62" s="359"/>
      <c r="M62" s="265">
        <f>'April''16 State of Activities'!G58</f>
        <v>10796.090000000084</v>
      </c>
      <c r="N62" s="69"/>
      <c r="O62" s="265">
        <f>'April''16 State of Activities'!H58</f>
        <v>89072.0699999996</v>
      </c>
      <c r="P62" s="69"/>
      <c r="Q62" s="265">
        <f>'April''16 State of Activities'!J58</f>
        <v>66888.149999999674</v>
      </c>
      <c r="R62" s="69"/>
      <c r="S62" s="69"/>
      <c r="T62" s="69"/>
      <c r="U62" s="447"/>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row>
    <row r="63" spans="1:66" s="75" customFormat="1" ht="23.25" x14ac:dyDescent="0.2">
      <c r="A63" s="74"/>
      <c r="B63" s="90" t="s">
        <v>78</v>
      </c>
      <c r="C63" s="91"/>
      <c r="D63" s="91"/>
      <c r="E63" s="91"/>
      <c r="F63" s="68"/>
      <c r="G63" s="260">
        <f>ROUND(SUM(G59:G62),5)</f>
        <v>457967</v>
      </c>
      <c r="H63" s="260"/>
      <c r="I63" s="260">
        <f>ROUND(SUM(I59:I62),5)</f>
        <v>425445.39</v>
      </c>
      <c r="J63" s="443"/>
      <c r="K63" s="260">
        <f>ROUND(SUM(K59:K62),5)</f>
        <v>449056.88</v>
      </c>
      <c r="L63" s="443"/>
      <c r="M63" s="260">
        <f>ROUND(SUM(M59:M62),5)</f>
        <v>658310.74667000002</v>
      </c>
      <c r="N63" s="69"/>
      <c r="O63" s="260">
        <f>ROUND(SUM(O59:O62),5)</f>
        <v>609246.59</v>
      </c>
      <c r="P63" s="69"/>
      <c r="Q63" s="260">
        <f>ROUND(SUM(Q59:Q62),5)</f>
        <v>615780.25</v>
      </c>
      <c r="R63" s="69"/>
      <c r="S63" s="69"/>
      <c r="T63" s="69"/>
      <c r="U63" s="447"/>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row>
    <row r="64" spans="1:66" s="75" customFormat="1" ht="12.75" customHeight="1" x14ac:dyDescent="0.2">
      <c r="A64" s="74"/>
      <c r="B64" s="74"/>
      <c r="C64" s="74"/>
      <c r="D64" s="74"/>
      <c r="E64" s="74"/>
      <c r="F64" s="74"/>
      <c r="G64" s="258"/>
      <c r="H64" s="258"/>
      <c r="I64" s="258"/>
      <c r="J64" s="359"/>
      <c r="K64" s="258"/>
      <c r="L64" s="359"/>
      <c r="M64" s="258"/>
      <c r="N64" s="69"/>
      <c r="O64" s="258"/>
      <c r="P64" s="69"/>
      <c r="Q64" s="258"/>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row>
    <row r="65" spans="1:66" s="92" customFormat="1" ht="27" thickBot="1" x14ac:dyDescent="0.25">
      <c r="A65" s="82" t="s">
        <v>79</v>
      </c>
      <c r="B65" s="82"/>
      <c r="C65" s="82"/>
      <c r="D65" s="82"/>
      <c r="E65" s="82"/>
      <c r="F65" s="82"/>
      <c r="G65" s="397">
        <f>SUM(G57+G63)</f>
        <v>623375.65</v>
      </c>
      <c r="H65" s="397"/>
      <c r="I65" s="397">
        <f>SUM(I57+I63)</f>
        <v>611117.63</v>
      </c>
      <c r="J65" s="444"/>
      <c r="K65" s="397">
        <f>SUM(K57+K63)</f>
        <v>651526.07000000007</v>
      </c>
      <c r="L65" s="444"/>
      <c r="M65" s="397">
        <f>SUM(M57+M63)</f>
        <v>895573.58667000011</v>
      </c>
      <c r="N65" s="83"/>
      <c r="O65" s="397">
        <f>SUM(O57+O63)</f>
        <v>751912.62999999989</v>
      </c>
      <c r="P65" s="83"/>
      <c r="Q65" s="397">
        <f>SUM(Q57+Q63)</f>
        <v>837356.84</v>
      </c>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row>
    <row r="66" spans="1:66" ht="15" thickTop="1" x14ac:dyDescent="0.2">
      <c r="D66" s="381"/>
      <c r="J66" s="1"/>
      <c r="L66" s="1"/>
    </row>
    <row r="67" spans="1:66" hidden="1" x14ac:dyDescent="0.2">
      <c r="I67" s="274"/>
      <c r="J67" s="445"/>
      <c r="K67" s="274"/>
      <c r="L67" s="274"/>
      <c r="M67" s="274"/>
      <c r="O67" s="274"/>
      <c r="Q67" s="274"/>
    </row>
    <row r="68" spans="1:66" ht="14.25" customHeight="1" x14ac:dyDescent="0.2">
      <c r="C68" s="625" t="s">
        <v>265</v>
      </c>
      <c r="D68" s="625"/>
      <c r="E68" s="625"/>
      <c r="F68" s="625"/>
      <c r="J68" s="1"/>
      <c r="M68" s="518">
        <f>(M19+M16)/M57</f>
        <v>2.58650018688135</v>
      </c>
      <c r="N68" s="289"/>
      <c r="O68" s="518">
        <f>(O19+O16)/O57</f>
        <v>4.0247376320251131</v>
      </c>
      <c r="Q68" s="518">
        <f>(Q19+Q16)/Q57</f>
        <v>2.8389158349264245</v>
      </c>
    </row>
    <row r="71" spans="1:66" x14ac:dyDescent="0.2">
      <c r="I71" s="299"/>
      <c r="J71" s="299"/>
      <c r="K71" s="299"/>
      <c r="L71" s="299"/>
    </row>
    <row r="99" spans="9:9" x14ac:dyDescent="0.2">
      <c r="I99" s="1"/>
    </row>
  </sheetData>
  <mergeCells count="3">
    <mergeCell ref="L6:P6"/>
    <mergeCell ref="D22:F22"/>
    <mergeCell ref="C68:F68"/>
  </mergeCells>
  <pageMargins left="0.7" right="0.45" top="0.25" bottom="0" header="0.3" footer="0"/>
  <pageSetup scale="6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103"/>
  <sheetViews>
    <sheetView zoomScale="75" zoomScaleNormal="75" workbookViewId="0">
      <selection activeCell="A5" sqref="A5"/>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7" customWidth="1"/>
    <col min="8" max="8" width="23.125" style="18" customWidth="1"/>
    <col min="9" max="9" width="1.625" style="18" customWidth="1"/>
    <col min="10" max="10" width="23" style="18" customWidth="1"/>
    <col min="11" max="11" width="2" style="18" hidden="1" customWidth="1"/>
    <col min="12" max="12" width="23.5" style="18" hidden="1" customWidth="1"/>
    <col min="13" max="13" width="3.25" style="418" customWidth="1"/>
    <col min="14" max="14" width="15.375" style="18" customWidth="1"/>
    <col min="15" max="15" width="10" style="18" customWidth="1"/>
    <col min="16" max="16" width="26.75" style="18" customWidth="1"/>
    <col min="17" max="48" width="9" style="18"/>
    <col min="242" max="242" width="2.875" customWidth="1"/>
    <col min="243" max="243" width="8.125" customWidth="1"/>
    <col min="244" max="244" width="8.75" customWidth="1"/>
    <col min="245" max="245" width="11" customWidth="1"/>
    <col min="246" max="246" width="2.875" customWidth="1"/>
    <col min="247" max="247" width="77.625" customWidth="1"/>
    <col min="248" max="248" width="20.875" customWidth="1"/>
    <col min="498" max="498" width="2.875" customWidth="1"/>
    <col min="499" max="499" width="8.125" customWidth="1"/>
    <col min="500" max="500" width="8.75" customWidth="1"/>
    <col min="501" max="501" width="11" customWidth="1"/>
    <col min="502" max="502" width="2.875" customWidth="1"/>
    <col min="503" max="503" width="77.625" customWidth="1"/>
    <col min="504" max="504" width="20.875" customWidth="1"/>
    <col min="754" max="754" width="2.875" customWidth="1"/>
    <col min="755" max="755" width="8.125" customWidth="1"/>
    <col min="756" max="756" width="8.75" customWidth="1"/>
    <col min="757" max="757" width="11" customWidth="1"/>
    <col min="758" max="758" width="2.875" customWidth="1"/>
    <col min="759" max="759" width="77.625" customWidth="1"/>
    <col min="760" max="760" width="20.875" customWidth="1"/>
    <col min="1010" max="1010" width="2.875" customWidth="1"/>
    <col min="1011" max="1011" width="8.125" customWidth="1"/>
    <col min="1012" max="1012" width="8.75" customWidth="1"/>
    <col min="1013" max="1013" width="11" customWidth="1"/>
    <col min="1014" max="1014" width="2.875" customWidth="1"/>
    <col min="1015" max="1015" width="77.625" customWidth="1"/>
    <col min="1016" max="1016" width="20.875" customWidth="1"/>
    <col min="1266" max="1266" width="2.875" customWidth="1"/>
    <col min="1267" max="1267" width="8.125" customWidth="1"/>
    <col min="1268" max="1268" width="8.75" customWidth="1"/>
    <col min="1269" max="1269" width="11" customWidth="1"/>
    <col min="1270" max="1270" width="2.875" customWidth="1"/>
    <col min="1271" max="1271" width="77.625" customWidth="1"/>
    <col min="1272" max="1272" width="20.875" customWidth="1"/>
    <col min="1522" max="1522" width="2.875" customWidth="1"/>
    <col min="1523" max="1523" width="8.125" customWidth="1"/>
    <col min="1524" max="1524" width="8.75" customWidth="1"/>
    <col min="1525" max="1525" width="11" customWidth="1"/>
    <col min="1526" max="1526" width="2.875" customWidth="1"/>
    <col min="1527" max="1527" width="77.625" customWidth="1"/>
    <col min="1528" max="1528" width="20.875" customWidth="1"/>
    <col min="1778" max="1778" width="2.875" customWidth="1"/>
    <col min="1779" max="1779" width="8.125" customWidth="1"/>
    <col min="1780" max="1780" width="8.75" customWidth="1"/>
    <col min="1781" max="1781" width="11" customWidth="1"/>
    <col min="1782" max="1782" width="2.875" customWidth="1"/>
    <col min="1783" max="1783" width="77.625" customWidth="1"/>
    <col min="1784" max="1784" width="20.875" customWidth="1"/>
    <col min="2034" max="2034" width="2.875" customWidth="1"/>
    <col min="2035" max="2035" width="8.125" customWidth="1"/>
    <col min="2036" max="2036" width="8.75" customWidth="1"/>
    <col min="2037" max="2037" width="11" customWidth="1"/>
    <col min="2038" max="2038" width="2.875" customWidth="1"/>
    <col min="2039" max="2039" width="77.625" customWidth="1"/>
    <col min="2040" max="2040" width="20.875" customWidth="1"/>
    <col min="2290" max="2290" width="2.875" customWidth="1"/>
    <col min="2291" max="2291" width="8.125" customWidth="1"/>
    <col min="2292" max="2292" width="8.75" customWidth="1"/>
    <col min="2293" max="2293" width="11" customWidth="1"/>
    <col min="2294" max="2294" width="2.875" customWidth="1"/>
    <col min="2295" max="2295" width="77.625" customWidth="1"/>
    <col min="2296" max="2296" width="20.875" customWidth="1"/>
    <col min="2546" max="2546" width="2.875" customWidth="1"/>
    <col min="2547" max="2547" width="8.125" customWidth="1"/>
    <col min="2548" max="2548" width="8.75" customWidth="1"/>
    <col min="2549" max="2549" width="11" customWidth="1"/>
    <col min="2550" max="2550" width="2.875" customWidth="1"/>
    <col min="2551" max="2551" width="77.625" customWidth="1"/>
    <col min="2552" max="2552" width="20.875" customWidth="1"/>
    <col min="2802" max="2802" width="2.875" customWidth="1"/>
    <col min="2803" max="2803" width="8.125" customWidth="1"/>
    <col min="2804" max="2804" width="8.75" customWidth="1"/>
    <col min="2805" max="2805" width="11" customWidth="1"/>
    <col min="2806" max="2806" width="2.875" customWidth="1"/>
    <col min="2807" max="2807" width="77.625" customWidth="1"/>
    <col min="2808" max="2808" width="20.875" customWidth="1"/>
    <col min="3058" max="3058" width="2.875" customWidth="1"/>
    <col min="3059" max="3059" width="8.125" customWidth="1"/>
    <col min="3060" max="3060" width="8.75" customWidth="1"/>
    <col min="3061" max="3061" width="11" customWidth="1"/>
    <col min="3062" max="3062" width="2.875" customWidth="1"/>
    <col min="3063" max="3063" width="77.625" customWidth="1"/>
    <col min="3064" max="3064" width="20.875" customWidth="1"/>
    <col min="3314" max="3314" width="2.875" customWidth="1"/>
    <col min="3315" max="3315" width="8.125" customWidth="1"/>
    <col min="3316" max="3316" width="8.75" customWidth="1"/>
    <col min="3317" max="3317" width="11" customWidth="1"/>
    <col min="3318" max="3318" width="2.875" customWidth="1"/>
    <col min="3319" max="3319" width="77.625" customWidth="1"/>
    <col min="3320" max="3320" width="20.875" customWidth="1"/>
    <col min="3570" max="3570" width="2.875" customWidth="1"/>
    <col min="3571" max="3571" width="8.125" customWidth="1"/>
    <col min="3572" max="3572" width="8.75" customWidth="1"/>
    <col min="3573" max="3573" width="11" customWidth="1"/>
    <col min="3574" max="3574" width="2.875" customWidth="1"/>
    <col min="3575" max="3575" width="77.625" customWidth="1"/>
    <col min="3576" max="3576" width="20.875" customWidth="1"/>
    <col min="3826" max="3826" width="2.875" customWidth="1"/>
    <col min="3827" max="3827" width="8.125" customWidth="1"/>
    <col min="3828" max="3828" width="8.75" customWidth="1"/>
    <col min="3829" max="3829" width="11" customWidth="1"/>
    <col min="3830" max="3830" width="2.875" customWidth="1"/>
    <col min="3831" max="3831" width="77.625" customWidth="1"/>
    <col min="3832" max="3832" width="20.875" customWidth="1"/>
    <col min="4082" max="4082" width="2.875" customWidth="1"/>
    <col min="4083" max="4083" width="8.125" customWidth="1"/>
    <col min="4084" max="4084" width="8.75" customWidth="1"/>
    <col min="4085" max="4085" width="11" customWidth="1"/>
    <col min="4086" max="4086" width="2.875" customWidth="1"/>
    <col min="4087" max="4087" width="77.625" customWidth="1"/>
    <col min="4088" max="4088" width="20.875" customWidth="1"/>
    <col min="4338" max="4338" width="2.875" customWidth="1"/>
    <col min="4339" max="4339" width="8.125" customWidth="1"/>
    <col min="4340" max="4340" width="8.75" customWidth="1"/>
    <col min="4341" max="4341" width="11" customWidth="1"/>
    <col min="4342" max="4342" width="2.875" customWidth="1"/>
    <col min="4343" max="4343" width="77.625" customWidth="1"/>
    <col min="4344" max="4344" width="20.875" customWidth="1"/>
    <col min="4594" max="4594" width="2.875" customWidth="1"/>
    <col min="4595" max="4595" width="8.125" customWidth="1"/>
    <col min="4596" max="4596" width="8.75" customWidth="1"/>
    <col min="4597" max="4597" width="11" customWidth="1"/>
    <col min="4598" max="4598" width="2.875" customWidth="1"/>
    <col min="4599" max="4599" width="77.625" customWidth="1"/>
    <col min="4600" max="4600" width="20.875" customWidth="1"/>
    <col min="4850" max="4850" width="2.875" customWidth="1"/>
    <col min="4851" max="4851" width="8.125" customWidth="1"/>
    <col min="4852" max="4852" width="8.75" customWidth="1"/>
    <col min="4853" max="4853" width="11" customWidth="1"/>
    <col min="4854" max="4854" width="2.875" customWidth="1"/>
    <col min="4855" max="4855" width="77.625" customWidth="1"/>
    <col min="4856" max="4856" width="20.875" customWidth="1"/>
    <col min="5106" max="5106" width="2.875" customWidth="1"/>
    <col min="5107" max="5107" width="8.125" customWidth="1"/>
    <col min="5108" max="5108" width="8.75" customWidth="1"/>
    <col min="5109" max="5109" width="11" customWidth="1"/>
    <col min="5110" max="5110" width="2.875" customWidth="1"/>
    <col min="5111" max="5111" width="77.625" customWidth="1"/>
    <col min="5112" max="5112" width="20.875" customWidth="1"/>
    <col min="5362" max="5362" width="2.875" customWidth="1"/>
    <col min="5363" max="5363" width="8.125" customWidth="1"/>
    <col min="5364" max="5364" width="8.75" customWidth="1"/>
    <col min="5365" max="5365" width="11" customWidth="1"/>
    <col min="5366" max="5366" width="2.875" customWidth="1"/>
    <col min="5367" max="5367" width="77.625" customWidth="1"/>
    <col min="5368" max="5368" width="20.875" customWidth="1"/>
    <col min="5618" max="5618" width="2.875" customWidth="1"/>
    <col min="5619" max="5619" width="8.125" customWidth="1"/>
    <col min="5620" max="5620" width="8.75" customWidth="1"/>
    <col min="5621" max="5621" width="11" customWidth="1"/>
    <col min="5622" max="5622" width="2.875" customWidth="1"/>
    <col min="5623" max="5623" width="77.625" customWidth="1"/>
    <col min="5624" max="5624" width="20.875" customWidth="1"/>
    <col min="5874" max="5874" width="2.875" customWidth="1"/>
    <col min="5875" max="5875" width="8.125" customWidth="1"/>
    <col min="5876" max="5876" width="8.75" customWidth="1"/>
    <col min="5877" max="5877" width="11" customWidth="1"/>
    <col min="5878" max="5878" width="2.875" customWidth="1"/>
    <col min="5879" max="5879" width="77.625" customWidth="1"/>
    <col min="5880" max="5880" width="20.875" customWidth="1"/>
    <col min="6130" max="6130" width="2.875" customWidth="1"/>
    <col min="6131" max="6131" width="8.125" customWidth="1"/>
    <col min="6132" max="6132" width="8.75" customWidth="1"/>
    <col min="6133" max="6133" width="11" customWidth="1"/>
    <col min="6134" max="6134" width="2.875" customWidth="1"/>
    <col min="6135" max="6135" width="77.625" customWidth="1"/>
    <col min="6136" max="6136" width="20.875" customWidth="1"/>
    <col min="6386" max="6386" width="2.875" customWidth="1"/>
    <col min="6387" max="6387" width="8.125" customWidth="1"/>
    <col min="6388" max="6388" width="8.75" customWidth="1"/>
    <col min="6389" max="6389" width="11" customWidth="1"/>
    <col min="6390" max="6390" width="2.875" customWidth="1"/>
    <col min="6391" max="6391" width="77.625" customWidth="1"/>
    <col min="6392" max="6392" width="20.875" customWidth="1"/>
    <col min="6642" max="6642" width="2.875" customWidth="1"/>
    <col min="6643" max="6643" width="8.125" customWidth="1"/>
    <col min="6644" max="6644" width="8.75" customWidth="1"/>
    <col min="6645" max="6645" width="11" customWidth="1"/>
    <col min="6646" max="6646" width="2.875" customWidth="1"/>
    <col min="6647" max="6647" width="77.625" customWidth="1"/>
    <col min="6648" max="6648" width="20.875" customWidth="1"/>
    <col min="6898" max="6898" width="2.875" customWidth="1"/>
    <col min="6899" max="6899" width="8.125" customWidth="1"/>
    <col min="6900" max="6900" width="8.75" customWidth="1"/>
    <col min="6901" max="6901" width="11" customWidth="1"/>
    <col min="6902" max="6902" width="2.875" customWidth="1"/>
    <col min="6903" max="6903" width="77.625" customWidth="1"/>
    <col min="6904" max="6904" width="20.875" customWidth="1"/>
    <col min="7154" max="7154" width="2.875" customWidth="1"/>
    <col min="7155" max="7155" width="8.125" customWidth="1"/>
    <col min="7156" max="7156" width="8.75" customWidth="1"/>
    <col min="7157" max="7157" width="11" customWidth="1"/>
    <col min="7158" max="7158" width="2.875" customWidth="1"/>
    <col min="7159" max="7159" width="77.625" customWidth="1"/>
    <col min="7160" max="7160" width="20.875" customWidth="1"/>
    <col min="7410" max="7410" width="2.875" customWidth="1"/>
    <col min="7411" max="7411" width="8.125" customWidth="1"/>
    <col min="7412" max="7412" width="8.75" customWidth="1"/>
    <col min="7413" max="7413" width="11" customWidth="1"/>
    <col min="7414" max="7414" width="2.875" customWidth="1"/>
    <col min="7415" max="7415" width="77.625" customWidth="1"/>
    <col min="7416" max="7416" width="20.875" customWidth="1"/>
    <col min="7666" max="7666" width="2.875" customWidth="1"/>
    <col min="7667" max="7667" width="8.125" customWidth="1"/>
    <col min="7668" max="7668" width="8.75" customWidth="1"/>
    <col min="7669" max="7669" width="11" customWidth="1"/>
    <col min="7670" max="7670" width="2.875" customWidth="1"/>
    <col min="7671" max="7671" width="77.625" customWidth="1"/>
    <col min="7672" max="7672" width="20.875" customWidth="1"/>
    <col min="7922" max="7922" width="2.875" customWidth="1"/>
    <col min="7923" max="7923" width="8.125" customWidth="1"/>
    <col min="7924" max="7924" width="8.75" customWidth="1"/>
    <col min="7925" max="7925" width="11" customWidth="1"/>
    <col min="7926" max="7926" width="2.875" customWidth="1"/>
    <col min="7927" max="7927" width="77.625" customWidth="1"/>
    <col min="7928" max="7928" width="20.875" customWidth="1"/>
    <col min="8178" max="8178" width="2.875" customWidth="1"/>
    <col min="8179" max="8179" width="8.125" customWidth="1"/>
    <col min="8180" max="8180" width="8.75" customWidth="1"/>
    <col min="8181" max="8181" width="11" customWidth="1"/>
    <col min="8182" max="8182" width="2.875" customWidth="1"/>
    <col min="8183" max="8183" width="77.625" customWidth="1"/>
    <col min="8184" max="8184" width="20.875" customWidth="1"/>
    <col min="8434" max="8434" width="2.875" customWidth="1"/>
    <col min="8435" max="8435" width="8.125" customWidth="1"/>
    <col min="8436" max="8436" width="8.75" customWidth="1"/>
    <col min="8437" max="8437" width="11" customWidth="1"/>
    <col min="8438" max="8438" width="2.875" customWidth="1"/>
    <col min="8439" max="8439" width="77.625" customWidth="1"/>
    <col min="8440" max="8440" width="20.875" customWidth="1"/>
    <col min="8690" max="8690" width="2.875" customWidth="1"/>
    <col min="8691" max="8691" width="8.125" customWidth="1"/>
    <col min="8692" max="8692" width="8.75" customWidth="1"/>
    <col min="8693" max="8693" width="11" customWidth="1"/>
    <col min="8694" max="8694" width="2.875" customWidth="1"/>
    <col min="8695" max="8695" width="77.625" customWidth="1"/>
    <col min="8696" max="8696" width="20.875" customWidth="1"/>
    <col min="8946" max="8946" width="2.875" customWidth="1"/>
    <col min="8947" max="8947" width="8.125" customWidth="1"/>
    <col min="8948" max="8948" width="8.75" customWidth="1"/>
    <col min="8949" max="8949" width="11" customWidth="1"/>
    <col min="8950" max="8950" width="2.875" customWidth="1"/>
    <col min="8951" max="8951" width="77.625" customWidth="1"/>
    <col min="8952" max="8952" width="20.875" customWidth="1"/>
    <col min="9202" max="9202" width="2.875" customWidth="1"/>
    <col min="9203" max="9203" width="8.125" customWidth="1"/>
    <col min="9204" max="9204" width="8.75" customWidth="1"/>
    <col min="9205" max="9205" width="11" customWidth="1"/>
    <col min="9206" max="9206" width="2.875" customWidth="1"/>
    <col min="9207" max="9207" width="77.625" customWidth="1"/>
    <col min="9208" max="9208" width="20.875" customWidth="1"/>
    <col min="9458" max="9458" width="2.875" customWidth="1"/>
    <col min="9459" max="9459" width="8.125" customWidth="1"/>
    <col min="9460" max="9460" width="8.75" customWidth="1"/>
    <col min="9461" max="9461" width="11" customWidth="1"/>
    <col min="9462" max="9462" width="2.875" customWidth="1"/>
    <col min="9463" max="9463" width="77.625" customWidth="1"/>
    <col min="9464" max="9464" width="20.875" customWidth="1"/>
    <col min="9714" max="9714" width="2.875" customWidth="1"/>
    <col min="9715" max="9715" width="8.125" customWidth="1"/>
    <col min="9716" max="9716" width="8.75" customWidth="1"/>
    <col min="9717" max="9717" width="11" customWidth="1"/>
    <col min="9718" max="9718" width="2.875" customWidth="1"/>
    <col min="9719" max="9719" width="77.625" customWidth="1"/>
    <col min="9720" max="9720" width="20.875" customWidth="1"/>
    <col min="9970" max="9970" width="2.875" customWidth="1"/>
    <col min="9971" max="9971" width="8.125" customWidth="1"/>
    <col min="9972" max="9972" width="8.75" customWidth="1"/>
    <col min="9973" max="9973" width="11" customWidth="1"/>
    <col min="9974" max="9974" width="2.875" customWidth="1"/>
    <col min="9975" max="9975" width="77.625" customWidth="1"/>
    <col min="9976" max="9976" width="20.875" customWidth="1"/>
    <col min="10226" max="10226" width="2.875" customWidth="1"/>
    <col min="10227" max="10227" width="8.125" customWidth="1"/>
    <col min="10228" max="10228" width="8.75" customWidth="1"/>
    <col min="10229" max="10229" width="11" customWidth="1"/>
    <col min="10230" max="10230" width="2.875" customWidth="1"/>
    <col min="10231" max="10231" width="77.625" customWidth="1"/>
    <col min="10232" max="10232" width="20.875" customWidth="1"/>
    <col min="10482" max="10482" width="2.875" customWidth="1"/>
    <col min="10483" max="10483" width="8.125" customWidth="1"/>
    <col min="10484" max="10484" width="8.75" customWidth="1"/>
    <col min="10485" max="10485" width="11" customWidth="1"/>
    <col min="10486" max="10486" width="2.875" customWidth="1"/>
    <col min="10487" max="10487" width="77.625" customWidth="1"/>
    <col min="10488" max="10488" width="20.875" customWidth="1"/>
    <col min="10738" max="10738" width="2.875" customWidth="1"/>
    <col min="10739" max="10739" width="8.125" customWidth="1"/>
    <col min="10740" max="10740" width="8.75" customWidth="1"/>
    <col min="10741" max="10741" width="11" customWidth="1"/>
    <col min="10742" max="10742" width="2.875" customWidth="1"/>
    <col min="10743" max="10743" width="77.625" customWidth="1"/>
    <col min="10744" max="10744" width="20.875" customWidth="1"/>
    <col min="10994" max="10994" width="2.875" customWidth="1"/>
    <col min="10995" max="10995" width="8.125" customWidth="1"/>
    <col min="10996" max="10996" width="8.75" customWidth="1"/>
    <col min="10997" max="10997" width="11" customWidth="1"/>
    <col min="10998" max="10998" width="2.875" customWidth="1"/>
    <col min="10999" max="10999" width="77.625" customWidth="1"/>
    <col min="11000" max="11000" width="20.875" customWidth="1"/>
    <col min="11250" max="11250" width="2.875" customWidth="1"/>
    <col min="11251" max="11251" width="8.125" customWidth="1"/>
    <col min="11252" max="11252" width="8.75" customWidth="1"/>
    <col min="11253" max="11253" width="11" customWidth="1"/>
    <col min="11254" max="11254" width="2.875" customWidth="1"/>
    <col min="11255" max="11255" width="77.625" customWidth="1"/>
    <col min="11256" max="11256" width="20.875" customWidth="1"/>
    <col min="11506" max="11506" width="2.875" customWidth="1"/>
    <col min="11507" max="11507" width="8.125" customWidth="1"/>
    <col min="11508" max="11508" width="8.75" customWidth="1"/>
    <col min="11509" max="11509" width="11" customWidth="1"/>
    <col min="11510" max="11510" width="2.875" customWidth="1"/>
    <col min="11511" max="11511" width="77.625" customWidth="1"/>
    <col min="11512" max="11512" width="20.875" customWidth="1"/>
    <col min="11762" max="11762" width="2.875" customWidth="1"/>
    <col min="11763" max="11763" width="8.125" customWidth="1"/>
    <col min="11764" max="11764" width="8.75" customWidth="1"/>
    <col min="11765" max="11765" width="11" customWidth="1"/>
    <col min="11766" max="11766" width="2.875" customWidth="1"/>
    <col min="11767" max="11767" width="77.625" customWidth="1"/>
    <col min="11768" max="11768" width="20.875" customWidth="1"/>
    <col min="12018" max="12018" width="2.875" customWidth="1"/>
    <col min="12019" max="12019" width="8.125" customWidth="1"/>
    <col min="12020" max="12020" width="8.75" customWidth="1"/>
    <col min="12021" max="12021" width="11" customWidth="1"/>
    <col min="12022" max="12022" width="2.875" customWidth="1"/>
    <col min="12023" max="12023" width="77.625" customWidth="1"/>
    <col min="12024" max="12024" width="20.875" customWidth="1"/>
    <col min="12274" max="12274" width="2.875" customWidth="1"/>
    <col min="12275" max="12275" width="8.125" customWidth="1"/>
    <col min="12276" max="12276" width="8.75" customWidth="1"/>
    <col min="12277" max="12277" width="11" customWidth="1"/>
    <col min="12278" max="12278" width="2.875" customWidth="1"/>
    <col min="12279" max="12279" width="77.625" customWidth="1"/>
    <col min="12280" max="12280" width="20.875" customWidth="1"/>
    <col min="12530" max="12530" width="2.875" customWidth="1"/>
    <col min="12531" max="12531" width="8.125" customWidth="1"/>
    <col min="12532" max="12532" width="8.75" customWidth="1"/>
    <col min="12533" max="12533" width="11" customWidth="1"/>
    <col min="12534" max="12534" width="2.875" customWidth="1"/>
    <col min="12535" max="12535" width="77.625" customWidth="1"/>
    <col min="12536" max="12536" width="20.875" customWidth="1"/>
    <col min="12786" max="12786" width="2.875" customWidth="1"/>
    <col min="12787" max="12787" width="8.125" customWidth="1"/>
    <col min="12788" max="12788" width="8.75" customWidth="1"/>
    <col min="12789" max="12789" width="11" customWidth="1"/>
    <col min="12790" max="12790" width="2.875" customWidth="1"/>
    <col min="12791" max="12791" width="77.625" customWidth="1"/>
    <col min="12792" max="12792" width="20.875" customWidth="1"/>
    <col min="13042" max="13042" width="2.875" customWidth="1"/>
    <col min="13043" max="13043" width="8.125" customWidth="1"/>
    <col min="13044" max="13044" width="8.75" customWidth="1"/>
    <col min="13045" max="13045" width="11" customWidth="1"/>
    <col min="13046" max="13046" width="2.875" customWidth="1"/>
    <col min="13047" max="13047" width="77.625" customWidth="1"/>
    <col min="13048" max="13048" width="20.875" customWidth="1"/>
    <col min="13298" max="13298" width="2.875" customWidth="1"/>
    <col min="13299" max="13299" width="8.125" customWidth="1"/>
    <col min="13300" max="13300" width="8.75" customWidth="1"/>
    <col min="13301" max="13301" width="11" customWidth="1"/>
    <col min="13302" max="13302" width="2.875" customWidth="1"/>
    <col min="13303" max="13303" width="77.625" customWidth="1"/>
    <col min="13304" max="13304" width="20.875" customWidth="1"/>
    <col min="13554" max="13554" width="2.875" customWidth="1"/>
    <col min="13555" max="13555" width="8.125" customWidth="1"/>
    <col min="13556" max="13556" width="8.75" customWidth="1"/>
    <col min="13557" max="13557" width="11" customWidth="1"/>
    <col min="13558" max="13558" width="2.875" customWidth="1"/>
    <col min="13559" max="13559" width="77.625" customWidth="1"/>
    <col min="13560" max="13560" width="20.875" customWidth="1"/>
    <col min="13810" max="13810" width="2.875" customWidth="1"/>
    <col min="13811" max="13811" width="8.125" customWidth="1"/>
    <col min="13812" max="13812" width="8.75" customWidth="1"/>
    <col min="13813" max="13813" width="11" customWidth="1"/>
    <col min="13814" max="13814" width="2.875" customWidth="1"/>
    <col min="13815" max="13815" width="77.625" customWidth="1"/>
    <col min="13816" max="13816" width="20.875" customWidth="1"/>
    <col min="14066" max="14066" width="2.875" customWidth="1"/>
    <col min="14067" max="14067" width="8.125" customWidth="1"/>
    <col min="14068" max="14068" width="8.75" customWidth="1"/>
    <col min="14069" max="14069" width="11" customWidth="1"/>
    <col min="14070" max="14070" width="2.875" customWidth="1"/>
    <col min="14071" max="14071" width="77.625" customWidth="1"/>
    <col min="14072" max="14072" width="20.875" customWidth="1"/>
    <col min="14322" max="14322" width="2.875" customWidth="1"/>
    <col min="14323" max="14323" width="8.125" customWidth="1"/>
    <col min="14324" max="14324" width="8.75" customWidth="1"/>
    <col min="14325" max="14325" width="11" customWidth="1"/>
    <col min="14326" max="14326" width="2.875" customWidth="1"/>
    <col min="14327" max="14327" width="77.625" customWidth="1"/>
    <col min="14328" max="14328" width="20.875" customWidth="1"/>
    <col min="14578" max="14578" width="2.875" customWidth="1"/>
    <col min="14579" max="14579" width="8.125" customWidth="1"/>
    <col min="14580" max="14580" width="8.75" customWidth="1"/>
    <col min="14581" max="14581" width="11" customWidth="1"/>
    <col min="14582" max="14582" width="2.875" customWidth="1"/>
    <col min="14583" max="14583" width="77.625" customWidth="1"/>
    <col min="14584" max="14584" width="20.875" customWidth="1"/>
    <col min="14834" max="14834" width="2.875" customWidth="1"/>
    <col min="14835" max="14835" width="8.125" customWidth="1"/>
    <col min="14836" max="14836" width="8.75" customWidth="1"/>
    <col min="14837" max="14837" width="11" customWidth="1"/>
    <col min="14838" max="14838" width="2.875" customWidth="1"/>
    <col min="14839" max="14839" width="77.625" customWidth="1"/>
    <col min="14840" max="14840" width="20.875" customWidth="1"/>
    <col min="15090" max="15090" width="2.875" customWidth="1"/>
    <col min="15091" max="15091" width="8.125" customWidth="1"/>
    <col min="15092" max="15092" width="8.75" customWidth="1"/>
    <col min="15093" max="15093" width="11" customWidth="1"/>
    <col min="15094" max="15094" width="2.875" customWidth="1"/>
    <col min="15095" max="15095" width="77.625" customWidth="1"/>
    <col min="15096" max="15096" width="20.875" customWidth="1"/>
    <col min="15346" max="15346" width="2.875" customWidth="1"/>
    <col min="15347" max="15347" width="8.125" customWidth="1"/>
    <col min="15348" max="15348" width="8.75" customWidth="1"/>
    <col min="15349" max="15349" width="11" customWidth="1"/>
    <col min="15350" max="15350" width="2.875" customWidth="1"/>
    <col min="15351" max="15351" width="77.625" customWidth="1"/>
    <col min="15352" max="15352" width="20.875" customWidth="1"/>
    <col min="15602" max="15602" width="2.875" customWidth="1"/>
    <col min="15603" max="15603" width="8.125" customWidth="1"/>
    <col min="15604" max="15604" width="8.75" customWidth="1"/>
    <col min="15605" max="15605" width="11" customWidth="1"/>
    <col min="15606" max="15606" width="2.875" customWidth="1"/>
    <col min="15607" max="15607" width="77.625" customWidth="1"/>
    <col min="15608" max="15608" width="20.875" customWidth="1"/>
    <col min="15858" max="15858" width="2.875" customWidth="1"/>
    <col min="15859" max="15859" width="8.125" customWidth="1"/>
    <col min="15860" max="15860" width="8.75" customWidth="1"/>
    <col min="15861" max="15861" width="11" customWidth="1"/>
    <col min="15862" max="15862" width="2.875" customWidth="1"/>
    <col min="15863" max="15863" width="77.625" customWidth="1"/>
    <col min="15864" max="15864" width="20.875" customWidth="1"/>
    <col min="16114" max="16114" width="2.875" customWidth="1"/>
    <col min="16115" max="16115" width="8.125" customWidth="1"/>
    <col min="16116" max="16116" width="8.75" customWidth="1"/>
    <col min="16117" max="16117" width="11" customWidth="1"/>
    <col min="16118" max="16118" width="2.875" customWidth="1"/>
    <col min="16119" max="16119" width="77.625" customWidth="1"/>
    <col min="16120" max="16120" width="20.875" customWidth="1"/>
  </cols>
  <sheetData>
    <row r="1" spans="1:115" ht="22.5" customHeight="1" x14ac:dyDescent="0.4">
      <c r="A1" s="59" t="s">
        <v>110</v>
      </c>
      <c r="B1" s="60"/>
      <c r="C1" s="61"/>
      <c r="D1" s="61"/>
      <c r="E1" s="61"/>
      <c r="F1" s="60"/>
      <c r="G1" s="253"/>
      <c r="H1" s="60"/>
      <c r="I1" s="60"/>
      <c r="J1" s="60"/>
      <c r="K1" s="60"/>
      <c r="L1" s="60"/>
      <c r="M1" s="410"/>
      <c r="N1" s="60"/>
      <c r="O1" s="60"/>
      <c r="P1" s="60"/>
      <c r="Q1" s="60"/>
      <c r="R1" s="60"/>
      <c r="S1" s="60"/>
      <c r="T1" s="60"/>
      <c r="U1" s="60"/>
      <c r="V1" s="60"/>
      <c r="W1" s="60"/>
      <c r="X1" s="60"/>
      <c r="Y1" s="60"/>
      <c r="Z1" s="60"/>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row>
    <row r="2" spans="1:115" ht="22.5" customHeight="1" x14ac:dyDescent="0.4">
      <c r="A2" s="59" t="s">
        <v>205</v>
      </c>
      <c r="B2" s="60"/>
      <c r="C2" s="61"/>
      <c r="D2" s="61"/>
      <c r="E2" s="61"/>
      <c r="F2" s="60"/>
      <c r="G2" s="253"/>
      <c r="H2" s="60"/>
      <c r="I2" s="60"/>
      <c r="J2" s="60"/>
      <c r="K2" s="60"/>
      <c r="L2" s="60"/>
      <c r="M2" s="410"/>
      <c r="N2" s="60"/>
      <c r="O2" s="60"/>
      <c r="P2" s="60"/>
      <c r="Q2" s="60"/>
      <c r="R2" s="60"/>
      <c r="S2" s="60"/>
      <c r="T2" s="60"/>
      <c r="U2" s="60"/>
      <c r="V2" s="60"/>
      <c r="W2" s="60"/>
      <c r="X2" s="60"/>
      <c r="Y2" s="60"/>
      <c r="Z2" s="60"/>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22.5" customHeight="1" x14ac:dyDescent="0.4">
      <c r="A3" s="59" t="s">
        <v>344</v>
      </c>
      <c r="B3" s="60"/>
      <c r="C3" s="61"/>
      <c r="D3" s="61"/>
      <c r="E3" s="61"/>
      <c r="F3" s="60"/>
      <c r="G3" s="253"/>
      <c r="H3" s="60"/>
      <c r="I3" s="60"/>
      <c r="J3" s="60"/>
      <c r="K3" s="60"/>
      <c r="L3" s="60"/>
      <c r="M3" s="410"/>
      <c r="N3" s="60"/>
      <c r="O3" s="60"/>
      <c r="P3" s="60"/>
      <c r="Q3" s="60"/>
      <c r="R3" s="60"/>
      <c r="S3" s="60"/>
      <c r="T3" s="60"/>
      <c r="U3" s="60"/>
      <c r="V3" s="60"/>
      <c r="W3" s="60"/>
      <c r="X3" s="60"/>
      <c r="Y3" s="60"/>
      <c r="Z3" s="60"/>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ht="22.5" customHeight="1" x14ac:dyDescent="0.4">
      <c r="A4" s="59" t="s">
        <v>370</v>
      </c>
      <c r="B4" s="60"/>
      <c r="C4" s="61"/>
      <c r="D4" s="61"/>
      <c r="E4" s="61"/>
      <c r="F4" s="60"/>
      <c r="G4" s="253"/>
      <c r="H4" s="60"/>
      <c r="I4" s="60"/>
      <c r="J4" s="60"/>
      <c r="K4" s="60"/>
      <c r="L4" s="60"/>
      <c r="M4" s="410"/>
      <c r="N4" s="60"/>
      <c r="O4" s="60"/>
      <c r="P4" s="60"/>
      <c r="Q4" s="60"/>
      <c r="R4" s="60"/>
      <c r="S4" s="60"/>
      <c r="T4" s="60"/>
      <c r="U4" s="60"/>
      <c r="V4" s="60"/>
      <c r="W4" s="60"/>
      <c r="X4" s="60"/>
      <c r="Y4" s="60"/>
      <c r="Z4" s="60"/>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row>
    <row r="5" spans="1:115" s="64" customFormat="1" ht="5.25" customHeight="1" thickBot="1" x14ac:dyDescent="0.25">
      <c r="A5" s="62"/>
      <c r="B5" s="62"/>
      <c r="C5" s="62"/>
      <c r="D5" s="62"/>
      <c r="E5" s="62"/>
      <c r="F5" s="62"/>
      <c r="G5" s="254"/>
      <c r="H5" s="63"/>
      <c r="I5" s="63"/>
      <c r="J5" s="63"/>
      <c r="K5" s="63"/>
      <c r="L5" s="63"/>
      <c r="M5" s="411"/>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row>
    <row r="6" spans="1:115" s="67" customFormat="1" ht="24.75" customHeight="1" thickTop="1" thickBot="1" x14ac:dyDescent="0.25">
      <c r="A6" s="65" t="s">
        <v>125</v>
      </c>
      <c r="B6" s="65"/>
      <c r="C6" s="65"/>
      <c r="D6" s="65"/>
      <c r="E6" s="65"/>
      <c r="F6" s="65"/>
      <c r="G6" s="623" t="s">
        <v>63</v>
      </c>
      <c r="H6" s="623"/>
      <c r="I6" s="623"/>
      <c r="J6" s="623"/>
      <c r="K6" s="264"/>
      <c r="L6" s="264"/>
      <c r="M6" s="412"/>
      <c r="N6" s="482" t="s">
        <v>233</v>
      </c>
      <c r="O6" s="478" t="s">
        <v>246</v>
      </c>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row>
    <row r="7" spans="1:115" s="69" customFormat="1" ht="8.25" customHeight="1" thickTop="1" x14ac:dyDescent="0.2">
      <c r="A7" s="68"/>
      <c r="B7" s="68"/>
      <c r="C7" s="68"/>
      <c r="D7" s="68"/>
      <c r="E7" s="68"/>
      <c r="F7" s="68"/>
      <c r="G7" s="255"/>
      <c r="M7" s="413"/>
    </row>
    <row r="8" spans="1:115" s="73" customFormat="1" ht="21" thickBot="1" x14ac:dyDescent="0.35">
      <c r="A8" s="70"/>
      <c r="B8" s="155" t="s">
        <v>117</v>
      </c>
      <c r="C8" s="155"/>
      <c r="D8" s="155"/>
      <c r="E8" s="155"/>
      <c r="F8" s="155"/>
      <c r="G8" s="309">
        <v>42490</v>
      </c>
      <c r="H8" s="309">
        <v>42369</v>
      </c>
      <c r="I8" s="360"/>
      <c r="J8" s="309">
        <f>G8-366</f>
        <v>42124</v>
      </c>
      <c r="K8" s="72"/>
      <c r="L8" s="309">
        <v>41578</v>
      </c>
      <c r="M8" s="414"/>
      <c r="N8" s="626" t="s">
        <v>345</v>
      </c>
      <c r="O8" s="626"/>
      <c r="P8" s="72" t="s">
        <v>232</v>
      </c>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row>
    <row r="9" spans="1:115" s="75" customFormat="1" ht="20.25" x14ac:dyDescent="0.2">
      <c r="A9" s="74"/>
      <c r="B9" s="74"/>
      <c r="C9" s="76" t="s">
        <v>118</v>
      </c>
      <c r="D9" s="76"/>
      <c r="E9" s="76"/>
      <c r="F9" s="74"/>
      <c r="G9" s="290">
        <v>337897.61</v>
      </c>
      <c r="H9" s="290">
        <v>1001096.09</v>
      </c>
      <c r="I9" s="363"/>
      <c r="J9" s="290">
        <v>362662.07</v>
      </c>
      <c r="K9" s="69"/>
      <c r="L9" s="290">
        <v>583589.03</v>
      </c>
      <c r="M9" s="413"/>
      <c r="N9" s="433">
        <f t="shared" ref="N9:N25" si="0">G9-J9</f>
        <v>-24764.460000000021</v>
      </c>
      <c r="O9" s="479">
        <f>N9/J9</f>
        <v>-6.8285222107732468E-2</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row>
    <row r="10" spans="1:115" s="75" customFormat="1" ht="20.25" x14ac:dyDescent="0.2">
      <c r="A10" s="74"/>
      <c r="B10" s="74"/>
      <c r="C10" s="76" t="s">
        <v>214</v>
      </c>
      <c r="D10" s="76"/>
      <c r="E10" s="76"/>
      <c r="F10" s="74"/>
      <c r="G10" s="291">
        <v>5033.79</v>
      </c>
      <c r="H10" s="291">
        <v>18475.61</v>
      </c>
      <c r="I10" s="359"/>
      <c r="J10" s="291">
        <v>7919.63</v>
      </c>
      <c r="K10" s="69"/>
      <c r="L10" s="291">
        <v>27482.12</v>
      </c>
      <c r="M10" s="413"/>
      <c r="N10" s="302">
        <f t="shared" si="0"/>
        <v>-2885.84</v>
      </c>
      <c r="O10" s="498">
        <f t="shared" ref="O10:O28" si="1">N10/J10</f>
        <v>-0.36439076067947618</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row>
    <row r="11" spans="1:115" s="75" customFormat="1" ht="20.25" x14ac:dyDescent="0.2">
      <c r="A11" s="74"/>
      <c r="B11" s="452"/>
      <c r="C11" s="76" t="s">
        <v>177</v>
      </c>
      <c r="D11" s="76"/>
      <c r="E11" s="76"/>
      <c r="F11" s="74"/>
      <c r="G11" s="291">
        <v>67186.87</v>
      </c>
      <c r="H11" s="291">
        <f>185328.22+2397.01</f>
        <v>187725.23</v>
      </c>
      <c r="I11" s="359"/>
      <c r="J11" s="291">
        <f>61819.13-991.97</f>
        <v>60827.159999999996</v>
      </c>
      <c r="K11" s="69"/>
      <c r="L11" s="291">
        <v>169440.94</v>
      </c>
      <c r="M11" s="413"/>
      <c r="N11" s="302">
        <f t="shared" si="0"/>
        <v>6359.7099999999991</v>
      </c>
      <c r="O11" s="479">
        <f t="shared" si="1"/>
        <v>0.10455378814332281</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row>
    <row r="12" spans="1:115" s="75" customFormat="1" ht="20.25" x14ac:dyDescent="0.2">
      <c r="A12" s="74"/>
      <c r="B12" s="452"/>
      <c r="C12" s="76" t="s">
        <v>231</v>
      </c>
      <c r="D12" s="76"/>
      <c r="E12" s="76"/>
      <c r="F12" s="74"/>
      <c r="G12" s="291">
        <v>15208.38</v>
      </c>
      <c r="H12" s="291">
        <v>37034.239999999998</v>
      </c>
      <c r="I12" s="359"/>
      <c r="J12" s="291">
        <v>16419.169999999998</v>
      </c>
      <c r="K12" s="380"/>
      <c r="L12" s="291">
        <v>15523.58</v>
      </c>
      <c r="M12" s="413"/>
      <c r="N12" s="302">
        <f t="shared" si="0"/>
        <v>-1210.7899999999991</v>
      </c>
      <c r="O12" s="520">
        <f t="shared" si="1"/>
        <v>-7.3742460794303188E-2</v>
      </c>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row>
    <row r="13" spans="1:115" s="75" customFormat="1" ht="20.25" x14ac:dyDescent="0.2">
      <c r="A13" s="74"/>
      <c r="B13" s="452"/>
      <c r="C13" s="76" t="s">
        <v>119</v>
      </c>
      <c r="D13" s="76"/>
      <c r="E13" s="76"/>
      <c r="F13" s="74"/>
      <c r="G13" s="291"/>
      <c r="H13" s="291"/>
      <c r="I13" s="359"/>
      <c r="J13" s="291"/>
      <c r="K13" s="69"/>
      <c r="L13" s="291"/>
      <c r="M13" s="413"/>
      <c r="N13" s="302">
        <f t="shared" si="0"/>
        <v>0</v>
      </c>
      <c r="O13" s="47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row>
    <row r="14" spans="1:115" s="75" customFormat="1" ht="20.25" x14ac:dyDescent="0.2">
      <c r="A14" s="74"/>
      <c r="B14" s="452"/>
      <c r="C14" s="78"/>
      <c r="D14" s="76" t="s">
        <v>165</v>
      </c>
      <c r="E14" s="76"/>
      <c r="F14" s="74"/>
      <c r="G14" s="291">
        <v>32654.65</v>
      </c>
      <c r="H14" s="291">
        <v>79563.320000000007</v>
      </c>
      <c r="I14" s="359"/>
      <c r="J14" s="291">
        <v>26672.29</v>
      </c>
      <c r="K14" s="69"/>
      <c r="L14" s="291">
        <v>58782.74</v>
      </c>
      <c r="M14" s="413"/>
      <c r="N14" s="302">
        <f t="shared" si="0"/>
        <v>5982.3600000000006</v>
      </c>
      <c r="O14" s="519">
        <f t="shared" si="1"/>
        <v>0.22429120259265328</v>
      </c>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row>
    <row r="15" spans="1:115" s="75" customFormat="1" ht="20.25" x14ac:dyDescent="0.2">
      <c r="A15" s="74"/>
      <c r="B15" s="452"/>
      <c r="C15" s="78"/>
      <c r="D15" s="76" t="s">
        <v>189</v>
      </c>
      <c r="E15" s="76"/>
      <c r="F15" s="74"/>
      <c r="G15" s="291">
        <v>3340.9</v>
      </c>
      <c r="H15" s="291">
        <v>9745</v>
      </c>
      <c r="I15" s="359"/>
      <c r="J15" s="291">
        <v>2302.5</v>
      </c>
      <c r="K15" s="380"/>
      <c r="L15" s="291">
        <v>7410</v>
      </c>
      <c r="M15" s="413"/>
      <c r="N15" s="302">
        <f t="shared" si="0"/>
        <v>1038.4000000000001</v>
      </c>
      <c r="O15" s="519">
        <f t="shared" si="1"/>
        <v>0.45098805646036921</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row>
    <row r="16" spans="1:115" s="75" customFormat="1" ht="20.25" x14ac:dyDescent="0.2">
      <c r="A16" s="74"/>
      <c r="B16" s="452"/>
      <c r="C16" s="78"/>
      <c r="D16" s="624" t="s">
        <v>342</v>
      </c>
      <c r="E16" s="624"/>
      <c r="F16" s="624"/>
      <c r="G16" s="291">
        <v>460.7</v>
      </c>
      <c r="H16" s="291"/>
      <c r="I16" s="359"/>
      <c r="J16" s="291"/>
      <c r="K16" s="380"/>
      <c r="L16" s="291"/>
      <c r="M16" s="413"/>
      <c r="N16" s="302"/>
      <c r="O16" s="51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row>
    <row r="17" spans="1:48" s="75" customFormat="1" ht="20.25" x14ac:dyDescent="0.2">
      <c r="A17" s="74"/>
      <c r="B17" s="452"/>
      <c r="C17" s="76" t="s">
        <v>120</v>
      </c>
      <c r="D17" s="76"/>
      <c r="E17" s="76"/>
      <c r="F17" s="74"/>
      <c r="G17" s="291">
        <f>'April''16 Revenues &amp; Expenses'!J55</f>
        <v>2834.05</v>
      </c>
      <c r="H17" s="291">
        <v>9476.43</v>
      </c>
      <c r="I17" s="359"/>
      <c r="J17" s="291">
        <v>2195.4299999999998</v>
      </c>
      <c r="K17" s="69"/>
      <c r="L17" s="291">
        <v>5202</v>
      </c>
      <c r="M17" s="413"/>
      <c r="N17" s="302">
        <f t="shared" si="0"/>
        <v>638.62000000000035</v>
      </c>
      <c r="O17" s="479">
        <f t="shared" si="1"/>
        <v>0.2908860678773636</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1:48" s="75" customFormat="1" ht="20.25" x14ac:dyDescent="0.2">
      <c r="A18" s="74"/>
      <c r="B18" s="452"/>
      <c r="C18" s="448" t="s">
        <v>195</v>
      </c>
      <c r="D18" s="448"/>
      <c r="E18" s="448"/>
      <c r="F18" s="74"/>
      <c r="G18" s="291">
        <v>150</v>
      </c>
      <c r="H18" s="291">
        <v>120</v>
      </c>
      <c r="I18" s="359"/>
      <c r="J18" s="291">
        <v>0</v>
      </c>
      <c r="K18" s="69"/>
      <c r="L18" s="291">
        <f>944+97.5</f>
        <v>1041.5</v>
      </c>
      <c r="M18" s="413"/>
      <c r="N18" s="302">
        <f t="shared" si="0"/>
        <v>150</v>
      </c>
      <c r="O18" s="498"/>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row>
    <row r="19" spans="1:48" s="75" customFormat="1" ht="20.25" x14ac:dyDescent="0.2">
      <c r="A19" s="74"/>
      <c r="B19" s="452"/>
      <c r="C19" s="76" t="s">
        <v>127</v>
      </c>
      <c r="D19" s="76"/>
      <c r="E19" s="76"/>
      <c r="F19" s="74"/>
      <c r="G19" s="291">
        <v>406.6</v>
      </c>
      <c r="H19" s="291">
        <f>1787.72-H20</f>
        <v>1493.63</v>
      </c>
      <c r="I19" s="359"/>
      <c r="J19" s="291">
        <f>569.85-J20</f>
        <v>499.6</v>
      </c>
      <c r="K19" s="69"/>
      <c r="L19" s="291">
        <f>1381.25-L20</f>
        <v>1103.27</v>
      </c>
      <c r="M19" s="413"/>
      <c r="N19" s="302">
        <f t="shared" si="0"/>
        <v>-93</v>
      </c>
      <c r="O19" s="498">
        <f t="shared" si="1"/>
        <v>-0.18614891913530823</v>
      </c>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row>
    <row r="20" spans="1:48" s="75" customFormat="1" ht="20.25" x14ac:dyDescent="0.2">
      <c r="A20" s="74"/>
      <c r="B20" s="452"/>
      <c r="C20" s="448" t="s">
        <v>196</v>
      </c>
      <c r="D20" s="448"/>
      <c r="E20" s="448"/>
      <c r="F20" s="74"/>
      <c r="G20" s="291">
        <v>365.07</v>
      </c>
      <c r="H20" s="291">
        <f>70.25+87.03+108.89+27.92</f>
        <v>294.09000000000003</v>
      </c>
      <c r="I20" s="359"/>
      <c r="J20" s="291">
        <v>70.25</v>
      </c>
      <c r="K20" s="69"/>
      <c r="L20" s="291">
        <f>71.64+107.94+98.4</f>
        <v>277.98</v>
      </c>
      <c r="M20" s="413"/>
      <c r="N20" s="302">
        <f t="shared" si="0"/>
        <v>294.82</v>
      </c>
      <c r="O20" s="498"/>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row>
    <row r="21" spans="1:48" s="75" customFormat="1" ht="20.25" x14ac:dyDescent="0.2">
      <c r="A21" s="74"/>
      <c r="B21" s="452"/>
      <c r="C21" s="76" t="s">
        <v>343</v>
      </c>
      <c r="D21" s="76"/>
      <c r="E21" s="76"/>
      <c r="F21" s="74"/>
      <c r="G21" s="291">
        <v>0</v>
      </c>
      <c r="H21" s="291">
        <v>-753.08</v>
      </c>
      <c r="I21" s="359"/>
      <c r="J21" s="291">
        <v>248.29</v>
      </c>
      <c r="K21" s="69"/>
      <c r="L21" s="291">
        <f>-1131.23</f>
        <v>-1131.23</v>
      </c>
      <c r="M21" s="413"/>
      <c r="N21" s="302">
        <f t="shared" si="0"/>
        <v>-248.29</v>
      </c>
      <c r="O21" s="498"/>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row>
    <row r="22" spans="1:48" s="75" customFormat="1" ht="20.25" x14ac:dyDescent="0.2">
      <c r="A22" s="74"/>
      <c r="B22" s="452"/>
      <c r="C22" s="76" t="s">
        <v>194</v>
      </c>
      <c r="D22" s="76"/>
      <c r="E22" s="76"/>
      <c r="F22" s="74"/>
      <c r="G22" s="291">
        <v>19993.990000000002</v>
      </c>
      <c r="H22" s="291">
        <v>118559.95</v>
      </c>
      <c r="I22" s="359"/>
      <c r="J22" s="291">
        <v>74132.429999999993</v>
      </c>
      <c r="K22" s="69"/>
      <c r="L22" s="291">
        <v>47738.59</v>
      </c>
      <c r="M22" s="413"/>
      <c r="N22" s="302">
        <f t="shared" si="0"/>
        <v>-54138.439999999988</v>
      </c>
      <c r="O22" s="498">
        <f t="shared" si="1"/>
        <v>-0.73029361104175317</v>
      </c>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row>
    <row r="23" spans="1:48" s="75" customFormat="1" ht="20.25" x14ac:dyDescent="0.2">
      <c r="A23" s="74"/>
      <c r="B23" s="452"/>
      <c r="C23" s="76" t="s">
        <v>171</v>
      </c>
      <c r="D23" s="76"/>
      <c r="E23" s="76"/>
      <c r="F23" s="74"/>
      <c r="G23" s="291">
        <f>10.79+61.11+12.61+6000</f>
        <v>6084.51</v>
      </c>
      <c r="H23" s="291">
        <v>2067.3000000000002</v>
      </c>
      <c r="I23" s="359"/>
      <c r="J23" s="291">
        <v>475.86</v>
      </c>
      <c r="K23" s="69"/>
      <c r="L23" s="291">
        <f>345.75+222.16</f>
        <v>567.91</v>
      </c>
      <c r="M23" s="413"/>
      <c r="N23" s="302">
        <f t="shared" si="0"/>
        <v>5608.6500000000005</v>
      </c>
      <c r="O23" s="498">
        <f t="shared" si="1"/>
        <v>11.786344723237928</v>
      </c>
      <c r="P23" s="28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row>
    <row r="24" spans="1:48" s="75" customFormat="1" ht="20.25" hidden="1" x14ac:dyDescent="0.2">
      <c r="A24" s="74"/>
      <c r="B24" s="452"/>
      <c r="C24" s="76" t="s">
        <v>200</v>
      </c>
      <c r="D24" s="76"/>
      <c r="E24" s="76"/>
      <c r="F24" s="74"/>
      <c r="G24" s="291"/>
      <c r="H24" s="291"/>
      <c r="I24" s="359"/>
      <c r="J24" s="291"/>
      <c r="K24" s="69"/>
      <c r="L24" s="291"/>
      <c r="M24" s="413"/>
      <c r="N24" s="302">
        <f t="shared" si="0"/>
        <v>0</v>
      </c>
      <c r="O24" s="498" t="e">
        <f t="shared" si="1"/>
        <v>#DIV/0!</v>
      </c>
      <c r="P24" s="69" t="s">
        <v>266</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row>
    <row r="25" spans="1:48" s="75" customFormat="1" ht="21" thickBot="1" x14ac:dyDescent="0.25">
      <c r="A25" s="74"/>
      <c r="B25" s="452"/>
      <c r="C25" s="76" t="s">
        <v>126</v>
      </c>
      <c r="D25" s="76"/>
      <c r="E25" s="76"/>
      <c r="F25" s="74"/>
      <c r="G25" s="292">
        <v>15525</v>
      </c>
      <c r="H25" s="292">
        <v>46575</v>
      </c>
      <c r="I25" s="359"/>
      <c r="J25" s="292">
        <f>G25</f>
        <v>15525</v>
      </c>
      <c r="K25" s="69"/>
      <c r="L25" s="292">
        <v>26041.7</v>
      </c>
      <c r="M25" s="413"/>
      <c r="N25" s="432">
        <f t="shared" si="0"/>
        <v>0</v>
      </c>
      <c r="O25" s="480">
        <f t="shared" si="1"/>
        <v>0</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row>
    <row r="26" spans="1:48" s="75" customFormat="1" ht="20.25" x14ac:dyDescent="0.2">
      <c r="A26" s="74"/>
      <c r="B26" s="452"/>
      <c r="C26" s="76"/>
      <c r="D26" s="74" t="s">
        <v>122</v>
      </c>
      <c r="E26" s="76"/>
      <c r="F26" s="74"/>
      <c r="G26" s="257">
        <f>SUM(G9:G25)</f>
        <v>507142.12</v>
      </c>
      <c r="H26" s="257">
        <f>SUM(H9:H25)</f>
        <v>1511472.8099999998</v>
      </c>
      <c r="I26" s="255"/>
      <c r="J26" s="257">
        <f>SUM(J9:J25)</f>
        <v>569949.67999999982</v>
      </c>
      <c r="K26" s="69"/>
      <c r="L26" s="257">
        <f>SUM(L9:L25)</f>
        <v>943070.13</v>
      </c>
      <c r="M26" s="413"/>
      <c r="N26" s="257">
        <f>SUM(N9:N25)</f>
        <v>-63268.26</v>
      </c>
      <c r="O26" s="479">
        <f t="shared" si="1"/>
        <v>-0.11100674712195649</v>
      </c>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row>
    <row r="27" spans="1:48" s="75" customFormat="1" ht="21" thickBot="1" x14ac:dyDescent="0.25">
      <c r="A27" s="74"/>
      <c r="B27" s="452"/>
      <c r="C27" s="74" t="s">
        <v>123</v>
      </c>
      <c r="D27" s="76"/>
      <c r="E27" s="76"/>
      <c r="F27" s="74"/>
      <c r="G27" s="265">
        <v>30101.63</v>
      </c>
      <c r="H27" s="265">
        <v>101874.19</v>
      </c>
      <c r="I27" s="255"/>
      <c r="J27" s="265">
        <v>31532.94</v>
      </c>
      <c r="K27" s="69"/>
      <c r="L27" s="265">
        <v>57014.19</v>
      </c>
      <c r="M27" s="413"/>
      <c r="N27" s="265">
        <f>G27-J27</f>
        <v>-1431.3099999999977</v>
      </c>
      <c r="O27" s="499">
        <f t="shared" si="1"/>
        <v>-4.5390946736967683E-2</v>
      </c>
      <c r="P27" s="28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row>
    <row r="28" spans="1:48" s="75" customFormat="1" ht="20.25" x14ac:dyDescent="0.2">
      <c r="A28" s="74"/>
      <c r="B28" s="452"/>
      <c r="C28" s="76"/>
      <c r="D28" s="74" t="s">
        <v>124</v>
      </c>
      <c r="E28" s="76"/>
      <c r="F28" s="74"/>
      <c r="G28" s="257">
        <f>SUM(G26:G27)</f>
        <v>537243.75</v>
      </c>
      <c r="H28" s="257">
        <f>SUM(H26:H27)</f>
        <v>1613346.9999999998</v>
      </c>
      <c r="I28" s="255"/>
      <c r="J28" s="257">
        <f>SUM(J26:J27)</f>
        <v>601482.61999999976</v>
      </c>
      <c r="K28" s="69"/>
      <c r="L28" s="257">
        <f>SUM(L26:L27)</f>
        <v>1000084.3200000001</v>
      </c>
      <c r="M28" s="289"/>
      <c r="N28" s="257">
        <f>SUM(N26:N27)</f>
        <v>-64699.57</v>
      </c>
      <c r="O28" s="479">
        <f t="shared" si="1"/>
        <v>-0.10756681548005498</v>
      </c>
      <c r="P28" s="289"/>
      <c r="Q28" s="28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row>
    <row r="29" spans="1:48" s="75" customFormat="1" ht="6" customHeight="1" x14ac:dyDescent="0.2">
      <c r="A29" s="74"/>
      <c r="B29" s="452"/>
      <c r="C29" s="76"/>
      <c r="D29" s="74"/>
      <c r="E29" s="76"/>
      <c r="F29" s="74"/>
      <c r="G29" s="257"/>
      <c r="H29" s="257"/>
      <c r="I29" s="255"/>
      <c r="J29" s="257"/>
      <c r="K29" s="69"/>
      <c r="L29" s="257"/>
      <c r="M29" s="413"/>
      <c r="N29" s="467"/>
      <c r="O29" s="467"/>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row>
    <row r="30" spans="1:48" s="75" customFormat="1" ht="21" thickBot="1" x14ac:dyDescent="0.25">
      <c r="A30" s="74"/>
      <c r="B30" s="453" t="s">
        <v>128</v>
      </c>
      <c r="C30" s="88"/>
      <c r="D30" s="88"/>
      <c r="E30" s="88"/>
      <c r="F30" s="88"/>
      <c r="G30" s="265"/>
      <c r="H30" s="69"/>
      <c r="I30" s="69"/>
      <c r="J30" s="69"/>
      <c r="K30" s="289"/>
      <c r="L30" s="69"/>
      <c r="M30" s="413"/>
      <c r="N30" s="467"/>
      <c r="O30" s="467"/>
      <c r="P30" s="28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row>
    <row r="31" spans="1:48" s="69" customFormat="1" ht="20.25" x14ac:dyDescent="0.2">
      <c r="A31" s="68"/>
      <c r="B31" s="454"/>
      <c r="C31" s="80" t="s">
        <v>129</v>
      </c>
      <c r="D31" s="80"/>
      <c r="E31" s="80"/>
      <c r="F31" s="80"/>
      <c r="G31" s="255">
        <v>294367.90000000002</v>
      </c>
      <c r="H31" s="302">
        <v>873165.28</v>
      </c>
      <c r="I31" s="302"/>
      <c r="J31" s="460">
        <v>292509.21999999997</v>
      </c>
      <c r="L31" s="302">
        <f>557190.06+4121.98</f>
        <v>561312.04</v>
      </c>
      <c r="M31" s="413"/>
      <c r="N31" s="302">
        <f t="shared" ref="N31:N53" si="2">G31-J31</f>
        <v>1858.6800000000512</v>
      </c>
      <c r="O31" s="479">
        <f t="shared" ref="O31:O58" si="3">N31/J31</f>
        <v>6.3542612434577322E-3</v>
      </c>
      <c r="P31" s="289"/>
    </row>
    <row r="32" spans="1:48" s="69" customFormat="1" ht="20.25" x14ac:dyDescent="0.2">
      <c r="A32" s="68"/>
      <c r="B32" s="454"/>
      <c r="C32" s="80" t="s">
        <v>130</v>
      </c>
      <c r="D32" s="80"/>
      <c r="E32" s="80"/>
      <c r="F32" s="80"/>
      <c r="G32" s="255">
        <v>65309.09</v>
      </c>
      <c r="H32" s="302">
        <v>175476.13</v>
      </c>
      <c r="I32" s="302"/>
      <c r="J32" s="460">
        <v>66805.25</v>
      </c>
      <c r="L32" s="302">
        <f>115001.59+1133.14+76.26</f>
        <v>116210.98999999999</v>
      </c>
      <c r="M32" s="413"/>
      <c r="N32" s="302">
        <f t="shared" si="2"/>
        <v>-1496.1600000000035</v>
      </c>
      <c r="O32" s="479">
        <f t="shared" si="3"/>
        <v>-2.2395844637958896E-2</v>
      </c>
      <c r="P32" s="289"/>
    </row>
    <row r="33" spans="1:16" s="69" customFormat="1" ht="20.25" x14ac:dyDescent="0.2">
      <c r="A33" s="68"/>
      <c r="B33" s="454"/>
      <c r="C33" s="80" t="s">
        <v>131</v>
      </c>
      <c r="D33" s="80"/>
      <c r="E33" s="80"/>
      <c r="F33" s="80"/>
      <c r="G33" s="255">
        <f>16125-G25</f>
        <v>600</v>
      </c>
      <c r="H33" s="255">
        <f>48831-H25</f>
        <v>2256</v>
      </c>
      <c r="I33" s="302"/>
      <c r="J33" s="302">
        <f>16125-J34</f>
        <v>600</v>
      </c>
      <c r="L33" s="302">
        <f>26641.7-L34</f>
        <v>600</v>
      </c>
      <c r="M33" s="413"/>
      <c r="N33" s="302">
        <f t="shared" si="2"/>
        <v>0</v>
      </c>
      <c r="O33" s="479">
        <f t="shared" si="3"/>
        <v>0</v>
      </c>
    </row>
    <row r="34" spans="1:16" s="69" customFormat="1" ht="20.25" x14ac:dyDescent="0.2">
      <c r="A34" s="68"/>
      <c r="B34" s="454"/>
      <c r="C34" s="80" t="s">
        <v>121</v>
      </c>
      <c r="D34" s="80"/>
      <c r="E34" s="80"/>
      <c r="F34" s="80"/>
      <c r="G34" s="255">
        <f>G25</f>
        <v>15525</v>
      </c>
      <c r="H34" s="255">
        <f>H25</f>
        <v>46575</v>
      </c>
      <c r="I34" s="302"/>
      <c r="J34" s="302">
        <f>J25</f>
        <v>15525</v>
      </c>
      <c r="L34" s="302">
        <f>L25</f>
        <v>26041.7</v>
      </c>
      <c r="M34" s="413"/>
      <c r="N34" s="302">
        <f t="shared" si="2"/>
        <v>0</v>
      </c>
      <c r="O34" s="479">
        <f t="shared" si="3"/>
        <v>0</v>
      </c>
    </row>
    <row r="35" spans="1:16" s="69" customFormat="1" ht="20.25" x14ac:dyDescent="0.2">
      <c r="A35" s="68"/>
      <c r="B35" s="454"/>
      <c r="C35" s="80" t="s">
        <v>132</v>
      </c>
      <c r="D35" s="80"/>
      <c r="E35" s="80"/>
      <c r="F35" s="80"/>
      <c r="G35" s="255">
        <v>4707.18</v>
      </c>
      <c r="H35" s="255">
        <v>15368.7</v>
      </c>
      <c r="I35" s="302"/>
      <c r="J35" s="302">
        <v>6186.65</v>
      </c>
      <c r="L35" s="302">
        <v>9512.8799999999992</v>
      </c>
      <c r="M35" s="413"/>
      <c r="N35" s="302">
        <f t="shared" si="2"/>
        <v>-1479.4699999999993</v>
      </c>
      <c r="O35" s="498">
        <f t="shared" si="3"/>
        <v>-0.23913911406011321</v>
      </c>
    </row>
    <row r="36" spans="1:16" s="69" customFormat="1" ht="20.25" x14ac:dyDescent="0.2">
      <c r="A36" s="68"/>
      <c r="B36" s="454"/>
      <c r="C36" s="80" t="s">
        <v>133</v>
      </c>
      <c r="D36" s="80"/>
      <c r="E36" s="80"/>
      <c r="F36" s="80"/>
      <c r="G36" s="255">
        <v>1505.88</v>
      </c>
      <c r="H36" s="255">
        <v>2948.04</v>
      </c>
      <c r="I36" s="302"/>
      <c r="J36" s="302">
        <v>984.28</v>
      </c>
      <c r="L36" s="302">
        <v>4097.3500000000004</v>
      </c>
      <c r="M36" s="413"/>
      <c r="N36" s="302">
        <f t="shared" si="2"/>
        <v>521.60000000000014</v>
      </c>
      <c r="O36" s="519">
        <f t="shared" si="3"/>
        <v>0.52993050757914428</v>
      </c>
    </row>
    <row r="37" spans="1:16" s="69" customFormat="1" ht="20.25" x14ac:dyDescent="0.2">
      <c r="A37" s="68"/>
      <c r="B37" s="454"/>
      <c r="C37" s="80" t="s">
        <v>134</v>
      </c>
      <c r="D37" s="80"/>
      <c r="E37" s="80"/>
      <c r="F37" s="80"/>
      <c r="G37" s="255">
        <v>3058.22</v>
      </c>
      <c r="H37" s="255">
        <v>7415.96</v>
      </c>
      <c r="I37" s="302"/>
      <c r="J37" s="302">
        <v>3619.53</v>
      </c>
      <c r="L37" s="302">
        <v>7238.76</v>
      </c>
      <c r="M37" s="413"/>
      <c r="N37" s="302">
        <f t="shared" si="2"/>
        <v>-561.3100000000004</v>
      </c>
      <c r="O37" s="498">
        <f t="shared" si="3"/>
        <v>-0.15507814550507948</v>
      </c>
    </row>
    <row r="38" spans="1:16" s="69" customFormat="1" ht="20.25" x14ac:dyDescent="0.2">
      <c r="A38" s="68"/>
      <c r="B38" s="454"/>
      <c r="C38" s="80" t="s">
        <v>135</v>
      </c>
      <c r="D38" s="80"/>
      <c r="E38" s="80"/>
      <c r="F38" s="80"/>
      <c r="G38" s="255">
        <v>2255.75</v>
      </c>
      <c r="H38" s="255">
        <v>15897.1</v>
      </c>
      <c r="I38" s="302"/>
      <c r="J38" s="302">
        <v>4822.1099999999997</v>
      </c>
      <c r="L38" s="302">
        <v>7607.31</v>
      </c>
      <c r="M38" s="413"/>
      <c r="N38" s="302">
        <f t="shared" si="2"/>
        <v>-2566.3599999999997</v>
      </c>
      <c r="O38" s="498">
        <f t="shared" si="3"/>
        <v>-0.53220685550516267</v>
      </c>
    </row>
    <row r="39" spans="1:16" s="69" customFormat="1" ht="20.25" x14ac:dyDescent="0.2">
      <c r="A39" s="68"/>
      <c r="B39" s="454"/>
      <c r="C39" s="80" t="s">
        <v>136</v>
      </c>
      <c r="D39" s="80"/>
      <c r="E39" s="80"/>
      <c r="F39" s="80"/>
      <c r="G39" s="255">
        <f>9703.03+4481.9</f>
        <v>14184.93</v>
      </c>
      <c r="H39" s="255">
        <f>37169.8+12707.02</f>
        <v>49876.820000000007</v>
      </c>
      <c r="I39" s="302"/>
      <c r="J39" s="302">
        <f>12585.15+6781.22</f>
        <v>19366.37</v>
      </c>
      <c r="L39" s="302">
        <f>24578.87+8061.5</f>
        <v>32640.37</v>
      </c>
      <c r="M39" s="413"/>
      <c r="N39" s="302">
        <f t="shared" si="2"/>
        <v>-5181.4399999999987</v>
      </c>
      <c r="O39" s="498">
        <f t="shared" si="3"/>
        <v>-0.26754833249597104</v>
      </c>
    </row>
    <row r="40" spans="1:16" s="69" customFormat="1" ht="20.25" x14ac:dyDescent="0.2">
      <c r="A40" s="68"/>
      <c r="B40" s="454"/>
      <c r="C40" s="80" t="s">
        <v>137</v>
      </c>
      <c r="D40" s="80"/>
      <c r="E40" s="80"/>
      <c r="F40" s="80"/>
      <c r="G40" s="255">
        <v>2330.29</v>
      </c>
      <c r="H40" s="255">
        <v>5247.4</v>
      </c>
      <c r="I40" s="302"/>
      <c r="J40" s="302">
        <v>2672.47</v>
      </c>
      <c r="L40" s="302">
        <v>3710.37</v>
      </c>
      <c r="M40" s="413"/>
      <c r="N40" s="302">
        <f t="shared" si="2"/>
        <v>-342.17999999999984</v>
      </c>
      <c r="O40" s="498">
        <f t="shared" si="3"/>
        <v>-0.12803885544084681</v>
      </c>
    </row>
    <row r="41" spans="1:16" s="69" customFormat="1" ht="20.25" x14ac:dyDescent="0.2">
      <c r="A41" s="68"/>
      <c r="B41" s="454"/>
      <c r="C41" s="80" t="s">
        <v>138</v>
      </c>
      <c r="D41" s="80"/>
      <c r="E41" s="80"/>
      <c r="F41" s="80"/>
      <c r="G41" s="255">
        <v>632</v>
      </c>
      <c r="H41" s="255">
        <v>1684.5</v>
      </c>
      <c r="I41" s="302"/>
      <c r="J41" s="302">
        <v>649.5</v>
      </c>
      <c r="L41" s="302">
        <f>1049.5+75</f>
        <v>1124.5</v>
      </c>
      <c r="M41" s="413"/>
      <c r="N41" s="302">
        <f t="shared" si="2"/>
        <v>-17.5</v>
      </c>
      <c r="O41" s="498">
        <f t="shared" si="3"/>
        <v>-2.6943802925327175E-2</v>
      </c>
    </row>
    <row r="42" spans="1:16" s="69" customFormat="1" ht="20.25" x14ac:dyDescent="0.2">
      <c r="A42" s="68"/>
      <c r="B42" s="454"/>
      <c r="C42" s="80" t="s">
        <v>202</v>
      </c>
      <c r="D42" s="80"/>
      <c r="E42" s="80"/>
      <c r="F42" s="80"/>
      <c r="G42" s="255">
        <v>9212</v>
      </c>
      <c r="H42" s="255">
        <v>12011.37</v>
      </c>
      <c r="I42" s="302"/>
      <c r="J42" s="302">
        <v>9100</v>
      </c>
      <c r="K42" s="420"/>
      <c r="L42" s="302">
        <v>8818.0400000000009</v>
      </c>
      <c r="M42" s="413"/>
      <c r="N42" s="302">
        <f t="shared" si="2"/>
        <v>112</v>
      </c>
      <c r="O42" s="479"/>
    </row>
    <row r="43" spans="1:16" s="77" customFormat="1" ht="20.25" x14ac:dyDescent="0.2">
      <c r="A43" s="80"/>
      <c r="B43" s="450"/>
      <c r="C43" s="80" t="s">
        <v>139</v>
      </c>
      <c r="D43" s="80"/>
      <c r="E43" s="80"/>
      <c r="F43" s="80"/>
      <c r="G43" s="359">
        <v>5637.97</v>
      </c>
      <c r="H43" s="359">
        <v>13242.1</v>
      </c>
      <c r="I43" s="461"/>
      <c r="J43" s="461">
        <v>6729.83</v>
      </c>
      <c r="K43" s="419"/>
      <c r="L43" s="303">
        <f>6235.9+517.47</f>
        <v>6753.37</v>
      </c>
      <c r="M43" s="415"/>
      <c r="N43" s="302">
        <f t="shared" si="2"/>
        <v>-1091.8599999999997</v>
      </c>
      <c r="O43" s="498">
        <f t="shared" si="3"/>
        <v>-0.16224183968985839</v>
      </c>
    </row>
    <row r="44" spans="1:16" s="77" customFormat="1" ht="20.25" x14ac:dyDescent="0.2">
      <c r="A44" s="80"/>
      <c r="B44" s="450"/>
      <c r="C44" s="80" t="s">
        <v>140</v>
      </c>
      <c r="D44" s="80"/>
      <c r="E44" s="80"/>
      <c r="F44" s="80"/>
      <c r="G44" s="255">
        <v>4111.97</v>
      </c>
      <c r="H44" s="255">
        <v>12340.39</v>
      </c>
      <c r="I44" s="255"/>
      <c r="J44" s="359">
        <v>3931.38</v>
      </c>
      <c r="K44" s="419"/>
      <c r="L44" s="255">
        <f>8631.03+1180</f>
        <v>9811.0300000000007</v>
      </c>
      <c r="M44" s="415"/>
      <c r="N44" s="302">
        <f t="shared" si="2"/>
        <v>180.59000000000015</v>
      </c>
      <c r="O44" s="479">
        <f t="shared" si="3"/>
        <v>4.5935523912722792E-2</v>
      </c>
    </row>
    <row r="45" spans="1:16" s="77" customFormat="1" ht="20.25" x14ac:dyDescent="0.2">
      <c r="A45" s="80"/>
      <c r="B45" s="450"/>
      <c r="C45" s="80" t="s">
        <v>149</v>
      </c>
      <c r="D45" s="80"/>
      <c r="E45" s="80"/>
      <c r="F45" s="80"/>
      <c r="G45" s="255">
        <f>443+19</f>
        <v>462</v>
      </c>
      <c r="H45" s="255">
        <f>1016+320.5</f>
        <v>1336.5</v>
      </c>
      <c r="I45" s="255"/>
      <c r="J45" s="359">
        <f>339+34</f>
        <v>373</v>
      </c>
      <c r="K45" s="419"/>
      <c r="L45" s="255">
        <f>239+137.85</f>
        <v>376.85</v>
      </c>
      <c r="M45" s="415"/>
      <c r="N45" s="302">
        <f t="shared" si="2"/>
        <v>89</v>
      </c>
      <c r="O45" s="498"/>
      <c r="P45" s="359"/>
    </row>
    <row r="46" spans="1:16" s="77" customFormat="1" ht="20.25" x14ac:dyDescent="0.2">
      <c r="A46" s="80"/>
      <c r="B46" s="450"/>
      <c r="C46" s="80" t="s">
        <v>141</v>
      </c>
      <c r="D46" s="80"/>
      <c r="E46" s="80"/>
      <c r="F46" s="80"/>
      <c r="G46" s="359">
        <f>3267.88+4992.39</f>
        <v>8260.27</v>
      </c>
      <c r="H46" s="359">
        <f>9707.85+3259.9</f>
        <v>12967.75</v>
      </c>
      <c r="I46" s="255"/>
      <c r="J46" s="255">
        <f>2859.9+2809.75</f>
        <v>5669.65</v>
      </c>
      <c r="K46" s="419"/>
      <c r="L46" s="255">
        <f>2570+420</f>
        <v>2990</v>
      </c>
      <c r="M46" s="415"/>
      <c r="N46" s="302">
        <f t="shared" si="2"/>
        <v>2590.6200000000008</v>
      </c>
      <c r="O46" s="479">
        <f t="shared" si="3"/>
        <v>0.45692767631158909</v>
      </c>
      <c r="P46" s="271"/>
    </row>
    <row r="47" spans="1:16" s="69" customFormat="1" ht="20.25" x14ac:dyDescent="0.2">
      <c r="A47" s="68"/>
      <c r="B47" s="454"/>
      <c r="C47" s="80" t="s">
        <v>267</v>
      </c>
      <c r="D47" s="80"/>
      <c r="E47" s="80"/>
      <c r="F47" s="80"/>
      <c r="G47" s="255">
        <v>3922.05</v>
      </c>
      <c r="H47" s="255">
        <v>16870.7</v>
      </c>
      <c r="I47" s="255"/>
      <c r="J47" s="255">
        <v>5075.26</v>
      </c>
      <c r="K47" s="420"/>
      <c r="L47" s="255">
        <f>7053.04+750</f>
        <v>7803.04</v>
      </c>
      <c r="M47" s="413"/>
      <c r="N47" s="302">
        <f t="shared" si="2"/>
        <v>-1153.21</v>
      </c>
      <c r="O47" s="498">
        <f t="shared" si="3"/>
        <v>-0.22722185661424241</v>
      </c>
    </row>
    <row r="48" spans="1:16" s="69" customFormat="1" ht="20.25" x14ac:dyDescent="0.2">
      <c r="A48" s="68"/>
      <c r="B48" s="454"/>
      <c r="C48" s="627" t="s">
        <v>263</v>
      </c>
      <c r="D48" s="627"/>
      <c r="E48" s="627"/>
      <c r="F48" s="627"/>
      <c r="G48" s="255">
        <v>0</v>
      </c>
      <c r="H48" s="255">
        <v>918.9</v>
      </c>
      <c r="I48" s="255"/>
      <c r="J48" s="255">
        <v>918.9</v>
      </c>
      <c r="K48" s="420"/>
      <c r="L48" s="255"/>
      <c r="M48" s="413"/>
      <c r="N48" s="302">
        <f t="shared" si="2"/>
        <v>-918.9</v>
      </c>
      <c r="O48" s="479">
        <f t="shared" si="3"/>
        <v>-1</v>
      </c>
    </row>
    <row r="49" spans="1:20" s="77" customFormat="1" ht="20.25" x14ac:dyDescent="0.2">
      <c r="A49" s="80"/>
      <c r="B49" s="450"/>
      <c r="C49" s="80" t="s">
        <v>142</v>
      </c>
      <c r="D49" s="80"/>
      <c r="E49" s="80"/>
      <c r="F49" s="80"/>
      <c r="G49" s="359">
        <v>13196.68</v>
      </c>
      <c r="H49" s="359">
        <v>38647</v>
      </c>
      <c r="I49" s="255"/>
      <c r="J49" s="255">
        <v>12880</v>
      </c>
      <c r="K49" s="419"/>
      <c r="L49" s="255">
        <v>23359</v>
      </c>
      <c r="M49" s="415"/>
      <c r="N49" s="302">
        <f t="shared" si="2"/>
        <v>316.68000000000029</v>
      </c>
      <c r="O49" s="479">
        <f t="shared" si="3"/>
        <v>2.4586956521739152E-2</v>
      </c>
    </row>
    <row r="50" spans="1:20" s="77" customFormat="1" ht="20.25" x14ac:dyDescent="0.2">
      <c r="A50" s="80"/>
      <c r="B50" s="450"/>
      <c r="C50" s="80" t="s">
        <v>143</v>
      </c>
      <c r="D50" s="80"/>
      <c r="E50" s="80"/>
      <c r="F50" s="80"/>
      <c r="G50" s="359">
        <f>1800+700+3746.12</f>
        <v>6246.12</v>
      </c>
      <c r="H50" s="359">
        <f>39156.53+1850.04</f>
        <v>41006.57</v>
      </c>
      <c r="I50" s="255"/>
      <c r="J50" s="359">
        <f>18518.01+462.51</f>
        <v>18980.519999999997</v>
      </c>
      <c r="K50" s="419"/>
      <c r="L50" s="255">
        <f>1140.5+14937.96+2887.53</f>
        <v>18965.989999999998</v>
      </c>
      <c r="M50" s="415"/>
      <c r="N50" s="302">
        <f t="shared" si="2"/>
        <v>-12734.399999999998</v>
      </c>
      <c r="O50" s="498">
        <f t="shared" si="3"/>
        <v>-0.67091944793925562</v>
      </c>
    </row>
    <row r="51" spans="1:20" s="77" customFormat="1" ht="20.25" x14ac:dyDescent="0.2">
      <c r="A51" s="80"/>
      <c r="B51" s="450"/>
      <c r="C51" s="80" t="s">
        <v>203</v>
      </c>
      <c r="D51" s="80"/>
      <c r="E51" s="80"/>
      <c r="F51" s="80"/>
      <c r="G51" s="255">
        <v>11302.32</v>
      </c>
      <c r="H51" s="255">
        <v>34068.78</v>
      </c>
      <c r="I51" s="255"/>
      <c r="J51" s="255">
        <v>10528.37</v>
      </c>
      <c r="K51" s="419"/>
      <c r="L51" s="255">
        <v>65260.59</v>
      </c>
      <c r="M51" s="415"/>
      <c r="N51" s="302">
        <f t="shared" si="2"/>
        <v>773.94999999999891</v>
      </c>
      <c r="O51" s="498">
        <f t="shared" si="3"/>
        <v>7.351090434701657E-2</v>
      </c>
    </row>
    <row r="52" spans="1:20" s="77" customFormat="1" ht="20.25" x14ac:dyDescent="0.2">
      <c r="A52" s="80"/>
      <c r="B52" s="450"/>
      <c r="C52" s="80" t="s">
        <v>201</v>
      </c>
      <c r="D52" s="80"/>
      <c r="E52" s="80"/>
      <c r="F52" s="80"/>
      <c r="G52" s="255">
        <v>15470.07</v>
      </c>
      <c r="H52" s="255">
        <v>48263.8</v>
      </c>
      <c r="I52" s="255"/>
      <c r="J52" s="255">
        <v>13498.46</v>
      </c>
      <c r="K52" s="419"/>
      <c r="L52" s="255">
        <v>49467.93</v>
      </c>
      <c r="M52" s="415"/>
      <c r="N52" s="302">
        <f t="shared" si="2"/>
        <v>1971.6100000000006</v>
      </c>
      <c r="O52" s="519">
        <f t="shared" si="3"/>
        <v>0.1460618470551456</v>
      </c>
    </row>
    <row r="53" spans="1:20" s="77" customFormat="1" ht="20.25" x14ac:dyDescent="0.2">
      <c r="A53" s="80"/>
      <c r="B53" s="450"/>
      <c r="C53" s="80" t="s">
        <v>144</v>
      </c>
      <c r="D53" s="80"/>
      <c r="E53" s="80"/>
      <c r="F53" s="80"/>
      <c r="G53" s="255">
        <f>43176.27+973.7</f>
        <v>44149.969999999994</v>
      </c>
      <c r="H53" s="255">
        <f>90263.91+341.23</f>
        <v>90605.14</v>
      </c>
      <c r="I53" s="255"/>
      <c r="J53" s="255">
        <f>33168.72</f>
        <v>33168.720000000001</v>
      </c>
      <c r="K53" s="419"/>
      <c r="L53" s="255">
        <f>496.5+37808.56+86</f>
        <v>38391.06</v>
      </c>
      <c r="M53" s="415"/>
      <c r="N53" s="302">
        <f t="shared" si="2"/>
        <v>10981.249999999993</v>
      </c>
      <c r="O53" s="479">
        <f t="shared" si="3"/>
        <v>0.3310724682773406</v>
      </c>
    </row>
    <row r="54" spans="1:20" s="77" customFormat="1" ht="20.25" hidden="1" x14ac:dyDescent="0.2">
      <c r="A54" s="80"/>
      <c r="B54" s="450"/>
      <c r="C54" s="80"/>
      <c r="D54" s="80"/>
      <c r="E54" s="80"/>
      <c r="F54" s="80"/>
      <c r="G54" s="255"/>
      <c r="H54" s="255"/>
      <c r="I54" s="255"/>
      <c r="J54" s="255"/>
      <c r="K54" s="419"/>
      <c r="L54" s="255"/>
      <c r="M54" s="415"/>
      <c r="N54" s="302"/>
      <c r="O54" s="479"/>
    </row>
    <row r="55" spans="1:20" s="69" customFormat="1" ht="21" thickBot="1" x14ac:dyDescent="0.25">
      <c r="A55" s="68"/>
      <c r="B55" s="454"/>
      <c r="C55" s="80" t="s">
        <v>280</v>
      </c>
      <c r="D55" s="80"/>
      <c r="E55" s="80"/>
      <c r="F55" s="80"/>
      <c r="G55" s="265"/>
      <c r="H55" s="265">
        <v>6085</v>
      </c>
      <c r="I55" s="255"/>
      <c r="J55" s="265"/>
      <c r="K55" s="420"/>
      <c r="L55" s="265"/>
      <c r="M55" s="413"/>
      <c r="N55" s="469"/>
      <c r="O55" s="480"/>
      <c r="P55" s="380"/>
    </row>
    <row r="56" spans="1:20" s="69" customFormat="1" ht="20.25" x14ac:dyDescent="0.2">
      <c r="A56" s="68"/>
      <c r="B56" s="454"/>
      <c r="C56" s="68"/>
      <c r="D56" s="74" t="s">
        <v>145</v>
      </c>
      <c r="E56" s="68"/>
      <c r="F56" s="68"/>
      <c r="G56" s="260">
        <f>SUM(G31:G55)</f>
        <v>526447.65999999992</v>
      </c>
      <c r="H56" s="260">
        <f>SUM(H31:H55)</f>
        <v>1524274.9300000002</v>
      </c>
      <c r="I56" s="255"/>
      <c r="J56" s="260">
        <f>SUM(J31:J55)</f>
        <v>534594.47000000009</v>
      </c>
      <c r="L56" s="260">
        <f>SUM(L31:L55)</f>
        <v>1002093.1700000002</v>
      </c>
      <c r="M56" s="413"/>
      <c r="N56" s="257">
        <f>SUM(N31:N55)</f>
        <v>-8146.809999999954</v>
      </c>
      <c r="O56" s="479">
        <f t="shared" si="3"/>
        <v>-1.5239233582045757E-2</v>
      </c>
      <c r="P56" s="380"/>
    </row>
    <row r="57" spans="1:20" s="69" customFormat="1" ht="10.5" customHeight="1" thickBot="1" x14ac:dyDescent="0.25">
      <c r="A57" s="68"/>
      <c r="B57" s="454"/>
      <c r="C57" s="68"/>
      <c r="D57" s="74"/>
      <c r="E57" s="68"/>
      <c r="F57" s="68"/>
      <c r="G57" s="265"/>
      <c r="H57" s="265"/>
      <c r="I57" s="255"/>
      <c r="J57" s="265"/>
      <c r="L57" s="265"/>
      <c r="M57" s="413"/>
      <c r="N57" s="469"/>
      <c r="O57" s="469"/>
    </row>
    <row r="58" spans="1:20" s="69" customFormat="1" ht="21" thickBot="1" x14ac:dyDescent="0.25">
      <c r="A58" s="68"/>
      <c r="B58" s="454"/>
      <c r="C58" s="68"/>
      <c r="D58" s="68" t="s">
        <v>146</v>
      </c>
      <c r="E58" s="68"/>
      <c r="F58" s="68"/>
      <c r="G58" s="265">
        <f>G28-G56</f>
        <v>10796.090000000084</v>
      </c>
      <c r="H58" s="265">
        <f>H28-H56</f>
        <v>89072.0699999996</v>
      </c>
      <c r="I58" s="255"/>
      <c r="J58" s="265">
        <f>J28-J56</f>
        <v>66888.149999999674</v>
      </c>
      <c r="K58" s="380"/>
      <c r="L58" s="265">
        <f>L28-L56</f>
        <v>-2008.8500000000931</v>
      </c>
      <c r="M58" s="413"/>
      <c r="N58" s="265">
        <f>N28-N56</f>
        <v>-56552.760000000046</v>
      </c>
      <c r="O58" s="481">
        <f t="shared" si="3"/>
        <v>-0.84548249577840506</v>
      </c>
      <c r="P58" s="380"/>
    </row>
    <row r="59" spans="1:20" s="69" customFormat="1" ht="11.25" customHeight="1" x14ac:dyDescent="0.2">
      <c r="A59" s="68"/>
      <c r="B59" s="454"/>
      <c r="C59" s="68"/>
      <c r="D59" s="68"/>
      <c r="E59" s="68"/>
      <c r="F59" s="68"/>
      <c r="G59" s="255"/>
      <c r="H59" s="255"/>
      <c r="I59" s="255"/>
      <c r="J59" s="255"/>
      <c r="L59" s="255"/>
      <c r="M59" s="413"/>
      <c r="N59" s="467"/>
      <c r="O59" s="467"/>
    </row>
    <row r="60" spans="1:20" s="77" customFormat="1" ht="21" thickBot="1" x14ac:dyDescent="0.25">
      <c r="A60" s="80"/>
      <c r="B60" s="453" t="s">
        <v>147</v>
      </c>
      <c r="C60" s="88"/>
      <c r="D60" s="88"/>
      <c r="E60" s="88"/>
      <c r="F60" s="88"/>
      <c r="G60" s="466"/>
      <c r="H60" s="255"/>
      <c r="I60" s="255"/>
      <c r="J60" s="255"/>
      <c r="L60" s="255"/>
      <c r="M60" s="415"/>
      <c r="N60" s="467"/>
      <c r="O60" s="467"/>
    </row>
    <row r="61" spans="1:20" s="77" customFormat="1" ht="20.25" x14ac:dyDescent="0.2">
      <c r="A61" s="80"/>
      <c r="B61" s="454"/>
      <c r="C61" s="68"/>
      <c r="D61" s="68" t="s">
        <v>167</v>
      </c>
      <c r="E61" s="68"/>
      <c r="F61" s="68"/>
      <c r="G61" s="255"/>
      <c r="H61" s="255"/>
      <c r="I61" s="255"/>
      <c r="J61" s="255"/>
      <c r="L61" s="255"/>
      <c r="M61" s="415"/>
      <c r="N61" s="467"/>
      <c r="O61" s="467"/>
    </row>
    <row r="62" spans="1:20" s="77" customFormat="1" ht="20.25" x14ac:dyDescent="0.2">
      <c r="A62" s="80"/>
      <c r="B62" s="454"/>
      <c r="C62" s="68"/>
      <c r="D62" s="68"/>
      <c r="E62" s="80" t="s">
        <v>168</v>
      </c>
      <c r="F62" s="68"/>
      <c r="G62" s="255">
        <v>49000</v>
      </c>
      <c r="H62" s="255">
        <v>49000</v>
      </c>
      <c r="I62" s="255"/>
      <c r="J62" s="255">
        <f>H62/2</f>
        <v>24500</v>
      </c>
      <c r="L62" s="255">
        <f>'April''16 Revenues &amp; Expenses'!H53</f>
        <v>24500</v>
      </c>
      <c r="M62" s="415"/>
      <c r="N62" s="302">
        <f>G62-J62</f>
        <v>24500</v>
      </c>
      <c r="O62" s="479">
        <f t="shared" ref="O62:O66" si="4">N62/J62</f>
        <v>1</v>
      </c>
      <c r="T62" s="271"/>
    </row>
    <row r="63" spans="1:20" s="77" customFormat="1" ht="20.25" x14ac:dyDescent="0.2">
      <c r="A63" s="80"/>
      <c r="B63" s="454"/>
      <c r="C63" s="68"/>
      <c r="D63" s="68"/>
      <c r="E63" s="80" t="s">
        <v>206</v>
      </c>
      <c r="F63" s="68"/>
      <c r="G63" s="255">
        <f>'April''16 Revenues &amp; Expenses'!H54</f>
        <v>19000</v>
      </c>
      <c r="H63" s="255">
        <v>19000</v>
      </c>
      <c r="I63" s="255"/>
      <c r="J63" s="255">
        <v>19000</v>
      </c>
      <c r="L63" s="255">
        <f>'April''16 Revenues &amp; Expenses'!H54</f>
        <v>19000</v>
      </c>
      <c r="M63" s="415"/>
      <c r="N63" s="302">
        <f>G63-J63</f>
        <v>0</v>
      </c>
      <c r="O63" s="479">
        <f t="shared" si="4"/>
        <v>0</v>
      </c>
    </row>
    <row r="64" spans="1:20" s="77" customFormat="1" ht="20.25" x14ac:dyDescent="0.2">
      <c r="A64" s="80"/>
      <c r="B64" s="454"/>
      <c r="C64" s="68"/>
      <c r="D64" s="68"/>
      <c r="E64" s="80" t="s">
        <v>166</v>
      </c>
      <c r="F64" s="68"/>
      <c r="G64" s="255">
        <f>'April''16 Revenues &amp; Expenses'!H57+'April''16 Revenues &amp; Expenses'!H58+'April''16 Revenues &amp; Expenses'!H56</f>
        <v>369.71</v>
      </c>
      <c r="H64" s="255">
        <f>13146.96+500+3706.71</f>
        <v>17353.669999999998</v>
      </c>
      <c r="I64" s="255"/>
      <c r="J64" s="255">
        <v>230</v>
      </c>
      <c r="L64" s="255">
        <f>-410368+425445+414.7+4584.5</f>
        <v>20076.2</v>
      </c>
      <c r="M64" s="415"/>
      <c r="N64" s="302">
        <f>G64-J64</f>
        <v>139.70999999999998</v>
      </c>
      <c r="O64" s="479">
        <f t="shared" si="4"/>
        <v>0.60743478260869554</v>
      </c>
    </row>
    <row r="65" spans="1:15" s="77" customFormat="1" ht="21" thickBot="1" x14ac:dyDescent="0.25">
      <c r="A65" s="80"/>
      <c r="B65" s="454"/>
      <c r="C65" s="68"/>
      <c r="D65" s="68" t="s">
        <v>123</v>
      </c>
      <c r="E65" s="68"/>
      <c r="F65" s="68"/>
      <c r="G65" s="265">
        <f>-G27</f>
        <v>-30101.63</v>
      </c>
      <c r="H65" s="265">
        <f>-H27</f>
        <v>-101874.19</v>
      </c>
      <c r="I65" s="255"/>
      <c r="J65" s="265">
        <f>-J27</f>
        <v>-31532.94</v>
      </c>
      <c r="L65" s="265">
        <f>-L27</f>
        <v>-57014.19</v>
      </c>
      <c r="M65" s="415"/>
      <c r="N65" s="432">
        <f>G65-J65</f>
        <v>1431.3099999999977</v>
      </c>
      <c r="O65" s="480">
        <f t="shared" si="4"/>
        <v>-4.5390946736967683E-2</v>
      </c>
    </row>
    <row r="66" spans="1:15" s="77" customFormat="1" ht="21" thickBot="1" x14ac:dyDescent="0.25">
      <c r="A66" s="80"/>
      <c r="B66" s="454"/>
      <c r="C66" s="68"/>
      <c r="D66" s="68"/>
      <c r="E66" s="68" t="s">
        <v>148</v>
      </c>
      <c r="F66" s="68"/>
      <c r="G66" s="265">
        <f>SUM(G61:G65)</f>
        <v>38268.080000000002</v>
      </c>
      <c r="H66" s="265">
        <f>SUM(H61:H65)</f>
        <v>-16520.520000000004</v>
      </c>
      <c r="I66" s="255"/>
      <c r="J66" s="265">
        <f>SUM(J61:J65)</f>
        <v>12197.060000000001</v>
      </c>
      <c r="L66" s="265">
        <f>SUM(L61:L65)</f>
        <v>6562.0099999999948</v>
      </c>
      <c r="M66" s="415"/>
      <c r="N66" s="265">
        <f>SUM(N62:N65)</f>
        <v>26071.019999999997</v>
      </c>
      <c r="O66" s="481">
        <f t="shared" si="4"/>
        <v>2.1374839510504984</v>
      </c>
    </row>
    <row r="67" spans="1:15" s="69" customFormat="1" ht="7.5" customHeight="1" x14ac:dyDescent="0.2">
      <c r="A67" s="68"/>
      <c r="B67" s="454"/>
      <c r="C67" s="68"/>
      <c r="D67" s="68"/>
      <c r="E67" s="68"/>
      <c r="F67" s="68"/>
      <c r="G67" s="300"/>
      <c r="H67" s="300"/>
      <c r="I67" s="300"/>
      <c r="J67" s="300"/>
      <c r="L67" s="300"/>
      <c r="M67" s="413"/>
      <c r="N67" s="467"/>
      <c r="O67" s="467"/>
    </row>
    <row r="68" spans="1:15" s="69" customFormat="1" ht="20.25" x14ac:dyDescent="0.2">
      <c r="A68" s="68"/>
      <c r="B68" s="454"/>
      <c r="C68" s="68"/>
      <c r="D68" s="68"/>
      <c r="E68" s="68" t="s">
        <v>102</v>
      </c>
      <c r="F68" s="68"/>
      <c r="G68" s="260">
        <f>G58+G66</f>
        <v>49064.170000000086</v>
      </c>
      <c r="H68" s="260">
        <f>H58+H66</f>
        <v>72551.549999999595</v>
      </c>
      <c r="I68" s="260"/>
      <c r="J68" s="260">
        <f>J58+J66</f>
        <v>79085.209999999672</v>
      </c>
      <c r="L68" s="260">
        <f>L58+L66</f>
        <v>4553.1599999999016</v>
      </c>
      <c r="M68" s="413"/>
      <c r="N68" s="260">
        <f>N58+N66</f>
        <v>-30481.740000000049</v>
      </c>
      <c r="O68" s="260"/>
    </row>
    <row r="69" spans="1:15" s="69" customFormat="1" ht="8.25" customHeight="1" x14ac:dyDescent="0.2">
      <c r="A69" s="68"/>
      <c r="B69" s="454"/>
      <c r="C69" s="68"/>
      <c r="D69" s="68"/>
      <c r="E69" s="68"/>
      <c r="F69" s="68"/>
      <c r="G69" s="255"/>
      <c r="H69" s="255"/>
      <c r="I69" s="255"/>
      <c r="J69" s="255"/>
      <c r="L69" s="255"/>
      <c r="M69" s="413"/>
      <c r="N69" s="467"/>
      <c r="O69" s="467"/>
    </row>
    <row r="70" spans="1:15" s="83" customFormat="1" ht="26.25" x14ac:dyDescent="0.2">
      <c r="A70" s="295"/>
      <c r="B70" s="455"/>
      <c r="C70" s="68"/>
      <c r="D70" s="68" t="s">
        <v>170</v>
      </c>
      <c r="E70" s="68"/>
      <c r="F70" s="68"/>
      <c r="G70" s="260">
        <f>H71</f>
        <v>609246.54999999958</v>
      </c>
      <c r="H70" s="260">
        <v>536695</v>
      </c>
      <c r="I70" s="260"/>
      <c r="J70" s="260">
        <f>H70</f>
        <v>536695</v>
      </c>
      <c r="L70" s="260">
        <f>J70</f>
        <v>536695</v>
      </c>
      <c r="M70" s="416"/>
      <c r="N70" s="468"/>
      <c r="O70" s="468"/>
    </row>
    <row r="71" spans="1:15" s="85" customFormat="1" ht="21" thickBot="1" x14ac:dyDescent="0.25">
      <c r="A71" s="68"/>
      <c r="B71" s="454"/>
      <c r="C71" s="68"/>
      <c r="E71" s="68" t="s">
        <v>169</v>
      </c>
      <c r="F71" s="68"/>
      <c r="G71" s="358">
        <f>G68+G70</f>
        <v>658310.71999999962</v>
      </c>
      <c r="H71" s="358">
        <f>H68+H70</f>
        <v>609246.54999999958</v>
      </c>
      <c r="I71" s="300"/>
      <c r="J71" s="358">
        <f t="shared" ref="J71" si="5">J68+J70</f>
        <v>615780.20999999973</v>
      </c>
      <c r="L71" s="358">
        <f t="shared" ref="L71" si="6">L68+L70</f>
        <v>541248.15999999992</v>
      </c>
      <c r="M71" s="417"/>
      <c r="N71" s="300"/>
      <c r="O71" s="468"/>
    </row>
    <row r="72" spans="1:15" s="66" customFormat="1" ht="6.75" customHeight="1" thickTop="1" x14ac:dyDescent="0.2">
      <c r="A72" s="295"/>
      <c r="B72" s="455"/>
      <c r="C72" s="68"/>
      <c r="D72" s="295"/>
      <c r="E72" s="295"/>
      <c r="F72" s="295"/>
      <c r="G72" s="297"/>
      <c r="H72" s="255"/>
      <c r="I72" s="255"/>
      <c r="J72" s="255"/>
      <c r="L72" s="255"/>
      <c r="M72" s="412"/>
      <c r="N72" s="467"/>
      <c r="O72" s="467"/>
    </row>
    <row r="73" spans="1:15" s="69" customFormat="1" ht="16.5" customHeight="1" x14ac:dyDescent="0.2">
      <c r="A73" s="68"/>
      <c r="B73" s="454"/>
      <c r="D73" s="381"/>
      <c r="E73" s="68"/>
      <c r="G73" s="255"/>
      <c r="H73" s="255"/>
      <c r="I73" s="255"/>
      <c r="J73" s="255"/>
      <c r="M73" s="413"/>
      <c r="N73" s="467"/>
      <c r="O73" s="467"/>
    </row>
    <row r="74" spans="1:15" s="69" customFormat="1" ht="23.25" x14ac:dyDescent="0.2">
      <c r="A74" s="68"/>
      <c r="B74" s="456"/>
      <c r="C74" s="68"/>
      <c r="D74" s="68"/>
      <c r="E74" s="68"/>
      <c r="F74" s="68"/>
      <c r="G74" s="255"/>
      <c r="H74" s="255"/>
      <c r="I74" s="255"/>
      <c r="J74" s="255"/>
      <c r="L74" s="446"/>
      <c r="M74" s="413"/>
      <c r="N74" s="467"/>
      <c r="O74" s="467"/>
    </row>
    <row r="75" spans="1:15" s="69" customFormat="1" ht="20.25" x14ac:dyDescent="0.2">
      <c r="A75" s="68"/>
      <c r="B75" s="454"/>
      <c r="C75" s="68"/>
      <c r="D75" s="68"/>
      <c r="E75" s="68"/>
      <c r="F75" s="68"/>
      <c r="G75" s="255"/>
      <c r="H75" s="255"/>
      <c r="I75" s="255"/>
      <c r="J75" s="255"/>
      <c r="M75" s="413"/>
      <c r="N75" s="467"/>
      <c r="O75" s="467"/>
    </row>
    <row r="76" spans="1:15" s="77" customFormat="1" ht="20.25" x14ac:dyDescent="0.2">
      <c r="A76" s="80"/>
      <c r="B76" s="450"/>
      <c r="C76" s="80"/>
      <c r="D76" s="80"/>
      <c r="F76" s="80"/>
      <c r="G76" s="270"/>
      <c r="H76" s="255"/>
      <c r="I76" s="255"/>
      <c r="J76" s="255"/>
      <c r="M76" s="415"/>
      <c r="N76" s="467"/>
      <c r="O76" s="467"/>
    </row>
    <row r="77" spans="1:15" s="77" customFormat="1" ht="20.25" x14ac:dyDescent="0.2">
      <c r="A77" s="80"/>
      <c r="B77" s="450"/>
      <c r="C77" s="80"/>
      <c r="D77" s="80"/>
      <c r="F77" s="80"/>
      <c r="G77" s="255"/>
      <c r="H77" s="255"/>
      <c r="I77" s="255"/>
      <c r="J77" s="255"/>
      <c r="M77" s="415"/>
      <c r="N77" s="467"/>
      <c r="O77" s="467"/>
    </row>
    <row r="78" spans="1:15" s="77" customFormat="1" ht="20.25" x14ac:dyDescent="0.2">
      <c r="A78" s="80"/>
      <c r="B78" s="450"/>
      <c r="C78" s="80"/>
      <c r="D78" s="80"/>
      <c r="F78" s="80"/>
      <c r="G78" s="255"/>
      <c r="H78" s="255"/>
      <c r="I78" s="255"/>
      <c r="J78" s="255"/>
      <c r="M78" s="415"/>
      <c r="N78" s="467"/>
      <c r="O78" s="467"/>
    </row>
    <row r="79" spans="1:15" s="77" customFormat="1" ht="20.25" x14ac:dyDescent="0.2">
      <c r="A79" s="80"/>
      <c r="B79" s="80"/>
      <c r="C79" s="80"/>
      <c r="D79" s="80"/>
      <c r="F79" s="80"/>
      <c r="G79" s="255"/>
      <c r="H79" s="255"/>
      <c r="I79" s="255"/>
      <c r="J79" s="255"/>
      <c r="M79" s="415"/>
      <c r="N79" s="467"/>
      <c r="O79" s="467"/>
    </row>
    <row r="80" spans="1:15" s="77" customFormat="1" ht="20.25" x14ac:dyDescent="0.2">
      <c r="A80" s="80"/>
      <c r="B80" s="80"/>
      <c r="C80" s="80"/>
      <c r="D80" s="80"/>
      <c r="F80" s="80"/>
      <c r="G80" s="255"/>
      <c r="H80" s="255"/>
      <c r="I80" s="255"/>
      <c r="J80" s="255"/>
      <c r="M80" s="415"/>
      <c r="N80" s="467"/>
      <c r="O80" s="467"/>
    </row>
    <row r="81" spans="1:15" s="77" customFormat="1" ht="20.25" x14ac:dyDescent="0.2">
      <c r="A81" s="80"/>
      <c r="B81" s="80"/>
      <c r="C81" s="80"/>
      <c r="D81" s="80"/>
      <c r="F81" s="80"/>
      <c r="G81" s="255"/>
      <c r="H81" s="255"/>
      <c r="I81" s="255"/>
      <c r="J81" s="255"/>
      <c r="M81" s="415"/>
      <c r="N81" s="467"/>
      <c r="O81" s="467"/>
    </row>
    <row r="82" spans="1:15" s="77" customFormat="1" ht="20.25" x14ac:dyDescent="0.2">
      <c r="A82" s="80"/>
      <c r="B82" s="80"/>
      <c r="C82" s="68"/>
      <c r="D82" s="80"/>
      <c r="F82" s="80"/>
      <c r="G82" s="255"/>
      <c r="H82" s="255"/>
      <c r="I82" s="255"/>
      <c r="J82" s="255"/>
      <c r="M82" s="415"/>
      <c r="N82" s="467"/>
      <c r="O82" s="467"/>
    </row>
    <row r="83" spans="1:15" s="77" customFormat="1" ht="20.25" x14ac:dyDescent="0.2">
      <c r="A83" s="80"/>
      <c r="B83" s="80"/>
      <c r="C83" s="80"/>
      <c r="D83" s="80"/>
      <c r="E83" s="80"/>
      <c r="F83" s="80"/>
      <c r="G83" s="255"/>
      <c r="H83" s="255"/>
      <c r="I83" s="255"/>
      <c r="J83" s="255"/>
      <c r="M83" s="415"/>
      <c r="N83" s="467"/>
      <c r="O83" s="467"/>
    </row>
    <row r="84" spans="1:15" s="77" customFormat="1" ht="20.25" x14ac:dyDescent="0.2">
      <c r="A84" s="80"/>
      <c r="B84" s="80"/>
      <c r="C84" s="68"/>
      <c r="D84" s="68"/>
      <c r="G84" s="255"/>
      <c r="H84" s="255"/>
      <c r="I84" s="255"/>
      <c r="J84" s="255"/>
      <c r="M84" s="415"/>
      <c r="N84" s="467"/>
      <c r="O84" s="467"/>
    </row>
    <row r="85" spans="1:15" s="77" customFormat="1" ht="20.25" x14ac:dyDescent="0.2">
      <c r="A85" s="80"/>
      <c r="B85" s="80"/>
      <c r="C85" s="80"/>
      <c r="D85" s="80"/>
      <c r="E85" s="80"/>
      <c r="F85" s="80"/>
      <c r="G85" s="255"/>
      <c r="H85" s="255"/>
      <c r="I85" s="255"/>
      <c r="J85" s="255"/>
      <c r="M85" s="415"/>
      <c r="N85" s="467"/>
      <c r="O85" s="467"/>
    </row>
    <row r="86" spans="1:15" s="77" customFormat="1" ht="20.25" x14ac:dyDescent="0.2">
      <c r="A86" s="80"/>
      <c r="B86" s="80"/>
      <c r="C86" s="80"/>
      <c r="D86" s="80"/>
      <c r="E86" s="80"/>
      <c r="F86" s="80"/>
      <c r="G86" s="255"/>
      <c r="H86" s="255"/>
      <c r="I86" s="255"/>
      <c r="J86" s="255"/>
      <c r="M86" s="415"/>
      <c r="N86" s="467"/>
      <c r="O86" s="467"/>
    </row>
    <row r="87" spans="1:15" s="77" customFormat="1" ht="20.25" x14ac:dyDescent="0.2">
      <c r="A87" s="80"/>
      <c r="B87" s="80"/>
      <c r="C87" s="80"/>
      <c r="D87" s="80"/>
      <c r="E87" s="80"/>
      <c r="F87" s="80"/>
      <c r="G87" s="255"/>
      <c r="H87" s="255"/>
      <c r="I87" s="255"/>
      <c r="J87" s="255"/>
      <c r="M87" s="415"/>
      <c r="N87" s="467"/>
      <c r="O87" s="467"/>
    </row>
    <row r="88" spans="1:15" s="77" customFormat="1" ht="20.25" x14ac:dyDescent="0.2">
      <c r="A88" s="80"/>
      <c r="B88" s="80"/>
      <c r="C88" s="80"/>
      <c r="D88" s="80"/>
      <c r="E88" s="80"/>
      <c r="F88" s="80"/>
      <c r="G88" s="255"/>
      <c r="H88" s="255"/>
      <c r="I88" s="255"/>
      <c r="J88" s="255"/>
      <c r="M88" s="415"/>
      <c r="N88" s="467"/>
      <c r="O88" s="467"/>
    </row>
    <row r="89" spans="1:15" s="77" customFormat="1" ht="20.25" x14ac:dyDescent="0.2">
      <c r="A89" s="80"/>
      <c r="B89" s="80"/>
      <c r="C89" s="68"/>
      <c r="D89" s="80"/>
      <c r="F89" s="80"/>
      <c r="G89" s="255"/>
      <c r="H89" s="255"/>
      <c r="I89" s="255"/>
      <c r="J89" s="255"/>
      <c r="M89" s="415"/>
      <c r="N89" s="467"/>
      <c r="O89" s="467"/>
    </row>
    <row r="90" spans="1:15" s="77" customFormat="1" ht="20.25" x14ac:dyDescent="0.2">
      <c r="A90" s="80"/>
      <c r="B90" s="80"/>
      <c r="C90" s="80"/>
      <c r="D90" s="80"/>
      <c r="E90" s="80"/>
      <c r="F90" s="80"/>
      <c r="G90" s="255"/>
      <c r="H90" s="255"/>
      <c r="I90" s="255"/>
      <c r="J90" s="255"/>
      <c r="M90" s="415"/>
      <c r="N90" s="467"/>
      <c r="O90" s="467"/>
    </row>
    <row r="91" spans="1:15" s="69" customFormat="1" ht="20.25" x14ac:dyDescent="0.2">
      <c r="A91" s="68"/>
      <c r="B91" s="68"/>
      <c r="C91" s="68"/>
      <c r="D91" s="68"/>
      <c r="E91" s="68"/>
      <c r="F91" s="68"/>
      <c r="G91" s="260"/>
      <c r="H91" s="260"/>
      <c r="I91" s="260"/>
      <c r="J91" s="260"/>
      <c r="M91" s="413"/>
    </row>
    <row r="92" spans="1:15" s="69" customFormat="1" ht="20.25" x14ac:dyDescent="0.2">
      <c r="A92" s="68"/>
      <c r="B92" s="68"/>
      <c r="C92" s="68"/>
      <c r="D92" s="68"/>
      <c r="E92" s="68"/>
      <c r="F92" s="68"/>
      <c r="G92" s="260"/>
      <c r="H92" s="260"/>
      <c r="I92" s="260"/>
      <c r="J92" s="260"/>
      <c r="M92" s="413"/>
    </row>
    <row r="93" spans="1:15" s="69" customFormat="1" ht="23.25" x14ac:dyDescent="0.2">
      <c r="A93" s="68"/>
      <c r="B93" s="298"/>
      <c r="C93" s="68"/>
      <c r="D93" s="68"/>
      <c r="E93" s="68"/>
      <c r="F93" s="68"/>
      <c r="G93" s="255"/>
      <c r="H93" s="255"/>
      <c r="I93" s="255"/>
      <c r="J93" s="255"/>
      <c r="M93" s="413"/>
    </row>
    <row r="94" spans="1:15" s="77" customFormat="1" ht="20.25" x14ac:dyDescent="0.2">
      <c r="A94" s="80"/>
      <c r="B94" s="80"/>
      <c r="D94" s="80"/>
      <c r="E94" s="80"/>
      <c r="F94" s="80"/>
      <c r="G94" s="255"/>
      <c r="H94" s="255"/>
      <c r="I94" s="255"/>
      <c r="J94" s="255"/>
      <c r="M94" s="415"/>
    </row>
    <row r="95" spans="1:15" s="77" customFormat="1" ht="20.25" x14ac:dyDescent="0.2">
      <c r="A95" s="80"/>
      <c r="B95" s="80"/>
      <c r="D95" s="80"/>
      <c r="E95" s="80"/>
      <c r="F95" s="80"/>
      <c r="G95" s="255"/>
      <c r="H95" s="255"/>
      <c r="I95" s="255"/>
      <c r="J95" s="255"/>
      <c r="M95" s="415"/>
    </row>
    <row r="96" spans="1:15" s="69" customFormat="1" ht="20.25" x14ac:dyDescent="0.2">
      <c r="A96" s="68"/>
      <c r="B96" s="68"/>
      <c r="D96" s="80"/>
      <c r="E96" s="68"/>
      <c r="F96" s="68"/>
      <c r="G96" s="255"/>
      <c r="H96" s="255"/>
      <c r="I96" s="255"/>
      <c r="J96" s="255"/>
      <c r="M96" s="413"/>
    </row>
    <row r="97" spans="1:13" s="69" customFormat="1" ht="23.25" x14ac:dyDescent="0.2">
      <c r="A97" s="68"/>
      <c r="B97" s="298"/>
      <c r="C97" s="68"/>
      <c r="D97" s="68"/>
      <c r="E97" s="68"/>
      <c r="F97" s="68"/>
      <c r="G97" s="260"/>
      <c r="H97" s="260"/>
      <c r="I97" s="260"/>
      <c r="J97" s="260"/>
      <c r="M97" s="413"/>
    </row>
    <row r="98" spans="1:13" s="69" customFormat="1" ht="20.25" x14ac:dyDescent="0.2">
      <c r="A98" s="68"/>
      <c r="B98" s="68"/>
      <c r="C98" s="68"/>
      <c r="D98" s="68"/>
      <c r="E98" s="68"/>
      <c r="F98" s="68"/>
      <c r="G98" s="255"/>
      <c r="H98" s="255"/>
      <c r="I98" s="255"/>
      <c r="J98" s="255"/>
      <c r="M98" s="413"/>
    </row>
    <row r="99" spans="1:13" s="83" customFormat="1" ht="26.25" x14ac:dyDescent="0.2">
      <c r="A99" s="295"/>
      <c r="B99" s="295"/>
      <c r="C99" s="295"/>
      <c r="D99" s="295"/>
      <c r="E99" s="295"/>
      <c r="F99" s="295"/>
      <c r="G99" s="296"/>
      <c r="H99" s="260"/>
      <c r="I99" s="260"/>
      <c r="J99" s="260"/>
      <c r="M99" s="416"/>
    </row>
    <row r="100" spans="1:13" s="18" customFormat="1" ht="20.25" x14ac:dyDescent="0.3">
      <c r="A100" s="123"/>
      <c r="B100" s="123"/>
      <c r="C100" s="123"/>
      <c r="D100" s="123"/>
      <c r="E100" s="123"/>
      <c r="F100" s="123"/>
      <c r="G100" s="299"/>
      <c r="H100" s="304"/>
      <c r="I100" s="304"/>
      <c r="J100" s="304"/>
      <c r="M100" s="418"/>
    </row>
    <row r="101" spans="1:13" ht="20.25" x14ac:dyDescent="0.3">
      <c r="H101" s="304"/>
      <c r="I101" s="304"/>
      <c r="J101" s="304"/>
    </row>
    <row r="102" spans="1:13" ht="20.25" x14ac:dyDescent="0.3">
      <c r="H102" s="304"/>
      <c r="I102" s="304"/>
      <c r="J102" s="304"/>
    </row>
    <row r="103" spans="1:13" ht="20.25" x14ac:dyDescent="0.3">
      <c r="H103" s="301"/>
      <c r="I103" s="301"/>
      <c r="J103" s="301"/>
    </row>
  </sheetData>
  <mergeCells count="4">
    <mergeCell ref="N8:O8"/>
    <mergeCell ref="G6:J6"/>
    <mergeCell ref="C48:F48"/>
    <mergeCell ref="D16:F16"/>
  </mergeCells>
  <pageMargins left="0.15" right="0.15" top="0.5" bottom="0.25" header="0.3" footer="0.3"/>
  <pageSetup scale="5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81"/>
  <sheetViews>
    <sheetView zoomScale="75" zoomScaleNormal="75" workbookViewId="0">
      <selection sqref="A1:Q51"/>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267" hidden="1" customWidth="1"/>
    <col min="8" max="8" width="23.125" style="18" hidden="1" customWidth="1"/>
    <col min="9" max="9" width="1.625" style="18" hidden="1" customWidth="1"/>
    <col min="10" max="10" width="21.625" style="18" customWidth="1"/>
    <col min="11" max="11" width="1.625" style="18" customWidth="1"/>
    <col min="12" max="12" width="23.125" style="18" customWidth="1"/>
    <col min="13" max="13" width="2.125" style="18" customWidth="1"/>
    <col min="14" max="14" width="21.625" style="18" customWidth="1"/>
    <col min="15" max="15" width="1.75" style="18" customWidth="1"/>
    <col min="16" max="16" width="13.625" style="18" customWidth="1"/>
    <col min="17" max="17" width="10.625" style="18" customWidth="1"/>
    <col min="18" max="18" width="9" style="18"/>
    <col min="19" max="19" width="16.875" style="18" bestFit="1" customWidth="1"/>
    <col min="20" max="20" width="10" style="18" bestFit="1" customWidth="1"/>
    <col min="21" max="62" width="9" style="18"/>
    <col min="256" max="256" width="2.875" customWidth="1"/>
    <col min="257" max="257" width="8.125" customWidth="1"/>
    <col min="258" max="258" width="8.75" customWidth="1"/>
    <col min="259" max="259" width="11" customWidth="1"/>
    <col min="260" max="260" width="2.875" customWidth="1"/>
    <col min="261" max="261" width="77.625" customWidth="1"/>
    <col min="262" max="262" width="20.875" customWidth="1"/>
    <col min="512" max="512" width="2.875" customWidth="1"/>
    <col min="513" max="513" width="8.125" customWidth="1"/>
    <col min="514" max="514" width="8.75" customWidth="1"/>
    <col min="515" max="515" width="11" customWidth="1"/>
    <col min="516" max="516" width="2.875" customWidth="1"/>
    <col min="517" max="517" width="77.625" customWidth="1"/>
    <col min="518" max="518" width="20.875" customWidth="1"/>
    <col min="768" max="768" width="2.875" customWidth="1"/>
    <col min="769" max="769" width="8.125" customWidth="1"/>
    <col min="770" max="770" width="8.75" customWidth="1"/>
    <col min="771" max="771" width="11" customWidth="1"/>
    <col min="772" max="772" width="2.875" customWidth="1"/>
    <col min="773" max="773" width="77.625" customWidth="1"/>
    <col min="774" max="774" width="20.875" customWidth="1"/>
    <col min="1024" max="1024" width="2.875" customWidth="1"/>
    <col min="1025" max="1025" width="8.125" customWidth="1"/>
    <col min="1026" max="1026" width="8.75" customWidth="1"/>
    <col min="1027" max="1027" width="11" customWidth="1"/>
    <col min="1028" max="1028" width="2.875" customWidth="1"/>
    <col min="1029" max="1029" width="77.625" customWidth="1"/>
    <col min="1030" max="1030" width="20.875" customWidth="1"/>
    <col min="1280" max="1280" width="2.875" customWidth="1"/>
    <col min="1281" max="1281" width="8.125" customWidth="1"/>
    <col min="1282" max="1282" width="8.75" customWidth="1"/>
    <col min="1283" max="1283" width="11" customWidth="1"/>
    <col min="1284" max="1284" width="2.875" customWidth="1"/>
    <col min="1285" max="1285" width="77.625" customWidth="1"/>
    <col min="1286" max="1286" width="20.875" customWidth="1"/>
    <col min="1536" max="1536" width="2.875" customWidth="1"/>
    <col min="1537" max="1537" width="8.125" customWidth="1"/>
    <col min="1538" max="1538" width="8.75" customWidth="1"/>
    <col min="1539" max="1539" width="11" customWidth="1"/>
    <col min="1540" max="1540" width="2.875" customWidth="1"/>
    <col min="1541" max="1541" width="77.625" customWidth="1"/>
    <col min="1542" max="1542" width="20.875" customWidth="1"/>
    <col min="1792" max="1792" width="2.875" customWidth="1"/>
    <col min="1793" max="1793" width="8.125" customWidth="1"/>
    <col min="1794" max="1794" width="8.75" customWidth="1"/>
    <col min="1795" max="1795" width="11" customWidth="1"/>
    <col min="1796" max="1796" width="2.875" customWidth="1"/>
    <col min="1797" max="1797" width="77.625" customWidth="1"/>
    <col min="1798" max="1798" width="20.875" customWidth="1"/>
    <col min="2048" max="2048" width="2.875" customWidth="1"/>
    <col min="2049" max="2049" width="8.125" customWidth="1"/>
    <col min="2050" max="2050" width="8.75" customWidth="1"/>
    <col min="2051" max="2051" width="11" customWidth="1"/>
    <col min="2052" max="2052" width="2.875" customWidth="1"/>
    <col min="2053" max="2053" width="77.625" customWidth="1"/>
    <col min="2054" max="2054" width="20.875" customWidth="1"/>
    <col min="2304" max="2304" width="2.875" customWidth="1"/>
    <col min="2305" max="2305" width="8.125" customWidth="1"/>
    <col min="2306" max="2306" width="8.75" customWidth="1"/>
    <col min="2307" max="2307" width="11" customWidth="1"/>
    <col min="2308" max="2308" width="2.875" customWidth="1"/>
    <col min="2309" max="2309" width="77.625" customWidth="1"/>
    <col min="2310" max="2310" width="20.875" customWidth="1"/>
    <col min="2560" max="2560" width="2.875" customWidth="1"/>
    <col min="2561" max="2561" width="8.125" customWidth="1"/>
    <col min="2562" max="2562" width="8.75" customWidth="1"/>
    <col min="2563" max="2563" width="11" customWidth="1"/>
    <col min="2564" max="2564" width="2.875" customWidth="1"/>
    <col min="2565" max="2565" width="77.625" customWidth="1"/>
    <col min="2566" max="2566" width="20.875" customWidth="1"/>
    <col min="2816" max="2816" width="2.875" customWidth="1"/>
    <col min="2817" max="2817" width="8.125" customWidth="1"/>
    <col min="2818" max="2818" width="8.75" customWidth="1"/>
    <col min="2819" max="2819" width="11" customWidth="1"/>
    <col min="2820" max="2820" width="2.875" customWidth="1"/>
    <col min="2821" max="2821" width="77.625" customWidth="1"/>
    <col min="2822" max="2822" width="20.875" customWidth="1"/>
    <col min="3072" max="3072" width="2.875" customWidth="1"/>
    <col min="3073" max="3073" width="8.125" customWidth="1"/>
    <col min="3074" max="3074" width="8.75" customWidth="1"/>
    <col min="3075" max="3075" width="11" customWidth="1"/>
    <col min="3076" max="3076" width="2.875" customWidth="1"/>
    <col min="3077" max="3077" width="77.625" customWidth="1"/>
    <col min="3078" max="3078" width="20.875" customWidth="1"/>
    <col min="3328" max="3328" width="2.875" customWidth="1"/>
    <col min="3329" max="3329" width="8.125" customWidth="1"/>
    <col min="3330" max="3330" width="8.75" customWidth="1"/>
    <col min="3331" max="3331" width="11" customWidth="1"/>
    <col min="3332" max="3332" width="2.875" customWidth="1"/>
    <col min="3333" max="3333" width="77.625" customWidth="1"/>
    <col min="3334" max="3334" width="20.875" customWidth="1"/>
    <col min="3584" max="3584" width="2.875" customWidth="1"/>
    <col min="3585" max="3585" width="8.125" customWidth="1"/>
    <col min="3586" max="3586" width="8.75" customWidth="1"/>
    <col min="3587" max="3587" width="11" customWidth="1"/>
    <col min="3588" max="3588" width="2.875" customWidth="1"/>
    <col min="3589" max="3589" width="77.625" customWidth="1"/>
    <col min="3590" max="3590" width="20.875" customWidth="1"/>
    <col min="3840" max="3840" width="2.875" customWidth="1"/>
    <col min="3841" max="3841" width="8.125" customWidth="1"/>
    <col min="3842" max="3842" width="8.75" customWidth="1"/>
    <col min="3843" max="3843" width="11" customWidth="1"/>
    <col min="3844" max="3844" width="2.875" customWidth="1"/>
    <col min="3845" max="3845" width="77.625" customWidth="1"/>
    <col min="3846" max="3846" width="20.875" customWidth="1"/>
    <col min="4096" max="4096" width="2.875" customWidth="1"/>
    <col min="4097" max="4097" width="8.125" customWidth="1"/>
    <col min="4098" max="4098" width="8.75" customWidth="1"/>
    <col min="4099" max="4099" width="11" customWidth="1"/>
    <col min="4100" max="4100" width="2.875" customWidth="1"/>
    <col min="4101" max="4101" width="77.625" customWidth="1"/>
    <col min="4102" max="4102" width="20.875" customWidth="1"/>
    <col min="4352" max="4352" width="2.875" customWidth="1"/>
    <col min="4353" max="4353" width="8.125" customWidth="1"/>
    <col min="4354" max="4354" width="8.75" customWidth="1"/>
    <col min="4355" max="4355" width="11" customWidth="1"/>
    <col min="4356" max="4356" width="2.875" customWidth="1"/>
    <col min="4357" max="4357" width="77.625" customWidth="1"/>
    <col min="4358" max="4358" width="20.875" customWidth="1"/>
    <col min="4608" max="4608" width="2.875" customWidth="1"/>
    <col min="4609" max="4609" width="8.125" customWidth="1"/>
    <col min="4610" max="4610" width="8.75" customWidth="1"/>
    <col min="4611" max="4611" width="11" customWidth="1"/>
    <col min="4612" max="4612" width="2.875" customWidth="1"/>
    <col min="4613" max="4613" width="77.625" customWidth="1"/>
    <col min="4614" max="4614" width="20.875" customWidth="1"/>
    <col min="4864" max="4864" width="2.875" customWidth="1"/>
    <col min="4865" max="4865" width="8.125" customWidth="1"/>
    <col min="4866" max="4866" width="8.75" customWidth="1"/>
    <col min="4867" max="4867" width="11" customWidth="1"/>
    <col min="4868" max="4868" width="2.875" customWidth="1"/>
    <col min="4869" max="4869" width="77.625" customWidth="1"/>
    <col min="4870" max="4870" width="20.875" customWidth="1"/>
    <col min="5120" max="5120" width="2.875" customWidth="1"/>
    <col min="5121" max="5121" width="8.125" customWidth="1"/>
    <col min="5122" max="5122" width="8.75" customWidth="1"/>
    <col min="5123" max="5123" width="11" customWidth="1"/>
    <col min="5124" max="5124" width="2.875" customWidth="1"/>
    <col min="5125" max="5125" width="77.625" customWidth="1"/>
    <col min="5126" max="5126" width="20.875" customWidth="1"/>
    <col min="5376" max="5376" width="2.875" customWidth="1"/>
    <col min="5377" max="5377" width="8.125" customWidth="1"/>
    <col min="5378" max="5378" width="8.75" customWidth="1"/>
    <col min="5379" max="5379" width="11" customWidth="1"/>
    <col min="5380" max="5380" width="2.875" customWidth="1"/>
    <col min="5381" max="5381" width="77.625" customWidth="1"/>
    <col min="5382" max="5382" width="20.875" customWidth="1"/>
    <col min="5632" max="5632" width="2.875" customWidth="1"/>
    <col min="5633" max="5633" width="8.125" customWidth="1"/>
    <col min="5634" max="5634" width="8.75" customWidth="1"/>
    <col min="5635" max="5635" width="11" customWidth="1"/>
    <col min="5636" max="5636" width="2.875" customWidth="1"/>
    <col min="5637" max="5637" width="77.625" customWidth="1"/>
    <col min="5638" max="5638" width="20.875" customWidth="1"/>
    <col min="5888" max="5888" width="2.875" customWidth="1"/>
    <col min="5889" max="5889" width="8.125" customWidth="1"/>
    <col min="5890" max="5890" width="8.75" customWidth="1"/>
    <col min="5891" max="5891" width="11" customWidth="1"/>
    <col min="5892" max="5892" width="2.875" customWidth="1"/>
    <col min="5893" max="5893" width="77.625" customWidth="1"/>
    <col min="5894" max="5894" width="20.875" customWidth="1"/>
    <col min="6144" max="6144" width="2.875" customWidth="1"/>
    <col min="6145" max="6145" width="8.125" customWidth="1"/>
    <col min="6146" max="6146" width="8.75" customWidth="1"/>
    <col min="6147" max="6147" width="11" customWidth="1"/>
    <col min="6148" max="6148" width="2.875" customWidth="1"/>
    <col min="6149" max="6149" width="77.625" customWidth="1"/>
    <col min="6150" max="6150" width="20.875" customWidth="1"/>
    <col min="6400" max="6400" width="2.875" customWidth="1"/>
    <col min="6401" max="6401" width="8.125" customWidth="1"/>
    <col min="6402" max="6402" width="8.75" customWidth="1"/>
    <col min="6403" max="6403" width="11" customWidth="1"/>
    <col min="6404" max="6404" width="2.875" customWidth="1"/>
    <col min="6405" max="6405" width="77.625" customWidth="1"/>
    <col min="6406" max="6406" width="20.875" customWidth="1"/>
    <col min="6656" max="6656" width="2.875" customWidth="1"/>
    <col min="6657" max="6657" width="8.125" customWidth="1"/>
    <col min="6658" max="6658" width="8.75" customWidth="1"/>
    <col min="6659" max="6659" width="11" customWidth="1"/>
    <col min="6660" max="6660" width="2.875" customWidth="1"/>
    <col min="6661" max="6661" width="77.625" customWidth="1"/>
    <col min="6662" max="6662" width="20.875" customWidth="1"/>
    <col min="6912" max="6912" width="2.875" customWidth="1"/>
    <col min="6913" max="6913" width="8.125" customWidth="1"/>
    <col min="6914" max="6914" width="8.75" customWidth="1"/>
    <col min="6915" max="6915" width="11" customWidth="1"/>
    <col min="6916" max="6916" width="2.875" customWidth="1"/>
    <col min="6917" max="6917" width="77.625" customWidth="1"/>
    <col min="6918" max="6918" width="20.875" customWidth="1"/>
    <col min="7168" max="7168" width="2.875" customWidth="1"/>
    <col min="7169" max="7169" width="8.125" customWidth="1"/>
    <col min="7170" max="7170" width="8.75" customWidth="1"/>
    <col min="7171" max="7171" width="11" customWidth="1"/>
    <col min="7172" max="7172" width="2.875" customWidth="1"/>
    <col min="7173" max="7173" width="77.625" customWidth="1"/>
    <col min="7174" max="7174" width="20.875" customWidth="1"/>
    <col min="7424" max="7424" width="2.875" customWidth="1"/>
    <col min="7425" max="7425" width="8.125" customWidth="1"/>
    <col min="7426" max="7426" width="8.75" customWidth="1"/>
    <col min="7427" max="7427" width="11" customWidth="1"/>
    <col min="7428" max="7428" width="2.875" customWidth="1"/>
    <col min="7429" max="7429" width="77.625" customWidth="1"/>
    <col min="7430" max="7430" width="20.875" customWidth="1"/>
    <col min="7680" max="7680" width="2.875" customWidth="1"/>
    <col min="7681" max="7681" width="8.125" customWidth="1"/>
    <col min="7682" max="7682" width="8.75" customWidth="1"/>
    <col min="7683" max="7683" width="11" customWidth="1"/>
    <col min="7684" max="7684" width="2.875" customWidth="1"/>
    <col min="7685" max="7685" width="77.625" customWidth="1"/>
    <col min="7686" max="7686" width="20.875" customWidth="1"/>
    <col min="7936" max="7936" width="2.875" customWidth="1"/>
    <col min="7937" max="7937" width="8.125" customWidth="1"/>
    <col min="7938" max="7938" width="8.75" customWidth="1"/>
    <col min="7939" max="7939" width="11" customWidth="1"/>
    <col min="7940" max="7940" width="2.875" customWidth="1"/>
    <col min="7941" max="7941" width="77.625" customWidth="1"/>
    <col min="7942" max="7942" width="20.875" customWidth="1"/>
    <col min="8192" max="8192" width="2.875" customWidth="1"/>
    <col min="8193" max="8193" width="8.125" customWidth="1"/>
    <col min="8194" max="8194" width="8.75" customWidth="1"/>
    <col min="8195" max="8195" width="11" customWidth="1"/>
    <col min="8196" max="8196" width="2.875" customWidth="1"/>
    <col min="8197" max="8197" width="77.625" customWidth="1"/>
    <col min="8198" max="8198" width="20.875" customWidth="1"/>
    <col min="8448" max="8448" width="2.875" customWidth="1"/>
    <col min="8449" max="8449" width="8.125" customWidth="1"/>
    <col min="8450" max="8450" width="8.75" customWidth="1"/>
    <col min="8451" max="8451" width="11" customWidth="1"/>
    <col min="8452" max="8452" width="2.875" customWidth="1"/>
    <col min="8453" max="8453" width="77.625" customWidth="1"/>
    <col min="8454" max="8454" width="20.875" customWidth="1"/>
    <col min="8704" max="8704" width="2.875" customWidth="1"/>
    <col min="8705" max="8705" width="8.125" customWidth="1"/>
    <col min="8706" max="8706" width="8.75" customWidth="1"/>
    <col min="8707" max="8707" width="11" customWidth="1"/>
    <col min="8708" max="8708" width="2.875" customWidth="1"/>
    <col min="8709" max="8709" width="77.625" customWidth="1"/>
    <col min="8710" max="8710" width="20.875" customWidth="1"/>
    <col min="8960" max="8960" width="2.875" customWidth="1"/>
    <col min="8961" max="8961" width="8.125" customWidth="1"/>
    <col min="8962" max="8962" width="8.75" customWidth="1"/>
    <col min="8963" max="8963" width="11" customWidth="1"/>
    <col min="8964" max="8964" width="2.875" customWidth="1"/>
    <col min="8965" max="8965" width="77.625" customWidth="1"/>
    <col min="8966" max="8966" width="20.875" customWidth="1"/>
    <col min="9216" max="9216" width="2.875" customWidth="1"/>
    <col min="9217" max="9217" width="8.125" customWidth="1"/>
    <col min="9218" max="9218" width="8.75" customWidth="1"/>
    <col min="9219" max="9219" width="11" customWidth="1"/>
    <col min="9220" max="9220" width="2.875" customWidth="1"/>
    <col min="9221" max="9221" width="77.625" customWidth="1"/>
    <col min="9222" max="9222" width="20.875" customWidth="1"/>
    <col min="9472" max="9472" width="2.875" customWidth="1"/>
    <col min="9473" max="9473" width="8.125" customWidth="1"/>
    <col min="9474" max="9474" width="8.75" customWidth="1"/>
    <col min="9475" max="9475" width="11" customWidth="1"/>
    <col min="9476" max="9476" width="2.875" customWidth="1"/>
    <col min="9477" max="9477" width="77.625" customWidth="1"/>
    <col min="9478" max="9478" width="20.875" customWidth="1"/>
    <col min="9728" max="9728" width="2.875" customWidth="1"/>
    <col min="9729" max="9729" width="8.125" customWidth="1"/>
    <col min="9730" max="9730" width="8.75" customWidth="1"/>
    <col min="9731" max="9731" width="11" customWidth="1"/>
    <col min="9732" max="9732" width="2.875" customWidth="1"/>
    <col min="9733" max="9733" width="77.625" customWidth="1"/>
    <col min="9734" max="9734" width="20.875" customWidth="1"/>
    <col min="9984" max="9984" width="2.875" customWidth="1"/>
    <col min="9985" max="9985" width="8.125" customWidth="1"/>
    <col min="9986" max="9986" width="8.75" customWidth="1"/>
    <col min="9987" max="9987" width="11" customWidth="1"/>
    <col min="9988" max="9988" width="2.875" customWidth="1"/>
    <col min="9989" max="9989" width="77.625" customWidth="1"/>
    <col min="9990" max="9990" width="20.875" customWidth="1"/>
    <col min="10240" max="10240" width="2.875" customWidth="1"/>
    <col min="10241" max="10241" width="8.125" customWidth="1"/>
    <col min="10242" max="10242" width="8.75" customWidth="1"/>
    <col min="10243" max="10243" width="11" customWidth="1"/>
    <col min="10244" max="10244" width="2.875" customWidth="1"/>
    <col min="10245" max="10245" width="77.625" customWidth="1"/>
    <col min="10246" max="10246" width="20.875" customWidth="1"/>
    <col min="10496" max="10496" width="2.875" customWidth="1"/>
    <col min="10497" max="10497" width="8.125" customWidth="1"/>
    <col min="10498" max="10498" width="8.75" customWidth="1"/>
    <col min="10499" max="10499" width="11" customWidth="1"/>
    <col min="10500" max="10500" width="2.875" customWidth="1"/>
    <col min="10501" max="10501" width="77.625" customWidth="1"/>
    <col min="10502" max="10502" width="20.875" customWidth="1"/>
    <col min="10752" max="10752" width="2.875" customWidth="1"/>
    <col min="10753" max="10753" width="8.125" customWidth="1"/>
    <col min="10754" max="10754" width="8.75" customWidth="1"/>
    <col min="10755" max="10755" width="11" customWidth="1"/>
    <col min="10756" max="10756" width="2.875" customWidth="1"/>
    <col min="10757" max="10757" width="77.625" customWidth="1"/>
    <col min="10758" max="10758" width="20.875" customWidth="1"/>
    <col min="11008" max="11008" width="2.875" customWidth="1"/>
    <col min="11009" max="11009" width="8.125" customWidth="1"/>
    <col min="11010" max="11010" width="8.75" customWidth="1"/>
    <col min="11011" max="11011" width="11" customWidth="1"/>
    <col min="11012" max="11012" width="2.875" customWidth="1"/>
    <col min="11013" max="11013" width="77.625" customWidth="1"/>
    <col min="11014" max="11014" width="20.875" customWidth="1"/>
    <col min="11264" max="11264" width="2.875" customWidth="1"/>
    <col min="11265" max="11265" width="8.125" customWidth="1"/>
    <col min="11266" max="11266" width="8.75" customWidth="1"/>
    <col min="11267" max="11267" width="11" customWidth="1"/>
    <col min="11268" max="11268" width="2.875" customWidth="1"/>
    <col min="11269" max="11269" width="77.625" customWidth="1"/>
    <col min="11270" max="11270" width="20.875" customWidth="1"/>
    <col min="11520" max="11520" width="2.875" customWidth="1"/>
    <col min="11521" max="11521" width="8.125" customWidth="1"/>
    <col min="11522" max="11522" width="8.75" customWidth="1"/>
    <col min="11523" max="11523" width="11" customWidth="1"/>
    <col min="11524" max="11524" width="2.875" customWidth="1"/>
    <col min="11525" max="11525" width="77.625" customWidth="1"/>
    <col min="11526" max="11526" width="20.875" customWidth="1"/>
    <col min="11776" max="11776" width="2.875" customWidth="1"/>
    <col min="11777" max="11777" width="8.125" customWidth="1"/>
    <col min="11778" max="11778" width="8.75" customWidth="1"/>
    <col min="11779" max="11779" width="11" customWidth="1"/>
    <col min="11780" max="11780" width="2.875" customWidth="1"/>
    <col min="11781" max="11781" width="77.625" customWidth="1"/>
    <col min="11782" max="11782" width="20.875" customWidth="1"/>
    <col min="12032" max="12032" width="2.875" customWidth="1"/>
    <col min="12033" max="12033" width="8.125" customWidth="1"/>
    <col min="12034" max="12034" width="8.75" customWidth="1"/>
    <col min="12035" max="12035" width="11" customWidth="1"/>
    <col min="12036" max="12036" width="2.875" customWidth="1"/>
    <col min="12037" max="12037" width="77.625" customWidth="1"/>
    <col min="12038" max="12038" width="20.875" customWidth="1"/>
    <col min="12288" max="12288" width="2.875" customWidth="1"/>
    <col min="12289" max="12289" width="8.125" customWidth="1"/>
    <col min="12290" max="12290" width="8.75" customWidth="1"/>
    <col min="12291" max="12291" width="11" customWidth="1"/>
    <col min="12292" max="12292" width="2.875" customWidth="1"/>
    <col min="12293" max="12293" width="77.625" customWidth="1"/>
    <col min="12294" max="12294" width="20.875" customWidth="1"/>
    <col min="12544" max="12544" width="2.875" customWidth="1"/>
    <col min="12545" max="12545" width="8.125" customWidth="1"/>
    <col min="12546" max="12546" width="8.75" customWidth="1"/>
    <col min="12547" max="12547" width="11" customWidth="1"/>
    <col min="12548" max="12548" width="2.875" customWidth="1"/>
    <col min="12549" max="12549" width="77.625" customWidth="1"/>
    <col min="12550" max="12550" width="20.875" customWidth="1"/>
    <col min="12800" max="12800" width="2.875" customWidth="1"/>
    <col min="12801" max="12801" width="8.125" customWidth="1"/>
    <col min="12802" max="12802" width="8.75" customWidth="1"/>
    <col min="12803" max="12803" width="11" customWidth="1"/>
    <col min="12804" max="12804" width="2.875" customWidth="1"/>
    <col min="12805" max="12805" width="77.625" customWidth="1"/>
    <col min="12806" max="12806" width="20.875" customWidth="1"/>
    <col min="13056" max="13056" width="2.875" customWidth="1"/>
    <col min="13057" max="13057" width="8.125" customWidth="1"/>
    <col min="13058" max="13058" width="8.75" customWidth="1"/>
    <col min="13059" max="13059" width="11" customWidth="1"/>
    <col min="13060" max="13060" width="2.875" customWidth="1"/>
    <col min="13061" max="13061" width="77.625" customWidth="1"/>
    <col min="13062" max="13062" width="20.875" customWidth="1"/>
    <col min="13312" max="13312" width="2.875" customWidth="1"/>
    <col min="13313" max="13313" width="8.125" customWidth="1"/>
    <col min="13314" max="13314" width="8.75" customWidth="1"/>
    <col min="13315" max="13315" width="11" customWidth="1"/>
    <col min="13316" max="13316" width="2.875" customWidth="1"/>
    <col min="13317" max="13317" width="77.625" customWidth="1"/>
    <col min="13318" max="13318" width="20.875" customWidth="1"/>
    <col min="13568" max="13568" width="2.875" customWidth="1"/>
    <col min="13569" max="13569" width="8.125" customWidth="1"/>
    <col min="13570" max="13570" width="8.75" customWidth="1"/>
    <col min="13571" max="13571" width="11" customWidth="1"/>
    <col min="13572" max="13572" width="2.875" customWidth="1"/>
    <col min="13573" max="13573" width="77.625" customWidth="1"/>
    <col min="13574" max="13574" width="20.875" customWidth="1"/>
    <col min="13824" max="13824" width="2.875" customWidth="1"/>
    <col min="13825" max="13825" width="8.125" customWidth="1"/>
    <col min="13826" max="13826" width="8.75" customWidth="1"/>
    <col min="13827" max="13827" width="11" customWidth="1"/>
    <col min="13828" max="13828" width="2.875" customWidth="1"/>
    <col min="13829" max="13829" width="77.625" customWidth="1"/>
    <col min="13830" max="13830" width="20.875" customWidth="1"/>
    <col min="14080" max="14080" width="2.875" customWidth="1"/>
    <col min="14081" max="14081" width="8.125" customWidth="1"/>
    <col min="14082" max="14082" width="8.75" customWidth="1"/>
    <col min="14083" max="14083" width="11" customWidth="1"/>
    <col min="14084" max="14084" width="2.875" customWidth="1"/>
    <col min="14085" max="14085" width="77.625" customWidth="1"/>
    <col min="14086" max="14086" width="20.875" customWidth="1"/>
    <col min="14336" max="14336" width="2.875" customWidth="1"/>
    <col min="14337" max="14337" width="8.125" customWidth="1"/>
    <col min="14338" max="14338" width="8.75" customWidth="1"/>
    <col min="14339" max="14339" width="11" customWidth="1"/>
    <col min="14340" max="14340" width="2.875" customWidth="1"/>
    <col min="14341" max="14341" width="77.625" customWidth="1"/>
    <col min="14342" max="14342" width="20.875" customWidth="1"/>
    <col min="14592" max="14592" width="2.875" customWidth="1"/>
    <col min="14593" max="14593" width="8.125" customWidth="1"/>
    <col min="14594" max="14594" width="8.75" customWidth="1"/>
    <col min="14595" max="14595" width="11" customWidth="1"/>
    <col min="14596" max="14596" width="2.875" customWidth="1"/>
    <col min="14597" max="14597" width="77.625" customWidth="1"/>
    <col min="14598" max="14598" width="20.875" customWidth="1"/>
    <col min="14848" max="14848" width="2.875" customWidth="1"/>
    <col min="14849" max="14849" width="8.125" customWidth="1"/>
    <col min="14850" max="14850" width="8.75" customWidth="1"/>
    <col min="14851" max="14851" width="11" customWidth="1"/>
    <col min="14852" max="14852" width="2.875" customWidth="1"/>
    <col min="14853" max="14853" width="77.625" customWidth="1"/>
    <col min="14854" max="14854" width="20.875" customWidth="1"/>
    <col min="15104" max="15104" width="2.875" customWidth="1"/>
    <col min="15105" max="15105" width="8.125" customWidth="1"/>
    <col min="15106" max="15106" width="8.75" customWidth="1"/>
    <col min="15107" max="15107" width="11" customWidth="1"/>
    <col min="15108" max="15108" width="2.875" customWidth="1"/>
    <col min="15109" max="15109" width="77.625" customWidth="1"/>
    <col min="15110" max="15110" width="20.875" customWidth="1"/>
    <col min="15360" max="15360" width="2.875" customWidth="1"/>
    <col min="15361" max="15361" width="8.125" customWidth="1"/>
    <col min="15362" max="15362" width="8.75" customWidth="1"/>
    <col min="15363" max="15363" width="11" customWidth="1"/>
    <col min="15364" max="15364" width="2.875" customWidth="1"/>
    <col min="15365" max="15365" width="77.625" customWidth="1"/>
    <col min="15366" max="15366" width="20.875" customWidth="1"/>
    <col min="15616" max="15616" width="2.875" customWidth="1"/>
    <col min="15617" max="15617" width="8.125" customWidth="1"/>
    <col min="15618" max="15618" width="8.75" customWidth="1"/>
    <col min="15619" max="15619" width="11" customWidth="1"/>
    <col min="15620" max="15620" width="2.875" customWidth="1"/>
    <col min="15621" max="15621" width="77.625" customWidth="1"/>
    <col min="15622" max="15622" width="20.875" customWidth="1"/>
    <col min="15872" max="15872" width="2.875" customWidth="1"/>
    <col min="15873" max="15873" width="8.125" customWidth="1"/>
    <col min="15874" max="15874" width="8.75" customWidth="1"/>
    <col min="15875" max="15875" width="11" customWidth="1"/>
    <col min="15876" max="15876" width="2.875" customWidth="1"/>
    <col min="15877" max="15877" width="77.625" customWidth="1"/>
    <col min="15878" max="15878" width="20.875" customWidth="1"/>
    <col min="16128" max="16128" width="2.875" customWidth="1"/>
    <col min="16129" max="16129" width="8.125" customWidth="1"/>
    <col min="16130" max="16130" width="8.75" customWidth="1"/>
    <col min="16131" max="16131" width="11" customWidth="1"/>
    <col min="16132" max="16132" width="2.875" customWidth="1"/>
    <col min="16133" max="16133" width="77.625" customWidth="1"/>
    <col min="16134" max="16134" width="20.875" customWidth="1"/>
  </cols>
  <sheetData>
    <row r="1" spans="1:129" ht="22.5" customHeight="1" x14ac:dyDescent="0.4">
      <c r="A1" s="59" t="s">
        <v>110</v>
      </c>
      <c r="B1" s="60"/>
      <c r="C1" s="61"/>
      <c r="D1" s="61"/>
      <c r="E1" s="61"/>
      <c r="F1" s="60"/>
      <c r="G1" s="253"/>
      <c r="H1" s="60"/>
      <c r="I1" s="60"/>
      <c r="J1" s="60"/>
      <c r="K1" s="562"/>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row>
    <row r="2" spans="1:129" ht="22.5" customHeight="1" x14ac:dyDescent="0.4">
      <c r="A2" s="59" t="s">
        <v>346</v>
      </c>
      <c r="B2" s="60"/>
      <c r="C2" s="61"/>
      <c r="D2" s="61"/>
      <c r="E2" s="61"/>
      <c r="F2" s="60"/>
      <c r="G2" s="253"/>
      <c r="H2" s="60"/>
      <c r="I2" s="60"/>
      <c r="J2" s="60"/>
      <c r="K2" s="562"/>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row>
    <row r="3" spans="1:129" ht="21.75" customHeight="1" x14ac:dyDescent="0.4">
      <c r="A3" s="59" t="str">
        <f>'April''16 State of Activities'!A3</f>
        <v>Four Months Ended April 30, 2016 and 2015</v>
      </c>
      <c r="B3" s="60"/>
      <c r="C3" s="61"/>
      <c r="D3" s="61"/>
      <c r="E3" s="61"/>
      <c r="F3" s="60"/>
      <c r="G3" s="253"/>
      <c r="H3" s="60"/>
      <c r="I3" s="60"/>
      <c r="J3" s="60"/>
      <c r="K3" s="562"/>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row>
    <row r="4" spans="1:129" ht="22.5" customHeight="1" x14ac:dyDescent="0.4">
      <c r="A4" s="59" t="str">
        <f>'April''16 State of Activities'!A4</f>
        <v>Twelve Months Ended December 31, 2015</v>
      </c>
      <c r="B4" s="60"/>
      <c r="C4" s="61"/>
      <c r="D4" s="61"/>
      <c r="E4" s="61"/>
      <c r="F4" s="60"/>
      <c r="G4" s="253"/>
      <c r="H4" s="60"/>
      <c r="I4" s="60"/>
      <c r="J4" s="60"/>
      <c r="K4" s="562"/>
      <c r="L4" s="60"/>
      <c r="M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row>
    <row r="5" spans="1:129" s="64" customFormat="1" ht="8.25" customHeight="1" thickBot="1" x14ac:dyDescent="0.25">
      <c r="A5" s="62"/>
      <c r="B5" s="62"/>
      <c r="C5" s="62"/>
      <c r="D5" s="62"/>
      <c r="E5" s="62"/>
      <c r="F5" s="62"/>
      <c r="G5" s="25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row>
    <row r="6" spans="1:129" s="67" customFormat="1" ht="24.75" customHeight="1" thickTop="1" thickBot="1" x14ac:dyDescent="0.25">
      <c r="A6" s="65" t="s">
        <v>125</v>
      </c>
      <c r="B6" s="65"/>
      <c r="C6" s="65"/>
      <c r="D6" s="65"/>
      <c r="E6" s="65"/>
      <c r="F6" s="65"/>
      <c r="G6" s="539"/>
      <c r="H6" s="264" t="s">
        <v>63</v>
      </c>
      <c r="I6" s="264"/>
      <c r="J6" s="264"/>
      <c r="L6" s="539" t="s">
        <v>63</v>
      </c>
      <c r="O6" s="66"/>
      <c r="P6" s="482" t="s">
        <v>233</v>
      </c>
      <c r="Q6" s="478" t="s">
        <v>246</v>
      </c>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row>
    <row r="7" spans="1:129" s="69" customFormat="1" ht="8.25" customHeight="1" thickTop="1" x14ac:dyDescent="0.2">
      <c r="A7" s="68"/>
      <c r="B7" s="68"/>
      <c r="C7" s="68"/>
      <c r="D7" s="68"/>
      <c r="E7" s="68"/>
      <c r="F7" s="68"/>
      <c r="G7" s="255"/>
    </row>
    <row r="8" spans="1:129" s="73" customFormat="1" ht="21" thickBot="1" x14ac:dyDescent="0.35">
      <c r="A8" s="70"/>
      <c r="B8" s="155" t="s">
        <v>117</v>
      </c>
      <c r="C8" s="155"/>
      <c r="D8" s="155"/>
      <c r="E8" s="155"/>
      <c r="F8" s="155"/>
      <c r="G8" s="309">
        <v>41090</v>
      </c>
      <c r="H8" s="309">
        <v>41274</v>
      </c>
      <c r="I8" s="360"/>
      <c r="J8" s="309">
        <v>42490</v>
      </c>
      <c r="K8" s="360"/>
      <c r="L8" s="569">
        <v>42369</v>
      </c>
      <c r="M8" s="72"/>
      <c r="N8" s="309">
        <v>42124</v>
      </c>
      <c r="O8" s="72"/>
      <c r="P8" s="626" t="s">
        <v>345</v>
      </c>
      <c r="Q8" s="626"/>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row>
    <row r="9" spans="1:129" s="75" customFormat="1" ht="20.25" x14ac:dyDescent="0.2">
      <c r="A9" s="74"/>
      <c r="B9" s="74"/>
      <c r="C9" s="491" t="s">
        <v>177</v>
      </c>
      <c r="D9" s="491"/>
      <c r="E9" s="491"/>
      <c r="F9" s="74"/>
      <c r="G9" s="291">
        <v>127719</v>
      </c>
      <c r="H9" s="291">
        <f>83966.5-16400</f>
        <v>67566.5</v>
      </c>
      <c r="I9" s="359"/>
      <c r="J9" s="363">
        <f>'April''16 State of Activities'!G11</f>
        <v>67186.87</v>
      </c>
      <c r="K9" s="363"/>
      <c r="L9" s="363">
        <f>'April''16 State of Activities'!H11</f>
        <v>187725.23</v>
      </c>
      <c r="M9" s="446"/>
      <c r="N9" s="363">
        <f>'April''16 State of Activities'!J11</f>
        <v>60827.159999999996</v>
      </c>
      <c r="O9" s="69"/>
      <c r="P9" s="433">
        <f>J9-N9</f>
        <v>6359.7099999999991</v>
      </c>
      <c r="Q9" s="479">
        <f>P9/N9</f>
        <v>0.10455378814332281</v>
      </c>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row>
    <row r="10" spans="1:129" s="75" customFormat="1" ht="20.25" x14ac:dyDescent="0.2">
      <c r="A10" s="74"/>
      <c r="B10" s="74"/>
      <c r="C10" s="491" t="s">
        <v>347</v>
      </c>
      <c r="D10" s="491"/>
      <c r="E10" s="491"/>
      <c r="F10" s="74"/>
      <c r="G10" s="290">
        <v>875436</v>
      </c>
      <c r="H10" s="290">
        <f>372424.1</f>
        <v>372424.1</v>
      </c>
      <c r="I10" s="363"/>
      <c r="J10" s="359">
        <f>4085+(2144.6+1397.5)*1.1</f>
        <v>7981.31</v>
      </c>
      <c r="K10" s="363"/>
      <c r="L10" s="359">
        <v>24307.558400000002</v>
      </c>
      <c r="M10" s="69"/>
      <c r="N10" s="359">
        <v>7627</v>
      </c>
      <c r="O10" s="69"/>
      <c r="P10" s="302">
        <f>J10-N10</f>
        <v>354.3100000000004</v>
      </c>
      <c r="Q10" s="519">
        <f>P10/N10</f>
        <v>4.6454700406450819E-2</v>
      </c>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row>
    <row r="11" spans="1:129" s="75" customFormat="1" ht="20.25" x14ac:dyDescent="0.2">
      <c r="A11" s="74"/>
      <c r="B11" s="74"/>
      <c r="C11" s="491" t="s">
        <v>119</v>
      </c>
      <c r="D11" s="491"/>
      <c r="E11" s="491"/>
      <c r="F11" s="74"/>
      <c r="G11" s="291"/>
      <c r="H11" s="291"/>
      <c r="I11" s="359"/>
      <c r="J11" s="359"/>
      <c r="K11" s="359"/>
      <c r="L11" s="359"/>
      <c r="M11" s="69"/>
      <c r="N11" s="359"/>
      <c r="O11" s="69"/>
      <c r="P11" s="302"/>
      <c r="Q11" s="498"/>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row>
    <row r="12" spans="1:129" s="75" customFormat="1" ht="20.25" x14ac:dyDescent="0.2">
      <c r="A12" s="74"/>
      <c r="B12" s="74"/>
      <c r="C12" s="78"/>
      <c r="D12" s="491" t="s">
        <v>348</v>
      </c>
      <c r="E12" s="491"/>
      <c r="F12" s="74"/>
      <c r="G12" s="291">
        <f>135235.25-41000</f>
        <v>94235.25</v>
      </c>
      <c r="H12" s="291">
        <v>37190.379999999997</v>
      </c>
      <c r="I12" s="359"/>
      <c r="J12" s="359">
        <f>40000/12*4</f>
        <v>13333.333333333334</v>
      </c>
      <c r="K12" s="359"/>
      <c r="L12" s="359">
        <v>36000</v>
      </c>
      <c r="M12" s="69"/>
      <c r="N12" s="359">
        <f>36000/12*4</f>
        <v>12000</v>
      </c>
      <c r="O12" s="69"/>
      <c r="P12" s="302">
        <f t="shared" ref="P12:P15" si="0">J12-N12</f>
        <v>1333.3333333333339</v>
      </c>
      <c r="Q12" s="479">
        <f t="shared" ref="Q12:Q15" si="1">P12/N12</f>
        <v>0.11111111111111116</v>
      </c>
      <c r="R12" s="69"/>
      <c r="S12" s="573"/>
      <c r="T12" s="574"/>
      <c r="U12" s="573"/>
      <c r="V12" s="573"/>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row>
    <row r="13" spans="1:129" s="75" customFormat="1" ht="20.25" x14ac:dyDescent="0.2">
      <c r="A13" s="74"/>
      <c r="B13" s="74"/>
      <c r="C13" s="78"/>
      <c r="D13" s="491" t="s">
        <v>189</v>
      </c>
      <c r="E13" s="491"/>
      <c r="F13" s="74"/>
      <c r="G13" s="291"/>
      <c r="H13" s="291"/>
      <c r="I13" s="359"/>
      <c r="J13" s="359">
        <f>6500/12*4</f>
        <v>2166.6666666666665</v>
      </c>
      <c r="K13" s="359"/>
      <c r="L13" s="359">
        <v>6500</v>
      </c>
      <c r="M13" s="69"/>
      <c r="N13" s="359">
        <f>6500/12*4</f>
        <v>2166.6666666666665</v>
      </c>
      <c r="O13" s="69"/>
      <c r="P13" s="302">
        <f t="shared" si="0"/>
        <v>0</v>
      </c>
      <c r="Q13" s="479">
        <f t="shared" si="1"/>
        <v>0</v>
      </c>
      <c r="R13" s="69"/>
      <c r="S13" s="69"/>
      <c r="T13" s="446"/>
      <c r="U13" s="575"/>
      <c r="V13" s="413"/>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row>
    <row r="14" spans="1:129" s="75" customFormat="1" ht="20.25" x14ac:dyDescent="0.2">
      <c r="A14" s="74"/>
      <c r="B14" s="74"/>
      <c r="C14" s="491" t="s">
        <v>120</v>
      </c>
      <c r="D14" s="491"/>
      <c r="E14" s="491"/>
      <c r="F14" s="74"/>
      <c r="G14" s="291">
        <v>0</v>
      </c>
      <c r="H14" s="291">
        <f>3667-150</f>
        <v>3517</v>
      </c>
      <c r="I14" s="359"/>
      <c r="J14" s="359">
        <f>'April''16 State of Activities'!G17</f>
        <v>2834.05</v>
      </c>
      <c r="K14" s="359"/>
      <c r="L14" s="359">
        <f>'April''16 State of Activities'!H17</f>
        <v>9476.43</v>
      </c>
      <c r="M14" s="69"/>
      <c r="N14" s="359">
        <f>'April''16 State of Activities'!J17</f>
        <v>2195.4299999999998</v>
      </c>
      <c r="O14" s="69"/>
      <c r="P14" s="302">
        <f t="shared" si="0"/>
        <v>638.62000000000035</v>
      </c>
      <c r="Q14" s="519">
        <f t="shared" si="1"/>
        <v>0.2908860678773636</v>
      </c>
      <c r="R14" s="69"/>
      <c r="S14" s="69"/>
      <c r="T14" s="446"/>
      <c r="U14" s="575"/>
      <c r="V14" s="413"/>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row>
    <row r="15" spans="1:129" s="75" customFormat="1" ht="20.25" x14ac:dyDescent="0.2">
      <c r="A15" s="74"/>
      <c r="B15" s="74"/>
      <c r="C15" s="491" t="s">
        <v>349</v>
      </c>
      <c r="D15" s="491"/>
      <c r="E15" s="491"/>
      <c r="F15" s="74"/>
      <c r="G15" s="291">
        <v>31459</v>
      </c>
      <c r="H15" s="291">
        <v>13920.35</v>
      </c>
      <c r="I15" s="359"/>
      <c r="J15" s="359">
        <f>'April''16 Revenues &amp; Expenses'!H38</f>
        <v>8061.01</v>
      </c>
      <c r="K15" s="359"/>
      <c r="L15" s="359">
        <v>25000</v>
      </c>
      <c r="M15" s="69"/>
      <c r="N15" s="359">
        <v>7873</v>
      </c>
      <c r="O15" s="69"/>
      <c r="P15" s="302">
        <f t="shared" si="0"/>
        <v>188.01000000000022</v>
      </c>
      <c r="Q15" s="519">
        <f t="shared" si="1"/>
        <v>2.3880350565222943E-2</v>
      </c>
      <c r="R15" s="69"/>
      <c r="S15" s="69"/>
      <c r="T15" s="446"/>
      <c r="U15" s="575"/>
      <c r="V15" s="413"/>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row>
    <row r="16" spans="1:129" s="75" customFormat="1" ht="20.25" x14ac:dyDescent="0.2">
      <c r="A16" s="74"/>
      <c r="B16" s="74"/>
      <c r="C16" s="491" t="s">
        <v>350</v>
      </c>
      <c r="D16" s="491"/>
      <c r="E16" s="491"/>
      <c r="F16" s="74"/>
      <c r="G16" s="291"/>
      <c r="H16" s="291"/>
      <c r="I16" s="359"/>
      <c r="J16" s="359"/>
      <c r="K16" s="359"/>
      <c r="L16" s="359">
        <v>50000</v>
      </c>
      <c r="M16" s="69"/>
      <c r="N16" s="359">
        <v>0</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row>
    <row r="17" spans="1:62" s="75" customFormat="1" ht="20.25" x14ac:dyDescent="0.2">
      <c r="A17" s="74"/>
      <c r="B17" s="74"/>
      <c r="C17" s="491" t="s">
        <v>372</v>
      </c>
      <c r="D17" s="491"/>
      <c r="E17" s="491"/>
      <c r="F17" s="74"/>
      <c r="G17" s="291">
        <v>1125</v>
      </c>
      <c r="H17" s="291">
        <v>6050</v>
      </c>
      <c r="I17" s="359"/>
      <c r="J17" s="359"/>
      <c r="K17" s="359"/>
      <c r="L17" s="359">
        <f>-'April''16 State of Activities'!H55</f>
        <v>-6085</v>
      </c>
      <c r="M17" s="69"/>
      <c r="N17" s="359"/>
      <c r="O17" s="69"/>
      <c r="P17" s="302">
        <f t="shared" ref="P17:P18" si="2">J17-N17</f>
        <v>0</v>
      </c>
      <c r="Q17" s="49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row>
    <row r="18" spans="1:62" s="75" customFormat="1" ht="21" thickBot="1" x14ac:dyDescent="0.25">
      <c r="A18" s="74"/>
      <c r="B18" s="74"/>
      <c r="C18" s="491" t="s">
        <v>351</v>
      </c>
      <c r="D18" s="491"/>
      <c r="E18" s="491"/>
      <c r="F18" s="74"/>
      <c r="G18" s="292">
        <v>31250</v>
      </c>
      <c r="H18" s="292">
        <v>15624.98</v>
      </c>
      <c r="I18" s="359"/>
      <c r="J18" s="292">
        <f>'April''16 State of Activities'!G25*0.2</f>
        <v>3105</v>
      </c>
      <c r="K18" s="359"/>
      <c r="L18" s="292">
        <f>'April''16 State of Activities'!H25*0.2</f>
        <v>9315</v>
      </c>
      <c r="M18" s="69"/>
      <c r="N18" s="292">
        <f>J18</f>
        <v>3105</v>
      </c>
      <c r="O18" s="69"/>
      <c r="P18" s="432">
        <f t="shared" si="2"/>
        <v>0</v>
      </c>
      <c r="Q18" s="480">
        <f t="shared" ref="Q18" si="3">P18/N18</f>
        <v>0</v>
      </c>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row>
    <row r="19" spans="1:62" s="75" customFormat="1" ht="20.25" x14ac:dyDescent="0.2">
      <c r="A19" s="74"/>
      <c r="B19" s="74"/>
      <c r="C19" s="491"/>
      <c r="D19" s="74" t="s">
        <v>122</v>
      </c>
      <c r="E19" s="491"/>
      <c r="F19" s="74"/>
      <c r="G19" s="257">
        <f>SUM(G9:G18)</f>
        <v>1161224.25</v>
      </c>
      <c r="H19" s="257">
        <f>SUM(H9:H18)</f>
        <v>516293.30999999994</v>
      </c>
      <c r="I19" s="255"/>
      <c r="J19" s="291">
        <f>SUM(J9:J18)</f>
        <v>104668.23999999999</v>
      </c>
      <c r="K19" s="255"/>
      <c r="L19" s="291">
        <v>346510.23840000003</v>
      </c>
      <c r="M19" s="69"/>
      <c r="N19" s="291">
        <f>SUM(N9:N18)</f>
        <v>95794.256666666668</v>
      </c>
      <c r="O19" s="69"/>
      <c r="P19" s="302">
        <f>J19-N19</f>
        <v>8873.9833333333227</v>
      </c>
      <c r="Q19" s="479">
        <f>P19/N19</f>
        <v>9.2635859832515252E-2</v>
      </c>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row>
    <row r="20" spans="1:62" s="75" customFormat="1" ht="21" thickBot="1" x14ac:dyDescent="0.25">
      <c r="A20" s="74"/>
      <c r="B20" s="74"/>
      <c r="C20" s="74" t="s">
        <v>352</v>
      </c>
      <c r="D20" s="491"/>
      <c r="E20" s="491"/>
      <c r="F20" s="74"/>
      <c r="G20" s="265">
        <f>166077-15901</f>
        <v>150176</v>
      </c>
      <c r="H20" s="265">
        <v>47700.27</v>
      </c>
      <c r="I20" s="255"/>
      <c r="J20" s="359">
        <f>19000/12*4</f>
        <v>6333.333333333333</v>
      </c>
      <c r="K20" s="255"/>
      <c r="L20" s="359">
        <v>19000</v>
      </c>
      <c r="M20" s="69"/>
      <c r="N20" s="576">
        <f>L20/12*4</f>
        <v>6333.333333333333</v>
      </c>
      <c r="O20" s="69"/>
      <c r="P20" s="302">
        <f t="shared" ref="P20:P21" si="4">J20-N20</f>
        <v>0</v>
      </c>
      <c r="Q20" s="479">
        <f t="shared" ref="Q20:Q21" si="5">P20/N20</f>
        <v>0</v>
      </c>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row>
    <row r="21" spans="1:62" s="75" customFormat="1" ht="21" thickBot="1" x14ac:dyDescent="0.25">
      <c r="A21" s="74"/>
      <c r="B21" s="74"/>
      <c r="C21" s="74" t="s">
        <v>353</v>
      </c>
      <c r="D21" s="491"/>
      <c r="E21" s="491"/>
      <c r="F21" s="74"/>
      <c r="G21" s="255"/>
      <c r="H21" s="255"/>
      <c r="I21" s="255"/>
      <c r="J21" s="292">
        <v>11755.98</v>
      </c>
      <c r="K21" s="255"/>
      <c r="L21" s="292">
        <v>35202.559999999998</v>
      </c>
      <c r="M21" s="69"/>
      <c r="N21" s="265">
        <v>13012</v>
      </c>
      <c r="O21" s="69"/>
      <c r="P21" s="432">
        <f t="shared" si="4"/>
        <v>-1256.0200000000004</v>
      </c>
      <c r="Q21" s="499">
        <f t="shared" si="5"/>
        <v>-9.6527820473409201E-2</v>
      </c>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row>
    <row r="22" spans="1:62" s="75" customFormat="1" ht="20.25" x14ac:dyDescent="0.2">
      <c r="A22" s="74"/>
      <c r="B22" s="74"/>
      <c r="C22" s="491"/>
      <c r="D22" s="74" t="s">
        <v>124</v>
      </c>
      <c r="E22" s="491"/>
      <c r="F22" s="74"/>
      <c r="G22" s="257">
        <f>SUM(G19:G20)</f>
        <v>1311400.25</v>
      </c>
      <c r="H22" s="257">
        <f>SUM(H19:H20)</f>
        <v>563993.57999999996</v>
      </c>
      <c r="I22" s="255"/>
      <c r="J22" s="291">
        <f>SUM(J19:J20)+J21</f>
        <v>122757.55333333332</v>
      </c>
      <c r="K22" s="255"/>
      <c r="L22" s="291">
        <v>400712.79840000003</v>
      </c>
      <c r="M22" s="69"/>
      <c r="N22" s="291">
        <f>SUM(N19:N20)+N21</f>
        <v>115139.59</v>
      </c>
      <c r="O22" s="69"/>
      <c r="P22" s="302">
        <f>J22-N22</f>
        <v>7617.9633333333186</v>
      </c>
      <c r="Q22" s="479">
        <f>P22/N22</f>
        <v>6.616284922790952E-2</v>
      </c>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row>
    <row r="23" spans="1:62" s="75" customFormat="1" ht="20.25" x14ac:dyDescent="0.2">
      <c r="A23" s="74"/>
      <c r="B23" s="74"/>
      <c r="C23" s="491"/>
      <c r="D23" s="74"/>
      <c r="E23" s="491"/>
      <c r="F23" s="74"/>
      <c r="G23" s="257"/>
      <c r="H23" s="257"/>
      <c r="I23" s="255"/>
      <c r="J23" s="359"/>
      <c r="K23" s="255"/>
      <c r="L23" s="359"/>
      <c r="M23" s="69"/>
      <c r="N23" s="255"/>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row>
    <row r="24" spans="1:62" s="75" customFormat="1" ht="21" thickBot="1" x14ac:dyDescent="0.25">
      <c r="A24" s="74"/>
      <c r="B24" s="88" t="s">
        <v>128</v>
      </c>
      <c r="C24" s="88"/>
      <c r="D24" s="88"/>
      <c r="E24" s="88"/>
      <c r="F24" s="88"/>
      <c r="G24" s="265"/>
      <c r="H24" s="69"/>
      <c r="I24" s="69"/>
      <c r="J24" s="420"/>
      <c r="K24" s="69"/>
      <c r="L24" s="420"/>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row>
    <row r="25" spans="1:62" s="69" customFormat="1" ht="20.25" x14ac:dyDescent="0.2">
      <c r="A25" s="68"/>
      <c r="B25" s="68"/>
      <c r="C25" s="80" t="s">
        <v>354</v>
      </c>
      <c r="D25" s="80"/>
      <c r="E25" s="80"/>
      <c r="F25" s="80"/>
      <c r="G25" s="255">
        <f>726534.33+7213.47</f>
        <v>733747.79999999993</v>
      </c>
      <c r="H25" s="302">
        <v>361976</v>
      </c>
      <c r="I25" s="302"/>
      <c r="J25" s="460"/>
      <c r="K25" s="302"/>
      <c r="L25" s="460"/>
      <c r="N25" s="302"/>
    </row>
    <row r="26" spans="1:62" s="69" customFormat="1" ht="20.25" x14ac:dyDescent="0.2">
      <c r="A26" s="68"/>
      <c r="B26" s="68"/>
      <c r="C26" s="80"/>
      <c r="D26" s="627" t="s">
        <v>355</v>
      </c>
      <c r="E26" s="627"/>
      <c r="F26" s="627"/>
      <c r="G26" s="255"/>
      <c r="H26" s="302"/>
      <c r="I26" s="302"/>
      <c r="J26" s="460">
        <v>47694.12</v>
      </c>
      <c r="K26" s="302"/>
      <c r="L26" s="460">
        <v>131013.43</v>
      </c>
      <c r="N26" s="302">
        <v>41489.699999999997</v>
      </c>
      <c r="P26" s="302">
        <f t="shared" ref="P26:P46" si="6">J26-N26</f>
        <v>6204.4200000000055</v>
      </c>
      <c r="Q26" s="519">
        <f t="shared" ref="Q26:Q47" si="7">P26/N26</f>
        <v>0.14954121143319923</v>
      </c>
    </row>
    <row r="27" spans="1:62" s="69" customFormat="1" ht="20.25" x14ac:dyDescent="0.2">
      <c r="A27" s="68"/>
      <c r="B27" s="68"/>
      <c r="C27" s="80"/>
      <c r="D27" s="627" t="s">
        <v>356</v>
      </c>
      <c r="E27" s="627"/>
      <c r="F27" s="627"/>
      <c r="G27" s="255"/>
      <c r="H27" s="302"/>
      <c r="I27" s="302"/>
      <c r="J27" s="460">
        <f>908.02+142.75+10929.17+7104.61</f>
        <v>19084.55</v>
      </c>
      <c r="K27" s="302"/>
      <c r="L27" s="460">
        <v>56430.39</v>
      </c>
      <c r="N27" s="302">
        <f>59355-N26</f>
        <v>17865.300000000003</v>
      </c>
      <c r="P27" s="302">
        <f t="shared" si="6"/>
        <v>1219.2499999999964</v>
      </c>
      <c r="Q27" s="519">
        <f t="shared" si="7"/>
        <v>6.8246824850408117E-2</v>
      </c>
      <c r="S27" s="289"/>
    </row>
    <row r="28" spans="1:62" s="69" customFormat="1" ht="20.25" x14ac:dyDescent="0.2">
      <c r="A28" s="68"/>
      <c r="B28" s="68"/>
      <c r="C28" s="80"/>
      <c r="D28" s="627" t="s">
        <v>130</v>
      </c>
      <c r="E28" s="627"/>
      <c r="F28" s="627"/>
      <c r="G28" s="255"/>
      <c r="H28" s="302"/>
      <c r="I28" s="302"/>
      <c r="J28" s="460">
        <f>(J26+J27)*0.21</f>
        <v>14023.520699999999</v>
      </c>
      <c r="K28" s="302"/>
      <c r="L28" s="460">
        <v>39363.2022</v>
      </c>
      <c r="N28" s="460">
        <f>(N26+N27)*0.21</f>
        <v>12464.55</v>
      </c>
      <c r="P28" s="302">
        <f t="shared" si="6"/>
        <v>1558.9706999999999</v>
      </c>
      <c r="Q28" s="519">
        <f t="shared" si="7"/>
        <v>0.12507236121640974</v>
      </c>
    </row>
    <row r="29" spans="1:62" s="69" customFormat="1" ht="20.25" x14ac:dyDescent="0.2">
      <c r="A29" s="68"/>
      <c r="B29" s="68"/>
      <c r="C29" s="80" t="s">
        <v>357</v>
      </c>
      <c r="D29" s="80"/>
      <c r="E29" s="80"/>
      <c r="F29" s="80"/>
      <c r="G29" s="255">
        <v>44745.18</v>
      </c>
      <c r="H29" s="255">
        <f>15980.58+4993.63</f>
        <v>20974.21</v>
      </c>
      <c r="I29" s="255"/>
      <c r="J29" s="359"/>
      <c r="K29" s="255"/>
      <c r="L29" s="359"/>
      <c r="N29" s="255"/>
      <c r="P29" s="302"/>
      <c r="Q29" s="519"/>
    </row>
    <row r="30" spans="1:62" s="69" customFormat="1" ht="20.25" x14ac:dyDescent="0.2">
      <c r="A30" s="68"/>
      <c r="B30" s="68"/>
      <c r="C30" s="80"/>
      <c r="D30" s="627" t="s">
        <v>358</v>
      </c>
      <c r="E30" s="627"/>
      <c r="F30" s="627"/>
      <c r="G30" s="255"/>
      <c r="H30" s="255"/>
      <c r="I30" s="255"/>
      <c r="J30" s="359">
        <v>5693.11</v>
      </c>
      <c r="K30" s="255"/>
      <c r="L30" s="359">
        <v>18042.400000000001</v>
      </c>
      <c r="N30" s="255">
        <v>5144.38</v>
      </c>
      <c r="P30" s="302">
        <f t="shared" si="6"/>
        <v>548.72999999999956</v>
      </c>
      <c r="Q30" s="519">
        <f t="shared" si="7"/>
        <v>0.10666591503738052</v>
      </c>
    </row>
    <row r="31" spans="1:62" s="69" customFormat="1" ht="20.25" x14ac:dyDescent="0.2">
      <c r="A31" s="68"/>
      <c r="B31" s="68"/>
      <c r="C31" s="80"/>
      <c r="D31" s="627" t="s">
        <v>359</v>
      </c>
      <c r="E31" s="627"/>
      <c r="F31" s="627"/>
      <c r="G31" s="255"/>
      <c r="H31" s="255"/>
      <c r="I31" s="255"/>
      <c r="J31" s="359">
        <v>4667</v>
      </c>
      <c r="K31" s="255"/>
      <c r="L31" s="359">
        <v>15263</v>
      </c>
      <c r="N31" s="255">
        <v>4766.51</v>
      </c>
      <c r="P31" s="302">
        <f t="shared" si="6"/>
        <v>-99.510000000000218</v>
      </c>
      <c r="Q31" s="498">
        <f t="shared" si="7"/>
        <v>-2.0876909940396687E-2</v>
      </c>
    </row>
    <row r="32" spans="1:62" s="69" customFormat="1" ht="20.25" x14ac:dyDescent="0.2">
      <c r="A32" s="68"/>
      <c r="B32" s="68"/>
      <c r="C32" s="80"/>
      <c r="D32" s="627" t="s">
        <v>360</v>
      </c>
      <c r="E32" s="627"/>
      <c r="F32" s="627"/>
      <c r="G32" s="255"/>
      <c r="H32" s="255"/>
      <c r="I32" s="255"/>
      <c r="J32" s="359">
        <v>2744.22</v>
      </c>
      <c r="K32" s="255"/>
      <c r="L32" s="359">
        <v>7831.9</v>
      </c>
      <c r="N32" s="255">
        <v>1197.07</v>
      </c>
      <c r="P32" s="302">
        <f t="shared" si="6"/>
        <v>1547.1499999999999</v>
      </c>
      <c r="Q32" s="519">
        <f t="shared" si="7"/>
        <v>1.2924473923830686</v>
      </c>
    </row>
    <row r="33" spans="1:17" s="69" customFormat="1" ht="20.25" x14ac:dyDescent="0.2">
      <c r="A33" s="68"/>
      <c r="B33" s="68"/>
      <c r="C33" s="80"/>
      <c r="D33" s="627" t="s">
        <v>361</v>
      </c>
      <c r="E33" s="627"/>
      <c r="F33" s="627"/>
      <c r="G33" s="255"/>
      <c r="H33" s="255"/>
      <c r="I33" s="255"/>
      <c r="J33" s="359">
        <v>2200</v>
      </c>
      <c r="K33" s="255"/>
      <c r="L33" s="359">
        <v>6600</v>
      </c>
      <c r="N33" s="255">
        <v>2200</v>
      </c>
      <c r="P33" s="302">
        <f t="shared" si="6"/>
        <v>0</v>
      </c>
      <c r="Q33" s="519">
        <f t="shared" si="7"/>
        <v>0</v>
      </c>
    </row>
    <row r="34" spans="1:17" s="69" customFormat="1" ht="20.25" x14ac:dyDescent="0.2">
      <c r="A34" s="68"/>
      <c r="B34" s="68"/>
      <c r="C34" s="80"/>
      <c r="D34" s="627" t="s">
        <v>362</v>
      </c>
      <c r="E34" s="627"/>
      <c r="F34" s="627"/>
      <c r="G34" s="255"/>
      <c r="H34" s="255"/>
      <c r="I34" s="255"/>
      <c r="J34" s="359">
        <v>66</v>
      </c>
      <c r="K34" s="255"/>
      <c r="L34" s="359">
        <v>501.5</v>
      </c>
      <c r="N34" s="255">
        <v>190.5</v>
      </c>
      <c r="P34" s="302">
        <f t="shared" si="6"/>
        <v>-124.5</v>
      </c>
      <c r="Q34" s="498">
        <f t="shared" si="7"/>
        <v>-0.65354330708661412</v>
      </c>
    </row>
    <row r="35" spans="1:17" s="69" customFormat="1" ht="20.25" x14ac:dyDescent="0.2">
      <c r="A35" s="68"/>
      <c r="B35" s="68"/>
      <c r="C35" s="80" t="s">
        <v>363</v>
      </c>
      <c r="D35" s="80"/>
      <c r="E35" s="80"/>
      <c r="F35" s="80"/>
      <c r="G35" s="255">
        <v>27200</v>
      </c>
      <c r="H35" s="255">
        <v>11327</v>
      </c>
      <c r="I35" s="255"/>
      <c r="J35" s="359">
        <f>(1915.59+131.58)*4</f>
        <v>8188.6799999999994</v>
      </c>
      <c r="K35" s="255"/>
      <c r="L35" s="359">
        <v>23862</v>
      </c>
      <c r="N35" s="255">
        <v>8900</v>
      </c>
      <c r="P35" s="302">
        <f t="shared" si="6"/>
        <v>-711.32000000000062</v>
      </c>
      <c r="Q35" s="498">
        <f t="shared" si="7"/>
        <v>-7.9923595505618047E-2</v>
      </c>
    </row>
    <row r="36" spans="1:17" s="69" customFormat="1" ht="20.25" x14ac:dyDescent="0.2">
      <c r="A36" s="68"/>
      <c r="B36" s="68"/>
      <c r="C36" s="80" t="s">
        <v>121</v>
      </c>
      <c r="D36" s="80"/>
      <c r="E36" s="80"/>
      <c r="F36" s="80"/>
      <c r="G36" s="255">
        <f>G20</f>
        <v>150176</v>
      </c>
      <c r="H36" s="302">
        <f>H20</f>
        <v>47700.27</v>
      </c>
      <c r="I36" s="302"/>
      <c r="J36" s="460">
        <f>J18</f>
        <v>3105</v>
      </c>
      <c r="K36" s="302"/>
      <c r="L36" s="460">
        <v>9315</v>
      </c>
      <c r="N36" s="302">
        <f>N18</f>
        <v>3105</v>
      </c>
      <c r="P36" s="302">
        <f t="shared" si="6"/>
        <v>0</v>
      </c>
      <c r="Q36" s="519">
        <f t="shared" si="7"/>
        <v>0</v>
      </c>
    </row>
    <row r="37" spans="1:17" s="69" customFormat="1" ht="20.25" x14ac:dyDescent="0.2">
      <c r="A37" s="68"/>
      <c r="B37" s="68"/>
      <c r="C37" s="80" t="s">
        <v>371</v>
      </c>
      <c r="D37" s="80"/>
      <c r="E37" s="80"/>
      <c r="F37" s="80"/>
      <c r="G37" s="255"/>
      <c r="H37" s="302"/>
      <c r="I37" s="302"/>
      <c r="J37" s="460">
        <v>700</v>
      </c>
      <c r="K37" s="302"/>
      <c r="L37" s="460"/>
      <c r="N37" s="302"/>
      <c r="P37" s="302"/>
      <c r="Q37" s="519"/>
    </row>
    <row r="38" spans="1:17" s="69" customFormat="1" ht="20.25" x14ac:dyDescent="0.2">
      <c r="A38" s="68"/>
      <c r="B38" s="68"/>
      <c r="C38" s="80" t="s">
        <v>364</v>
      </c>
      <c r="D38" s="80"/>
      <c r="E38" s="80"/>
      <c r="F38" s="80"/>
      <c r="G38" s="255"/>
      <c r="H38" s="302"/>
      <c r="I38" s="302"/>
      <c r="J38" s="460">
        <v>46.52</v>
      </c>
      <c r="K38" s="302"/>
      <c r="L38" s="460">
        <v>1929.69</v>
      </c>
      <c r="N38" s="302">
        <v>1200</v>
      </c>
      <c r="P38" s="302">
        <f t="shared" si="6"/>
        <v>-1153.48</v>
      </c>
      <c r="Q38" s="519"/>
    </row>
    <row r="39" spans="1:17" s="69" customFormat="1" ht="20.25" x14ac:dyDescent="0.2">
      <c r="A39" s="68"/>
      <c r="B39" s="68"/>
      <c r="C39" s="80" t="s">
        <v>132</v>
      </c>
      <c r="D39" s="80"/>
      <c r="E39" s="80"/>
      <c r="F39" s="80"/>
      <c r="G39" s="255">
        <v>10993.12</v>
      </c>
      <c r="H39" s="302">
        <v>4904.57</v>
      </c>
      <c r="I39" s="302"/>
      <c r="J39" s="460">
        <v>842.07</v>
      </c>
      <c r="K39" s="302"/>
      <c r="L39" s="460">
        <v>2498.56</v>
      </c>
      <c r="N39" s="302">
        <v>860</v>
      </c>
      <c r="P39" s="302">
        <f t="shared" si="6"/>
        <v>-17.92999999999995</v>
      </c>
      <c r="Q39" s="498">
        <f t="shared" si="7"/>
        <v>-2.0848837209302268E-2</v>
      </c>
    </row>
    <row r="40" spans="1:17" s="69" customFormat="1" ht="20.25" x14ac:dyDescent="0.2">
      <c r="A40" s="68"/>
      <c r="B40" s="68"/>
      <c r="C40" s="80" t="s">
        <v>365</v>
      </c>
      <c r="D40" s="80"/>
      <c r="E40" s="80"/>
      <c r="F40" s="80"/>
      <c r="G40" s="255">
        <f>8746.05+1504.9</f>
        <v>10250.949999999999</v>
      </c>
      <c r="H40" s="302">
        <f>3937.89+45.1</f>
        <v>3982.99</v>
      </c>
      <c r="I40" s="302"/>
      <c r="J40" s="460">
        <f>224.08+9.5</f>
        <v>233.58</v>
      </c>
      <c r="K40" s="302"/>
      <c r="L40" s="460">
        <v>915.24</v>
      </c>
      <c r="N40" s="302">
        <v>477</v>
      </c>
      <c r="P40" s="302">
        <f t="shared" si="6"/>
        <v>-243.42</v>
      </c>
      <c r="Q40" s="498">
        <f t="shared" si="7"/>
        <v>-0.51031446540880498</v>
      </c>
    </row>
    <row r="41" spans="1:17" s="69" customFormat="1" ht="20.25" x14ac:dyDescent="0.2">
      <c r="A41" s="68"/>
      <c r="B41" s="68"/>
      <c r="C41" s="80" t="s">
        <v>139</v>
      </c>
      <c r="D41" s="80"/>
      <c r="E41" s="80"/>
      <c r="F41" s="80"/>
      <c r="G41" s="255">
        <v>4412.53</v>
      </c>
      <c r="H41" s="303">
        <v>5667</v>
      </c>
      <c r="I41" s="303"/>
      <c r="J41" s="461">
        <v>390.99</v>
      </c>
      <c r="K41" s="303"/>
      <c r="L41" s="461">
        <v>904.99</v>
      </c>
      <c r="N41" s="255">
        <v>223</v>
      </c>
      <c r="P41" s="302">
        <f t="shared" si="6"/>
        <v>167.99</v>
      </c>
      <c r="Q41" s="519">
        <f t="shared" si="7"/>
        <v>0.75331838565022424</v>
      </c>
    </row>
    <row r="42" spans="1:17" s="69" customFormat="1" ht="20.25" x14ac:dyDescent="0.2">
      <c r="A42" s="68"/>
      <c r="B42" s="68"/>
      <c r="C42" s="80" t="s">
        <v>137</v>
      </c>
      <c r="D42" s="80"/>
      <c r="E42" s="80"/>
      <c r="F42" s="80"/>
      <c r="G42" s="255">
        <v>7901</v>
      </c>
      <c r="H42" s="302">
        <v>4149.6000000000004</v>
      </c>
      <c r="I42" s="302"/>
      <c r="J42" s="460">
        <v>239.13</v>
      </c>
      <c r="K42" s="302"/>
      <c r="L42" s="460">
        <v>634.9</v>
      </c>
      <c r="N42" s="302">
        <v>382</v>
      </c>
      <c r="P42" s="302">
        <f t="shared" si="6"/>
        <v>-142.87</v>
      </c>
      <c r="Q42" s="498">
        <f t="shared" si="7"/>
        <v>-0.37400523560209425</v>
      </c>
    </row>
    <row r="43" spans="1:17" s="69" customFormat="1" ht="20.25" x14ac:dyDescent="0.2">
      <c r="A43" s="68"/>
      <c r="B43" s="68"/>
      <c r="C43" s="80" t="s">
        <v>366</v>
      </c>
      <c r="D43" s="80"/>
      <c r="E43" s="80"/>
      <c r="F43" s="80"/>
      <c r="G43" s="255"/>
      <c r="H43" s="302"/>
      <c r="I43" s="302"/>
      <c r="J43" s="460"/>
      <c r="K43" s="302"/>
      <c r="L43" s="460">
        <v>691.67</v>
      </c>
      <c r="N43" s="302"/>
      <c r="P43" s="302">
        <f t="shared" si="6"/>
        <v>0</v>
      </c>
      <c r="Q43" s="519"/>
    </row>
    <row r="44" spans="1:17" s="77" customFormat="1" ht="20.25" x14ac:dyDescent="0.2">
      <c r="A44" s="80"/>
      <c r="B44" s="80"/>
      <c r="C44" s="80" t="s">
        <v>133</v>
      </c>
      <c r="D44" s="80"/>
      <c r="E44" s="80"/>
      <c r="F44" s="80"/>
      <c r="G44" s="255">
        <v>5428.37</v>
      </c>
      <c r="H44" s="302">
        <v>2024.52</v>
      </c>
      <c r="I44" s="302"/>
      <c r="J44" s="460">
        <v>113.72</v>
      </c>
      <c r="K44" s="302"/>
      <c r="L44" s="460">
        <v>98.4</v>
      </c>
      <c r="N44" s="302">
        <v>77</v>
      </c>
      <c r="P44" s="302">
        <f t="shared" si="6"/>
        <v>36.72</v>
      </c>
      <c r="Q44" s="519">
        <f t="shared" si="7"/>
        <v>0.47688311688311685</v>
      </c>
    </row>
    <row r="45" spans="1:17" s="77" customFormat="1" ht="20.25" x14ac:dyDescent="0.2">
      <c r="A45" s="80"/>
      <c r="B45" s="80"/>
      <c r="C45" s="80" t="s">
        <v>367</v>
      </c>
      <c r="D45" s="80"/>
      <c r="E45" s="80"/>
      <c r="F45" s="80"/>
      <c r="G45" s="255">
        <f>33666.97+30645.72+15650.22+3500</f>
        <v>83462.91</v>
      </c>
      <c r="H45" s="255">
        <f>516.17+11490.52+6989.02</f>
        <v>18995.71</v>
      </c>
      <c r="I45" s="255"/>
      <c r="J45" s="359">
        <f>43.1</f>
        <v>43.1</v>
      </c>
      <c r="K45" s="255"/>
      <c r="L45" s="359">
        <v>52.4</v>
      </c>
      <c r="N45" s="255">
        <v>18</v>
      </c>
      <c r="P45" s="563">
        <f t="shared" si="6"/>
        <v>25.1</v>
      </c>
      <c r="Q45" s="577">
        <f t="shared" si="7"/>
        <v>1.3944444444444446</v>
      </c>
    </row>
    <row r="46" spans="1:17" s="69" customFormat="1" ht="21" thickBot="1" x14ac:dyDescent="0.25">
      <c r="A46" s="68"/>
      <c r="B46" s="68"/>
      <c r="C46" s="68"/>
      <c r="D46" s="74" t="s">
        <v>145</v>
      </c>
      <c r="E46" s="68"/>
      <c r="F46" s="68"/>
      <c r="G46" s="265">
        <f>SUM(G25:G45)</f>
        <v>1078317.8599999999</v>
      </c>
      <c r="H46" s="265">
        <f>SUM(H25:H45)</f>
        <v>481701.87000000005</v>
      </c>
      <c r="I46" s="255"/>
      <c r="J46" s="564">
        <f>SUM(J25:J45)</f>
        <v>110075.31070000002</v>
      </c>
      <c r="K46" s="255"/>
      <c r="L46" s="570">
        <v>315948.67220000003</v>
      </c>
      <c r="N46" s="564">
        <f>SUM(N25:N45)</f>
        <v>100560.01000000001</v>
      </c>
      <c r="P46" s="432">
        <f t="shared" si="6"/>
        <v>9515.3007000000071</v>
      </c>
      <c r="Q46" s="565">
        <f t="shared" si="7"/>
        <v>9.462310813214922E-2</v>
      </c>
    </row>
    <row r="47" spans="1:17" s="69" customFormat="1" ht="21" thickBot="1" x14ac:dyDescent="0.25">
      <c r="A47" s="68"/>
      <c r="B47" s="68"/>
      <c r="C47" s="68"/>
      <c r="D47" s="68" t="s">
        <v>146</v>
      </c>
      <c r="E47" s="68"/>
      <c r="F47" s="68"/>
      <c r="G47" s="265">
        <f>G22-G46</f>
        <v>233082.39000000013</v>
      </c>
      <c r="H47" s="265">
        <f>H22-H46</f>
        <v>82291.709999999905</v>
      </c>
      <c r="I47" s="255"/>
      <c r="J47" s="566">
        <f>J22-J46</f>
        <v>12682.242633333299</v>
      </c>
      <c r="K47" s="255"/>
      <c r="L47" s="571">
        <v>84764.126199999999</v>
      </c>
      <c r="N47" s="566">
        <f>N22-N46</f>
        <v>14579.579999999987</v>
      </c>
      <c r="P47" s="432">
        <f>J47-N47</f>
        <v>-1897.3373666666885</v>
      </c>
      <c r="Q47" s="499">
        <f t="shared" si="7"/>
        <v>-0.13013662716392996</v>
      </c>
    </row>
    <row r="48" spans="1:17" s="69" customFormat="1" ht="20.25" x14ac:dyDescent="0.2">
      <c r="A48" s="68"/>
      <c r="B48" s="68"/>
      <c r="C48" s="68"/>
      <c r="D48" s="68"/>
      <c r="E48" s="68"/>
      <c r="F48" s="68"/>
      <c r="G48" s="255"/>
      <c r="H48" s="255"/>
      <c r="I48" s="255"/>
      <c r="J48" s="255"/>
      <c r="K48" s="255"/>
      <c r="L48" s="359"/>
      <c r="N48" s="255"/>
    </row>
    <row r="49" spans="1:17" s="66" customFormat="1" ht="26.25" x14ac:dyDescent="0.2">
      <c r="A49" s="295"/>
      <c r="B49" s="295"/>
      <c r="C49" s="80" t="s">
        <v>373</v>
      </c>
      <c r="E49" s="80"/>
      <c r="F49" s="80"/>
      <c r="G49" s="297"/>
      <c r="H49" s="255"/>
      <c r="I49" s="255"/>
      <c r="J49" s="255"/>
      <c r="K49" s="255"/>
      <c r="L49" s="359">
        <v>-50000</v>
      </c>
      <c r="N49" s="255"/>
      <c r="P49" s="302">
        <f t="shared" ref="P49:P51" si="8">J49-N49</f>
        <v>0</v>
      </c>
      <c r="Q49" s="479"/>
    </row>
    <row r="50" spans="1:17" s="69" customFormat="1" ht="20.25" x14ac:dyDescent="0.2">
      <c r="A50" s="68"/>
      <c r="B50" s="68"/>
      <c r="C50" s="80" t="s">
        <v>368</v>
      </c>
      <c r="E50" s="68"/>
      <c r="G50" s="255"/>
      <c r="H50" s="255"/>
      <c r="I50" s="255"/>
      <c r="J50" s="255">
        <f>J35</f>
        <v>8188.6799999999994</v>
      </c>
      <c r="K50" s="255"/>
      <c r="L50" s="359">
        <v>23862</v>
      </c>
      <c r="N50" s="255">
        <f>N35</f>
        <v>8900</v>
      </c>
      <c r="P50" s="302">
        <f t="shared" si="8"/>
        <v>-711.32000000000062</v>
      </c>
      <c r="Q50" s="498">
        <f t="shared" ref="Q50:Q51" si="9">P50/N50</f>
        <v>-7.9923595505618047E-2</v>
      </c>
    </row>
    <row r="51" spans="1:17" s="69" customFormat="1" ht="24" thickBot="1" x14ac:dyDescent="0.25">
      <c r="A51" s="68"/>
      <c r="B51" s="456"/>
      <c r="C51" s="68"/>
      <c r="D51" s="628" t="s">
        <v>369</v>
      </c>
      <c r="E51" s="628"/>
      <c r="F51" s="628"/>
      <c r="G51" s="255"/>
      <c r="H51" s="255"/>
      <c r="I51" s="255"/>
      <c r="J51" s="567">
        <f>SUM(J47:J50)</f>
        <v>20870.922633333299</v>
      </c>
      <c r="K51" s="270"/>
      <c r="L51" s="572">
        <v>58626.126199999999</v>
      </c>
      <c r="M51" s="446"/>
      <c r="N51" s="567">
        <f>SUM(N47:N50)</f>
        <v>23479.579999999987</v>
      </c>
      <c r="O51" s="446"/>
      <c r="P51" s="568">
        <f t="shared" si="8"/>
        <v>-2608.6573666666882</v>
      </c>
      <c r="Q51" s="578">
        <f t="shared" si="9"/>
        <v>-0.11110323807609376</v>
      </c>
    </row>
    <row r="52" spans="1:17" s="69" customFormat="1" ht="21" thickTop="1" x14ac:dyDescent="0.2">
      <c r="A52" s="68"/>
      <c r="B52" s="68"/>
      <c r="C52" s="68"/>
      <c r="D52" s="68"/>
      <c r="E52" s="68"/>
      <c r="F52" s="68"/>
      <c r="G52" s="255"/>
      <c r="H52" s="255"/>
      <c r="I52" s="255"/>
      <c r="J52" s="255"/>
      <c r="K52" s="255"/>
      <c r="L52" s="255"/>
      <c r="N52" s="255"/>
    </row>
    <row r="53" spans="1:17" s="72" customFormat="1" ht="20.25" x14ac:dyDescent="0.3">
      <c r="A53" s="293"/>
      <c r="B53" s="293"/>
      <c r="D53" s="293"/>
      <c r="E53" s="293"/>
      <c r="F53" s="293"/>
      <c r="G53" s="294"/>
      <c r="H53" s="294"/>
      <c r="I53" s="294"/>
      <c r="J53" s="294"/>
      <c r="K53" s="294"/>
      <c r="L53" s="294"/>
      <c r="N53" s="255"/>
    </row>
    <row r="54" spans="1:17" s="77" customFormat="1" ht="20.25" x14ac:dyDescent="0.2">
      <c r="A54" s="80"/>
      <c r="B54" s="80"/>
      <c r="C54" s="80"/>
      <c r="D54" s="80"/>
      <c r="F54" s="80"/>
      <c r="G54" s="270"/>
      <c r="H54" s="255"/>
      <c r="I54" s="255"/>
      <c r="J54" s="255"/>
      <c r="K54" s="255"/>
      <c r="L54" s="255"/>
    </row>
    <row r="55" spans="1:17" s="77" customFormat="1" ht="20.25" x14ac:dyDescent="0.2">
      <c r="A55" s="80"/>
      <c r="B55" s="80"/>
      <c r="C55" s="80"/>
      <c r="D55" s="80"/>
      <c r="F55" s="80"/>
      <c r="G55" s="255"/>
      <c r="H55" s="255"/>
      <c r="I55" s="255"/>
      <c r="J55" s="255"/>
      <c r="K55" s="255"/>
      <c r="L55" s="255"/>
    </row>
    <row r="56" spans="1:17" s="77" customFormat="1" ht="20.25" x14ac:dyDescent="0.2">
      <c r="A56" s="80"/>
      <c r="B56" s="80"/>
      <c r="C56" s="80"/>
      <c r="D56" s="80"/>
      <c r="F56" s="80"/>
      <c r="G56" s="255"/>
      <c r="H56" s="255"/>
      <c r="I56" s="255"/>
      <c r="J56" s="255"/>
      <c r="K56" s="255"/>
      <c r="L56" s="255"/>
    </row>
    <row r="57" spans="1:17" s="77" customFormat="1" ht="20.25" x14ac:dyDescent="0.2">
      <c r="A57" s="80"/>
      <c r="B57" s="80"/>
      <c r="C57" s="80"/>
      <c r="D57" s="80"/>
      <c r="F57" s="80"/>
      <c r="G57" s="255"/>
      <c r="H57" s="255"/>
      <c r="I57" s="255"/>
      <c r="J57" s="255"/>
      <c r="K57" s="255"/>
      <c r="L57" s="255"/>
    </row>
    <row r="58" spans="1:17" s="77" customFormat="1" ht="20.25" x14ac:dyDescent="0.2">
      <c r="A58" s="80"/>
      <c r="B58" s="80"/>
      <c r="C58" s="80"/>
      <c r="D58" s="80"/>
      <c r="F58" s="80"/>
      <c r="G58" s="255"/>
      <c r="H58" s="255"/>
      <c r="I58" s="255"/>
      <c r="J58" s="255"/>
      <c r="K58" s="255"/>
      <c r="L58" s="255"/>
    </row>
    <row r="59" spans="1:17" s="77" customFormat="1" ht="20.25" x14ac:dyDescent="0.2">
      <c r="A59" s="80"/>
      <c r="B59" s="80"/>
      <c r="C59" s="80"/>
      <c r="D59" s="80"/>
      <c r="F59" s="80"/>
      <c r="G59" s="255"/>
      <c r="H59" s="255"/>
      <c r="I59" s="255"/>
      <c r="J59" s="255"/>
      <c r="K59" s="255"/>
      <c r="L59" s="255"/>
    </row>
    <row r="60" spans="1:17" s="77" customFormat="1" ht="20.25" x14ac:dyDescent="0.2">
      <c r="A60" s="80"/>
      <c r="B60" s="80"/>
      <c r="C60" s="68"/>
      <c r="D60" s="80"/>
      <c r="F60" s="80"/>
      <c r="G60" s="255"/>
      <c r="H60" s="255"/>
      <c r="I60" s="255"/>
      <c r="J60" s="255"/>
      <c r="K60" s="255"/>
      <c r="L60" s="255"/>
    </row>
    <row r="61" spans="1:17" s="77" customFormat="1" ht="20.25" x14ac:dyDescent="0.2">
      <c r="A61" s="80"/>
      <c r="B61" s="80"/>
      <c r="C61" s="80"/>
      <c r="D61" s="80"/>
      <c r="E61" s="80"/>
      <c r="F61" s="80"/>
      <c r="G61" s="255"/>
      <c r="H61" s="255"/>
      <c r="I61" s="255"/>
      <c r="J61" s="255"/>
      <c r="K61" s="255"/>
      <c r="L61" s="255"/>
    </row>
    <row r="62" spans="1:17" s="77" customFormat="1" ht="20.25" x14ac:dyDescent="0.2">
      <c r="A62" s="80"/>
      <c r="B62" s="80"/>
      <c r="C62" s="68"/>
      <c r="D62" s="68"/>
      <c r="G62" s="255"/>
      <c r="H62" s="255"/>
      <c r="I62" s="255"/>
      <c r="J62" s="255"/>
      <c r="K62" s="255"/>
      <c r="L62" s="255"/>
    </row>
    <row r="63" spans="1:17" s="77" customFormat="1" ht="20.25" x14ac:dyDescent="0.2">
      <c r="A63" s="80"/>
      <c r="B63" s="80"/>
      <c r="C63" s="80"/>
      <c r="D63" s="80"/>
      <c r="E63" s="80"/>
      <c r="F63" s="80"/>
      <c r="G63" s="255"/>
      <c r="H63" s="255"/>
      <c r="I63" s="255"/>
      <c r="J63" s="255"/>
      <c r="K63" s="255"/>
      <c r="L63" s="255"/>
    </row>
    <row r="64" spans="1:17" s="77" customFormat="1" ht="20.25" x14ac:dyDescent="0.2">
      <c r="A64" s="80"/>
      <c r="B64" s="80"/>
      <c r="C64" s="80"/>
      <c r="D64" s="80"/>
      <c r="E64" s="80"/>
      <c r="F64" s="80"/>
      <c r="G64" s="255"/>
      <c r="H64" s="255"/>
      <c r="I64" s="255"/>
      <c r="J64" s="255"/>
      <c r="K64" s="255"/>
      <c r="L64" s="255"/>
    </row>
    <row r="65" spans="1:12" s="77" customFormat="1" ht="20.25" x14ac:dyDescent="0.2">
      <c r="A65" s="80"/>
      <c r="B65" s="80"/>
      <c r="C65" s="80"/>
      <c r="D65" s="80"/>
      <c r="E65" s="80"/>
      <c r="F65" s="80"/>
      <c r="G65" s="255"/>
      <c r="H65" s="255"/>
      <c r="I65" s="255"/>
      <c r="J65" s="255"/>
      <c r="K65" s="255"/>
      <c r="L65" s="255"/>
    </row>
    <row r="66" spans="1:12" s="77" customFormat="1" ht="20.25" x14ac:dyDescent="0.2">
      <c r="A66" s="80"/>
      <c r="B66" s="80"/>
      <c r="C66" s="80"/>
      <c r="D66" s="80"/>
      <c r="E66" s="80"/>
      <c r="F66" s="80"/>
      <c r="G66" s="255"/>
      <c r="H66" s="255"/>
      <c r="I66" s="255"/>
      <c r="J66" s="255"/>
      <c r="K66" s="255"/>
      <c r="L66" s="255"/>
    </row>
    <row r="67" spans="1:12" s="77" customFormat="1" ht="20.25" x14ac:dyDescent="0.2">
      <c r="A67" s="80"/>
      <c r="B67" s="80"/>
      <c r="C67" s="68"/>
      <c r="D67" s="80"/>
      <c r="F67" s="80"/>
      <c r="G67" s="255"/>
      <c r="H67" s="255"/>
      <c r="I67" s="255"/>
      <c r="J67" s="255"/>
      <c r="K67" s="255"/>
      <c r="L67" s="255"/>
    </row>
    <row r="68" spans="1:12" s="77" customFormat="1" ht="20.25" x14ac:dyDescent="0.2">
      <c r="A68" s="80"/>
      <c r="B68" s="80"/>
      <c r="C68" s="80"/>
      <c r="D68" s="80"/>
      <c r="E68" s="80"/>
      <c r="F68" s="80"/>
      <c r="G68" s="255"/>
      <c r="H68" s="255"/>
      <c r="I68" s="255"/>
      <c r="J68" s="255"/>
      <c r="K68" s="255"/>
      <c r="L68" s="255"/>
    </row>
    <row r="69" spans="1:12" s="69" customFormat="1" ht="20.25" x14ac:dyDescent="0.2">
      <c r="A69" s="68"/>
      <c r="B69" s="68"/>
      <c r="C69" s="68"/>
      <c r="D69" s="68"/>
      <c r="E69" s="68"/>
      <c r="F69" s="68"/>
      <c r="G69" s="260"/>
      <c r="H69" s="260"/>
      <c r="I69" s="260"/>
      <c r="J69" s="260"/>
      <c r="K69" s="260"/>
      <c r="L69" s="260"/>
    </row>
    <row r="70" spans="1:12" s="69" customFormat="1" ht="20.25" x14ac:dyDescent="0.2">
      <c r="A70" s="68"/>
      <c r="B70" s="68"/>
      <c r="C70" s="68"/>
      <c r="D70" s="68"/>
      <c r="E70" s="68"/>
      <c r="F70" s="68"/>
      <c r="G70" s="260"/>
      <c r="H70" s="260"/>
      <c r="I70" s="260"/>
      <c r="J70" s="260"/>
      <c r="K70" s="260"/>
      <c r="L70" s="260"/>
    </row>
    <row r="71" spans="1:12" s="69" customFormat="1" ht="23.25" x14ac:dyDescent="0.2">
      <c r="A71" s="68"/>
      <c r="B71" s="298"/>
      <c r="C71" s="68"/>
      <c r="D71" s="68"/>
      <c r="E71" s="68"/>
      <c r="F71" s="68"/>
      <c r="G71" s="255"/>
      <c r="H71" s="255"/>
      <c r="I71" s="255"/>
      <c r="J71" s="255"/>
      <c r="K71" s="255"/>
      <c r="L71" s="255"/>
    </row>
    <row r="72" spans="1:12" s="77" customFormat="1" ht="20.25" x14ac:dyDescent="0.2">
      <c r="A72" s="80"/>
      <c r="B72" s="80"/>
      <c r="D72" s="80"/>
      <c r="E72" s="80"/>
      <c r="F72" s="80"/>
      <c r="G72" s="255"/>
      <c r="H72" s="255"/>
      <c r="I72" s="255"/>
      <c r="J72" s="255"/>
      <c r="K72" s="255"/>
      <c r="L72" s="255"/>
    </row>
    <row r="73" spans="1:12" s="77" customFormat="1" ht="20.25" x14ac:dyDescent="0.2">
      <c r="A73" s="80"/>
      <c r="B73" s="80"/>
      <c r="D73" s="80"/>
      <c r="E73" s="80"/>
      <c r="F73" s="80"/>
      <c r="G73" s="255"/>
      <c r="H73" s="255"/>
      <c r="I73" s="255"/>
      <c r="J73" s="255"/>
      <c r="K73" s="255"/>
      <c r="L73" s="255"/>
    </row>
    <row r="74" spans="1:12" s="69" customFormat="1" ht="20.25" x14ac:dyDescent="0.2">
      <c r="A74" s="68"/>
      <c r="B74" s="68"/>
      <c r="D74" s="80"/>
      <c r="E74" s="68"/>
      <c r="F74" s="68"/>
      <c r="G74" s="255"/>
      <c r="H74" s="255"/>
      <c r="I74" s="255"/>
      <c r="J74" s="255"/>
      <c r="K74" s="255"/>
      <c r="L74" s="255"/>
    </row>
    <row r="75" spans="1:12" s="69" customFormat="1" ht="23.25" x14ac:dyDescent="0.2">
      <c r="A75" s="68"/>
      <c r="B75" s="298"/>
      <c r="C75" s="68"/>
      <c r="D75" s="68"/>
      <c r="E75" s="68"/>
      <c r="F75" s="68"/>
      <c r="G75" s="260"/>
      <c r="H75" s="260"/>
      <c r="I75" s="260"/>
      <c r="J75" s="260"/>
      <c r="K75" s="260"/>
      <c r="L75" s="260"/>
    </row>
    <row r="76" spans="1:12" s="69" customFormat="1" ht="20.25" x14ac:dyDescent="0.2">
      <c r="A76" s="68"/>
      <c r="B76" s="68"/>
      <c r="C76" s="68"/>
      <c r="D76" s="68"/>
      <c r="E76" s="68"/>
      <c r="F76" s="68"/>
      <c r="G76" s="255"/>
      <c r="H76" s="255"/>
      <c r="I76" s="255"/>
      <c r="J76" s="255"/>
      <c r="K76" s="255"/>
      <c r="L76" s="255"/>
    </row>
    <row r="77" spans="1:12" s="83" customFormat="1" ht="26.25" x14ac:dyDescent="0.2">
      <c r="A77" s="295"/>
      <c r="B77" s="295"/>
      <c r="C77" s="295"/>
      <c r="D77" s="295"/>
      <c r="E77" s="295"/>
      <c r="F77" s="295"/>
      <c r="G77" s="296"/>
      <c r="H77" s="260"/>
      <c r="I77" s="260"/>
      <c r="J77" s="260"/>
      <c r="K77" s="260"/>
      <c r="L77" s="260"/>
    </row>
    <row r="78" spans="1:12" s="18" customFormat="1" ht="20.25" x14ac:dyDescent="0.3">
      <c r="A78" s="123"/>
      <c r="B78" s="123"/>
      <c r="C78" s="123"/>
      <c r="D78" s="123"/>
      <c r="E78" s="123"/>
      <c r="F78" s="123"/>
      <c r="G78" s="299"/>
      <c r="H78" s="304"/>
      <c r="I78" s="304"/>
      <c r="J78" s="304"/>
      <c r="K78" s="304"/>
      <c r="L78" s="304"/>
    </row>
    <row r="79" spans="1:12" ht="20.25" x14ac:dyDescent="0.3">
      <c r="H79" s="304"/>
      <c r="I79" s="304"/>
      <c r="J79" s="304"/>
      <c r="K79" s="304"/>
      <c r="L79" s="304"/>
    </row>
    <row r="80" spans="1:12" ht="20.25" x14ac:dyDescent="0.3">
      <c r="H80" s="304"/>
      <c r="I80" s="304"/>
      <c r="J80" s="304"/>
      <c r="K80" s="304"/>
      <c r="L80" s="304"/>
    </row>
    <row r="81" spans="8:12" ht="20.25" x14ac:dyDescent="0.3">
      <c r="H81" s="301"/>
      <c r="I81" s="301"/>
      <c r="J81" s="301"/>
      <c r="K81" s="301"/>
      <c r="L81" s="301"/>
    </row>
  </sheetData>
  <mergeCells count="10">
    <mergeCell ref="P8:Q8"/>
    <mergeCell ref="D26:F26"/>
    <mergeCell ref="D27:F27"/>
    <mergeCell ref="D28:F28"/>
    <mergeCell ref="D30:F30"/>
    <mergeCell ref="D31:F31"/>
    <mergeCell ref="D32:F32"/>
    <mergeCell ref="D33:F33"/>
    <mergeCell ref="D34:F34"/>
    <mergeCell ref="D51:F51"/>
  </mergeCells>
  <pageMargins left="0.2" right="0" top="0.5" bottom="0.5" header="0.3" footer="0.3"/>
  <pageSetup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110</v>
      </c>
      <c r="B1" s="60"/>
      <c r="C1" s="61"/>
      <c r="D1" s="61"/>
      <c r="E1" s="61"/>
      <c r="F1" s="60"/>
      <c r="G1" s="60"/>
    </row>
    <row r="2" spans="1:23" ht="26.25" x14ac:dyDescent="0.4">
      <c r="A2" s="59" t="s">
        <v>234</v>
      </c>
      <c r="B2" s="60"/>
      <c r="C2" s="61"/>
      <c r="D2" s="61"/>
      <c r="E2" s="61"/>
      <c r="F2" s="60"/>
      <c r="G2" s="60"/>
    </row>
    <row r="3" spans="1:23" ht="11.25" customHeight="1" thickBot="1" x14ac:dyDescent="0.25">
      <c r="A3" s="62"/>
      <c r="B3" s="62"/>
      <c r="C3" s="62"/>
      <c r="D3" s="62"/>
      <c r="E3" s="62"/>
      <c r="F3" s="62"/>
      <c r="G3" s="357"/>
    </row>
    <row r="4" spans="1:23" ht="27.75" thickTop="1" thickBot="1" x14ac:dyDescent="0.25">
      <c r="A4" s="65"/>
      <c r="B4" s="65"/>
      <c r="C4" s="65"/>
      <c r="D4" s="65" t="s">
        <v>62</v>
      </c>
      <c r="E4" s="65"/>
      <c r="F4" s="65"/>
      <c r="G4" s="471" t="s">
        <v>63</v>
      </c>
      <c r="H4" s="471"/>
      <c r="I4" s="471"/>
      <c r="J4" s="471"/>
      <c r="K4" s="471"/>
      <c r="L4" s="471"/>
      <c r="M4" s="471"/>
      <c r="N4" s="471"/>
      <c r="O4" s="471"/>
      <c r="P4" s="471"/>
      <c r="Q4" s="471"/>
      <c r="R4" s="471"/>
      <c r="S4" s="471"/>
      <c r="T4" s="471"/>
      <c r="U4" s="471"/>
      <c r="V4" s="471"/>
      <c r="W4" s="471"/>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74"/>
      <c r="B6" s="629" t="s">
        <v>235</v>
      </c>
      <c r="C6" s="629"/>
      <c r="D6" s="629"/>
      <c r="E6" s="629"/>
      <c r="F6" s="629"/>
      <c r="G6" s="475">
        <v>42004</v>
      </c>
      <c r="H6" s="475">
        <v>41639</v>
      </c>
      <c r="I6" s="475">
        <v>41274</v>
      </c>
      <c r="J6" s="475">
        <v>41090</v>
      </c>
      <c r="K6" s="475">
        <v>40724</v>
      </c>
      <c r="L6" s="475">
        <v>40359</v>
      </c>
      <c r="M6" s="475">
        <v>39994</v>
      </c>
      <c r="N6" s="475">
        <v>39629</v>
      </c>
      <c r="O6" s="475">
        <v>39263</v>
      </c>
      <c r="P6" s="475">
        <v>38898</v>
      </c>
      <c r="Q6" s="475">
        <v>38533</v>
      </c>
      <c r="R6" s="475">
        <v>38168</v>
      </c>
      <c r="S6" s="475">
        <v>37802</v>
      </c>
      <c r="T6" s="475">
        <v>37437</v>
      </c>
      <c r="U6" s="475">
        <v>37072</v>
      </c>
      <c r="V6" s="475">
        <v>36707</v>
      </c>
      <c r="W6" s="475">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236</v>
      </c>
      <c r="D8" s="74"/>
      <c r="E8" s="74"/>
      <c r="F8" s="74"/>
      <c r="G8" s="268">
        <v>333525.67</v>
      </c>
      <c r="H8" s="268">
        <v>210919</v>
      </c>
      <c r="I8" s="268">
        <v>214148</v>
      </c>
      <c r="J8" s="268">
        <v>156809</v>
      </c>
      <c r="K8" s="268">
        <v>240314</v>
      </c>
      <c r="L8" s="268">
        <v>142815</v>
      </c>
      <c r="M8" s="268">
        <v>82502</v>
      </c>
      <c r="N8" s="268">
        <v>45758</v>
      </c>
      <c r="O8" s="268">
        <v>105458</v>
      </c>
      <c r="P8" s="268">
        <v>29475</v>
      </c>
      <c r="Q8" s="268">
        <v>22537</v>
      </c>
      <c r="R8" s="268">
        <v>42935</v>
      </c>
      <c r="S8" s="268">
        <v>144393</v>
      </c>
      <c r="T8" s="268">
        <v>42414</v>
      </c>
      <c r="U8" s="268">
        <f>69880+9123</f>
        <v>79003</v>
      </c>
      <c r="V8" s="268">
        <v>92767</v>
      </c>
      <c r="W8" s="268">
        <v>13150</v>
      </c>
    </row>
    <row r="9" spans="1:23" ht="20.25" x14ac:dyDescent="0.2">
      <c r="A9" s="472"/>
      <c r="B9" s="472"/>
      <c r="C9" s="74" t="s">
        <v>237</v>
      </c>
      <c r="D9" s="80"/>
      <c r="E9" s="80"/>
      <c r="F9" s="80"/>
      <c r="G9" s="308">
        <v>247907.12</v>
      </c>
      <c r="H9" s="308">
        <v>311775</v>
      </c>
      <c r="I9" s="308">
        <v>243797</v>
      </c>
      <c r="J9" s="308">
        <v>347870</v>
      </c>
      <c r="K9" s="308">
        <v>298266</v>
      </c>
      <c r="L9" s="308">
        <v>296605</v>
      </c>
      <c r="M9" s="308">
        <v>349918</v>
      </c>
      <c r="N9" s="308">
        <v>366842</v>
      </c>
      <c r="O9" s="308">
        <v>209667</v>
      </c>
      <c r="P9" s="308">
        <v>234735</v>
      </c>
      <c r="Q9" s="308">
        <v>254712</v>
      </c>
      <c r="R9" s="308">
        <v>250225</v>
      </c>
      <c r="S9" s="308">
        <v>85795</v>
      </c>
      <c r="T9" s="308">
        <v>185461</v>
      </c>
      <c r="U9" s="308">
        <v>99322</v>
      </c>
      <c r="V9" s="308">
        <v>80619</v>
      </c>
      <c r="W9" s="308">
        <v>49127</v>
      </c>
    </row>
    <row r="10" spans="1:23" ht="20.25" x14ac:dyDescent="0.2">
      <c r="A10" s="472"/>
      <c r="B10" s="472"/>
      <c r="C10" s="630" t="s">
        <v>193</v>
      </c>
      <c r="D10" s="630"/>
      <c r="E10" s="630"/>
      <c r="F10" s="630"/>
      <c r="G10" s="308">
        <v>0</v>
      </c>
      <c r="H10" s="308">
        <v>5142</v>
      </c>
      <c r="I10" s="308"/>
      <c r="J10" s="308"/>
      <c r="K10" s="308"/>
      <c r="L10" s="308"/>
      <c r="M10" s="308"/>
      <c r="N10" s="308"/>
      <c r="O10" s="308"/>
      <c r="P10" s="308"/>
      <c r="Q10" s="308"/>
      <c r="R10" s="308">
        <v>23</v>
      </c>
      <c r="S10" s="308">
        <v>4823</v>
      </c>
      <c r="T10" s="308">
        <v>6130</v>
      </c>
      <c r="U10" s="308">
        <v>19833</v>
      </c>
      <c r="V10" s="308"/>
      <c r="W10" s="308"/>
    </row>
    <row r="11" spans="1:23" ht="20.25" x14ac:dyDescent="0.2">
      <c r="A11" s="472"/>
      <c r="B11" s="472"/>
      <c r="C11" s="74" t="s">
        <v>238</v>
      </c>
      <c r="D11" s="472"/>
      <c r="E11" s="472"/>
      <c r="F11" s="472"/>
      <c r="G11" s="257">
        <v>31129.64</v>
      </c>
      <c r="H11" s="257">
        <v>30012</v>
      </c>
      <c r="I11" s="257">
        <v>30964</v>
      </c>
      <c r="J11" s="257">
        <v>30506</v>
      </c>
      <c r="K11" s="257">
        <v>28900</v>
      </c>
      <c r="L11" s="257">
        <v>28036</v>
      </c>
      <c r="M11" s="257"/>
      <c r="N11" s="257"/>
      <c r="O11" s="257"/>
      <c r="P11" s="257"/>
      <c r="Q11" s="257"/>
      <c r="R11" s="257"/>
      <c r="S11" s="257"/>
      <c r="T11" s="257"/>
      <c r="U11" s="257"/>
      <c r="V11" s="257"/>
      <c r="W11" s="257"/>
    </row>
    <row r="12" spans="1:23" ht="20.25" x14ac:dyDescent="0.2">
      <c r="A12" s="472"/>
      <c r="B12" s="472"/>
      <c r="C12" s="74" t="s">
        <v>186</v>
      </c>
      <c r="D12" s="79"/>
      <c r="E12" s="79"/>
      <c r="F12" s="79"/>
      <c r="G12" s="258">
        <v>5968.8799999999992</v>
      </c>
      <c r="H12" s="258">
        <v>4730</v>
      </c>
      <c r="I12" s="258">
        <v>3598</v>
      </c>
      <c r="J12" s="258">
        <f>1663+577</f>
        <v>2240</v>
      </c>
      <c r="K12" s="258">
        <f>5202</f>
        <v>5202</v>
      </c>
      <c r="L12" s="258">
        <v>1840</v>
      </c>
      <c r="M12" s="258">
        <v>1427</v>
      </c>
      <c r="N12" s="258">
        <v>360</v>
      </c>
      <c r="O12" s="258">
        <v>312</v>
      </c>
      <c r="P12" s="258"/>
      <c r="Q12" s="258">
        <v>5593</v>
      </c>
      <c r="R12" s="258">
        <v>3952</v>
      </c>
      <c r="S12" s="258">
        <v>13154</v>
      </c>
      <c r="T12" s="258">
        <v>2441</v>
      </c>
      <c r="U12" s="258"/>
      <c r="V12" s="258"/>
      <c r="W12" s="258"/>
    </row>
    <row r="13" spans="1:23" ht="20.25" x14ac:dyDescent="0.2">
      <c r="A13" s="74"/>
      <c r="B13" s="68"/>
      <c r="C13" s="68" t="s">
        <v>70</v>
      </c>
      <c r="D13" s="68"/>
      <c r="E13" s="68"/>
      <c r="F13" s="68"/>
      <c r="G13" s="260">
        <f>SUM(G8:G12)</f>
        <v>618531.31000000006</v>
      </c>
      <c r="H13" s="260">
        <f>SUM(H8:H12)</f>
        <v>562578</v>
      </c>
      <c r="I13" s="260">
        <f>SUM(I8:I12)</f>
        <v>492507</v>
      </c>
      <c r="J13" s="260">
        <f>SUM(J8:J12)</f>
        <v>537425</v>
      </c>
      <c r="K13" s="260">
        <f>SUM(K8:K12)</f>
        <v>572682</v>
      </c>
      <c r="L13" s="260">
        <f t="shared" ref="L13:W13" si="0">SUM(L8:L12)</f>
        <v>469296</v>
      </c>
      <c r="M13" s="260">
        <f t="shared" si="0"/>
        <v>433847</v>
      </c>
      <c r="N13" s="260">
        <f t="shared" si="0"/>
        <v>412960</v>
      </c>
      <c r="O13" s="260">
        <f t="shared" si="0"/>
        <v>315437</v>
      </c>
      <c r="P13" s="260">
        <f t="shared" si="0"/>
        <v>264210</v>
      </c>
      <c r="Q13" s="260">
        <f t="shared" si="0"/>
        <v>282842</v>
      </c>
      <c r="R13" s="260">
        <f t="shared" si="0"/>
        <v>297135</v>
      </c>
      <c r="S13" s="260">
        <f t="shared" si="0"/>
        <v>248165</v>
      </c>
      <c r="T13" s="260">
        <f t="shared" si="0"/>
        <v>236446</v>
      </c>
      <c r="U13" s="260">
        <f t="shared" si="0"/>
        <v>198158</v>
      </c>
      <c r="V13" s="260">
        <f t="shared" si="0"/>
        <v>173386</v>
      </c>
      <c r="W13" s="260">
        <f t="shared" si="0"/>
        <v>62277</v>
      </c>
    </row>
    <row r="14" spans="1:23" ht="20.25" x14ac:dyDescent="0.2">
      <c r="A14" s="74"/>
      <c r="B14" s="74"/>
      <c r="C14" s="74"/>
      <c r="D14" s="74"/>
      <c r="E14" s="74"/>
      <c r="F14" s="74"/>
      <c r="G14" s="259"/>
      <c r="H14" s="259"/>
      <c r="I14" s="259"/>
      <c r="J14" s="259"/>
      <c r="K14" s="259"/>
      <c r="L14" s="259"/>
      <c r="M14" s="259"/>
      <c r="N14" s="259"/>
      <c r="O14" s="259"/>
      <c r="P14" s="259"/>
      <c r="Q14" s="259"/>
      <c r="R14" s="259"/>
      <c r="S14" s="259"/>
      <c r="T14" s="259"/>
      <c r="U14" s="259"/>
      <c r="V14" s="259"/>
      <c r="W14" s="259"/>
    </row>
    <row r="15" spans="1:23" ht="20.25" x14ac:dyDescent="0.3">
      <c r="A15" s="70"/>
      <c r="B15" s="293" t="s">
        <v>239</v>
      </c>
      <c r="C15" s="293"/>
      <c r="D15" s="293"/>
      <c r="E15" s="293"/>
      <c r="F15" s="293"/>
      <c r="G15" s="294"/>
      <c r="H15" s="294"/>
      <c r="I15" s="294"/>
      <c r="J15" s="294"/>
      <c r="K15" s="294"/>
      <c r="L15" s="294"/>
      <c r="M15" s="294"/>
      <c r="N15" s="294"/>
      <c r="O15" s="294"/>
      <c r="P15" s="294"/>
      <c r="Q15" s="294"/>
      <c r="R15" s="294"/>
      <c r="S15" s="294"/>
      <c r="T15" s="294"/>
      <c r="U15" s="294"/>
      <c r="V15" s="294"/>
      <c r="W15" s="294"/>
    </row>
    <row r="16" spans="1:23" ht="20.25" x14ac:dyDescent="0.3">
      <c r="A16" s="70"/>
      <c r="B16" s="293"/>
      <c r="C16" s="293"/>
      <c r="D16" s="293"/>
      <c r="E16" s="293"/>
      <c r="F16" s="293"/>
      <c r="G16" s="294">
        <v>121148.45000000001</v>
      </c>
      <c r="H16" s="294">
        <v>88948</v>
      </c>
      <c r="I16" s="294">
        <v>81381</v>
      </c>
      <c r="J16" s="294">
        <v>85951</v>
      </c>
      <c r="K16" s="294">
        <v>75213</v>
      </c>
      <c r="L16" s="294">
        <v>103757</v>
      </c>
      <c r="M16" s="294">
        <v>72661</v>
      </c>
      <c r="N16" s="294">
        <v>91918</v>
      </c>
      <c r="O16" s="294">
        <v>80411</v>
      </c>
      <c r="P16" s="294">
        <v>57354</v>
      </c>
      <c r="Q16" s="294">
        <v>59451</v>
      </c>
      <c r="R16" s="294">
        <v>70947</v>
      </c>
      <c r="S16" s="294">
        <v>80279</v>
      </c>
      <c r="T16" s="294">
        <v>84266</v>
      </c>
      <c r="U16" s="294">
        <v>45164</v>
      </c>
      <c r="V16" s="294">
        <v>15210</v>
      </c>
      <c r="W16" s="294">
        <v>15599</v>
      </c>
    </row>
    <row r="17" spans="1:23" ht="20.25" hidden="1" x14ac:dyDescent="0.2">
      <c r="A17" s="74"/>
      <c r="B17" s="74"/>
      <c r="C17" s="74"/>
      <c r="D17" s="74"/>
      <c r="E17" s="74"/>
      <c r="F17" s="74"/>
      <c r="G17" s="259"/>
      <c r="H17" s="259"/>
      <c r="I17" s="259"/>
      <c r="J17" s="259"/>
      <c r="K17" s="259"/>
      <c r="L17" s="259"/>
      <c r="M17" s="259"/>
      <c r="N17" s="259"/>
      <c r="O17" s="259"/>
      <c r="P17" s="259"/>
      <c r="Q17" s="259"/>
      <c r="R17" s="259"/>
      <c r="S17" s="259"/>
      <c r="T17" s="259"/>
      <c r="U17" s="259"/>
      <c r="V17" s="259"/>
      <c r="W17" s="259"/>
    </row>
    <row r="18" spans="1:23" ht="20.25" hidden="1" x14ac:dyDescent="0.2">
      <c r="A18" s="74"/>
      <c r="B18" s="74"/>
      <c r="C18" s="74"/>
      <c r="D18" s="74"/>
      <c r="E18" s="74"/>
      <c r="F18" s="74"/>
      <c r="G18" s="255"/>
      <c r="H18" s="255"/>
      <c r="I18" s="255"/>
      <c r="J18" s="255"/>
      <c r="K18" s="255"/>
      <c r="L18" s="255"/>
      <c r="M18" s="255"/>
      <c r="N18" s="255"/>
      <c r="O18" s="255"/>
      <c r="P18" s="255"/>
      <c r="Q18" s="255"/>
      <c r="R18" s="255"/>
      <c r="S18" s="255"/>
      <c r="T18" s="255"/>
      <c r="U18" s="255"/>
      <c r="V18" s="255"/>
      <c r="W18" s="255"/>
    </row>
    <row r="19" spans="1:23" ht="27" thickBot="1" x14ac:dyDescent="0.25">
      <c r="A19" s="82" t="s">
        <v>73</v>
      </c>
      <c r="B19" s="82"/>
      <c r="C19" s="82"/>
      <c r="D19" s="82"/>
      <c r="E19" s="82"/>
      <c r="F19" s="82"/>
      <c r="G19" s="269">
        <f>G13+G16</f>
        <v>739679.76</v>
      </c>
      <c r="H19" s="269">
        <f>H13+H16</f>
        <v>651526</v>
      </c>
      <c r="I19" s="269">
        <f>I13+I16</f>
        <v>573888</v>
      </c>
      <c r="J19" s="269">
        <f>J13+J16</f>
        <v>623376</v>
      </c>
      <c r="K19" s="269">
        <f>K13+K16</f>
        <v>647895</v>
      </c>
      <c r="L19" s="269">
        <f t="shared" ref="L19:W19" si="1">L13+L16</f>
        <v>573053</v>
      </c>
      <c r="M19" s="269">
        <f t="shared" si="1"/>
        <v>506508</v>
      </c>
      <c r="N19" s="269">
        <f t="shared" si="1"/>
        <v>504878</v>
      </c>
      <c r="O19" s="269">
        <f t="shared" si="1"/>
        <v>395848</v>
      </c>
      <c r="P19" s="269">
        <f t="shared" si="1"/>
        <v>321564</v>
      </c>
      <c r="Q19" s="269">
        <f t="shared" si="1"/>
        <v>342293</v>
      </c>
      <c r="R19" s="269">
        <f t="shared" si="1"/>
        <v>368082</v>
      </c>
      <c r="S19" s="269">
        <f t="shared" si="1"/>
        <v>328444</v>
      </c>
      <c r="T19" s="269">
        <f t="shared" si="1"/>
        <v>320712</v>
      </c>
      <c r="U19" s="269">
        <f t="shared" si="1"/>
        <v>243322</v>
      </c>
      <c r="V19" s="269">
        <f t="shared" si="1"/>
        <v>188596</v>
      </c>
      <c r="W19" s="269">
        <f t="shared" si="1"/>
        <v>77876</v>
      </c>
    </row>
    <row r="20" spans="1:23" ht="21.75" thickTop="1" thickBot="1" x14ac:dyDescent="0.25">
      <c r="A20" s="74"/>
      <c r="B20" s="74"/>
      <c r="C20" s="74"/>
      <c r="D20" s="74"/>
      <c r="E20" s="74"/>
      <c r="F20" s="74"/>
      <c r="G20" s="362"/>
      <c r="H20" s="362"/>
      <c r="I20" s="362"/>
      <c r="J20" s="362"/>
      <c r="K20" s="362"/>
      <c r="L20" s="362"/>
      <c r="M20" s="362"/>
      <c r="N20" s="362"/>
      <c r="O20" s="362"/>
      <c r="P20" s="362"/>
      <c r="Q20" s="362"/>
      <c r="R20" s="362"/>
      <c r="S20" s="362"/>
      <c r="T20" s="362"/>
      <c r="U20" s="362"/>
      <c r="V20" s="362"/>
      <c r="W20" s="362"/>
    </row>
    <row r="21" spans="1:23" ht="27.75" thickTop="1" thickBot="1" x14ac:dyDescent="0.25">
      <c r="A21" s="65"/>
      <c r="B21" s="65"/>
      <c r="C21" s="65"/>
      <c r="D21" s="65" t="s">
        <v>74</v>
      </c>
      <c r="E21" s="65"/>
      <c r="F21" s="65"/>
      <c r="G21" s="264"/>
      <c r="H21" s="264"/>
      <c r="I21" s="264"/>
      <c r="J21" s="264"/>
      <c r="K21" s="264"/>
      <c r="L21" s="264"/>
      <c r="M21" s="264"/>
      <c r="N21" s="264"/>
      <c r="O21" s="264"/>
      <c r="P21" s="264"/>
      <c r="Q21" s="264"/>
      <c r="R21" s="264"/>
      <c r="S21" s="264"/>
      <c r="T21" s="264"/>
      <c r="U21" s="264"/>
      <c r="V21" s="264"/>
      <c r="W21" s="264"/>
    </row>
    <row r="22" spans="1:23" ht="21" thickTop="1" x14ac:dyDescent="0.2">
      <c r="A22" s="74"/>
      <c r="B22" s="74"/>
      <c r="C22" s="74"/>
      <c r="D22" s="74"/>
      <c r="E22" s="74"/>
      <c r="F22" s="74"/>
      <c r="G22" s="257"/>
      <c r="H22" s="257"/>
      <c r="I22" s="257"/>
      <c r="J22" s="257"/>
      <c r="K22" s="257"/>
      <c r="L22" s="257"/>
      <c r="M22" s="257"/>
      <c r="N22" s="257"/>
      <c r="O22" s="257"/>
      <c r="P22" s="257"/>
      <c r="Q22" s="257"/>
      <c r="R22" s="257"/>
      <c r="S22" s="257"/>
      <c r="T22" s="257"/>
      <c r="U22" s="257"/>
      <c r="V22" s="257"/>
      <c r="W22" s="257"/>
    </row>
    <row r="23" spans="1:23" ht="24" hidden="1" thickBot="1" x14ac:dyDescent="0.25">
      <c r="A23" s="74"/>
      <c r="B23" s="87" t="s">
        <v>75</v>
      </c>
      <c r="C23" s="88"/>
      <c r="D23" s="88"/>
      <c r="E23" s="88"/>
      <c r="F23" s="88"/>
      <c r="G23" s="265"/>
      <c r="H23" s="265"/>
      <c r="I23" s="265"/>
      <c r="J23" s="265"/>
      <c r="K23" s="265"/>
      <c r="L23" s="265"/>
      <c r="M23" s="265"/>
      <c r="N23" s="265"/>
      <c r="O23" s="265"/>
      <c r="P23" s="265"/>
      <c r="Q23" s="265"/>
      <c r="R23" s="265"/>
      <c r="S23" s="265"/>
      <c r="T23" s="265"/>
      <c r="U23" s="265"/>
      <c r="V23" s="265"/>
      <c r="W23" s="265"/>
    </row>
    <row r="24" spans="1:23" ht="20.25" hidden="1" x14ac:dyDescent="0.2">
      <c r="A24" s="74"/>
      <c r="B24" s="74"/>
      <c r="C24" s="74"/>
      <c r="D24" s="74"/>
      <c r="E24" s="74"/>
      <c r="F24" s="74"/>
      <c r="G24" s="257"/>
      <c r="H24" s="257"/>
      <c r="I24" s="257"/>
      <c r="J24" s="257"/>
      <c r="K24" s="257"/>
      <c r="L24" s="257"/>
      <c r="M24" s="257"/>
      <c r="N24" s="257"/>
      <c r="O24" s="257"/>
      <c r="P24" s="257"/>
      <c r="Q24" s="257"/>
      <c r="R24" s="257"/>
      <c r="S24" s="257"/>
      <c r="T24" s="257"/>
      <c r="U24" s="257"/>
      <c r="V24" s="257"/>
      <c r="W24" s="257"/>
    </row>
    <row r="25" spans="1:23" ht="21" thickBot="1" x14ac:dyDescent="0.35">
      <c r="A25" s="70"/>
      <c r="B25" s="155" t="s">
        <v>240</v>
      </c>
      <c r="C25" s="156"/>
      <c r="D25" s="155"/>
      <c r="E25" s="155"/>
      <c r="F25" s="155"/>
      <c r="G25" s="256"/>
      <c r="H25" s="256"/>
      <c r="I25" s="256"/>
      <c r="J25" s="256"/>
      <c r="K25" s="256"/>
      <c r="L25" s="256"/>
      <c r="M25" s="256"/>
      <c r="N25" s="256"/>
      <c r="O25" s="256"/>
      <c r="P25" s="256"/>
      <c r="Q25" s="256"/>
      <c r="R25" s="256"/>
      <c r="S25" s="256"/>
      <c r="T25" s="256"/>
      <c r="U25" s="256"/>
      <c r="V25" s="256"/>
      <c r="W25" s="256"/>
    </row>
    <row r="26" spans="1:23" ht="20.25" x14ac:dyDescent="0.2">
      <c r="A26" s="472"/>
      <c r="B26" s="472"/>
      <c r="C26" s="472"/>
      <c r="D26" s="472" t="s">
        <v>175</v>
      </c>
      <c r="E26" s="78"/>
      <c r="F26" s="472"/>
      <c r="G26" s="270">
        <v>31278.429999999997</v>
      </c>
      <c r="H26" s="270">
        <v>51714</v>
      </c>
      <c r="I26" s="270">
        <v>52083</v>
      </c>
      <c r="J26" s="270">
        <v>69820</v>
      </c>
      <c r="K26" s="270">
        <v>81032</v>
      </c>
      <c r="L26" s="270">
        <v>64928</v>
      </c>
      <c r="M26" s="270">
        <v>89064</v>
      </c>
      <c r="N26" s="270">
        <v>102814</v>
      </c>
      <c r="O26" s="270">
        <v>27734</v>
      </c>
      <c r="P26" s="270">
        <v>33537</v>
      </c>
      <c r="Q26" s="270">
        <v>47914</v>
      </c>
      <c r="R26" s="270">
        <v>42054</v>
      </c>
      <c r="S26" s="270">
        <v>32004</v>
      </c>
      <c r="T26" s="270">
        <v>28904</v>
      </c>
      <c r="U26" s="270">
        <v>2405</v>
      </c>
      <c r="V26" s="270">
        <v>7686</v>
      </c>
      <c r="W26" s="270">
        <v>0</v>
      </c>
    </row>
    <row r="27" spans="1:23" ht="20.25" x14ac:dyDescent="0.2">
      <c r="A27" s="472"/>
      <c r="B27" s="472"/>
      <c r="C27" s="472"/>
      <c r="D27" s="472" t="s">
        <v>241</v>
      </c>
      <c r="E27" s="78"/>
      <c r="F27" s="472"/>
      <c r="G27" s="255">
        <v>16019.88</v>
      </c>
      <c r="H27" s="255">
        <v>26466</v>
      </c>
      <c r="I27" s="255">
        <v>33722</v>
      </c>
      <c r="J27" s="255">
        <v>37279</v>
      </c>
      <c r="K27" s="255">
        <v>34130</v>
      </c>
      <c r="L27" s="255">
        <v>30917</v>
      </c>
      <c r="M27" s="255">
        <v>24891</v>
      </c>
      <c r="N27" s="255">
        <v>22167</v>
      </c>
      <c r="O27" s="255">
        <v>16739</v>
      </c>
      <c r="P27" s="255">
        <v>13502</v>
      </c>
      <c r="Q27" s="255">
        <v>10581</v>
      </c>
      <c r="R27" s="255">
        <v>28556</v>
      </c>
      <c r="S27" s="255">
        <v>22953</v>
      </c>
      <c r="T27" s="255">
        <v>13246</v>
      </c>
      <c r="U27" s="255">
        <v>10214</v>
      </c>
      <c r="V27" s="255">
        <v>5966</v>
      </c>
      <c r="W27" s="255">
        <v>2341</v>
      </c>
    </row>
    <row r="28" spans="1:23" ht="20.25" x14ac:dyDescent="0.2">
      <c r="A28" s="472"/>
      <c r="B28" s="472"/>
      <c r="C28" s="472"/>
      <c r="D28" s="472" t="s">
        <v>104</v>
      </c>
      <c r="E28" s="78"/>
      <c r="F28" s="472"/>
      <c r="G28" s="257">
        <v>19094</v>
      </c>
      <c r="H28" s="257">
        <v>21990</v>
      </c>
      <c r="I28" s="257">
        <v>17053</v>
      </c>
      <c r="J28" s="257">
        <v>23081</v>
      </c>
      <c r="K28" s="257">
        <v>20125</v>
      </c>
      <c r="L28" s="257">
        <v>23900</v>
      </c>
      <c r="M28" s="257">
        <v>25993</v>
      </c>
      <c r="N28" s="257">
        <v>25084</v>
      </c>
      <c r="O28" s="257">
        <v>17164</v>
      </c>
      <c r="P28" s="257">
        <v>23194</v>
      </c>
      <c r="Q28" s="257">
        <v>17986</v>
      </c>
      <c r="R28" s="257">
        <v>19684</v>
      </c>
      <c r="S28" s="257">
        <v>15461</v>
      </c>
      <c r="T28" s="257">
        <v>11736</v>
      </c>
      <c r="U28" s="257">
        <v>6552</v>
      </c>
      <c r="V28" s="257">
        <v>4625</v>
      </c>
      <c r="W28" s="257"/>
    </row>
    <row r="29" spans="1:23" ht="20.25" x14ac:dyDescent="0.2">
      <c r="A29" s="472"/>
      <c r="B29" s="472"/>
      <c r="C29" s="472"/>
      <c r="D29" s="472" t="s">
        <v>242</v>
      </c>
      <c r="E29" s="78"/>
      <c r="F29" s="472"/>
      <c r="G29" s="257"/>
      <c r="H29" s="257">
        <v>463</v>
      </c>
      <c r="I29" s="257">
        <f>1236+16400</f>
        <v>17636</v>
      </c>
      <c r="J29" s="257">
        <v>13302</v>
      </c>
      <c r="K29" s="257">
        <v>5311</v>
      </c>
      <c r="L29" s="257">
        <v>12315</v>
      </c>
      <c r="M29" s="257"/>
      <c r="N29" s="257"/>
      <c r="O29" s="257"/>
      <c r="P29" s="257">
        <v>20000</v>
      </c>
      <c r="Q29" s="257"/>
      <c r="R29" s="257">
        <v>25000</v>
      </c>
      <c r="S29" s="257"/>
      <c r="T29" s="257"/>
      <c r="U29" s="257"/>
      <c r="V29" s="257"/>
      <c r="W29" s="257">
        <v>48000</v>
      </c>
    </row>
    <row r="30" spans="1:23" ht="20.25" x14ac:dyDescent="0.2">
      <c r="A30" s="472"/>
      <c r="B30" s="472"/>
      <c r="C30" s="472"/>
      <c r="D30" s="80" t="s">
        <v>111</v>
      </c>
      <c r="E30" s="78"/>
      <c r="F30" s="472"/>
      <c r="G30" s="257">
        <v>136592.41</v>
      </c>
      <c r="H30" s="257">
        <v>101837</v>
      </c>
      <c r="I30" s="257">
        <v>31429</v>
      </c>
      <c r="J30" s="257">
        <v>21927</v>
      </c>
      <c r="K30" s="257">
        <v>24493</v>
      </c>
      <c r="L30" s="257">
        <v>23546</v>
      </c>
      <c r="M30" s="257">
        <v>29986</v>
      </c>
      <c r="N30" s="257">
        <v>97627</v>
      </c>
      <c r="O30" s="257">
        <v>91085</v>
      </c>
      <c r="P30" s="257">
        <v>6118</v>
      </c>
      <c r="Q30" s="257">
        <v>42621</v>
      </c>
      <c r="R30" s="257"/>
      <c r="S30" s="257">
        <v>13218</v>
      </c>
      <c r="T30" s="257">
        <v>36938</v>
      </c>
      <c r="U30" s="257">
        <v>40000</v>
      </c>
      <c r="V30" s="257">
        <v>38354</v>
      </c>
      <c r="W30" s="257">
        <v>11775</v>
      </c>
    </row>
    <row r="31" spans="1:23" ht="20.25" x14ac:dyDescent="0.2">
      <c r="A31" s="472"/>
      <c r="B31" s="472"/>
      <c r="C31" s="472"/>
      <c r="D31" s="79" t="s">
        <v>243</v>
      </c>
      <c r="E31" s="154"/>
      <c r="F31" s="79"/>
      <c r="G31" s="257"/>
      <c r="H31" s="257"/>
      <c r="I31" s="257"/>
      <c r="J31" s="257"/>
      <c r="K31" s="257"/>
      <c r="L31" s="257"/>
      <c r="M31" s="257"/>
      <c r="N31" s="257"/>
      <c r="O31" s="257"/>
      <c r="P31" s="257"/>
      <c r="Q31" s="257"/>
      <c r="R31" s="257"/>
      <c r="S31" s="257"/>
      <c r="T31" s="257"/>
      <c r="U31" s="257"/>
      <c r="V31" s="257"/>
      <c r="W31" s="257"/>
    </row>
    <row r="32" spans="1:23" ht="20.25" x14ac:dyDescent="0.2">
      <c r="A32" s="472"/>
      <c r="B32" s="472"/>
      <c r="C32" s="81" t="s">
        <v>87</v>
      </c>
      <c r="D32" s="472"/>
      <c r="E32" s="78"/>
      <c r="F32" s="472"/>
      <c r="G32" s="266">
        <f>SUM(G26:G31)</f>
        <v>202984.72</v>
      </c>
      <c r="H32" s="266">
        <f>SUM(H26:H31)</f>
        <v>202470</v>
      </c>
      <c r="I32" s="266">
        <f>SUM(I26:I31)</f>
        <v>151923</v>
      </c>
      <c r="J32" s="266">
        <f>SUM(J26:J31)</f>
        <v>165409</v>
      </c>
      <c r="K32" s="266">
        <f>SUM(K26:K31)</f>
        <v>165091</v>
      </c>
      <c r="L32" s="266">
        <f t="shared" ref="L32:W32" si="2">SUM(L26:L31)</f>
        <v>155606</v>
      </c>
      <c r="M32" s="266">
        <f t="shared" si="2"/>
        <v>169934</v>
      </c>
      <c r="N32" s="266">
        <f t="shared" si="2"/>
        <v>247692</v>
      </c>
      <c r="O32" s="266">
        <f t="shared" si="2"/>
        <v>152722</v>
      </c>
      <c r="P32" s="266">
        <f t="shared" si="2"/>
        <v>96351</v>
      </c>
      <c r="Q32" s="266">
        <f t="shared" si="2"/>
        <v>119102</v>
      </c>
      <c r="R32" s="266">
        <f t="shared" si="2"/>
        <v>115294</v>
      </c>
      <c r="S32" s="266">
        <f t="shared" si="2"/>
        <v>83636</v>
      </c>
      <c r="T32" s="266">
        <f t="shared" si="2"/>
        <v>90824</v>
      </c>
      <c r="U32" s="266">
        <f t="shared" si="2"/>
        <v>59171</v>
      </c>
      <c r="V32" s="266">
        <f t="shared" si="2"/>
        <v>56631</v>
      </c>
      <c r="W32" s="266">
        <f t="shared" si="2"/>
        <v>62116</v>
      </c>
    </row>
    <row r="33" spans="1:23" ht="20.25" x14ac:dyDescent="0.2">
      <c r="A33" s="472"/>
      <c r="B33" s="472"/>
      <c r="C33" s="472"/>
      <c r="D33" s="472"/>
      <c r="E33" s="472"/>
      <c r="F33" s="472"/>
      <c r="G33" s="257"/>
      <c r="H33" s="257"/>
      <c r="I33" s="257"/>
      <c r="J33" s="257"/>
      <c r="K33" s="257"/>
      <c r="L33" s="257"/>
      <c r="M33" s="257"/>
      <c r="N33" s="257"/>
      <c r="O33" s="257"/>
      <c r="P33" s="257"/>
      <c r="Q33" s="257"/>
      <c r="R33" s="257"/>
      <c r="S33" s="257"/>
      <c r="T33" s="257"/>
      <c r="U33" s="257"/>
      <c r="V33" s="257"/>
      <c r="W33" s="257"/>
    </row>
    <row r="34" spans="1:23" ht="20.25" x14ac:dyDescent="0.2">
      <c r="A34" s="74"/>
      <c r="B34" s="74"/>
      <c r="C34" s="74"/>
      <c r="D34" s="74"/>
      <c r="E34" s="74"/>
      <c r="F34" s="74"/>
      <c r="G34" s="477"/>
      <c r="H34" s="477"/>
      <c r="I34" s="477"/>
      <c r="J34" s="477"/>
      <c r="K34" s="477"/>
      <c r="L34" s="259"/>
      <c r="M34" s="259"/>
      <c r="N34" s="259"/>
      <c r="O34" s="259"/>
      <c r="P34" s="259"/>
      <c r="Q34" s="259"/>
      <c r="R34" s="259"/>
      <c r="S34" s="259"/>
      <c r="T34" s="259"/>
      <c r="U34" s="259"/>
      <c r="V34" s="259"/>
      <c r="W34" s="259"/>
    </row>
    <row r="35" spans="1:23" ht="24" thickBot="1" x14ac:dyDescent="0.25">
      <c r="A35" s="74"/>
      <c r="B35" s="87" t="s">
        <v>244</v>
      </c>
      <c r="C35" s="88"/>
      <c r="D35" s="88"/>
      <c r="E35" s="88"/>
      <c r="F35" s="88"/>
      <c r="G35" s="265"/>
      <c r="H35" s="265"/>
      <c r="I35" s="265"/>
      <c r="J35" s="265"/>
      <c r="K35" s="265"/>
      <c r="L35" s="265"/>
      <c r="M35" s="265"/>
      <c r="N35" s="265"/>
      <c r="O35" s="265"/>
      <c r="P35" s="265"/>
      <c r="Q35" s="265"/>
      <c r="R35" s="265"/>
      <c r="S35" s="265"/>
      <c r="T35" s="265"/>
      <c r="U35" s="265"/>
      <c r="V35" s="265"/>
      <c r="W35" s="265"/>
    </row>
    <row r="36" spans="1:23" ht="23.25" x14ac:dyDescent="0.2">
      <c r="A36" s="74"/>
      <c r="B36" s="298"/>
      <c r="C36" s="68"/>
      <c r="D36" s="472" t="s">
        <v>107</v>
      </c>
      <c r="E36" s="68"/>
      <c r="F36" s="68"/>
      <c r="G36" s="255">
        <v>55367.21</v>
      </c>
      <c r="H36" s="255">
        <v>52578</v>
      </c>
      <c r="I36" s="255">
        <v>54372</v>
      </c>
      <c r="J36" s="255">
        <v>74343</v>
      </c>
      <c r="K36" s="255">
        <v>140489</v>
      </c>
      <c r="L36" s="255">
        <v>85282</v>
      </c>
      <c r="M36" s="255">
        <v>9601</v>
      </c>
      <c r="N36" s="255">
        <v>9601</v>
      </c>
      <c r="O36" s="255">
        <v>5248</v>
      </c>
      <c r="P36" s="255">
        <v>4472</v>
      </c>
      <c r="Q36" s="255">
        <v>15207</v>
      </c>
      <c r="R36" s="255"/>
      <c r="S36" s="255"/>
      <c r="T36" s="255"/>
      <c r="U36" s="255"/>
      <c r="V36" s="255"/>
      <c r="W36" s="255"/>
    </row>
    <row r="37" spans="1:23" ht="21" thickBot="1" x14ac:dyDescent="0.25">
      <c r="A37" s="472"/>
      <c r="B37" s="472"/>
      <c r="C37" s="78"/>
      <c r="D37" s="472" t="s">
        <v>101</v>
      </c>
      <c r="E37" s="473"/>
      <c r="F37" s="473"/>
      <c r="G37" s="265">
        <v>481327.83000000013</v>
      </c>
      <c r="H37" s="265">
        <v>396478</v>
      </c>
      <c r="I37" s="265">
        <v>367593</v>
      </c>
      <c r="J37" s="265">
        <v>383624</v>
      </c>
      <c r="K37" s="265">
        <v>342315</v>
      </c>
      <c r="L37" s="265">
        <v>332165</v>
      </c>
      <c r="M37" s="265">
        <v>326973</v>
      </c>
      <c r="N37" s="265">
        <v>247585</v>
      </c>
      <c r="O37" s="265">
        <v>237878</v>
      </c>
      <c r="P37" s="265">
        <v>220741</v>
      </c>
      <c r="Q37" s="265">
        <v>207984</v>
      </c>
      <c r="R37" s="265">
        <v>252788</v>
      </c>
      <c r="S37" s="265">
        <v>244808</v>
      </c>
      <c r="T37" s="265">
        <v>229888</v>
      </c>
      <c r="U37" s="265">
        <v>184151</v>
      </c>
      <c r="V37" s="265">
        <v>131965</v>
      </c>
      <c r="W37" s="265">
        <v>15760</v>
      </c>
    </row>
    <row r="38" spans="1:23" ht="23.25" x14ac:dyDescent="0.2">
      <c r="A38" s="74"/>
      <c r="B38" s="90" t="s">
        <v>78</v>
      </c>
      <c r="C38" s="91"/>
      <c r="D38" s="91"/>
      <c r="E38" s="68"/>
      <c r="F38" s="68"/>
      <c r="G38" s="260">
        <f>G36+G37</f>
        <v>536695.04000000015</v>
      </c>
      <c r="H38" s="260">
        <f>H36+H37</f>
        <v>449056</v>
      </c>
      <c r="I38" s="260">
        <f>I36+I37</f>
        <v>421965</v>
      </c>
      <c r="J38" s="260">
        <f>J36+J37</f>
        <v>457967</v>
      </c>
      <c r="K38" s="260">
        <f>K36+K37</f>
        <v>482804</v>
      </c>
      <c r="L38" s="260">
        <f t="shared" ref="L38:W38" si="3">L36+L37</f>
        <v>417447</v>
      </c>
      <c r="M38" s="260">
        <f t="shared" si="3"/>
        <v>336574</v>
      </c>
      <c r="N38" s="260">
        <f t="shared" si="3"/>
        <v>257186</v>
      </c>
      <c r="O38" s="260">
        <f t="shared" si="3"/>
        <v>243126</v>
      </c>
      <c r="P38" s="260">
        <f t="shared" si="3"/>
        <v>225213</v>
      </c>
      <c r="Q38" s="260">
        <f t="shared" si="3"/>
        <v>223191</v>
      </c>
      <c r="R38" s="260">
        <f t="shared" si="3"/>
        <v>252788</v>
      </c>
      <c r="S38" s="260">
        <f t="shared" si="3"/>
        <v>244808</v>
      </c>
      <c r="T38" s="260">
        <f t="shared" si="3"/>
        <v>229888</v>
      </c>
      <c r="U38" s="260">
        <f t="shared" si="3"/>
        <v>184151</v>
      </c>
      <c r="V38" s="260">
        <f t="shared" si="3"/>
        <v>131965</v>
      </c>
      <c r="W38" s="260">
        <f t="shared" si="3"/>
        <v>15760</v>
      </c>
    </row>
    <row r="39" spans="1:23" ht="20.25" x14ac:dyDescent="0.2">
      <c r="A39" s="74"/>
      <c r="B39" s="74"/>
      <c r="C39" s="74"/>
      <c r="D39" s="74"/>
      <c r="E39" s="74"/>
      <c r="F39" s="74"/>
      <c r="G39" s="258"/>
      <c r="H39" s="258"/>
      <c r="I39" s="258"/>
      <c r="J39" s="258"/>
      <c r="K39" s="258"/>
      <c r="L39" s="258"/>
      <c r="M39" s="258"/>
      <c r="N39" s="258"/>
      <c r="O39" s="258"/>
      <c r="P39" s="258"/>
      <c r="Q39" s="258"/>
      <c r="R39" s="258"/>
      <c r="S39" s="258"/>
      <c r="T39" s="258"/>
      <c r="U39" s="258"/>
      <c r="V39" s="258"/>
      <c r="W39" s="258"/>
    </row>
    <row r="40" spans="1:23" ht="27" thickBot="1" x14ac:dyDescent="0.25">
      <c r="A40" s="82" t="s">
        <v>79</v>
      </c>
      <c r="B40" s="82"/>
      <c r="C40" s="82"/>
      <c r="D40" s="82"/>
      <c r="E40" s="82"/>
      <c r="F40" s="82"/>
      <c r="G40" s="397">
        <f>G32+G38</f>
        <v>739679.76000000013</v>
      </c>
      <c r="H40" s="397">
        <f>H32+H38</f>
        <v>651526</v>
      </c>
      <c r="I40" s="397">
        <f>I32+I38</f>
        <v>573888</v>
      </c>
      <c r="J40" s="397">
        <f>J32+J38</f>
        <v>623376</v>
      </c>
      <c r="K40" s="397">
        <f>K32+K38</f>
        <v>647895</v>
      </c>
      <c r="L40" s="397">
        <f t="shared" ref="L40:W40" si="4">L32+L38</f>
        <v>573053</v>
      </c>
      <c r="M40" s="397">
        <f t="shared" si="4"/>
        <v>506508</v>
      </c>
      <c r="N40" s="397">
        <f t="shared" si="4"/>
        <v>504878</v>
      </c>
      <c r="O40" s="397">
        <f t="shared" si="4"/>
        <v>395848</v>
      </c>
      <c r="P40" s="397">
        <f t="shared" si="4"/>
        <v>321564</v>
      </c>
      <c r="Q40" s="397">
        <f t="shared" si="4"/>
        <v>342293</v>
      </c>
      <c r="R40" s="397">
        <f t="shared" si="4"/>
        <v>368082</v>
      </c>
      <c r="S40" s="397">
        <f t="shared" si="4"/>
        <v>328444</v>
      </c>
      <c r="T40" s="397">
        <f t="shared" si="4"/>
        <v>320712</v>
      </c>
      <c r="U40" s="397">
        <f t="shared" si="4"/>
        <v>243322</v>
      </c>
      <c r="V40" s="397">
        <f t="shared" si="4"/>
        <v>188596</v>
      </c>
      <c r="W40" s="397">
        <f t="shared" si="4"/>
        <v>77876</v>
      </c>
    </row>
    <row r="41" spans="1:23" ht="15" thickTop="1" x14ac:dyDescent="0.2">
      <c r="D41" s="381"/>
      <c r="H41" s="18"/>
      <c r="I41" s="18"/>
      <c r="J41" s="18"/>
      <c r="K41" s="18"/>
      <c r="L41" s="18"/>
      <c r="M41" s="18"/>
      <c r="N41" s="18"/>
      <c r="O41" s="18"/>
      <c r="P41" s="18"/>
      <c r="Q41" s="18"/>
      <c r="R41" s="18"/>
      <c r="S41" s="18"/>
      <c r="T41" s="18"/>
      <c r="U41" s="18"/>
      <c r="V41" s="18"/>
      <c r="W41" s="18"/>
    </row>
    <row r="42" spans="1:23" s="267" customFormat="1" x14ac:dyDescent="0.2">
      <c r="A42" s="476"/>
      <c r="B42" s="476"/>
      <c r="C42" s="476"/>
      <c r="D42" s="476"/>
      <c r="E42" s="476"/>
      <c r="F42" s="476"/>
      <c r="G42" s="299"/>
    </row>
    <row r="43" spans="1:23" s="267" customFormat="1" x14ac:dyDescent="0.2">
      <c r="A43" s="476"/>
      <c r="B43" s="476"/>
      <c r="C43" s="476"/>
      <c r="D43" s="476"/>
      <c r="E43" s="476"/>
      <c r="F43" s="476"/>
      <c r="G43" s="299"/>
    </row>
    <row r="44" spans="1:23" s="267" customFormat="1" x14ac:dyDescent="0.2">
      <c r="A44" s="476"/>
      <c r="B44" s="476"/>
      <c r="C44" s="476"/>
      <c r="D44" s="476"/>
      <c r="E44" s="476"/>
      <c r="F44" s="476"/>
      <c r="G44" s="299"/>
    </row>
    <row r="45" spans="1:23" s="267" customFormat="1" x14ac:dyDescent="0.2">
      <c r="A45" s="476"/>
      <c r="B45" s="476"/>
      <c r="C45" s="476"/>
      <c r="D45" s="476"/>
      <c r="E45" s="476"/>
      <c r="F45" s="476"/>
      <c r="G45" s="299"/>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Notes</vt:lpstr>
      <vt:lpstr>April'16 Revenues &amp; Expenses</vt:lpstr>
      <vt:lpstr>April'16 AR Aging </vt:lpstr>
      <vt:lpstr>April'16 Financial Position</vt:lpstr>
      <vt:lpstr>April'16 State of Activities</vt:lpstr>
      <vt:lpstr>April'16 Transportation</vt:lpstr>
      <vt:lpstr>YE Historic Data</vt:lpstr>
      <vt:lpstr>'April''16 AR Aging '!Print_Area</vt:lpstr>
      <vt:lpstr>'April''16 Financial Position'!Print_Area</vt:lpstr>
      <vt:lpstr>'April''16 Revenues &amp; Expenses'!Print_Area</vt:lpstr>
      <vt:lpstr>'April''16 State of Activities'!Print_Area</vt:lpstr>
      <vt:lpstr>'April''16 Transportation'!Print_Area</vt:lpstr>
      <vt:lpstr>Notes!Print_Area</vt:lpstr>
      <vt:lpstr>'YE Historic Data'!Print_Area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2016-05-17T19:00:08Z</cp:lastPrinted>
  <dcterms:created xsi:type="dcterms:W3CDTF">2011-11-03T17:20:29Z</dcterms:created>
  <dcterms:modified xsi:type="dcterms:W3CDTF">2016-05-18T12:48:53Z</dcterms:modified>
</cp:coreProperties>
</file>