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3\"/>
    </mc:Choice>
  </mc:AlternateContent>
  <bookViews>
    <workbookView xWindow="90" yWindow="35820" windowWidth="14955" windowHeight="9060" tabRatio="787" firstSheet="3" activeTab="3"/>
  </bookViews>
  <sheets>
    <sheet name="Updated  Operating Budget" sheetId="26" state="hidden" r:id="rId1"/>
    <sheet name="2023 Operating Budget" sheetId="27" state="hidden" r:id="rId2"/>
    <sheet name="Transportation Historic" sheetId="28" state="hidden" r:id="rId3"/>
    <sheet name="Notes" sheetId="15" r:id="rId4"/>
    <sheet name="Data" sheetId="19" state="hidden" r:id="rId5"/>
    <sheet name="Updated Operating Budget" sheetId="25" state="hidden" r:id="rId6"/>
    <sheet name="June'23 Revenues &amp; Expenses" sheetId="3" r:id="rId7"/>
    <sheet name="June'23 AR Aging " sheetId="6" r:id="rId8"/>
    <sheet name="June'23 Financial Position" sheetId="5" r:id="rId9"/>
    <sheet name="June'23 State of Activities" sheetId="12" r:id="rId10"/>
    <sheet name="June'23 Transportation" sheetId="24" r:id="rId11"/>
    <sheet name="2023 Updated Budget Transportat" sheetId="30" r:id="rId12"/>
    <sheet name="Historic Transportation 5 Years" sheetId="29" state="hidden" r:id="rId13"/>
    <sheet name="June'20 Transportation" sheetId="18" state="hidden" r:id="rId14"/>
    <sheet name="Transportation Projections" sheetId="23" state="hidden" r:id="rId15"/>
    <sheet name="2019 Budget" sheetId="22" state="hidden" r:id="rId16"/>
    <sheet name="2017 Medicaid Revenue" sheetId="21" state="hidden" r:id="rId17"/>
    <sheet name="Budget" sheetId="20" state="hidden" r:id="rId18"/>
    <sheet name="YE Historic Data" sheetId="17" state="hidden" r:id="rId19"/>
  </sheets>
  <externalReferences>
    <externalReference r:id="rId20"/>
    <externalReference r:id="rId21"/>
    <externalReference r:id="rId22"/>
  </externalReferences>
  <definedNames>
    <definedName name="_xlnm.Print_Area" localSheetId="16">'2017 Medicaid Revenue'!$A$1:$H$69</definedName>
    <definedName name="_xlnm.Print_Area" localSheetId="17">Budget!$A$1:$G$54</definedName>
    <definedName name="_xlnm.Print_Area" localSheetId="13">'June''20 Transportation'!$A$1:$P$63</definedName>
    <definedName name="_xlnm.Print_Area" localSheetId="7">'June''23 AR Aging '!$A$1:$G$133</definedName>
    <definedName name="_xlnm.Print_Area" localSheetId="8">'June''23 Financial Position'!$A$1:$L$69</definedName>
    <definedName name="_xlnm.Print_Area" localSheetId="6">'June''23 Revenues &amp; Expenses'!$A$1:$L$79</definedName>
    <definedName name="_xlnm.Print_Area" localSheetId="9">'June''23 State of Activities'!$A$1:$O$71</definedName>
    <definedName name="_xlnm.Print_Area" localSheetId="10">'June''23 Transportation'!$A$1:$P$67</definedName>
    <definedName name="_xlnm.Print_Area" localSheetId="3">Notes!$A$4:$H$114</definedName>
    <definedName name="_xlnm.Print_Area" localSheetId="14">'Transportation Projections'!$A$1:$P$53</definedName>
    <definedName name="_xlnm.Print_Area" localSheetId="18">'YE Historic Data'!$A$1:$W$41</definedName>
    <definedName name="_xlnm.Print_Titles" localSheetId="3">Notes!$1:$3</definedName>
  </definedNames>
  <calcPr calcId="162913"/>
</workbook>
</file>

<file path=xl/calcChain.xml><?xml version="1.0" encoding="utf-8"?>
<calcChain xmlns="http://schemas.openxmlformats.org/spreadsheetml/2006/main">
  <c r="H69" i="5" l="1"/>
  <c r="O57" i="30" l="1"/>
  <c r="O56" i="30"/>
  <c r="O25" i="30" l="1"/>
  <c r="O28" i="30" s="1"/>
  <c r="O53" i="30"/>
  <c r="O42" i="30"/>
  <c r="O43" i="30"/>
  <c r="O41" i="30"/>
  <c r="O54" i="30" l="1"/>
  <c r="O58" i="30" s="1"/>
  <c r="O24" i="30"/>
  <c r="K34" i="30" l="1"/>
  <c r="K51" i="30"/>
  <c r="K56" i="30" s="1"/>
  <c r="K45" i="30"/>
  <c r="M45" i="30" s="1"/>
  <c r="K47" i="30"/>
  <c r="M47" i="30"/>
  <c r="K50" i="30"/>
  <c r="M50" i="30" s="1"/>
  <c r="M49" i="30"/>
  <c r="M48" i="30"/>
  <c r="M39" i="30"/>
  <c r="M38" i="30"/>
  <c r="M36" i="30"/>
  <c r="M35" i="30"/>
  <c r="K40" i="30"/>
  <c r="M40" i="30" s="1"/>
  <c r="K42" i="30"/>
  <c r="K43" i="30"/>
  <c r="M37" i="30"/>
  <c r="K33" i="30"/>
  <c r="K32" i="30"/>
  <c r="M32" i="30" s="1"/>
  <c r="M27" i="30" l="1"/>
  <c r="M23" i="30"/>
  <c r="M22" i="30"/>
  <c r="M21" i="30"/>
  <c r="M18" i="30"/>
  <c r="M16" i="30"/>
  <c r="K11" i="30"/>
  <c r="M11" i="30" s="1"/>
  <c r="M57" i="30" l="1"/>
  <c r="K57" i="30"/>
  <c r="J57" i="30"/>
  <c r="J52" i="30"/>
  <c r="J51" i="30"/>
  <c r="J46" i="30"/>
  <c r="J44" i="30"/>
  <c r="J43" i="30"/>
  <c r="J33" i="30"/>
  <c r="J26" i="30"/>
  <c r="J24" i="30"/>
  <c r="J20" i="30"/>
  <c r="J19" i="30"/>
  <c r="J17" i="30"/>
  <c r="J15" i="30"/>
  <c r="M15" i="30" s="1"/>
  <c r="J14" i="30"/>
  <c r="J13" i="30"/>
  <c r="J10" i="30"/>
  <c r="M10" i="30" s="1"/>
  <c r="F94" i="15"/>
  <c r="F113" i="15"/>
  <c r="G113" i="15"/>
  <c r="B1999" i="19"/>
  <c r="B1925" i="19"/>
  <c r="J56" i="30" l="1"/>
  <c r="M51" i="30"/>
  <c r="J41" i="30"/>
  <c r="K24" i="30"/>
  <c r="M24" i="30"/>
  <c r="M19" i="30"/>
  <c r="M43" i="30"/>
  <c r="K20" i="30"/>
  <c r="M20" i="30" s="1"/>
  <c r="M44" i="30"/>
  <c r="M52" i="30"/>
  <c r="J34" i="30"/>
  <c r="M34" i="30" s="1"/>
  <c r="M33" i="30"/>
  <c r="K26" i="30"/>
  <c r="M26" i="30" s="1"/>
  <c r="M46" i="30"/>
  <c r="K14" i="30"/>
  <c r="M14" i="30"/>
  <c r="K19" i="30"/>
  <c r="K17" i="30"/>
  <c r="M17" i="30" s="1"/>
  <c r="K13" i="30"/>
  <c r="M13" i="30" s="1"/>
  <c r="J25" i="30"/>
  <c r="J42" i="30"/>
  <c r="C1926" i="19"/>
  <c r="K25" i="30" l="1"/>
  <c r="K28" i="30" s="1"/>
  <c r="M25" i="30"/>
  <c r="M28" i="30" s="1"/>
  <c r="K41" i="30"/>
  <c r="K53" i="30" s="1"/>
  <c r="M42" i="30"/>
  <c r="M56" i="30"/>
  <c r="J28" i="30"/>
  <c r="J53" i="30"/>
  <c r="B1926" i="19"/>
  <c r="K54" i="30" l="1"/>
  <c r="K58" i="30" s="1"/>
  <c r="J54" i="30"/>
  <c r="M41" i="30"/>
  <c r="J58" i="30"/>
  <c r="B1927" i="19"/>
  <c r="M53" i="30" l="1"/>
  <c r="B1928" i="19"/>
  <c r="C1929" i="19"/>
  <c r="M54" i="30" l="1"/>
  <c r="B1929" i="19"/>
  <c r="M58" i="30" l="1"/>
  <c r="B1930" i="19"/>
  <c r="C1931" i="19"/>
  <c r="C1932" i="19" l="1"/>
  <c r="B1931" i="19"/>
  <c r="B1932" i="19" l="1"/>
  <c r="C1933" i="19"/>
  <c r="B1933" i="19" l="1"/>
  <c r="B1934" i="19" l="1"/>
  <c r="B1935" i="19" l="1"/>
  <c r="C1936" i="19"/>
  <c r="B1936" i="19" l="1"/>
  <c r="C1937" i="19"/>
  <c r="B1937" i="19" l="1"/>
  <c r="C1939" i="19" l="1"/>
  <c r="B1938" i="19"/>
  <c r="B1939" i="19" l="1"/>
  <c r="B1940" i="19" l="1"/>
  <c r="B1941" i="19" l="1"/>
  <c r="B1942" i="19" l="1"/>
  <c r="C1943" i="19"/>
  <c r="B1943" i="19" l="1"/>
  <c r="B1944" i="19" l="1"/>
  <c r="C1945" i="19"/>
  <c r="B1945" i="19" l="1"/>
  <c r="C1947" i="19" l="1"/>
  <c r="B1946" i="19"/>
  <c r="B1947" i="19" l="1"/>
  <c r="B1948" i="19" l="1"/>
  <c r="B1949" i="19" l="1"/>
  <c r="B1950" i="19" l="1"/>
  <c r="C1952" i="19" l="1"/>
  <c r="B1951" i="19"/>
  <c r="B1952" i="19" l="1"/>
  <c r="B1953" i="19" l="1"/>
  <c r="B1954" i="19" l="1"/>
  <c r="C1956" i="19" l="1"/>
  <c r="B1955" i="19"/>
  <c r="B1956" i="19" l="1"/>
  <c r="C1957" i="19"/>
  <c r="B1957" i="19" l="1"/>
  <c r="C1959" i="19" l="1"/>
  <c r="B1958" i="19"/>
  <c r="B1959" i="19" l="1"/>
  <c r="B1960" i="19" l="1"/>
  <c r="B1961" i="19" l="1"/>
  <c r="B1962" i="19" l="1"/>
  <c r="B1963" i="19" l="1"/>
  <c r="B1964" i="19" l="1"/>
  <c r="C1965" i="19"/>
  <c r="B1965" i="19" l="1"/>
  <c r="B1966" i="19" l="1"/>
  <c r="B1967" i="19" l="1"/>
  <c r="B1968" i="19" l="1"/>
  <c r="B1969" i="19"/>
  <c r="J56" i="24" l="1"/>
  <c r="M41" i="24"/>
  <c r="M33" i="24"/>
  <c r="M34" i="24" s="1"/>
  <c r="M9" i="24" l="1"/>
  <c r="J52" i="24"/>
  <c r="J51" i="24"/>
  <c r="J46" i="24"/>
  <c r="J42" i="24"/>
  <c r="J43" i="24"/>
  <c r="J33" i="24"/>
  <c r="J26" i="24"/>
  <c r="J19" i="24"/>
  <c r="J18" i="24"/>
  <c r="L25" i="12"/>
  <c r="L13" i="12"/>
  <c r="L68" i="12"/>
  <c r="G27" i="12"/>
  <c r="G23" i="12"/>
  <c r="H62" i="5"/>
  <c r="H32" i="5"/>
  <c r="H45" i="5"/>
  <c r="G53" i="12"/>
  <c r="J50" i="12"/>
  <c r="J52" i="12"/>
  <c r="J39" i="12"/>
  <c r="H42" i="5"/>
  <c r="G52" i="12"/>
  <c r="G39" i="12"/>
  <c r="G33" i="12"/>
  <c r="L52" i="5"/>
  <c r="L42" i="5"/>
  <c r="H52" i="5"/>
  <c r="L74" i="3" l="1"/>
  <c r="K74" i="3"/>
  <c r="J74" i="3"/>
  <c r="I74" i="3"/>
  <c r="J67" i="3"/>
  <c r="J65" i="3"/>
  <c r="H55" i="3"/>
  <c r="I51" i="3"/>
  <c r="I32" i="3" l="1"/>
  <c r="I26" i="3"/>
  <c r="I23" i="3"/>
  <c r="H14" i="3"/>
  <c r="G14" i="3" s="1"/>
  <c r="J14" i="3"/>
  <c r="H11" i="3"/>
  <c r="G11" i="3" s="1"/>
  <c r="J11" i="3"/>
  <c r="C13" i="6"/>
  <c r="D13" i="6"/>
  <c r="E13" i="6"/>
  <c r="F13" i="6"/>
  <c r="E15" i="15"/>
  <c r="E17" i="15"/>
  <c r="C7" i="6"/>
  <c r="C51" i="6"/>
  <c r="E51" i="6"/>
  <c r="F44" i="6"/>
  <c r="C31" i="6"/>
  <c r="F14" i="6"/>
  <c r="K116" i="29" l="1"/>
  <c r="G116" i="29"/>
  <c r="K114" i="29"/>
  <c r="J114" i="29"/>
  <c r="I114" i="29"/>
  <c r="H114" i="29"/>
  <c r="G114" i="29"/>
  <c r="K109" i="29"/>
  <c r="K107"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J101" i="29" s="1"/>
  <c r="I74" i="29"/>
  <c r="I79" i="29" s="1"/>
  <c r="H74" i="29"/>
  <c r="H79" i="29" s="1"/>
  <c r="K71" i="29"/>
  <c r="J71" i="29"/>
  <c r="I71" i="29"/>
  <c r="H71" i="29"/>
  <c r="K70" i="29"/>
  <c r="K69" i="29"/>
  <c r="J67" i="29"/>
  <c r="I67" i="29"/>
  <c r="H67" i="29"/>
  <c r="K66" i="29"/>
  <c r="K65" i="29"/>
  <c r="K67" i="29" s="1"/>
  <c r="K60" i="29"/>
  <c r="J60" i="29"/>
  <c r="I60" i="29"/>
  <c r="H60" i="29"/>
  <c r="K50" i="29"/>
  <c r="G50" i="29"/>
  <c r="H49" i="29"/>
  <c r="G46" i="29"/>
  <c r="G115" i="29" s="1"/>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J21" i="29"/>
  <c r="K19" i="29"/>
  <c r="J18" i="29"/>
  <c r="H18" i="29"/>
  <c r="H21" i="29" s="1"/>
  <c r="G16" i="29"/>
  <c r="K15" i="29"/>
  <c r="K18" i="29" s="1"/>
  <c r="K21" i="29" s="1"/>
  <c r="G15" i="29"/>
  <c r="I12" i="29"/>
  <c r="I18" i="29" s="1"/>
  <c r="I21" i="29" s="1"/>
  <c r="I8" i="29"/>
  <c r="G8" i="29"/>
  <c r="I96" i="29" l="1"/>
  <c r="I101" i="29" s="1"/>
  <c r="I46" i="29"/>
  <c r="I54" i="29" s="1"/>
  <c r="G18" i="29"/>
  <c r="G21" i="29" s="1"/>
  <c r="G47" i="29" s="1"/>
  <c r="G51" i="29" s="1"/>
  <c r="K101" i="29"/>
  <c r="J46" i="29"/>
  <c r="J47" i="29" s="1"/>
  <c r="J51" i="29" s="1"/>
  <c r="K46" i="29"/>
  <c r="K57" i="29" s="1"/>
  <c r="J79" i="29"/>
  <c r="I75" i="29"/>
  <c r="J63" i="29"/>
  <c r="J57" i="29"/>
  <c r="J54" i="29"/>
  <c r="H23" i="29"/>
  <c r="K63" i="29"/>
  <c r="K115" i="29"/>
  <c r="K54" i="29"/>
  <c r="K47" i="29"/>
  <c r="K51" i="29" s="1"/>
  <c r="G57" i="29"/>
  <c r="H76" i="29"/>
  <c r="H98" i="29" s="1"/>
  <c r="H116" i="29"/>
  <c r="H46" i="29"/>
  <c r="H47" i="29" s="1"/>
  <c r="H51" i="29" s="1"/>
  <c r="I76" i="29"/>
  <c r="I98" i="29" s="1"/>
  <c r="I116" i="29"/>
  <c r="G54" i="29"/>
  <c r="J76" i="29"/>
  <c r="J98" i="29" s="1"/>
  <c r="J116" i="29"/>
  <c r="J115" i="29" s="1"/>
  <c r="I47" i="29" l="1"/>
  <c r="I51" i="29" s="1"/>
  <c r="I63" i="29"/>
  <c r="J75" i="29"/>
  <c r="J80" i="29" s="1"/>
  <c r="I57" i="29"/>
  <c r="I115" i="29"/>
  <c r="K75" i="29"/>
  <c r="K97" i="29" s="1"/>
  <c r="I97" i="29"/>
  <c r="I84" i="29"/>
  <c r="I80" i="29"/>
  <c r="I77" i="29"/>
  <c r="H115" i="29"/>
  <c r="H54" i="29"/>
  <c r="H63" i="29"/>
  <c r="H57" i="29"/>
  <c r="H75" i="29"/>
  <c r="J97" i="29"/>
  <c r="J84" i="29"/>
  <c r="J77" i="29"/>
  <c r="K80" i="29"/>
  <c r="K77" i="29"/>
  <c r="K84" i="29" l="1"/>
  <c r="I106" i="29"/>
  <c r="I102" i="29"/>
  <c r="I99" i="29"/>
  <c r="I83" i="29"/>
  <c r="K106" i="29"/>
  <c r="K102" i="29"/>
  <c r="K99" i="29"/>
  <c r="J83" i="29"/>
  <c r="J106" i="29"/>
  <c r="J102" i="29"/>
  <c r="J99" i="29"/>
  <c r="H97" i="29"/>
  <c r="H77" i="29"/>
  <c r="H84" i="29"/>
  <c r="H80" i="29"/>
  <c r="K83" i="29"/>
  <c r="H106" i="29" l="1"/>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O52" i="24" l="1"/>
  <c r="O46" i="24"/>
  <c r="O45" i="24"/>
  <c r="J44" i="24"/>
  <c r="O44" i="24" s="1"/>
  <c r="O40" i="24"/>
  <c r="O37" i="24"/>
  <c r="J16" i="24"/>
  <c r="O16" i="24" s="1"/>
  <c r="J14" i="24"/>
  <c r="J13" i="24"/>
  <c r="O13" i="24" s="1"/>
  <c r="O56" i="24"/>
  <c r="O51" i="24"/>
  <c r="O50" i="24"/>
  <c r="O49" i="24"/>
  <c r="O48" i="24"/>
  <c r="O47" i="24"/>
  <c r="O43" i="24"/>
  <c r="O42" i="24"/>
  <c r="O39" i="24"/>
  <c r="O38" i="24"/>
  <c r="O36" i="24"/>
  <c r="O33" i="24"/>
  <c r="O32" i="24"/>
  <c r="O27" i="24"/>
  <c r="O26" i="24"/>
  <c r="O23" i="24"/>
  <c r="O21" i="24"/>
  <c r="O20" i="24"/>
  <c r="O19" i="24"/>
  <c r="O18" i="24"/>
  <c r="O17" i="24"/>
  <c r="O11" i="24"/>
  <c r="O10" i="24"/>
  <c r="A4" i="24"/>
  <c r="K9" i="24"/>
  <c r="B1883" i="19" l="1"/>
  <c r="B1882" i="19"/>
  <c r="M15" i="24"/>
  <c r="B1884" i="19" l="1"/>
  <c r="C1885" i="19"/>
  <c r="B1885" i="19" l="1"/>
  <c r="L12" i="12"/>
  <c r="H70" i="12"/>
  <c r="J70" i="12" s="1"/>
  <c r="J52" i="5"/>
  <c r="G70" i="12"/>
  <c r="H61" i="5"/>
  <c r="B1886" i="19" l="1"/>
  <c r="J18" i="3"/>
  <c r="B1887" i="19" l="1"/>
  <c r="F111" i="15"/>
  <c r="F107" i="15"/>
  <c r="F106" i="15"/>
  <c r="D108" i="15"/>
  <c r="F96" i="15"/>
  <c r="F95" i="15"/>
  <c r="G78" i="15"/>
  <c r="B1888" i="19" l="1"/>
  <c r="C1850" i="19"/>
  <c r="C1856" i="19" s="1"/>
  <c r="C1857" i="19" s="1"/>
  <c r="C1862" i="19" s="1"/>
  <c r="C1875" i="19" s="1"/>
  <c r="C1877" i="19" s="1"/>
  <c r="B1881" i="19" s="1"/>
  <c r="L64" i="12"/>
  <c r="L63" i="12"/>
  <c r="L62" i="12"/>
  <c r="L61" i="12"/>
  <c r="L51" i="12"/>
  <c r="L49" i="12"/>
  <c r="L48" i="12"/>
  <c r="L47" i="12"/>
  <c r="L46" i="12"/>
  <c r="L44" i="12"/>
  <c r="L43" i="12"/>
  <c r="L41" i="12"/>
  <c r="L40" i="12"/>
  <c r="L38" i="12"/>
  <c r="L37" i="12"/>
  <c r="L36" i="12"/>
  <c r="L35" i="12"/>
  <c r="L32" i="12"/>
  <c r="L31" i="12"/>
  <c r="L27" i="12"/>
  <c r="L24" i="12"/>
  <c r="L23" i="12"/>
  <c r="L22" i="12"/>
  <c r="L21" i="12"/>
  <c r="L20" i="12"/>
  <c r="L19" i="12"/>
  <c r="L17" i="12"/>
  <c r="L15" i="12"/>
  <c r="L11" i="12"/>
  <c r="L10" i="12"/>
  <c r="L9" i="12"/>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5" i="12"/>
  <c r="J66" i="12" s="1"/>
  <c r="L45" i="12"/>
  <c r="G65" i="12"/>
  <c r="L53" i="12"/>
  <c r="L52" i="12"/>
  <c r="L50" i="12"/>
  <c r="L42" i="12"/>
  <c r="L39" i="12"/>
  <c r="H53" i="12"/>
  <c r="H65" i="12"/>
  <c r="H64" i="12"/>
  <c r="C1891" i="19" l="1"/>
  <c r="B1890" i="19"/>
  <c r="G66" i="12"/>
  <c r="L65" i="12"/>
  <c r="H13" i="12"/>
  <c r="H26" i="12" s="1"/>
  <c r="H28" i="12" s="1"/>
  <c r="H62" i="12"/>
  <c r="H61" i="12"/>
  <c r="H66" i="12" s="1"/>
  <c r="H52" i="12"/>
  <c r="H50" i="12"/>
  <c r="H46" i="12"/>
  <c r="H39" i="12"/>
  <c r="H34" i="12"/>
  <c r="H33" i="12"/>
  <c r="L61" i="5"/>
  <c r="J61" i="5"/>
  <c r="I55" i="3"/>
  <c r="J55" i="3" s="1"/>
  <c r="K67" i="3"/>
  <c r="K65" i="3"/>
  <c r="L65" i="3" s="1"/>
  <c r="I53" i="3"/>
  <c r="I52" i="3"/>
  <c r="I48" i="3"/>
  <c r="J32" i="3"/>
  <c r="J30" i="3"/>
  <c r="J26" i="3"/>
  <c r="J23" i="3"/>
  <c r="B1891" i="19" l="1"/>
  <c r="H55" i="12"/>
  <c r="H57" i="12"/>
  <c r="H68" i="12" s="1"/>
  <c r="H71" i="12" s="1"/>
  <c r="E102" i="15"/>
  <c r="G111" i="15"/>
  <c r="B1892" i="19" l="1"/>
  <c r="P51" i="24"/>
  <c r="B1893" i="19" l="1"/>
  <c r="P50" i="24"/>
  <c r="P48" i="24"/>
  <c r="P47" i="24"/>
  <c r="P42" i="24"/>
  <c r="P39" i="24"/>
  <c r="P38" i="24"/>
  <c r="P37" i="24"/>
  <c r="P36" i="24"/>
  <c r="P32" i="24"/>
  <c r="P27" i="24"/>
  <c r="P17" i="24"/>
  <c r="P43" i="24"/>
  <c r="B1894" i="19" l="1"/>
  <c r="P26" i="24"/>
  <c r="P10" i="24"/>
  <c r="M62" i="12"/>
  <c r="M61" i="12"/>
  <c r="M64" i="12"/>
  <c r="M31" i="12"/>
  <c r="M46" i="12"/>
  <c r="G18" i="12"/>
  <c r="M10" i="12"/>
  <c r="M51" i="12"/>
  <c r="M49" i="12"/>
  <c r="M48" i="12"/>
  <c r="M47" i="12"/>
  <c r="M44" i="12"/>
  <c r="M42" i="12"/>
  <c r="M41" i="12"/>
  <c r="M40" i="12"/>
  <c r="M38" i="12"/>
  <c r="M37" i="12"/>
  <c r="M36" i="12"/>
  <c r="M35" i="12"/>
  <c r="M32" i="12"/>
  <c r="M27" i="12"/>
  <c r="M23" i="12"/>
  <c r="M22" i="12"/>
  <c r="M21" i="12"/>
  <c r="M20" i="12"/>
  <c r="M19" i="12"/>
  <c r="M17" i="12"/>
  <c r="M15" i="12"/>
  <c r="M12" i="12"/>
  <c r="M9" i="12"/>
  <c r="K53" i="3"/>
  <c r="L67" i="3"/>
  <c r="K51" i="3"/>
  <c r="G94" i="15" s="1"/>
  <c r="B1895" i="19" l="1"/>
  <c r="L18" i="12"/>
  <c r="M18" i="12" s="1"/>
  <c r="E44" i="6"/>
  <c r="G48" i="6"/>
  <c r="H24" i="3" s="1"/>
  <c r="J24" i="3" s="1"/>
  <c r="F73" i="6"/>
  <c r="G6" i="6"/>
  <c r="B1896" i="19" l="1"/>
  <c r="G24" i="3"/>
  <c r="E14" i="6"/>
  <c r="K117" i="28"/>
  <c r="J117" i="28"/>
  <c r="G117" i="28"/>
  <c r="K115" i="28"/>
  <c r="J115" i="28"/>
  <c r="I115" i="28"/>
  <c r="H115" i="28"/>
  <c r="G115" i="28"/>
  <c r="K110" i="28"/>
  <c r="J110" i="28"/>
  <c r="I110" i="28"/>
  <c r="J108" i="28"/>
  <c r="I108" i="28"/>
  <c r="I102" i="28"/>
  <c r="K101" i="28"/>
  <c r="J101" i="28"/>
  <c r="I101" i="28"/>
  <c r="H101" i="28"/>
  <c r="I97" i="28"/>
  <c r="H97" i="28"/>
  <c r="H102" i="28" s="1"/>
  <c r="J88" i="28"/>
  <c r="I88" i="28"/>
  <c r="H88" i="28"/>
  <c r="H110" i="28" s="1"/>
  <c r="K86" i="28"/>
  <c r="I86" i="28"/>
  <c r="H86" i="28"/>
  <c r="K80" i="28"/>
  <c r="I80" i="28"/>
  <c r="H80" i="28"/>
  <c r="K79" i="28"/>
  <c r="J79" i="28"/>
  <c r="K77" i="28"/>
  <c r="K99" i="28" s="1"/>
  <c r="J77" i="28"/>
  <c r="J99" i="28" s="1"/>
  <c r="K75" i="28"/>
  <c r="K97" i="28" s="1"/>
  <c r="J75" i="28"/>
  <c r="J97" i="28" s="1"/>
  <c r="I75" i="28"/>
  <c r="H75" i="28"/>
  <c r="J72" i="28"/>
  <c r="I72" i="28"/>
  <c r="H72" i="28"/>
  <c r="K71" i="28"/>
  <c r="K70" i="28"/>
  <c r="K72" i="28" s="1"/>
  <c r="J68" i="28"/>
  <c r="I68" i="28"/>
  <c r="H68" i="28"/>
  <c r="K67" i="28"/>
  <c r="K66" i="28"/>
  <c r="K68" i="28" s="1"/>
  <c r="K61" i="28"/>
  <c r="J61" i="28"/>
  <c r="I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J30" i="28"/>
  <c r="K29" i="28"/>
  <c r="J29" i="28"/>
  <c r="J47" i="28" s="1"/>
  <c r="I29" i="28"/>
  <c r="I47" i="28" s="1"/>
  <c r="H29" i="28"/>
  <c r="H47" i="28" s="1"/>
  <c r="J22" i="28"/>
  <c r="H22" i="28"/>
  <c r="H24" i="28" s="1"/>
  <c r="K20" i="28"/>
  <c r="J19" i="28"/>
  <c r="H19" i="28"/>
  <c r="G17" i="28"/>
  <c r="G19" i="28" s="1"/>
  <c r="G22" i="28" s="1"/>
  <c r="G48" i="28" s="1"/>
  <c r="G52" i="28" s="1"/>
  <c r="G16" i="28"/>
  <c r="I13" i="28"/>
  <c r="K11" i="28"/>
  <c r="K19" i="28" s="1"/>
  <c r="K22" i="28" s="1"/>
  <c r="K9" i="28"/>
  <c r="I9" i="28"/>
  <c r="I19" i="28" s="1"/>
  <c r="I22" i="28" s="1"/>
  <c r="G9" i="28"/>
  <c r="A3" i="28"/>
  <c r="B1897" i="19" l="1"/>
  <c r="G116" i="28"/>
  <c r="G58" i="28"/>
  <c r="G55" i="28"/>
  <c r="J102" i="28"/>
  <c r="H64" i="28"/>
  <c r="H58" i="28"/>
  <c r="H116" i="28"/>
  <c r="H55" i="28"/>
  <c r="I64" i="28"/>
  <c r="I58" i="28"/>
  <c r="I76" i="28"/>
  <c r="I116" i="28"/>
  <c r="I55" i="28"/>
  <c r="J116" i="28"/>
  <c r="J48" i="28"/>
  <c r="J52" i="28" s="1"/>
  <c r="J76" i="28"/>
  <c r="J55" i="28"/>
  <c r="J64" i="28"/>
  <c r="J58" i="28"/>
  <c r="I48" i="28"/>
  <c r="I52" i="28" s="1"/>
  <c r="K102" i="28"/>
  <c r="I51" i="28"/>
  <c r="H48" i="28"/>
  <c r="H52" i="28" s="1"/>
  <c r="J80" i="28"/>
  <c r="J78" i="28"/>
  <c r="H77" i="28"/>
  <c r="H99" i="28" s="1"/>
  <c r="H117" i="28"/>
  <c r="K30" i="28"/>
  <c r="K47" i="28" s="1"/>
  <c r="I77" i="28"/>
  <c r="I99" i="28" s="1"/>
  <c r="C1899" i="19" l="1"/>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91" i="28"/>
  <c r="J89" i="28"/>
  <c r="I87" i="28"/>
  <c r="I89" i="28"/>
  <c r="I91" i="28" s="1"/>
  <c r="B1901" i="19" l="1"/>
  <c r="K87" i="28"/>
  <c r="K89" i="28"/>
  <c r="I90" i="28"/>
  <c r="I92" i="28"/>
  <c r="H106" i="28"/>
  <c r="J113" i="28"/>
  <c r="J111" i="28"/>
  <c r="J109" i="28"/>
  <c r="K106" i="28"/>
  <c r="I111" i="28"/>
  <c r="I113" i="28" s="1"/>
  <c r="I109" i="28"/>
  <c r="J90" i="28"/>
  <c r="J92" i="28"/>
  <c r="H87" i="28"/>
  <c r="H89" i="28"/>
  <c r="H91" i="28"/>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M45" i="12"/>
  <c r="K48" i="3"/>
  <c r="K52" i="3"/>
  <c r="B1907" i="19" l="1"/>
  <c r="C98" i="6"/>
  <c r="B1908" i="19" l="1"/>
  <c r="C1909" i="19"/>
  <c r="D71" i="6"/>
  <c r="G41" i="6"/>
  <c r="E73" i="6"/>
  <c r="B1909" i="19" l="1"/>
  <c r="C1712" i="19"/>
  <c r="B1712" i="19" s="1"/>
  <c r="B1710" i="19"/>
  <c r="B1910" i="19" l="1"/>
  <c r="B1713" i="19"/>
  <c r="B1911" i="19" l="1"/>
  <c r="B1714" i="19"/>
  <c r="C1715" i="19"/>
  <c r="B1912" i="19" l="1"/>
  <c r="B1715" i="19"/>
  <c r="G105"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J34" i="24"/>
  <c r="O34" i="24" s="1"/>
  <c r="B1917" i="19" l="1"/>
  <c r="B1720" i="19"/>
  <c r="C1671" i="19"/>
  <c r="B1670" i="19"/>
  <c r="G8" i="3"/>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4" i="6"/>
  <c r="I69" i="3" s="1"/>
  <c r="B1728" i="19" l="1"/>
  <c r="B1678" i="19"/>
  <c r="C1619" i="19"/>
  <c r="B1618" i="19"/>
  <c r="D112"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P16" i="24"/>
  <c r="P52" i="24"/>
  <c r="P46" i="24"/>
  <c r="P45" i="24"/>
  <c r="P44" i="24"/>
  <c r="P40" i="24"/>
  <c r="K24" i="24"/>
  <c r="K34" i="24" l="1"/>
  <c r="P34" i="24" s="1"/>
  <c r="P33" i="24"/>
  <c r="K41" i="24"/>
  <c r="B1731" i="19"/>
  <c r="C1732" i="19"/>
  <c r="C1682" i="19"/>
  <c r="B1681" i="19"/>
  <c r="K25" i="24"/>
  <c r="C1622" i="19"/>
  <c r="B1621" i="19"/>
  <c r="C1733" i="19" l="1"/>
  <c r="B1732" i="19"/>
  <c r="B1682" i="19"/>
  <c r="B1622" i="19"/>
  <c r="M53" i="12"/>
  <c r="M52" i="12"/>
  <c r="M50" i="12"/>
  <c r="M39" i="12"/>
  <c r="M24" i="12"/>
  <c r="L64" i="3"/>
  <c r="B1733" i="19" l="1"/>
  <c r="B1683" i="19"/>
  <c r="B1623" i="19"/>
  <c r="L63" i="3"/>
  <c r="B1734" i="19" l="1"/>
  <c r="B1684" i="19"/>
  <c r="B1624" i="19"/>
  <c r="L66" i="3"/>
  <c r="P13" i="24"/>
  <c r="B1568" i="19"/>
  <c r="C1525" i="19"/>
  <c r="C1526" i="19" s="1"/>
  <c r="B1526" i="19" s="1"/>
  <c r="J57" i="24"/>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J35" i="3"/>
  <c r="B1740" i="19" l="1"/>
  <c r="B1690" i="19"/>
  <c r="B1630" i="19"/>
  <c r="B1531" i="19"/>
  <c r="B1505" i="19"/>
  <c r="C126" i="6"/>
  <c r="C134" i="6" s="1"/>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3" i="3"/>
  <c r="G95" i="15"/>
  <c r="G96" i="15"/>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M22" i="24"/>
  <c r="O22" i="24" s="1"/>
  <c r="J16" i="12"/>
  <c r="L16" i="12" s="1"/>
  <c r="M16" i="12" s="1"/>
  <c r="M14" i="24" l="1"/>
  <c r="O14" i="24" s="1"/>
  <c r="P14" i="24" s="1"/>
  <c r="B1747" i="19"/>
  <c r="C1748" i="19"/>
  <c r="B1697" i="19"/>
  <c r="B1637" i="19"/>
  <c r="B1538" i="19"/>
  <c r="B1512" i="19"/>
  <c r="C71" i="6"/>
  <c r="G70" i="6"/>
  <c r="H30" i="3" s="1"/>
  <c r="G30" i="3" s="1"/>
  <c r="G69" i="6"/>
  <c r="B1748" i="19" l="1"/>
  <c r="C1699" i="19"/>
  <c r="B1698" i="19"/>
  <c r="B1638" i="19"/>
  <c r="B1539" i="19"/>
  <c r="B1513" i="19"/>
  <c r="I58" i="26"/>
  <c r="H58" i="26"/>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I40" i="26"/>
  <c r="L40" i="26" s="1"/>
  <c r="M40" i="26" s="1"/>
  <c r="H40" i="26"/>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G28" i="26"/>
  <c r="I28" i="26" s="1"/>
  <c r="I27" i="26"/>
  <c r="L27" i="26" s="1"/>
  <c r="H27" i="26"/>
  <c r="G27" i="26"/>
  <c r="H26" i="26"/>
  <c r="I26" i="26" s="1"/>
  <c r="G26" i="26"/>
  <c r="H25" i="26"/>
  <c r="I25" i="26" s="1"/>
  <c r="I23" i="26"/>
  <c r="L23" i="26" s="1"/>
  <c r="I22" i="26"/>
  <c r="L22" i="26" s="1"/>
  <c r="G21" i="26"/>
  <c r="H21" i="26" s="1"/>
  <c r="K20" i="26"/>
  <c r="G20" i="26"/>
  <c r="G29" i="26" s="1"/>
  <c r="I19" i="26"/>
  <c r="L19" i="26" s="1"/>
  <c r="I18" i="26"/>
  <c r="M18" i="26" s="1"/>
  <c r="H17" i="26"/>
  <c r="I17" i="26" s="1"/>
  <c r="L17" i="26" s="1"/>
  <c r="M16" i="26"/>
  <c r="I16" i="26"/>
  <c r="L16" i="26" s="1"/>
  <c r="H15" i="26"/>
  <c r="I15" i="26" s="1"/>
  <c r="M14" i="26"/>
  <c r="I14" i="26"/>
  <c r="L14" i="26" s="1"/>
  <c r="H13" i="26"/>
  <c r="I13" i="26" s="1"/>
  <c r="I11" i="26"/>
  <c r="I10" i="26"/>
  <c r="M10" i="26" s="1"/>
  <c r="M9" i="26"/>
  <c r="I9" i="26"/>
  <c r="L9" i="26" s="1"/>
  <c r="I8" i="26"/>
  <c r="B1749" i="19" l="1"/>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10" i="15"/>
  <c r="D109" i="15"/>
  <c r="B1755" i="19" l="1"/>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7" i="24"/>
  <c r="K67" i="24"/>
  <c r="L8" i="5"/>
  <c r="B1757" i="19" l="1"/>
  <c r="B1707" i="19"/>
  <c r="B1647" i="19"/>
  <c r="B1548" i="19"/>
  <c r="B1522" i="19"/>
  <c r="B1758" i="19" l="1"/>
  <c r="B1708" i="19"/>
  <c r="B1648" i="19"/>
  <c r="B1549" i="19"/>
  <c r="C1550" i="19"/>
  <c r="B1524" i="19"/>
  <c r="B1523" i="19"/>
  <c r="G81" i="3"/>
  <c r="M77" i="3"/>
  <c r="G77" i="3"/>
  <c r="F77" i="3"/>
  <c r="L73" i="3"/>
  <c r="K72" i="3"/>
  <c r="L72" i="3" s="1"/>
  <c r="K71" i="3"/>
  <c r="L71" i="3" s="1"/>
  <c r="H70" i="3"/>
  <c r="K70" i="3" s="1"/>
  <c r="J77" i="3"/>
  <c r="H59" i="3"/>
  <c r="G59" i="3"/>
  <c r="I56" i="3"/>
  <c r="J56" i="3" s="1"/>
  <c r="J59" i="3" s="1"/>
  <c r="F56" i="3"/>
  <c r="F59" i="3" s="1"/>
  <c r="I44" i="3"/>
  <c r="K44" i="3" s="1"/>
  <c r="I42" i="3"/>
  <c r="K42" i="3" s="1"/>
  <c r="I41" i="3"/>
  <c r="K36" i="3"/>
  <c r="B1759" i="19" l="1"/>
  <c r="B1709" i="19"/>
  <c r="C1650" i="19"/>
  <c r="B1649" i="19"/>
  <c r="B1550" i="19"/>
  <c r="I59" i="3"/>
  <c r="L77" i="3"/>
  <c r="L79" i="3" s="1"/>
  <c r="K41" i="3"/>
  <c r="K59" i="3" s="1"/>
  <c r="L59" i="3" s="1"/>
  <c r="I81" i="3"/>
  <c r="K77"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100" i="15"/>
  <c r="F100"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4" i="24"/>
  <c r="J9" i="24"/>
  <c r="O9" i="24" l="1"/>
  <c r="P9" i="24" s="1"/>
  <c r="B1763" i="19"/>
  <c r="B1653" i="19"/>
  <c r="B1554" i="19"/>
  <c r="C1555" i="19"/>
  <c r="A3" i="24"/>
  <c r="M57" i="24"/>
  <c r="O57" i="24" s="1"/>
  <c r="J41" i="24"/>
  <c r="O41" i="24" l="1"/>
  <c r="P41" i="24" s="1"/>
  <c r="C1765" i="19"/>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3" i="24"/>
  <c r="K53" i="24"/>
  <c r="B1555" i="19"/>
  <c r="K28" i="24"/>
  <c r="M67" i="24"/>
  <c r="J67" i="24"/>
  <c r="B1802" i="19" l="1"/>
  <c r="B1765" i="19"/>
  <c r="B1655" i="19"/>
  <c r="C1656" i="19"/>
  <c r="K54" i="24"/>
  <c r="K61" i="24"/>
  <c r="K64" i="24"/>
  <c r="B1556" i="19"/>
  <c r="J61" i="24"/>
  <c r="J64" i="24"/>
  <c r="C1804" i="19" l="1"/>
  <c r="B1803" i="19"/>
  <c r="K58" i="24"/>
  <c r="B1766" i="19"/>
  <c r="B1656" i="19"/>
  <c r="B1557" i="19"/>
  <c r="C1558" i="19"/>
  <c r="F108" i="15"/>
  <c r="F109" i="15"/>
  <c r="E109" i="15"/>
  <c r="E108" i="15"/>
  <c r="F98" i="15"/>
  <c r="F102" i="15" s="1"/>
  <c r="D102" i="15"/>
  <c r="B1804" i="19" l="1"/>
  <c r="B1767" i="19"/>
  <c r="B1657" i="19"/>
  <c r="B1558" i="19"/>
  <c r="C1559" i="19"/>
  <c r="E114"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3" i="12"/>
  <c r="L33" i="12" s="1"/>
  <c r="M33" i="12" s="1"/>
  <c r="G34" i="12"/>
  <c r="J25" i="12"/>
  <c r="M25" i="12" s="1"/>
  <c r="B1807" i="19" l="1"/>
  <c r="B1770" i="19"/>
  <c r="M24" i="24"/>
  <c r="O24" i="24" s="1"/>
  <c r="B1561" i="19"/>
  <c r="C1562" i="19"/>
  <c r="C1809" i="19" l="1"/>
  <c r="B1808" i="19"/>
  <c r="B1771" i="19"/>
  <c r="M25" i="24"/>
  <c r="M28" i="24" s="1"/>
  <c r="B1562" i="19"/>
  <c r="B1809" i="19" l="1"/>
  <c r="M53" i="24"/>
  <c r="B1563" i="19"/>
  <c r="C1564" i="19"/>
  <c r="M54" i="24" l="1"/>
  <c r="M58" i="24" s="1"/>
  <c r="O53" i="24"/>
  <c r="P53" i="24" s="1"/>
  <c r="C1811" i="19"/>
  <c r="B1810" i="19"/>
  <c r="M61" i="24"/>
  <c r="M64" i="24"/>
  <c r="B1564" i="19"/>
  <c r="R32" i="18"/>
  <c r="R30" i="18"/>
  <c r="B1811" i="19" l="1"/>
  <c r="C1812" i="19"/>
  <c r="B1772" i="19"/>
  <c r="B1565" i="19"/>
  <c r="J13" i="18"/>
  <c r="J24" i="18"/>
  <c r="M31" i="18"/>
  <c r="J31" i="18"/>
  <c r="R31" i="18" s="1"/>
  <c r="S33" i="18" s="1"/>
  <c r="R19" i="18"/>
  <c r="R50" i="18"/>
  <c r="R48" i="18"/>
  <c r="R45" i="18"/>
  <c r="S45" i="18" s="1"/>
  <c r="R44" i="18"/>
  <c r="R43" i="18"/>
  <c r="S43" i="18" s="1"/>
  <c r="R42" i="18"/>
  <c r="R41" i="18"/>
  <c r="S41" i="18" s="1"/>
  <c r="R38" i="18"/>
  <c r="C1813" i="19" l="1"/>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J34" i="12"/>
  <c r="L34" i="12" s="1"/>
  <c r="M34" i="12" s="1"/>
  <c r="O15" i="24" l="1"/>
  <c r="P15" i="24" s="1"/>
  <c r="C1822" i="19"/>
  <c r="B1821" i="19"/>
  <c r="B1782" i="19"/>
  <c r="J25" i="24"/>
  <c r="H16" i="5"/>
  <c r="J56" i="5"/>
  <c r="J49" i="5"/>
  <c r="J16" i="5"/>
  <c r="J23" i="5"/>
  <c r="G98" i="15"/>
  <c r="G102" i="15" s="1"/>
  <c r="O25" i="24" l="1"/>
  <c r="P25" i="24" s="1"/>
  <c r="C1823" i="19"/>
  <c r="B1822" i="19"/>
  <c r="B1783" i="19"/>
  <c r="J28" i="24"/>
  <c r="J58" i="5"/>
  <c r="J25" i="5"/>
  <c r="J35" i="5" s="1"/>
  <c r="G71" i="6"/>
  <c r="O28" i="24" l="1"/>
  <c r="P28" i="24" s="1"/>
  <c r="B1823" i="19"/>
  <c r="B1784" i="19"/>
  <c r="J54" i="24"/>
  <c r="O54" i="24" l="1"/>
  <c r="P54" i="24" s="1"/>
  <c r="B1824" i="19"/>
  <c r="C1825" i="19"/>
  <c r="B1785" i="19"/>
  <c r="J58" i="24"/>
  <c r="O58" i="24" s="1"/>
  <c r="G68" i="15"/>
  <c r="F38" i="15"/>
  <c r="F45" i="15" s="1"/>
  <c r="D38" i="15"/>
  <c r="B1825" i="19" l="1"/>
  <c r="C1826" i="19"/>
  <c r="B1786" i="19"/>
  <c r="G572" i="19"/>
  <c r="G571" i="19"/>
  <c r="B1826" i="19" l="1"/>
  <c r="B1787" i="19"/>
  <c r="G629" i="19"/>
  <c r="J18" i="18"/>
  <c r="O18" i="18" s="1"/>
  <c r="M53" i="18"/>
  <c r="M22" i="18"/>
  <c r="M39" i="18" s="1"/>
  <c r="M21" i="18"/>
  <c r="M15" i="18"/>
  <c r="M63" i="18"/>
  <c r="J55" i="12"/>
  <c r="B1827" i="19" l="1"/>
  <c r="B1788" i="19"/>
  <c r="M23" i="18"/>
  <c r="M26" i="18" s="1"/>
  <c r="M49" i="18"/>
  <c r="J26" i="12"/>
  <c r="J28" i="12" s="1"/>
  <c r="J57" i="12" s="1"/>
  <c r="G65" i="6"/>
  <c r="C8" i="6"/>
  <c r="H8" i="3"/>
  <c r="J68" i="12" l="1"/>
  <c r="J71" i="12" s="1"/>
  <c r="L63" i="5"/>
  <c r="B1828" i="19"/>
  <c r="B1789" i="19"/>
  <c r="J8" i="3"/>
  <c r="J11" i="18"/>
  <c r="O11" i="18" s="1"/>
  <c r="H77" i="3"/>
  <c r="M60" i="18"/>
  <c r="M57" i="18"/>
  <c r="M50" i="18"/>
  <c r="M54" i="18" s="1"/>
  <c r="O17" i="18"/>
  <c r="B1829" i="19" l="1"/>
  <c r="C1830" i="19"/>
  <c r="B1790" i="19"/>
  <c r="B1830" i="19" l="1"/>
  <c r="B1791" i="19"/>
  <c r="O47" i="23"/>
  <c r="O45" i="23"/>
  <c r="O42" i="23"/>
  <c r="O36" i="23"/>
  <c r="O35" i="23"/>
  <c r="O32" i="23"/>
  <c r="M31" i="23"/>
  <c r="O24" i="23"/>
  <c r="O18" i="23"/>
  <c r="O17" i="23"/>
  <c r="O16" i="23"/>
  <c r="O15" i="23"/>
  <c r="O14" i="23"/>
  <c r="O13" i="23"/>
  <c r="O10" i="23"/>
  <c r="O9" i="23"/>
  <c r="J34" i="23"/>
  <c r="O34" i="23" s="1"/>
  <c r="M41" i="23"/>
  <c r="O41" i="23" s="1"/>
  <c r="J41" i="23"/>
  <c r="J43" i="23"/>
  <c r="M39" i="23"/>
  <c r="O39" i="23" s="1"/>
  <c r="J39" i="23"/>
  <c r="J35" i="23"/>
  <c r="J33" i="23"/>
  <c r="O33" i="23" s="1"/>
  <c r="M30" i="23"/>
  <c r="O30" i="23" s="1"/>
  <c r="B1831" i="19" l="1"/>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4" i="15"/>
  <c r="E35" i="15"/>
  <c r="B1835" i="19" l="1"/>
  <c r="C1836" i="19"/>
  <c r="B1796" i="19"/>
  <c r="O12" i="23"/>
  <c r="P12" i="23" s="1"/>
  <c r="O38" i="23"/>
  <c r="O52" i="23"/>
  <c r="M48" i="23"/>
  <c r="O22" i="23"/>
  <c r="P38" i="23"/>
  <c r="P31" i="23"/>
  <c r="P37" i="23"/>
  <c r="P40" i="23"/>
  <c r="J22" i="23"/>
  <c r="J25" i="23" s="1"/>
  <c r="K48" i="23"/>
  <c r="K22" i="23"/>
  <c r="K25" i="23" s="1"/>
  <c r="P13" i="23"/>
  <c r="P30" i="23"/>
  <c r="J48" i="23"/>
  <c r="M22" i="23"/>
  <c r="M25" i="23" s="1"/>
  <c r="O21" i="23"/>
  <c r="B1836" i="19" l="1"/>
  <c r="B1797" i="19"/>
  <c r="O48" i="23"/>
  <c r="K49" i="23"/>
  <c r="K53" i="23" s="1"/>
  <c r="O25" i="23"/>
  <c r="P25" i="23" s="1"/>
  <c r="J49" i="23"/>
  <c r="M49" i="23"/>
  <c r="M53" i="23" s="1"/>
  <c r="P9" i="23"/>
  <c r="P22" i="23"/>
  <c r="P48" i="23"/>
  <c r="B1837" i="19" l="1"/>
  <c r="B1798" i="19"/>
  <c r="O49" i="23"/>
  <c r="P49" i="23" s="1"/>
  <c r="J53" i="23"/>
  <c r="O53" i="23" s="1"/>
  <c r="B1838" i="19" l="1"/>
  <c r="B1799" i="19"/>
  <c r="J14" i="18"/>
  <c r="C1840" i="19" l="1"/>
  <c r="B1839" i="19"/>
  <c r="B1800" i="19"/>
  <c r="B1840" i="19" l="1"/>
  <c r="B1801" i="19"/>
  <c r="G43" i="15"/>
  <c r="G42" i="15"/>
  <c r="G41" i="15"/>
  <c r="G40" i="15"/>
  <c r="G39" i="15"/>
  <c r="G38" i="15"/>
  <c r="G37" i="15"/>
  <c r="G36" i="15"/>
  <c r="E45" i="15"/>
  <c r="C45"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B2000" i="19" s="1"/>
  <c r="D51" i="6"/>
  <c r="G626" i="19" l="1"/>
  <c r="G627" i="19" l="1"/>
  <c r="G631" i="19" s="1"/>
  <c r="G634"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65" i="12"/>
  <c r="O24" i="18" l="1"/>
  <c r="P24" i="18" s="1"/>
  <c r="O44" i="18"/>
  <c r="P44" i="18" s="1"/>
  <c r="O43" i="18"/>
  <c r="P43" i="18" s="1"/>
  <c r="O42" i="18"/>
  <c r="P42" i="18" s="1"/>
  <c r="G67" i="6" l="1"/>
  <c r="I77" i="3" l="1"/>
  <c r="G40" i="6"/>
  <c r="H32" i="3" s="1"/>
  <c r="G32" i="3" s="1"/>
  <c r="E16" i="15"/>
  <c r="A4" i="18" l="1"/>
  <c r="G51" i="22" l="1"/>
  <c r="G47" i="22"/>
  <c r="G46" i="22"/>
  <c r="G28" i="22"/>
  <c r="G13" i="22"/>
  <c r="G20" i="22"/>
  <c r="G34" i="22" l="1"/>
  <c r="G53" i="22" l="1"/>
  <c r="G55" i="22" s="1"/>
  <c r="L31" i="5" l="1"/>
  <c r="G45" i="15" l="1"/>
  <c r="H44" i="15" l="1"/>
  <c r="H42" i="15"/>
  <c r="H39" i="15"/>
  <c r="H35" i="15"/>
  <c r="H43" i="15"/>
  <c r="H41" i="15"/>
  <c r="H38" i="15"/>
  <c r="H36" i="15"/>
  <c r="O32" i="18" l="1"/>
  <c r="P32" i="18" s="1"/>
  <c r="D14" i="6" l="1"/>
  <c r="D45" i="15" l="1"/>
  <c r="J22" i="18" l="1"/>
  <c r="K22" i="18"/>
  <c r="K39" i="18" s="1"/>
  <c r="K21" i="18"/>
  <c r="K63" i="18"/>
  <c r="K15" i="18"/>
  <c r="K8" i="18"/>
  <c r="K49" i="18" l="1"/>
  <c r="K53" i="18"/>
  <c r="J39" i="18"/>
  <c r="J49" i="18" s="1"/>
  <c r="K23" i="18"/>
  <c r="K57" i="18" l="1"/>
  <c r="K60" i="18"/>
  <c r="D44" i="6" l="1"/>
  <c r="G13" i="6"/>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H18" i="3" s="1"/>
  <c r="G18" i="3" s="1"/>
  <c r="E84" i="15" l="1"/>
  <c r="D32" i="6" l="1"/>
  <c r="D73" i="6" s="1"/>
  <c r="J21" i="18" l="1"/>
  <c r="O21" i="18" s="1"/>
  <c r="G8" i="12" l="1"/>
  <c r="J8" i="12" s="1"/>
  <c r="M8" i="24" l="1"/>
  <c r="J8" i="24"/>
  <c r="E85" i="15"/>
  <c r="B323" i="19" l="1"/>
  <c r="K26" i="18" l="1"/>
  <c r="K50" i="18" s="1"/>
  <c r="K54" i="18" s="1"/>
  <c r="O22" i="18"/>
  <c r="J63" i="18" l="1"/>
  <c r="J8" i="18"/>
  <c r="J53" i="18"/>
  <c r="O53" i="18" s="1"/>
  <c r="O9" i="18" l="1"/>
  <c r="P9" i="18" s="1"/>
  <c r="O39" i="18"/>
  <c r="P39" i="18" s="1"/>
  <c r="J57" i="18" l="1"/>
  <c r="O49" i="18"/>
  <c r="P49" i="18" s="1"/>
  <c r="J60" i="18"/>
  <c r="M8" i="18"/>
  <c r="G55" i="12" l="1"/>
  <c r="G26" i="12"/>
  <c r="L26" i="12" s="1"/>
  <c r="J15" i="18"/>
  <c r="O15" i="18" s="1"/>
  <c r="P15" i="18" s="1"/>
  <c r="M26" i="12" l="1"/>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12"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F110" i="15" l="1"/>
  <c r="F114" i="15" s="1"/>
  <c r="G58" i="6" l="1"/>
  <c r="G51" i="6"/>
  <c r="C44" i="6"/>
  <c r="G17" i="6"/>
  <c r="G18" i="6" l="1"/>
  <c r="D114" i="15"/>
  <c r="G112" i="15"/>
  <c r="G110" i="15"/>
  <c r="G107" i="15" l="1"/>
  <c r="G106" i="15" l="1"/>
  <c r="G108"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81" i="3" s="1"/>
  <c r="H81" i="3" l="1"/>
  <c r="K81" i="3" s="1"/>
  <c r="E14" i="15"/>
  <c r="L23" i="5" l="1"/>
  <c r="L25" i="5" s="1"/>
  <c r="L35" i="5" s="1"/>
  <c r="H56" i="5"/>
  <c r="L69" i="5" l="1"/>
  <c r="D208" i="6" l="1"/>
  <c r="D209" i="6"/>
  <c r="D210" i="6"/>
  <c r="F208" i="6" l="1"/>
  <c r="G31" i="6" l="1"/>
  <c r="G60" i="6"/>
  <c r="G50" i="6"/>
  <c r="H26" i="3" s="1"/>
  <c r="G26" i="3" s="1"/>
  <c r="H35" i="3" l="1"/>
  <c r="G35" i="3"/>
  <c r="N212" i="6"/>
  <c r="M212" i="6"/>
  <c r="L212" i="6"/>
  <c r="K212" i="6"/>
  <c r="J212" i="6"/>
  <c r="I212" i="6"/>
  <c r="H212" i="6"/>
  <c r="G212" i="6"/>
  <c r="C56" i="6" l="1"/>
  <c r="F27" i="6"/>
  <c r="C32" i="6"/>
  <c r="C211" i="6" l="1"/>
  <c r="G54" i="6" l="1"/>
  <c r="G55" i="6"/>
  <c r="G56" i="6" l="1"/>
  <c r="G20" i="6" l="1"/>
  <c r="C14" i="6"/>
  <c r="C73" i="6" s="1"/>
  <c r="G12" i="6"/>
  <c r="L28" i="12" l="1"/>
  <c r="M28" i="12" s="1"/>
  <c r="L55" i="12" l="1"/>
  <c r="M55" i="12" s="1"/>
  <c r="G28" i="12" l="1"/>
  <c r="G57" i="12" l="1"/>
  <c r="G68" i="12" l="1"/>
  <c r="H63" i="5"/>
  <c r="J64" i="5"/>
  <c r="J66" i="5" s="1"/>
  <c r="L64" i="5"/>
  <c r="L57" i="12"/>
  <c r="M57" i="12" s="1"/>
  <c r="L66" i="5" l="1"/>
  <c r="L72" i="5" s="1"/>
  <c r="C209" i="6" l="1"/>
  <c r="G39" i="6"/>
  <c r="G32" i="6"/>
  <c r="G11" i="6"/>
  <c r="H23" i="3" l="1"/>
  <c r="G23" i="3" s="1"/>
  <c r="G44" i="6"/>
  <c r="E12" i="15"/>
  <c r="D212" i="6"/>
  <c r="G14" i="6"/>
  <c r="G27" i="6"/>
  <c r="E13" i="15" l="1"/>
  <c r="F212" i="6"/>
  <c r="H64" i="5" l="1"/>
  <c r="G71" i="12"/>
  <c r="L66" i="12"/>
  <c r="M66" i="12" s="1"/>
  <c r="G109" i="15"/>
  <c r="G114" i="15" s="1"/>
  <c r="H72" i="5" l="1"/>
  <c r="G7" i="6"/>
  <c r="H10" i="3" s="1"/>
  <c r="G10" i="3" s="1"/>
  <c r="G36" i="3" s="1"/>
  <c r="H36" i="3" l="1"/>
  <c r="C210" i="6"/>
  <c r="G8" i="6"/>
  <c r="G73" i="6" s="1"/>
  <c r="J85" i="3" l="1"/>
  <c r="J10" i="3"/>
  <c r="J36" i="3" s="1"/>
  <c r="I36" i="3"/>
  <c r="E11" i="15"/>
  <c r="E18" i="15" s="1"/>
  <c r="C208" i="6"/>
  <c r="C212" i="6" s="1"/>
  <c r="J86" i="3" l="1"/>
  <c r="J87" i="3" s="1"/>
  <c r="H19" i="5"/>
  <c r="H23" i="5" s="1"/>
  <c r="H25" i="5" s="1"/>
  <c r="H35" i="5" s="1"/>
  <c r="C75" i="6"/>
  <c r="E75" i="6"/>
  <c r="F75" i="6"/>
  <c r="D75" i="6"/>
  <c r="G75" i="6"/>
  <c r="F17" i="15"/>
  <c r="F15" i="15"/>
  <c r="F14" i="15"/>
  <c r="F13" i="15"/>
  <c r="F12" i="15"/>
  <c r="F11" i="15"/>
  <c r="F16" i="15"/>
  <c r="C100" i="6"/>
  <c r="F18" i="15" l="1"/>
  <c r="H48" i="5" l="1"/>
  <c r="H49" i="5" s="1"/>
  <c r="H58" i="5" l="1"/>
  <c r="H66"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7"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6.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7.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<sst xmlns="http://schemas.openxmlformats.org/spreadsheetml/2006/main" count="1397" uniqueCount="659">
  <si>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</si>
  <si>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</si>
  <si>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</si>
  <si>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</si>
  <si>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</si>
  <si>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</si>
  <si>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</si>
  <si>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</si>
  <si>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</si>
  <si>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</si>
  <si>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</si>
  <si>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</si>
  <si>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</si>
  <si>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</si>
  <si>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</si>
  <si>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</si>
  <si>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</si>
  <si>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</si>
  <si>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</si>
  <si>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</si>
  <si>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</si>
  <si>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</si>
  <si>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</si>
  <si>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</si>
  <si>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</si>
  <si>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</si>
  <si>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</si>
  <si>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</si>
  <si>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</si>
  <si>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</si>
  <si>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</si>
  <si>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</si>
  <si>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</si>
  <si>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</si>
  <si>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</si>
  <si>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</si>
  <si>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</si>
  <si>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</si>
  <si>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</si>
  <si>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</si>
  <si>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</si>
  <si>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</si>
  <si>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</si>
  <si>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</si>
  <si>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</si>
  <si>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</si>
  <si>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</si>
  <si>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</si>
  <si>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</si>
  <si>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</si>
  <si>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</si>
  <si>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</si>
  <si>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</si>
  <si>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</si>
  <si>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</si>
  <si>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</si>
  <si>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</si>
  <si>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</si>
  <si>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</si>
  <si>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</si>
  <si>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</si>
  <si>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</si>
  <si>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</si>
  <si>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</si>
  <si>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</si>
  <si>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</si>
  <si>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</si>
  <si>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</si>
  <si>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</si>
  <si>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</si>
  <si>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</si>
  <si>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</si>
  <si>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</si>
  <si>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</si>
  <si>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</si>
  <si>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</si>
  <si>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</si>
  <si>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</si>
  <si>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</si>
  <si>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</si>
  <si>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</si>
  <si>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</si>
  <si>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</si>
  <si>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</si>
  <si>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</si>
  <si>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</si>
  <si>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</si>
  <si>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</si>
  <si>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</si>
  <si>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</si>
  <si>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</si>
  <si>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</si>
  <si>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</si>
  <si>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</si>
  <si>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</si>
  <si>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</si>
  <si>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</si>
  <si>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</si>
  <si>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</si>
  <si>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</si>
  <si>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</si>
  <si>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</si>
  <si>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</si>
  <si>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</si>
  <si>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</si>
  <si>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</si>
  <si>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</si>
  <si>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</si>
  <si>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</si>
  <si>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</si>
  <si>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</si>
  <si>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</si>
  <si>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</si>
  <si>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</si>
  <si>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</si>
  <si>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</si>
  <si>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</si>
  <si>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</si>
  <si>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</si>
  <si>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</si>
  <si>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</si>
  <si>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</si>
  <si>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</si>
  <si>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</si>
  <si>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</si>
  <si>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</si>
  <si>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</si>
  <si>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</si>
  <si>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</si>
  <si>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</si>
  <si>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</si>
  <si>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</si>
  <si>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</si>
  <si>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</si>
  <si>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</si>
  <si>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</si>
  <si>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</si>
  <si>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</si>
  <si>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</si>
  <si>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</si>
  <si>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</si>
  <si>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</si>
  <si>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</si>
  <si>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</si>
  <si>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</si>
  <si>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</si>
  <si>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</si>
  <si>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</si>
  <si>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</si>
  <si>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</si>
  <si>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</si>
  <si>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</si>
  <si>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</si>
  <si>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</si>
  <si>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</si>
  <si>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</si>
  <si>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</si>
  <si>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</si>
  <si>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</si>
  <si>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</si>
  <si>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</si>
  <si>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</si>
  <si>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</si>
  <si>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</si>
  <si>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</si>
  <si>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</si>
  <si>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</si>
  <si>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</si>
  <si>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</si>
  <si>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</si>
  <si>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</si>
  <si>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</si>
  <si>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</si>
  <si>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</si>
  <si>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</si>
  <si>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</si>
  <si>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</si>
  <si>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</si>
  <si>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</si>
  <si>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</si>
  <si>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</si>
  <si>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</si>
  <si>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</si>
  <si>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</si>
  <si>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</si>
  <si>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</si>
  <si>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</si>
  <si>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</si>
  <si>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</si>
  <si>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</si>
  <si>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</si>
  <si>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</si>
  <si>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</si>
  <si>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</si>
  <si>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</si>
  <si>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</si>
  <si>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</si>
  <si>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</si>
  <si>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</si>
  <si>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</si>
  <si>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</si>
  <si>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</si>
  <si>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</si>
  <si>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</si>
  <si>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</si>
  <si>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</si>
  <si>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</si>
  <si>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</si>
  <si>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</si>
  <si>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</si>
  <si>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</si>
  <si>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</si>
  <si>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</si>
  <si>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</si>
  <si>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</si>
  <si>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</si>
  <si>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</si>
  <si>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</si>
  <si>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</si>
  <si>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</si>
  <si>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</si>
  <si>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</si>
  <si>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</si>
  <si>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</si>
  <si>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</si>
  <si>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</si>
  <si>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</si>
  <si>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</si>
  <si>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</si>
  <si>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</si>
  <si>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</si>
  <si>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</si>
  <si>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</si>
  <si>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</si>
  <si>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</si>
  <si>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</si>
  <si>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</si>
  <si>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</si>
  <si>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</si>
  <si>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</si>
  <si>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</si>
  <si>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</si>
  <si>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</si>
  <si>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</si>
  <si>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</si>
  <si>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</si>
  <si>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</si>
  <si>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</si>
  <si>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</si>
  <si>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</si>
  <si>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</si>
  <si>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</si>
  <si>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</si>
  <si>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</si>
  <si>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</si>
  <si>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</si>
  <si>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</si>
  <si>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</si>
  <si>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</si>
  <si>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</si>
  <si>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</si>
  <si>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</si>
  <si>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</si>
  <si>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</si>
  <si>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</si>
  <si>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</si>
  <si>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</si>
  <si>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</si>
  <si>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</si>
  <si>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</si>
  <si>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</si>
  <si>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</si>
  <si>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</si>
  <si>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</si>
  <si>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</si>
  <si>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</si>
  <si>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</si>
  <si>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</si>
  <si>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</si>
  <si>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</si>
  <si>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</si>
  <si>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</si>
  <si>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</si>
  <si>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</si>
  <si>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</si>
  <si>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</si>
  <si>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</si>
  <si>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</si>
  <si>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</si>
  <si>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</si>
  <si>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</si>
  <si>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</si>
  <si>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</si>
  <si>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</si>
  <si>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</si>
  <si>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</si>
  <si>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</si>
  <si>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</si>
  <si>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</si>
  <si>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</si>
  <si>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</si>
  <si>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</si>
  <si>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</si>
  <si>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</si>
  <si>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</si>
  <si>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</si>
  <si>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</si>
  <si>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</si>
  <si>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</si>
  <si>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</si>
  <si>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</si>
  <si>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</si>
  <si>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</si>
  <si>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</si>
  <si>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</si>
  <si>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</si>
  <si>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</si>
  <si>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</si>
  <si>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</si>
  <si>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</si>
  <si>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</si>
  <si>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</si>
  <si>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</si>
  <si>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</si>
  <si>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</si>
  <si>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</si>
  <si>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</si>
  <si>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</si>
  <si>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</si>
  <si>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</si>
  <si>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</si>
  <si>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</si>
  <si>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</si>
  <si>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</si>
  <si>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</si>
  <si>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</si>
  <si>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</si>
  <si>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</si>
  <si>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</si>
  <si>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</si>
  <si>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</si>
  <si>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</si>
  <si>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</si>
  <si>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</si>
  <si>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</si>
  <si>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</si>
  <si>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</si>
  <si>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</si>
  <si>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</si>
  <si>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</si>
  <si>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</si>
  <si>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</si>
  <si>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</si>
  <si>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</si>
  <si>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</si>
  <si>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</si>
  <si>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</si>
  <si>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</si>
  <si>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</si>
  <si>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</si>
  <si>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</si>
  <si>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</si>
  <si>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</si>
  <si>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</si>
  <si>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</si>
  <si>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</si>
  <si>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</si>
  <si>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</si>
  <si>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</si>
  <si>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</si>
  <si>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</si>
  <si>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</si>
  <si>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</si>
  <si>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</si>
  <si>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</si>
  <si>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</si>
  <si>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</si>
  <si>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</si>
  <si>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</si>
  <si>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</si>
  <si>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</si>
  <si>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</si>
  <si>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</si>
  <si>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</si>
  <si>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</si>
  <si>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</si>
  <si>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</si>
  <si>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</si>
  <si>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</si>
  <si>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</si>
  <si>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</si>
  <si>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</si>
  <si>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</si>
  <si>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</si>
  <si>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</si>
  <si>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</si>
  <si>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 xml:space="preserve">Community Foundation of the Hudson Valley </t>
  </si>
  <si>
    <r>
      <t xml:space="preserve">General Operating Support  </t>
    </r>
    <r>
      <rPr>
        <b/>
        <sz val="11"/>
        <color rgb="FFFF0000"/>
        <rFont val="Arial"/>
        <family val="2"/>
      </rPr>
      <t>(NEW)</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</si>
  <si>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</si>
  <si>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</si>
  <si>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</si>
  <si>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</si>
  <si>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</si>
  <si>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</si>
  <si>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</si>
  <si>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</si>
  <si>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</si>
  <si>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</si>
  <si>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</si>
  <si>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</si>
  <si>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</si>
  <si>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</si>
  <si>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</si>
  <si>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</si>
  <si>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</si>
  <si>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</si>
  <si>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</si>
  <si>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</si>
  <si>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</si>
  <si>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</si>
  <si>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</si>
  <si>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</si>
  <si>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</si>
  <si>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</si>
  <si>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</si>
  <si>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</si>
  <si>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</si>
  <si>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</si>
  <si>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r>
      <t xml:space="preserve">Greene County DSS </t>
    </r>
    <r>
      <rPr>
        <sz val="10"/>
        <color theme="1"/>
        <rFont val="Arial"/>
        <family val="2"/>
      </rPr>
      <t xml:space="preserve">(HEAP Program ) </t>
    </r>
  </si>
  <si>
    <t xml:space="preserve">Transportation Clients  </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</si>
  <si>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</si>
  <si>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</si>
  <si>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</si>
  <si>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</si>
  <si>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</si>
  <si>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</si>
  <si>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</si>
  <si>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</si>
  <si>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</si>
  <si>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</si>
  <si>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</si>
  <si>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</si>
  <si>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</si>
  <si>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</si>
  <si>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</si>
  <si>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</si>
  <si>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</si>
  <si>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</si>
  <si>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Agreement</t>
  </si>
  <si>
    <t>NYSDOH 07/21 to 06/22 - Year#3 of 5</t>
  </si>
  <si>
    <t>QuickBooks AR at 08/31/2021</t>
  </si>
  <si>
    <t>Foundation Revenue - FCH, Dyson, Rip Van Winkle</t>
  </si>
  <si>
    <t xml:space="preserve">General Operating Support </t>
  </si>
  <si>
    <t>Tobacco Yr#3 - Sept 2021 Voucher</t>
  </si>
  <si>
    <t>HEALing Communities Impact Dollars -  2021 Voucher</t>
  </si>
  <si>
    <t>Columbia County BOS 2022 Budget Appropriation</t>
  </si>
  <si>
    <t>Columbia County Departments 2022 Donations (CARTS)</t>
  </si>
  <si>
    <t>Collaborative Community Health Planning Jan'22-Dec'22</t>
  </si>
  <si>
    <t xml:space="preserve">Ancram/Copake Prescription Access (2021) </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</si>
  <si>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</si>
  <si>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</si>
  <si>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</si>
  <si>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</si>
  <si>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</si>
  <si>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Ancram/Copake Prescription Access (2022) </t>
  </si>
  <si>
    <t xml:space="preserve">County Government - 2022 </t>
  </si>
  <si>
    <t xml:space="preserve">County Departments - 2022 </t>
  </si>
  <si>
    <t xml:space="preserve">Columbia Memorial Hospital </t>
  </si>
  <si>
    <t xml:space="preserve">Columbia County BOS 2021 Restore </t>
  </si>
  <si>
    <t>Capped @  $15,000</t>
  </si>
  <si>
    <t>NY Connects E&amp;EP         04/22 to 03/23</t>
  </si>
  <si>
    <t>Greene County Public Health Department</t>
  </si>
  <si>
    <t>RHN Program - Jan - Mar 2022 Voucher</t>
  </si>
  <si>
    <t>County Government - 2021</t>
  </si>
  <si>
    <t>Greene County Public Health</t>
  </si>
  <si>
    <t>Grants Receivable</t>
  </si>
  <si>
    <t xml:space="preserve">NYS Assocaition for Rural Health </t>
  </si>
  <si>
    <t>Transportation - Other: CMH, Greene Cty</t>
  </si>
  <si>
    <t>NYSDOH 07/22 to 06/23 - Year#4 of 5</t>
  </si>
  <si>
    <t>NYSDOH 08/21 to 07/22 - Year#3 of 5</t>
  </si>
  <si>
    <t>NYSDOH 08/22 to 07/23 - Year#4 of 5</t>
  </si>
  <si>
    <t>Total funds pending on NYS SFS Website</t>
  </si>
  <si>
    <t>Vehicle Lease Liability</t>
  </si>
  <si>
    <t>Depreciation &amp; Amortization</t>
  </si>
  <si>
    <t>Interest Expense</t>
  </si>
  <si>
    <t>Depreciation &amp; Amortization -Vehicles</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</si>
  <si>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2023.  </t>
    </r>
  </si>
  <si>
    <t>Agency</t>
  </si>
  <si>
    <t>Enterprise Fleet</t>
  </si>
  <si>
    <t>NYSARH 04/22 to 3/23 - $15,310</t>
  </si>
  <si>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</si>
  <si>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</si>
  <si>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</si>
  <si>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</si>
  <si>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</si>
  <si>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</si>
  <si>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</si>
  <si>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</si>
  <si>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</si>
  <si>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</si>
  <si>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</si>
  <si>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</si>
  <si>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</si>
  <si>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</si>
  <si>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</si>
  <si>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</si>
  <si>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</si>
  <si>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</si>
  <si>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</si>
  <si>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</si>
  <si>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</si>
  <si>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</si>
  <si>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</si>
  <si>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</si>
  <si>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</si>
  <si>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</si>
  <si>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</si>
  <si>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</si>
  <si>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</si>
  <si>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</si>
  <si>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</si>
  <si>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</si>
  <si>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</si>
  <si>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</si>
  <si>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</si>
  <si>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</si>
  <si>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</si>
  <si>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</si>
  <si>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</si>
  <si>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</si>
  <si>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</si>
  <si>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</si>
  <si>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</si>
  <si>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</si>
  <si>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</si>
  <si>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</si>
  <si>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</si>
  <si>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</si>
  <si>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</si>
  <si>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</si>
  <si>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</si>
  <si>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</si>
  <si>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</si>
  <si>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</si>
  <si>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</si>
  <si>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</si>
  <si>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</si>
  <si>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</si>
  <si>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</si>
  <si>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</si>
  <si>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</si>
  <si>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</si>
  <si>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</si>
  <si>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</si>
  <si>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 xml:space="preserve">RHN - NYSARH - Legislative Appropriation </t>
  </si>
  <si>
    <t xml:space="preserve">Tobacco Free Communities Grant -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</si>
  <si>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</si>
  <si>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</si>
  <si>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</si>
  <si>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</si>
  <si>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</si>
  <si>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</si>
  <si>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</si>
  <si>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</si>
  <si>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NYSDOH 01/23 to 12/23 Yr#5 (Quarterly Voucher)</t>
  </si>
  <si>
    <t>CMH - Comm Heath Plan 4th Qtr 2022</t>
  </si>
  <si>
    <t>Greene County -Dept of Social Services -</t>
  </si>
  <si>
    <t>Navigator Program - December 2022 Voucher</t>
  </si>
  <si>
    <t>Tobacco  Program - November 2022</t>
  </si>
  <si>
    <t xml:space="preserve">Rural Health Network Program- Yr#5 of 5 </t>
  </si>
  <si>
    <t xml:space="preserve">NY Connects E &amp; EP ADRC </t>
  </si>
  <si>
    <t xml:space="preserve">Ancram/Copake Prescription Access (2023) </t>
  </si>
  <si>
    <t xml:space="preserve">County Government - 2023 </t>
  </si>
  <si>
    <t>County Departments - 2023</t>
  </si>
  <si>
    <t>Collaborative Community Health Planning Jan'23-Dec'23</t>
  </si>
  <si>
    <t>2022 Ford Transit Connects</t>
  </si>
  <si>
    <t>2018 Ford Taurus</t>
  </si>
  <si>
    <t>2012 Ford Fusion</t>
  </si>
  <si>
    <t>2014 Dodge Grand Caravan</t>
  </si>
  <si>
    <t>2017 Dodge Grand Caravan</t>
  </si>
  <si>
    <t>2013 Dodge Grand Caravan</t>
  </si>
  <si>
    <t>2017 Ford Taurus</t>
  </si>
  <si>
    <t>Our Gain</t>
  </si>
  <si>
    <t>2023 Operating Support</t>
  </si>
  <si>
    <t>April</t>
  </si>
  <si>
    <t>MIPPA                              04/23 to 8/23</t>
  </si>
  <si>
    <t>NY Connects E&amp;EP         04/23 to 03/24</t>
  </si>
  <si>
    <t>Columbia County BOS Part#2of 2</t>
  </si>
  <si>
    <t>Columbia County Dept of Human Services- 1st Quarter</t>
  </si>
  <si>
    <t>Rural Health Network - 1st Qrt Voucher</t>
  </si>
  <si>
    <r>
      <t xml:space="preserve">NY Connects Expansion &amp; Enhancement Program </t>
    </r>
    <r>
      <rPr>
        <b/>
        <sz val="11"/>
        <color rgb="FFFF0000"/>
        <rFont val="Arial"/>
        <family val="2"/>
      </rPr>
      <t>(Pending)</t>
    </r>
  </si>
  <si>
    <t>April'23 vs.'22</t>
  </si>
  <si>
    <t>HEALing Comm Study Impact $ ended March 2022 $127K</t>
  </si>
  <si>
    <t>HEALing Comm Study contract ended March 2023</t>
  </si>
  <si>
    <t>$20K from Dyson</t>
  </si>
  <si>
    <t>$10.4K from County for 2021 Yr</t>
  </si>
  <si>
    <t>For the Years Ended December 31, 2022</t>
  </si>
  <si>
    <t>Transportation Software Leases</t>
  </si>
  <si>
    <t>Grants Receivable Aging Summary as of June 30, 2023</t>
  </si>
  <si>
    <t>June</t>
  </si>
  <si>
    <t>May</t>
  </si>
  <si>
    <t>OFA: Senior Transportation - May 2023 Voucher</t>
  </si>
  <si>
    <t>OFA: NY Connects - May 2023 Voucher</t>
  </si>
  <si>
    <t>OFA:NY Connects ADRC - May 2023 Voucher</t>
  </si>
  <si>
    <t>Tobacco Program - May 2023 Voucher</t>
  </si>
  <si>
    <t>Navigator Program - May 2023 Voucher</t>
  </si>
  <si>
    <t>Navigator Program - April 2023 Voucher</t>
  </si>
  <si>
    <t>Navigator Program - April 2022 Voucher</t>
  </si>
  <si>
    <t>Tobacco  - April 2022 Voucher</t>
  </si>
  <si>
    <t>March &amp; Older</t>
  </si>
  <si>
    <t>Grants Receivable at 06/30/2023</t>
  </si>
  <si>
    <t>June 30th AR Balance at July 24, 2023</t>
  </si>
  <si>
    <t>The Home for the Aged</t>
  </si>
  <si>
    <t>OFA: MIPPA</t>
  </si>
  <si>
    <t>Tobacco  Program - March 2023 Voucher</t>
  </si>
  <si>
    <t>Greene County -Dept of Human Services</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</si>
  <si>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June 30, 2023, our Grant Receivable is $289K. We expect to collect on all receivables.  </t>
    </r>
  </si>
  <si>
    <t>The Home for the Aged (New Grant for 2023 &amp; 2024)</t>
  </si>
  <si>
    <t>Navigator Yr#4-April 2023 Voucher</t>
  </si>
  <si>
    <t>Tobacco Yr#4 - April 2023 Voucher</t>
  </si>
  <si>
    <t>Tobacco Yr#4 - May 2023 Voucher</t>
  </si>
  <si>
    <t>Total AR Payments Received After June 30, 2023</t>
  </si>
  <si>
    <t>Payments Received After June 30, 2023</t>
  </si>
  <si>
    <t>As of June 30, 2023</t>
  </si>
  <si>
    <t xml:space="preserve">Tobacco Free Communities Grant - Yr#5 of 5 </t>
  </si>
  <si>
    <t>In Person Assistors &amp; Navigators- Yr#4 of 5</t>
  </si>
  <si>
    <r>
      <t>In Person Assistors &amp; Navigators-Yr#5 of 5</t>
    </r>
    <r>
      <rPr>
        <b/>
        <sz val="11"/>
        <color rgb="FFFF0000"/>
        <rFont val="Arial"/>
        <family val="2"/>
      </rPr>
      <t>(Increased Funding)</t>
    </r>
  </si>
  <si>
    <t>Balance as of 01/01/2023</t>
  </si>
  <si>
    <t>Six Months Ended June 30, 2023 and 2022</t>
  </si>
  <si>
    <t>June'23 vs.'22</t>
  </si>
  <si>
    <t>Foundations</t>
  </si>
  <si>
    <t>Foundation Revenue-The Home for the Aged</t>
  </si>
  <si>
    <t>Greene County - Dept Human Services</t>
  </si>
  <si>
    <t>Less: Lease Payments</t>
  </si>
  <si>
    <r>
      <t>è</t>
    </r>
    <r>
      <rPr>
        <b/>
        <sz val="12"/>
        <color theme="1"/>
        <rFont val="Times New Roman"/>
        <family val="1"/>
      </rPr>
      <t xml:space="preserve"> Cash</t>
    </r>
    <r>
      <rPr>
        <sz val="12"/>
        <color theme="1"/>
        <rFont val="Calibri"/>
        <family val="2"/>
      </rPr>
      <t xml:space="preserve"> -  Cash balance in the operating checking account started the 2023 year off with $432K and ended in the month of June 2023 with $408K. The low cash balance on February 02, 2023, was $260K &amp; the high cash balance on March 27, 2023, was $472K. The average daily balance for the 2023 &amp; 2022 years were $377K and $336K, respectively. </t>
    </r>
  </si>
  <si>
    <t>Total Grant Receivable - June 2023</t>
  </si>
  <si>
    <r>
      <t>è</t>
    </r>
    <r>
      <rPr>
        <b/>
        <sz val="12"/>
        <color theme="1"/>
        <rFont val="Times New Roman"/>
        <family val="1"/>
      </rPr>
      <t xml:space="preserve"> Investment - North Country Financial Group </t>
    </r>
    <r>
      <rPr>
        <sz val="12"/>
        <color theme="1"/>
        <rFont val="Calibri"/>
        <family val="2"/>
      </rPr>
      <t xml:space="preserve"> - As of June 30, 2023, the investment account value is $408K. Initial investment during the month of March 2016 was $152K. The change in value for the 2023 year is an increase of $22K. </t>
    </r>
  </si>
  <si>
    <r>
      <t>è</t>
    </r>
    <r>
      <rPr>
        <b/>
        <sz val="12"/>
        <color theme="1"/>
        <rFont val="Times New Roman"/>
        <family val="1"/>
      </rPr>
      <t xml:space="preserve">Accounts Payable - </t>
    </r>
    <r>
      <rPr>
        <sz val="12"/>
        <color theme="1"/>
        <rFont val="Calibri"/>
        <family val="2"/>
        <scheme val="minor"/>
      </rPr>
      <t xml:space="preserve">At June 30, 2023, accounts payable liability is $13,820. All accounts payable liability is being paid timely within 28 days.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</si>
  <si>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June 30, 2023,</t>
    </r>
  </si>
  <si>
    <t>Ending Balance at June 30, 2023</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</si>
  <si>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June 30, 2023: </t>
    </r>
  </si>
  <si>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</si>
  <si>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</si>
  <si>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</si>
  <si>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</si>
  <si>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</si>
  <si>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</si>
  <si>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</si>
  <si>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</si>
  <si>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</si>
  <si>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</si>
  <si>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</si>
  <si>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</si>
  <si>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</si>
  <si>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</si>
  <si>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$10K decrease in accrued paid leave, $3K decrease in health insurance</t>
  </si>
  <si>
    <t>$30K decrease due to no NYSARH Grant in 2023, $9K decrease due to no HRI funding</t>
  </si>
  <si>
    <t>Agreement not renewed for 2023 year</t>
  </si>
  <si>
    <r>
      <t xml:space="preserve">The Home for the Aged </t>
    </r>
    <r>
      <rPr>
        <b/>
        <sz val="11"/>
        <color rgb="FFFF0000"/>
        <rFont val="Arial"/>
        <family val="2"/>
      </rPr>
      <t>(New, $50K for 2023 &amp; 2024 Years)</t>
    </r>
    <r>
      <rPr>
        <sz val="11"/>
        <color theme="1"/>
        <rFont val="Arial"/>
        <family val="2"/>
      </rPr>
      <t xml:space="preserve">  (CARTS)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</si>
</sst>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3" formatCode="#,##0.0_);[Red]\(#,##0.0\)"/>
  </numFmts>
  <fonts count="7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
      <sz val="15"/>
      <color theme="1"/>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5">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1057">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0" fontId="0" fillId="0" borderId="49"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Font="1" applyFill="1" applyBorder="1" applyAlignment="1">
      <alignment horizontal="left"/>
    </xf>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14" fontId="0" fillId="0" borderId="0" xfId="0" applyNumberFormat="1"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41" fontId="0" fillId="0" borderId="47" xfId="1" applyNumberFormat="1" applyFont="1" applyFill="1" applyBorder="1" applyAlignment="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0" fontId="27"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41" fontId="16" fillId="0" borderId="30" xfId="0" applyNumberFormat="1" applyFont="1" applyBorder="1" applyAlignment="1">
      <alignment horizontal="center" vertical="center"/>
    </xf>
    <xf numFmtId="0" fontId="0" fillId="0" borderId="0" xfId="0" applyFill="1" applyBorder="1" applyAlignment="1">
      <alignment horizontal="left"/>
    </xf>
    <xf numFmtId="0" fontId="6" fillId="3" borderId="33" xfId="0" applyFont="1" applyFill="1" applyBorder="1" applyAlignment="1">
      <alignment horizontal="center" vertical="center"/>
    </xf>
    <xf numFmtId="49" fontId="18" fillId="0" borderId="0" xfId="0" applyNumberFormat="1" applyFont="1" applyAlignment="1">
      <alignment horizontal="left" vertical="center"/>
    </xf>
    <xf numFmtId="14" fontId="0" fillId="0" borderId="14" xfId="0" applyNumberFormat="1" applyFill="1" applyBorder="1" applyAlignment="1">
      <alignment horizontal="center"/>
    </xf>
    <xf numFmtId="41" fontId="0" fillId="0" borderId="28" xfId="1" applyNumberFormat="1" applyFont="1" applyFill="1" applyBorder="1" applyAlignment="1"/>
    <xf numFmtId="41" fontId="18" fillId="2" borderId="0" xfId="0" applyNumberFormat="1" applyFont="1" applyFill="1" applyBorder="1" applyAlignment="1">
      <alignment vertical="center"/>
    </xf>
    <xf numFmtId="44" fontId="6" fillId="0" borderId="0" xfId="0" applyNumberFormat="1" applyFont="1" applyBorder="1" applyAlignment="1">
      <alignment horizontal="center" vertical="center" wrapText="1"/>
    </xf>
    <xf numFmtId="38" fontId="13" fillId="0" borderId="0" xfId="0" applyNumberFormat="1" applyFont="1"/>
    <xf numFmtId="38" fontId="0" fillId="0" borderId="0" xfId="0" applyNumberFormat="1" applyFont="1" applyAlignment="1">
      <alignment horizontal="right"/>
    </xf>
    <xf numFmtId="38" fontId="0" fillId="0" borderId="0" xfId="0" applyNumberFormat="1" applyBorder="1" applyAlignment="1">
      <alignment horizontal="center" vertical="center"/>
    </xf>
    <xf numFmtId="38" fontId="0" fillId="0" borderId="0" xfId="0" applyNumberFormat="1" applyFont="1" applyBorder="1" applyAlignment="1">
      <alignment horizontal="right" vertical="center"/>
    </xf>
    <xf numFmtId="38" fontId="0" fillId="0" borderId="0" xfId="0" applyNumberFormat="1" applyBorder="1" applyAlignment="1">
      <alignment vertical="center"/>
    </xf>
    <xf numFmtId="49" fontId="14" fillId="0" borderId="33" xfId="0" applyNumberFormat="1" applyFont="1" applyBorder="1" applyAlignment="1">
      <alignment vertical="center"/>
    </xf>
    <xf numFmtId="42" fontId="22" fillId="0" borderId="33" xfId="0" applyNumberFormat="1" applyFont="1" applyFill="1" applyBorder="1" applyAlignment="1">
      <alignment horizontal="center" vertical="center" wrapText="1"/>
    </xf>
    <xf numFmtId="38" fontId="0" fillId="0" borderId="0" xfId="0" applyNumberFormat="1" applyFont="1" applyBorder="1" applyAlignment="1">
      <alignment horizontal="right" vertical="center" wrapText="1"/>
    </xf>
    <xf numFmtId="38" fontId="0" fillId="0" borderId="0" xfId="0" applyNumberFormat="1" applyFont="1" applyBorder="1" applyAlignment="1">
      <alignment vertical="center"/>
    </xf>
    <xf numFmtId="49" fontId="22" fillId="0" borderId="0" xfId="0" applyNumberFormat="1" applyFont="1" applyBorder="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NumberFormat="1" applyFont="1" applyBorder="1"/>
    <xf numFmtId="0" fontId="5" fillId="0" borderId="0" xfId="0" applyFont="1" applyBorder="1"/>
    <xf numFmtId="0" fontId="9" fillId="0" borderId="0" xfId="0" applyFont="1" applyBorder="1"/>
    <xf numFmtId="0" fontId="59" fillId="0" borderId="0" xfId="0" applyNumberFormat="1" applyFont="1"/>
    <xf numFmtId="0" fontId="20" fillId="0" borderId="0" xfId="0" applyNumberFormat="1"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Fill="1"/>
    <xf numFmtId="40" fontId="8" fillId="0" borderId="0" xfId="0" applyNumberFormat="1" applyFont="1" applyFill="1"/>
    <xf numFmtId="40" fontId="0" fillId="0" borderId="0" xfId="0" applyNumberFormat="1" applyBorder="1" applyAlignment="1">
      <alignment horizontal="center" vertical="center"/>
    </xf>
    <xf numFmtId="14" fontId="0" fillId="0" borderId="0" xfId="0" applyNumberFormat="1" applyBorder="1" applyAlignment="1">
      <alignment horizontal="center" vertical="center"/>
    </xf>
    <xf numFmtId="40" fontId="8" fillId="0" borderId="0" xfId="0" applyNumberFormat="1" applyFont="1" applyBorder="1" applyAlignment="1">
      <alignment horizontal="center" vertical="center"/>
    </xf>
    <xf numFmtId="0" fontId="17" fillId="0" borderId="56" xfId="0" applyFont="1" applyBorder="1" applyAlignment="1">
      <alignment vertical="center"/>
    </xf>
    <xf numFmtId="40" fontId="17" fillId="0" borderId="0" xfId="0" applyNumberFormat="1" applyFont="1" applyBorder="1" applyAlignment="1">
      <alignment vertical="center"/>
    </xf>
    <xf numFmtId="14" fontId="17" fillId="0" borderId="0" xfId="0" applyNumberFormat="1" applyFont="1" applyBorder="1" applyAlignment="1">
      <alignment horizontal="center" vertical="center"/>
    </xf>
    <xf numFmtId="40" fontId="8" fillId="0" borderId="0" xfId="0" applyNumberFormat="1" applyFont="1" applyBorder="1" applyAlignment="1">
      <alignment vertical="center"/>
    </xf>
    <xf numFmtId="40" fontId="0" fillId="0" borderId="0" xfId="0" applyNumberFormat="1" applyBorder="1" applyAlignment="1">
      <alignment vertical="center"/>
    </xf>
    <xf numFmtId="40" fontId="0" fillId="0" borderId="0" xfId="0" applyNumberFormat="1" applyBorder="1" applyAlignment="1"/>
    <xf numFmtId="14" fontId="0" fillId="0" borderId="0" xfId="0" applyNumberFormat="1" applyBorder="1" applyAlignment="1">
      <alignment horizontal="center"/>
    </xf>
    <xf numFmtId="40" fontId="8" fillId="0" borderId="0" xfId="0" applyNumberFormat="1" applyFont="1" applyBorder="1" applyAlignment="1"/>
    <xf numFmtId="8" fontId="0" fillId="0" borderId="0" xfId="0" applyNumberFormat="1" applyFill="1" applyBorder="1" applyAlignment="1">
      <alignment vertical="center"/>
    </xf>
    <xf numFmtId="8" fontId="6" fillId="0" borderId="0" xfId="0" applyNumberFormat="1" applyFont="1" applyFill="1" applyBorder="1" applyAlignment="1">
      <alignment horizontal="center" vertical="center" wrapText="1"/>
    </xf>
    <xf numFmtId="40" fontId="0" fillId="0" borderId="0" xfId="0" applyNumberFormat="1" applyFont="1" applyBorder="1" applyAlignment="1">
      <alignment vertical="center"/>
    </xf>
    <xf numFmtId="14" fontId="0" fillId="0" borderId="0" xfId="0" applyNumberFormat="1" applyFont="1" applyBorder="1" applyAlignment="1">
      <alignment horizontal="center" vertical="center"/>
    </xf>
    <xf numFmtId="6" fontId="18" fillId="0" borderId="0" xfId="0" applyNumberFormat="1" applyFont="1" applyBorder="1" applyAlignment="1">
      <alignment horizontal="right" vertical="center"/>
    </xf>
    <xf numFmtId="7" fontId="18" fillId="0" borderId="19" xfId="0" applyNumberFormat="1" applyFont="1" applyBorder="1" applyAlignment="1">
      <alignment vertical="center"/>
    </xf>
    <xf numFmtId="172" fontId="18" fillId="0" borderId="19" xfId="0" applyNumberFormat="1" applyFont="1" applyBorder="1" applyAlignment="1">
      <alignment vertical="center"/>
    </xf>
    <xf numFmtId="172" fontId="18" fillId="0" borderId="0" xfId="0" applyNumberFormat="1" applyFont="1" applyBorder="1" applyAlignment="1">
      <alignment vertical="center"/>
    </xf>
    <xf numFmtId="49" fontId="73" fillId="0" borderId="0" xfId="0" applyNumberFormat="1" applyFont="1" applyBorder="1" applyAlignment="1">
      <alignment vertical="center"/>
    </xf>
    <xf numFmtId="5" fontId="14" fillId="0" borderId="0" xfId="0" applyNumberFormat="1" applyFont="1" applyBorder="1" applyAlignment="1">
      <alignment vertical="center"/>
    </xf>
    <xf numFmtId="8" fontId="74" fillId="0" borderId="0" xfId="0" applyNumberFormat="1" applyFont="1" applyBorder="1" applyAlignment="1">
      <alignment vertical="center"/>
    </xf>
    <xf numFmtId="5" fontId="14" fillId="0" borderId="31" xfId="0" applyNumberFormat="1" applyFont="1" applyBorder="1" applyAlignment="1">
      <alignment vertical="center"/>
    </xf>
    <xf numFmtId="3" fontId="14" fillId="0" borderId="0" xfId="0" applyNumberFormat="1" applyFont="1" applyBorder="1" applyAlignment="1">
      <alignment vertical="center"/>
    </xf>
    <xf numFmtId="37" fontId="14" fillId="0" borderId="0" xfId="0" applyNumberFormat="1" applyFont="1" applyBorder="1" applyAlignment="1">
      <alignment vertical="center"/>
    </xf>
    <xf numFmtId="8" fontId="14" fillId="0" borderId="0" xfId="0" applyNumberFormat="1" applyFont="1" applyBorder="1" applyAlignment="1">
      <alignment vertical="center"/>
    </xf>
    <xf numFmtId="40" fontId="15" fillId="0" borderId="0" xfId="0" applyNumberFormat="1" applyFont="1" applyBorder="1" applyAlignment="1">
      <alignment vertical="center"/>
    </xf>
    <xf numFmtId="14" fontId="15" fillId="0" borderId="0" xfId="0" applyNumberFormat="1" applyFont="1" applyBorder="1" applyAlignment="1">
      <alignment horizontal="center" vertical="center"/>
    </xf>
    <xf numFmtId="40" fontId="21" fillId="0" borderId="0" xfId="0" applyNumberFormat="1" applyFont="1" applyBorder="1" applyAlignment="1">
      <alignment vertical="center"/>
    </xf>
    <xf numFmtId="41" fontId="74" fillId="0" borderId="0" xfId="0" applyNumberFormat="1" applyFont="1" applyBorder="1"/>
    <xf numFmtId="40" fontId="0" fillId="0" borderId="0" xfId="0" applyNumberFormat="1" applyBorder="1"/>
    <xf numFmtId="40" fontId="8" fillId="0" borderId="0" xfId="0" applyNumberFormat="1" applyFont="1" applyBorder="1"/>
    <xf numFmtId="38" fontId="74" fillId="0" borderId="0" xfId="0" applyNumberFormat="1" applyFont="1" applyBorder="1"/>
    <xf numFmtId="8" fontId="74" fillId="0" borderId="0" xfId="0" applyNumberFormat="1" applyFont="1" applyBorder="1"/>
    <xf numFmtId="41" fontId="0" fillId="0" borderId="0" xfId="0" applyNumberFormat="1" applyFill="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59" fillId="0" borderId="0" xfId="0" applyNumberFormat="1" applyFont="1" applyBorder="1"/>
    <xf numFmtId="0" fontId="11"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0" fillId="0" borderId="0" xfId="0" applyBorder="1" applyAlignment="1">
      <alignment horizontal="left" vertical="center"/>
    </xf>
    <xf numFmtId="38" fontId="0" fillId="0" borderId="0" xfId="0" applyNumberFormat="1" applyBorder="1" applyAlignment="1">
      <alignment horizontal="left" vertical="center"/>
    </xf>
    <xf numFmtId="38" fontId="0" fillId="0" borderId="0" xfId="0" applyNumberFormat="1" applyFont="1" applyBorder="1" applyAlignment="1">
      <alignment horizontal="left" vertical="center"/>
    </xf>
    <xf numFmtId="0" fontId="0" fillId="0" borderId="2" xfId="0" applyFill="1" applyBorder="1" applyAlignment="1">
      <alignment horizontal="center"/>
    </xf>
    <xf numFmtId="0" fontId="0" fillId="0" borderId="28" xfId="0" applyFill="1" applyBorder="1" applyAlignment="1">
      <alignment horizontal="left"/>
    </xf>
    <xf numFmtId="14" fontId="0" fillId="0" borderId="28" xfId="0" applyNumberFormat="1" applyFill="1" applyBorder="1" applyAlignment="1">
      <alignment horizontal="center"/>
    </xf>
    <xf numFmtId="38" fontId="0" fillId="0" borderId="28" xfId="1" applyNumberFormat="1" applyFont="1" applyFill="1" applyBorder="1" applyAlignment="1"/>
    <xf numFmtId="41" fontId="0" fillId="0" borderId="41" xfId="1" applyNumberFormat="1" applyFont="1" applyFill="1" applyBorder="1" applyAlignment="1"/>
    <xf numFmtId="14" fontId="0" fillId="0" borderId="47" xfId="0" applyNumberFormat="1" applyFill="1" applyBorder="1" applyAlignment="1">
      <alignment horizontal="center"/>
    </xf>
    <xf numFmtId="41" fontId="0" fillId="0" borderId="14" xfId="1" applyNumberFormat="1" applyFont="1" applyFill="1" applyBorder="1" applyAlignment="1"/>
    <xf numFmtId="0" fontId="0" fillId="0" borderId="16" xfId="0" applyFill="1" applyBorder="1"/>
    <xf numFmtId="41" fontId="0" fillId="0" borderId="29" xfId="1" applyNumberFormat="1" applyFont="1" applyFill="1" applyBorder="1" applyAlignment="1"/>
    <xf numFmtId="0" fontId="0" fillId="0" borderId="24" xfId="0" applyFill="1" applyBorder="1"/>
    <xf numFmtId="0" fontId="0" fillId="0" borderId="34" xfId="0" applyFill="1" applyBorder="1"/>
    <xf numFmtId="0" fontId="0" fillId="0" borderId="72" xfId="0" applyFill="1" applyBorder="1"/>
    <xf numFmtId="0" fontId="0" fillId="0" borderId="73" xfId="0" applyFill="1" applyBorder="1"/>
    <xf numFmtId="0" fontId="61" fillId="0" borderId="16" xfId="0" applyFont="1" applyFill="1" applyBorder="1"/>
    <xf numFmtId="0" fontId="0" fillId="0" borderId="16" xfId="0" applyFont="1" applyFill="1" applyBorder="1"/>
    <xf numFmtId="0" fontId="0" fillId="0" borderId="16" xfId="0" applyFill="1" applyBorder="1" applyAlignment="1">
      <alignment vertical="center"/>
    </xf>
    <xf numFmtId="0" fontId="0" fillId="0" borderId="24" xfId="0" applyFill="1" applyBorder="1" applyAlignment="1">
      <alignment vertical="center"/>
    </xf>
    <xf numFmtId="0" fontId="0" fillId="0" borderId="16" xfId="0" applyFill="1" applyBorder="1" applyAlignment="1"/>
    <xf numFmtId="0" fontId="0" fillId="0" borderId="35" xfId="0" applyFill="1" applyBorder="1" applyAlignment="1"/>
    <xf numFmtId="0" fontId="0" fillId="0" borderId="47" xfId="0" applyFill="1" applyBorder="1" applyAlignment="1">
      <alignment horizontal="left"/>
    </xf>
    <xf numFmtId="0" fontId="0" fillId="0" borderId="48" xfId="0" applyFill="1" applyBorder="1" applyAlignment="1">
      <alignment horizontal="left"/>
    </xf>
    <xf numFmtId="0" fontId="0" fillId="0" borderId="58" xfId="0" applyFill="1" applyBorder="1" applyAlignment="1">
      <alignment horizontal="left"/>
    </xf>
    <xf numFmtId="0" fontId="0" fillId="0" borderId="49" xfId="0" applyFill="1" applyBorder="1" applyAlignment="1">
      <alignment horizontal="left" vertical="center"/>
    </xf>
    <xf numFmtId="0" fontId="0" fillId="0" borderId="48" xfId="0" applyFill="1" applyBorder="1" applyAlignment="1">
      <alignment horizontal="left" vertical="center"/>
    </xf>
    <xf numFmtId="0" fontId="0" fillId="0" borderId="28"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0" fillId="0" borderId="2" xfId="0" applyFill="1" applyBorder="1" applyAlignment="1">
      <alignment horizontal="center" vertical="center"/>
    </xf>
    <xf numFmtId="0" fontId="0" fillId="0" borderId="27" xfId="0" applyFill="1" applyBorder="1" applyAlignment="1">
      <alignment horizontal="center"/>
    </xf>
    <xf numFmtId="14" fontId="0" fillId="0" borderId="29" xfId="0" applyNumberFormat="1" applyFill="1" applyBorder="1" applyAlignment="1">
      <alignment horizontal="center"/>
    </xf>
    <xf numFmtId="41" fontId="0" fillId="0" borderId="43" xfId="1" applyNumberFormat="1" applyFont="1" applyFill="1" applyBorder="1" applyAlignment="1"/>
    <xf numFmtId="41" fontId="0" fillId="0" borderId="74" xfId="1" applyNumberFormat="1" applyFont="1" applyFill="1" applyBorder="1" applyAlignment="1"/>
    <xf numFmtId="41" fontId="0" fillId="0" borderId="29" xfId="1" applyNumberFormat="1" applyFont="1" applyFill="1" applyBorder="1" applyAlignment="1">
      <alignment vertical="center"/>
    </xf>
    <xf numFmtId="41" fontId="0" fillId="0" borderId="52" xfId="1" applyNumberFormat="1" applyFont="1" applyFill="1" applyBorder="1" applyAlignment="1"/>
    <xf numFmtId="38" fontId="0" fillId="0" borderId="47" xfId="1" applyNumberFormat="1" applyFont="1" applyFill="1" applyBorder="1" applyAlignment="1"/>
    <xf numFmtId="38" fontId="33" fillId="0" borderId="48" xfId="1" applyNumberFormat="1" applyFont="1" applyFill="1" applyBorder="1" applyAlignment="1"/>
    <xf numFmtId="38" fontId="33" fillId="0" borderId="49" xfId="1" applyNumberFormat="1" applyFont="1" applyFill="1" applyBorder="1" applyAlignment="1">
      <alignment horizontal="right"/>
    </xf>
    <xf numFmtId="38" fontId="33" fillId="0" borderId="48" xfId="1" applyNumberFormat="1" applyFont="1" applyFill="1" applyBorder="1" applyAlignment="1">
      <alignment horizontal="right"/>
    </xf>
    <xf numFmtId="38" fontId="0" fillId="0" borderId="48" xfId="1" applyNumberFormat="1" applyFont="1" applyFill="1" applyBorder="1" applyAlignment="1"/>
    <xf numFmtId="38" fontId="0" fillId="0" borderId="58" xfId="1" applyNumberFormat="1" applyFont="1" applyFill="1" applyBorder="1" applyAlignment="1"/>
    <xf numFmtId="38" fontId="0" fillId="0" borderId="49" xfId="1" applyNumberFormat="1" applyFont="1" applyFill="1" applyBorder="1" applyAlignment="1">
      <alignment horizontal="right"/>
    </xf>
    <xf numFmtId="38" fontId="0" fillId="0" borderId="48" xfId="1" applyNumberFormat="1" applyFont="1" applyFill="1" applyBorder="1" applyAlignment="1">
      <alignment horizontal="right"/>
    </xf>
    <xf numFmtId="38" fontId="0" fillId="0" borderId="49" xfId="1" applyNumberFormat="1" applyFont="1" applyFill="1" applyBorder="1" applyAlignment="1">
      <alignment horizontal="right" vertical="center"/>
    </xf>
    <xf numFmtId="38" fontId="0" fillId="0" borderId="48" xfId="1" applyNumberFormat="1" applyFont="1" applyFill="1" applyBorder="1" applyAlignment="1">
      <alignment horizontal="right" vertical="center"/>
    </xf>
    <xf numFmtId="41" fontId="0" fillId="0" borderId="3" xfId="1" applyNumberFormat="1" applyFont="1" applyFill="1" applyBorder="1" applyAlignment="1"/>
    <xf numFmtId="41" fontId="0" fillId="0" borderId="0" xfId="1" applyNumberFormat="1" applyFont="1" applyFill="1" applyBorder="1" applyAlignment="1">
      <alignment vertical="center"/>
    </xf>
    <xf numFmtId="41" fontId="0" fillId="0" borderId="2" xfId="1" applyNumberFormat="1" applyFont="1" applyFill="1" applyBorder="1" applyAlignment="1">
      <alignment vertical="center"/>
    </xf>
    <xf numFmtId="38" fontId="0" fillId="0" borderId="49" xfId="1" applyNumberFormat="1" applyFont="1" applyFill="1" applyBorder="1" applyAlignment="1">
      <alignment vertical="center"/>
    </xf>
    <xf numFmtId="38" fontId="0" fillId="0" borderId="48" xfId="1" applyNumberFormat="1" applyFont="1" applyFill="1" applyBorder="1" applyAlignment="1">
      <alignment vertic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1" fontId="5" fillId="0" borderId="0"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41" fontId="0" fillId="0" borderId="41" xfId="1" applyNumberFormat="1" applyFont="1" applyFill="1" applyBorder="1" applyAlignment="1">
      <alignment horizontal="center"/>
    </xf>
    <xf numFmtId="41" fontId="0" fillId="0" borderId="71" xfId="1" applyNumberFormat="1" applyFont="1" applyFill="1" applyBorder="1" applyAlignment="1">
      <alignment horizontal="center"/>
    </xf>
    <xf numFmtId="41" fontId="0" fillId="0" borderId="43" xfId="1" applyNumberFormat="1" applyFont="1" applyFill="1" applyBorder="1" applyAlignment="1">
      <alignment horizontal="center"/>
    </xf>
    <xf numFmtId="43" fontId="0" fillId="0" borderId="29" xfId="1" applyNumberFormat="1" applyFont="1" applyFill="1" applyBorder="1" applyAlignment="1"/>
    <xf numFmtId="0" fontId="37" fillId="0" borderId="0" xfId="0" applyFont="1" applyFill="1" applyAlignment="1">
      <alignment horizontal="left" vertical="top" wrapText="1"/>
    </xf>
    <xf numFmtId="41" fontId="16" fillId="0" borderId="30" xfId="0" applyNumberFormat="1" applyFont="1" applyBorder="1" applyAlignment="1">
      <alignment horizontal="center" vertical="center"/>
    </xf>
    <xf numFmtId="3" fontId="53" fillId="0" borderId="11" xfId="1" applyNumberFormat="1" applyFont="1" applyFill="1" applyBorder="1" applyAlignment="1">
      <alignment horizontal="center" vertical="center" wrapText="1"/>
    </xf>
    <xf numFmtId="3" fontId="52" fillId="0" borderId="0" xfId="0" applyNumberFormat="1" applyFont="1" applyFill="1" applyAlignment="1">
      <alignment horizontal="left" vertical="top" wrapText="1"/>
    </xf>
    <xf numFmtId="5" fontId="0" fillId="0" borderId="10" xfId="0" applyNumberFormat="1" applyFont="1" applyFill="1" applyBorder="1" applyAlignment="1">
      <alignment horizontal="right" vertical="top" wrapText="1"/>
    </xf>
    <xf numFmtId="5" fontId="61" fillId="0" borderId="11" xfId="0" applyNumberFormat="1" applyFont="1" applyFill="1" applyBorder="1" applyAlignment="1">
      <alignment horizontal="right" vertical="center" wrapText="1"/>
    </xf>
    <xf numFmtId="173" fontId="0" fillId="0" borderId="0" xfId="0" applyNumberFormat="1" applyFont="1" applyFill="1" applyBorder="1"/>
    <xf numFmtId="41" fontId="16" fillId="0" borderId="30" xfId="0" applyNumberFormat="1" applyFont="1" applyBorder="1" applyAlignment="1">
      <alignment horizontal="center" vertical="center"/>
    </xf>
    <xf numFmtId="42" fontId="18" fillId="2" borderId="0" xfId="0" applyNumberFormat="1" applyFont="1" applyFill="1" applyBorder="1" applyAlignment="1">
      <alignment vertical="center"/>
    </xf>
    <xf numFmtId="0" fontId="75" fillId="0" borderId="0" xfId="0" applyFont="1" applyBorder="1" applyAlignment="1">
      <alignment horizontal="center" vertical="center"/>
    </xf>
    <xf numFmtId="37" fontId="18" fillId="0" borderId="0" xfId="0" applyNumberFormat="1" applyFont="1" applyFill="1" applyBorder="1" applyAlignment="1">
      <alignment vertical="center"/>
    </xf>
    <xf numFmtId="0" fontId="27" fillId="0" borderId="0" xfId="0" applyFont="1" applyBorder="1" applyAlignment="1"/>
    <xf numFmtId="42" fontId="18" fillId="2" borderId="27" xfId="0" applyNumberFormat="1" applyFont="1" applyFill="1" applyBorder="1" applyAlignment="1">
      <alignment vertical="center"/>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59"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49" fontId="14" fillId="0" borderId="0" xfId="0" applyNumberFormat="1" applyFont="1" applyBorder="1" applyAlignment="1">
      <alignment horizontal="center" vertical="center"/>
    </xf>
    <xf numFmtId="0" fontId="53" fillId="0" borderId="5"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37" fillId="0" borderId="0" xfId="0" applyFont="1" applyFill="1" applyAlignment="1">
      <alignment horizontal="left" vertical="top"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37" fillId="0" borderId="0" xfId="0" applyFont="1" applyFill="1" applyAlignment="1">
      <alignment horizontal="left" vertical="center" wrapText="1"/>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0" xfId="0" applyFont="1" applyFill="1" applyAlignment="1">
      <alignment horizontal="left"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8" fillId="0" borderId="0" xfId="0" applyFont="1" applyFill="1" applyAlignment="1">
      <alignment horizontal="center" vertical="center" wrapText="1"/>
    </xf>
    <xf numFmtId="0" fontId="0" fillId="0" borderId="0" xfId="0" applyFill="1" applyAlignment="1">
      <alignment horizontal="center"/>
    </xf>
    <xf numFmtId="0" fontId="53"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8" fillId="0" borderId="0" xfId="0" applyFont="1" applyFill="1" applyAlignment="1">
      <alignment horizontal="left" vertical="top" wrapText="1"/>
    </xf>
    <xf numFmtId="0" fontId="37" fillId="0" borderId="2" xfId="0" applyFont="1" applyFill="1" applyBorder="1" applyAlignment="1">
      <alignment horizontal="left" vertical="top" wrapText="1"/>
    </xf>
    <xf numFmtId="0" fontId="38" fillId="0" borderId="0" xfId="0" applyFont="1" applyFill="1" applyAlignment="1">
      <alignment horizontal="center" vertical="top" wrapText="1"/>
    </xf>
    <xf numFmtId="17" fontId="0" fillId="0" borderId="2" xfId="0" applyNumberFormat="1" applyFont="1" applyFill="1" applyBorder="1" applyAlignment="1">
      <alignment horizontal="left" vertical="center"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44" fillId="0" borderId="0" xfId="0" applyFont="1" applyFill="1" applyAlignment="1">
      <alignment horizontal="center" vertical="center"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3" fillId="0" borderId="11" xfId="0" applyFont="1" applyFill="1" applyBorder="1" applyAlignment="1">
      <alignment horizontal="left" vertical="top"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49" fontId="18" fillId="0" borderId="0" xfId="0" applyNumberFormat="1" applyFont="1" applyAlignment="1">
      <alignment horizontal="left"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Data!$A$1570:$A$1969</c:f>
              <c:numCache>
                <c:formatCode>[$-F800]dddd\,\ mmmm\ dd\,\ yyyy</c:formatCode>
                <c:ptCount val="40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44835</c:v>
                </c:pt>
                <c:pt idx="196">
                  <c:v>44836</c:v>
                </c:pt>
                <c:pt idx="197">
                  <c:v>44837</c:v>
                </c:pt>
                <c:pt idx="198">
                  <c:v>44838</c:v>
                </c:pt>
                <c:pt idx="199">
                  <c:v>44839</c:v>
                </c:pt>
                <c:pt idx="200">
                  <c:v>44840</c:v>
                </c:pt>
                <c:pt idx="201">
                  <c:v>44841</c:v>
                </c:pt>
                <c:pt idx="202">
                  <c:v>44844</c:v>
                </c:pt>
                <c:pt idx="203">
                  <c:v>44845</c:v>
                </c:pt>
                <c:pt idx="204">
                  <c:v>44846</c:v>
                </c:pt>
                <c:pt idx="205">
                  <c:v>44847</c:v>
                </c:pt>
                <c:pt idx="206">
                  <c:v>44848</c:v>
                </c:pt>
                <c:pt idx="207">
                  <c:v>44849</c:v>
                </c:pt>
                <c:pt idx="208">
                  <c:v>44850</c:v>
                </c:pt>
                <c:pt idx="209">
                  <c:v>44851</c:v>
                </c:pt>
                <c:pt idx="210">
                  <c:v>44852</c:v>
                </c:pt>
                <c:pt idx="211">
                  <c:v>44853</c:v>
                </c:pt>
                <c:pt idx="212">
                  <c:v>44854</c:v>
                </c:pt>
                <c:pt idx="213">
                  <c:v>44855</c:v>
                </c:pt>
                <c:pt idx="214">
                  <c:v>44856</c:v>
                </c:pt>
                <c:pt idx="215">
                  <c:v>44857</c:v>
                </c:pt>
                <c:pt idx="216">
                  <c:v>44858</c:v>
                </c:pt>
                <c:pt idx="217">
                  <c:v>44859</c:v>
                </c:pt>
                <c:pt idx="218">
                  <c:v>44860</c:v>
                </c:pt>
                <c:pt idx="219">
                  <c:v>44861</c:v>
                </c:pt>
                <c:pt idx="220">
                  <c:v>44862</c:v>
                </c:pt>
                <c:pt idx="221">
                  <c:v>44863</c:v>
                </c:pt>
                <c:pt idx="222">
                  <c:v>44864</c:v>
                </c:pt>
                <c:pt idx="223">
                  <c:v>44865</c:v>
                </c:pt>
                <c:pt idx="224">
                  <c:v>44866</c:v>
                </c:pt>
                <c:pt idx="225">
                  <c:v>44867</c:v>
                </c:pt>
                <c:pt idx="226">
                  <c:v>44868</c:v>
                </c:pt>
                <c:pt idx="227">
                  <c:v>44869</c:v>
                </c:pt>
                <c:pt idx="228">
                  <c:v>44870</c:v>
                </c:pt>
                <c:pt idx="229">
                  <c:v>44871</c:v>
                </c:pt>
                <c:pt idx="230">
                  <c:v>44872</c:v>
                </c:pt>
                <c:pt idx="231">
                  <c:v>44873</c:v>
                </c:pt>
                <c:pt idx="232">
                  <c:v>44874</c:v>
                </c:pt>
                <c:pt idx="233">
                  <c:v>44875</c:v>
                </c:pt>
                <c:pt idx="234">
                  <c:v>44876</c:v>
                </c:pt>
                <c:pt idx="235">
                  <c:v>44879</c:v>
                </c:pt>
                <c:pt idx="236">
                  <c:v>44880</c:v>
                </c:pt>
                <c:pt idx="237">
                  <c:v>44881</c:v>
                </c:pt>
                <c:pt idx="238">
                  <c:v>44882</c:v>
                </c:pt>
                <c:pt idx="239">
                  <c:v>44883</c:v>
                </c:pt>
                <c:pt idx="240">
                  <c:v>44886</c:v>
                </c:pt>
                <c:pt idx="241">
                  <c:v>44887</c:v>
                </c:pt>
                <c:pt idx="242">
                  <c:v>44888</c:v>
                </c:pt>
                <c:pt idx="243">
                  <c:v>44889</c:v>
                </c:pt>
                <c:pt idx="244">
                  <c:v>44890</c:v>
                </c:pt>
                <c:pt idx="245">
                  <c:v>44893</c:v>
                </c:pt>
                <c:pt idx="246">
                  <c:v>44894</c:v>
                </c:pt>
                <c:pt idx="247">
                  <c:v>44895</c:v>
                </c:pt>
                <c:pt idx="248">
                  <c:v>44896</c:v>
                </c:pt>
                <c:pt idx="249">
                  <c:v>44897</c:v>
                </c:pt>
                <c:pt idx="250">
                  <c:v>44900</c:v>
                </c:pt>
                <c:pt idx="251">
                  <c:v>44901</c:v>
                </c:pt>
                <c:pt idx="252">
                  <c:v>44902</c:v>
                </c:pt>
                <c:pt idx="253">
                  <c:v>44903</c:v>
                </c:pt>
                <c:pt idx="254">
                  <c:v>44904</c:v>
                </c:pt>
                <c:pt idx="255">
                  <c:v>44907</c:v>
                </c:pt>
                <c:pt idx="256">
                  <c:v>44908</c:v>
                </c:pt>
                <c:pt idx="257">
                  <c:v>44909</c:v>
                </c:pt>
                <c:pt idx="258">
                  <c:v>44910</c:v>
                </c:pt>
                <c:pt idx="259">
                  <c:v>44911</c:v>
                </c:pt>
                <c:pt idx="260">
                  <c:v>44914</c:v>
                </c:pt>
                <c:pt idx="261">
                  <c:v>44915</c:v>
                </c:pt>
                <c:pt idx="262">
                  <c:v>44916</c:v>
                </c:pt>
                <c:pt idx="263">
                  <c:v>44917</c:v>
                </c:pt>
                <c:pt idx="264">
                  <c:v>44918</c:v>
                </c:pt>
                <c:pt idx="265">
                  <c:v>44921</c:v>
                </c:pt>
                <c:pt idx="266">
                  <c:v>44922</c:v>
                </c:pt>
                <c:pt idx="267">
                  <c:v>44923</c:v>
                </c:pt>
                <c:pt idx="268">
                  <c:v>44924</c:v>
                </c:pt>
                <c:pt idx="269">
                  <c:v>44925</c:v>
                </c:pt>
                <c:pt idx="270">
                  <c:v>44928</c:v>
                </c:pt>
                <c:pt idx="271">
                  <c:v>44929</c:v>
                </c:pt>
                <c:pt idx="272">
                  <c:v>44930</c:v>
                </c:pt>
                <c:pt idx="273">
                  <c:v>44931</c:v>
                </c:pt>
                <c:pt idx="274">
                  <c:v>44932</c:v>
                </c:pt>
                <c:pt idx="275">
                  <c:v>44935</c:v>
                </c:pt>
                <c:pt idx="276">
                  <c:v>44936</c:v>
                </c:pt>
                <c:pt idx="277">
                  <c:v>44937</c:v>
                </c:pt>
                <c:pt idx="278">
                  <c:v>44938</c:v>
                </c:pt>
                <c:pt idx="279">
                  <c:v>44939</c:v>
                </c:pt>
                <c:pt idx="280">
                  <c:v>44942</c:v>
                </c:pt>
                <c:pt idx="281">
                  <c:v>44943</c:v>
                </c:pt>
                <c:pt idx="282">
                  <c:v>44944</c:v>
                </c:pt>
                <c:pt idx="283">
                  <c:v>44945</c:v>
                </c:pt>
                <c:pt idx="284">
                  <c:v>44946</c:v>
                </c:pt>
                <c:pt idx="285">
                  <c:v>44949</c:v>
                </c:pt>
                <c:pt idx="286">
                  <c:v>44950</c:v>
                </c:pt>
                <c:pt idx="287">
                  <c:v>44951</c:v>
                </c:pt>
                <c:pt idx="288">
                  <c:v>44952</c:v>
                </c:pt>
                <c:pt idx="289">
                  <c:v>44953</c:v>
                </c:pt>
                <c:pt idx="290">
                  <c:v>44956</c:v>
                </c:pt>
                <c:pt idx="291">
                  <c:v>44957</c:v>
                </c:pt>
                <c:pt idx="292">
                  <c:v>44958</c:v>
                </c:pt>
                <c:pt idx="293">
                  <c:v>44959</c:v>
                </c:pt>
                <c:pt idx="294">
                  <c:v>44960</c:v>
                </c:pt>
                <c:pt idx="295">
                  <c:v>44963</c:v>
                </c:pt>
                <c:pt idx="296">
                  <c:v>44964</c:v>
                </c:pt>
                <c:pt idx="297">
                  <c:v>44965</c:v>
                </c:pt>
                <c:pt idx="298">
                  <c:v>44966</c:v>
                </c:pt>
                <c:pt idx="299">
                  <c:v>44967</c:v>
                </c:pt>
                <c:pt idx="300">
                  <c:v>44970</c:v>
                </c:pt>
                <c:pt idx="301">
                  <c:v>44971</c:v>
                </c:pt>
                <c:pt idx="302">
                  <c:v>44972</c:v>
                </c:pt>
                <c:pt idx="303">
                  <c:v>44973</c:v>
                </c:pt>
                <c:pt idx="304">
                  <c:v>44974</c:v>
                </c:pt>
                <c:pt idx="305">
                  <c:v>44977</c:v>
                </c:pt>
                <c:pt idx="306">
                  <c:v>44978</c:v>
                </c:pt>
                <c:pt idx="307">
                  <c:v>44979</c:v>
                </c:pt>
                <c:pt idx="308">
                  <c:v>44980</c:v>
                </c:pt>
                <c:pt idx="309">
                  <c:v>44981</c:v>
                </c:pt>
                <c:pt idx="310">
                  <c:v>44984</c:v>
                </c:pt>
                <c:pt idx="311">
                  <c:v>44985</c:v>
                </c:pt>
                <c:pt idx="312">
                  <c:v>44986</c:v>
                </c:pt>
                <c:pt idx="313">
                  <c:v>44987</c:v>
                </c:pt>
                <c:pt idx="314">
                  <c:v>44988</c:v>
                </c:pt>
                <c:pt idx="315">
                  <c:v>44991</c:v>
                </c:pt>
                <c:pt idx="316">
                  <c:v>44992</c:v>
                </c:pt>
                <c:pt idx="317">
                  <c:v>44993</c:v>
                </c:pt>
                <c:pt idx="318">
                  <c:v>44994</c:v>
                </c:pt>
                <c:pt idx="319">
                  <c:v>44995</c:v>
                </c:pt>
                <c:pt idx="320">
                  <c:v>44998</c:v>
                </c:pt>
                <c:pt idx="321">
                  <c:v>44999</c:v>
                </c:pt>
                <c:pt idx="322">
                  <c:v>45000</c:v>
                </c:pt>
                <c:pt idx="323">
                  <c:v>45001</c:v>
                </c:pt>
                <c:pt idx="324">
                  <c:v>45002</c:v>
                </c:pt>
                <c:pt idx="325">
                  <c:v>45005</c:v>
                </c:pt>
                <c:pt idx="326">
                  <c:v>45006</c:v>
                </c:pt>
                <c:pt idx="327">
                  <c:v>45007</c:v>
                </c:pt>
                <c:pt idx="328">
                  <c:v>45008</c:v>
                </c:pt>
                <c:pt idx="329">
                  <c:v>45009</c:v>
                </c:pt>
                <c:pt idx="330">
                  <c:v>45012</c:v>
                </c:pt>
                <c:pt idx="331">
                  <c:v>45013</c:v>
                </c:pt>
                <c:pt idx="332">
                  <c:v>45014</c:v>
                </c:pt>
                <c:pt idx="333">
                  <c:v>45015</c:v>
                </c:pt>
                <c:pt idx="334">
                  <c:v>45016</c:v>
                </c:pt>
                <c:pt idx="335">
                  <c:v>45019</c:v>
                </c:pt>
                <c:pt idx="336">
                  <c:v>45020</c:v>
                </c:pt>
                <c:pt idx="337">
                  <c:v>45021</c:v>
                </c:pt>
                <c:pt idx="338">
                  <c:v>45022</c:v>
                </c:pt>
                <c:pt idx="339">
                  <c:v>45023</c:v>
                </c:pt>
                <c:pt idx="340">
                  <c:v>45026</c:v>
                </c:pt>
                <c:pt idx="341">
                  <c:v>45027</c:v>
                </c:pt>
                <c:pt idx="342">
                  <c:v>45028</c:v>
                </c:pt>
                <c:pt idx="343">
                  <c:v>45029</c:v>
                </c:pt>
                <c:pt idx="344">
                  <c:v>45030</c:v>
                </c:pt>
                <c:pt idx="345">
                  <c:v>45033</c:v>
                </c:pt>
                <c:pt idx="346">
                  <c:v>45034</c:v>
                </c:pt>
                <c:pt idx="347">
                  <c:v>45035</c:v>
                </c:pt>
                <c:pt idx="348">
                  <c:v>45036</c:v>
                </c:pt>
                <c:pt idx="349">
                  <c:v>45037</c:v>
                </c:pt>
                <c:pt idx="350">
                  <c:v>45040</c:v>
                </c:pt>
                <c:pt idx="351">
                  <c:v>45041</c:v>
                </c:pt>
                <c:pt idx="352">
                  <c:v>45042</c:v>
                </c:pt>
                <c:pt idx="353">
                  <c:v>45043</c:v>
                </c:pt>
                <c:pt idx="354">
                  <c:v>45044</c:v>
                </c:pt>
                <c:pt idx="355">
                  <c:v>45047</c:v>
                </c:pt>
                <c:pt idx="356">
                  <c:v>45048</c:v>
                </c:pt>
                <c:pt idx="357">
                  <c:v>45049</c:v>
                </c:pt>
                <c:pt idx="358">
                  <c:v>45050</c:v>
                </c:pt>
                <c:pt idx="359">
                  <c:v>45051</c:v>
                </c:pt>
                <c:pt idx="360">
                  <c:v>45054</c:v>
                </c:pt>
                <c:pt idx="361">
                  <c:v>45055</c:v>
                </c:pt>
                <c:pt idx="362">
                  <c:v>45056</c:v>
                </c:pt>
                <c:pt idx="363">
                  <c:v>45057</c:v>
                </c:pt>
                <c:pt idx="364">
                  <c:v>45058</c:v>
                </c:pt>
                <c:pt idx="365">
                  <c:v>45061</c:v>
                </c:pt>
                <c:pt idx="366">
                  <c:v>45062</c:v>
                </c:pt>
                <c:pt idx="367">
                  <c:v>45063</c:v>
                </c:pt>
                <c:pt idx="368">
                  <c:v>45064</c:v>
                </c:pt>
                <c:pt idx="369">
                  <c:v>45065</c:v>
                </c:pt>
                <c:pt idx="370">
                  <c:v>45068</c:v>
                </c:pt>
                <c:pt idx="371">
                  <c:v>45069</c:v>
                </c:pt>
                <c:pt idx="372">
                  <c:v>45070</c:v>
                </c:pt>
                <c:pt idx="373">
                  <c:v>45071</c:v>
                </c:pt>
                <c:pt idx="374">
                  <c:v>45072</c:v>
                </c:pt>
                <c:pt idx="375">
                  <c:v>45075</c:v>
                </c:pt>
                <c:pt idx="376">
                  <c:v>45076</c:v>
                </c:pt>
                <c:pt idx="377">
                  <c:v>45077</c:v>
                </c:pt>
                <c:pt idx="378">
                  <c:v>45078</c:v>
                </c:pt>
                <c:pt idx="379">
                  <c:v>45079</c:v>
                </c:pt>
                <c:pt idx="380">
                  <c:v>45082</c:v>
                </c:pt>
                <c:pt idx="381">
                  <c:v>45083</c:v>
                </c:pt>
                <c:pt idx="382">
                  <c:v>45084</c:v>
                </c:pt>
                <c:pt idx="383">
                  <c:v>45085</c:v>
                </c:pt>
                <c:pt idx="384">
                  <c:v>45086</c:v>
                </c:pt>
                <c:pt idx="385">
                  <c:v>45089</c:v>
                </c:pt>
                <c:pt idx="386">
                  <c:v>45090</c:v>
                </c:pt>
                <c:pt idx="387">
                  <c:v>45091</c:v>
                </c:pt>
                <c:pt idx="388">
                  <c:v>45092</c:v>
                </c:pt>
                <c:pt idx="389">
                  <c:v>45093</c:v>
                </c:pt>
                <c:pt idx="390">
                  <c:v>45096</c:v>
                </c:pt>
                <c:pt idx="391">
                  <c:v>45097</c:v>
                </c:pt>
                <c:pt idx="392">
                  <c:v>45098</c:v>
                </c:pt>
                <c:pt idx="393">
                  <c:v>45099</c:v>
                </c:pt>
                <c:pt idx="394">
                  <c:v>45100</c:v>
                </c:pt>
                <c:pt idx="395">
                  <c:v>45103</c:v>
                </c:pt>
                <c:pt idx="396">
                  <c:v>45104</c:v>
                </c:pt>
                <c:pt idx="397">
                  <c:v>45105</c:v>
                </c:pt>
                <c:pt idx="398">
                  <c:v>45106</c:v>
                </c:pt>
                <c:pt idx="399">
                  <c:v>45107</c:v>
                </c:pt>
              </c:numCache>
            </c:numRef>
          </c:cat>
          <c:val>
            <c:numRef>
              <c:f>Data!$B$1570:$B$1969</c:f>
              <c:numCache>
                <c:formatCode>#,##0_);[Red]\(#,##0\)</c:formatCode>
                <c:ptCount val="400"/>
                <c:pt idx="0">
                  <c:v>406650.45</c:v>
                </c:pt>
                <c:pt idx="1">
                  <c:v>372842.39</c:v>
                </c:pt>
                <c:pt idx="2">
                  <c:v>370078.36</c:v>
                </c:pt>
                <c:pt idx="3">
                  <c:v>368257.32</c:v>
                </c:pt>
                <c:pt idx="4">
                  <c:v>369146.3</c:v>
                </c:pt>
                <c:pt idx="5">
                  <c:v>369146.3</c:v>
                </c:pt>
                <c:pt idx="6">
                  <c:v>369146.3</c:v>
                </c:pt>
                <c:pt idx="7">
                  <c:v>369146.3</c:v>
                </c:pt>
                <c:pt idx="8">
                  <c:v>369318.3</c:v>
                </c:pt>
                <c:pt idx="9">
                  <c:v>369357.16</c:v>
                </c:pt>
                <c:pt idx="10">
                  <c:v>369357.16</c:v>
                </c:pt>
                <c:pt idx="11">
                  <c:v>328912.42</c:v>
                </c:pt>
                <c:pt idx="12">
                  <c:v>324854.01</c:v>
                </c:pt>
                <c:pt idx="13">
                  <c:v>373026.22</c:v>
                </c:pt>
                <c:pt idx="14">
                  <c:v>372715.39</c:v>
                </c:pt>
                <c:pt idx="15">
                  <c:v>352413.78</c:v>
                </c:pt>
                <c:pt idx="16">
                  <c:v>324543.71999999997</c:v>
                </c:pt>
                <c:pt idx="17">
                  <c:v>324510.76</c:v>
                </c:pt>
                <c:pt idx="18">
                  <c:v>290902.11</c:v>
                </c:pt>
                <c:pt idx="19">
                  <c:v>290902.11</c:v>
                </c:pt>
                <c:pt idx="20">
                  <c:v>309578.59999999998</c:v>
                </c:pt>
                <c:pt idx="21">
                  <c:v>292963.95</c:v>
                </c:pt>
                <c:pt idx="22">
                  <c:v>345714.5</c:v>
                </c:pt>
                <c:pt idx="23">
                  <c:v>344030.58</c:v>
                </c:pt>
                <c:pt idx="24">
                  <c:v>387503.42</c:v>
                </c:pt>
                <c:pt idx="25">
                  <c:v>387503.42</c:v>
                </c:pt>
                <c:pt idx="26">
                  <c:v>387503.42</c:v>
                </c:pt>
                <c:pt idx="27">
                  <c:v>387503.42</c:v>
                </c:pt>
                <c:pt idx="28">
                  <c:v>411517.59</c:v>
                </c:pt>
                <c:pt idx="29">
                  <c:v>388476.71</c:v>
                </c:pt>
                <c:pt idx="30">
                  <c:v>388476.71</c:v>
                </c:pt>
                <c:pt idx="31">
                  <c:v>350398.25</c:v>
                </c:pt>
                <c:pt idx="32">
                  <c:v>350398.25</c:v>
                </c:pt>
                <c:pt idx="33">
                  <c:v>329726.17</c:v>
                </c:pt>
                <c:pt idx="34">
                  <c:v>329566.19</c:v>
                </c:pt>
                <c:pt idx="35">
                  <c:v>329566.19</c:v>
                </c:pt>
                <c:pt idx="36">
                  <c:v>329566.19</c:v>
                </c:pt>
                <c:pt idx="37">
                  <c:v>330827.17</c:v>
                </c:pt>
                <c:pt idx="38">
                  <c:v>331382.17</c:v>
                </c:pt>
                <c:pt idx="39">
                  <c:v>331382.17</c:v>
                </c:pt>
                <c:pt idx="40">
                  <c:v>331382.17</c:v>
                </c:pt>
                <c:pt idx="41">
                  <c:v>293888.99</c:v>
                </c:pt>
                <c:pt idx="42">
                  <c:v>321342.32</c:v>
                </c:pt>
                <c:pt idx="43">
                  <c:v>328875.55</c:v>
                </c:pt>
                <c:pt idx="44">
                  <c:v>311978.17</c:v>
                </c:pt>
                <c:pt idx="45">
                  <c:v>311978.17</c:v>
                </c:pt>
                <c:pt idx="46">
                  <c:v>323791.65000000002</c:v>
                </c:pt>
                <c:pt idx="47">
                  <c:v>323791.65000000002</c:v>
                </c:pt>
                <c:pt idx="48">
                  <c:v>304395.95</c:v>
                </c:pt>
                <c:pt idx="49">
                  <c:v>304395.95</c:v>
                </c:pt>
                <c:pt idx="50">
                  <c:v>304395.95</c:v>
                </c:pt>
                <c:pt idx="51">
                  <c:v>354177.58</c:v>
                </c:pt>
                <c:pt idx="52">
                  <c:v>354177.58</c:v>
                </c:pt>
                <c:pt idx="53">
                  <c:v>272443</c:v>
                </c:pt>
                <c:pt idx="54">
                  <c:v>271968.02</c:v>
                </c:pt>
                <c:pt idx="55">
                  <c:v>287143.02</c:v>
                </c:pt>
                <c:pt idx="56">
                  <c:v>287143.02</c:v>
                </c:pt>
                <c:pt idx="57">
                  <c:v>171561.3</c:v>
                </c:pt>
                <c:pt idx="58">
                  <c:v>171561.3</c:v>
                </c:pt>
                <c:pt idx="59">
                  <c:v>194069.16</c:v>
                </c:pt>
                <c:pt idx="60">
                  <c:v>184965.34</c:v>
                </c:pt>
                <c:pt idx="61">
                  <c:v>140741.59</c:v>
                </c:pt>
                <c:pt idx="62">
                  <c:v>140708.63</c:v>
                </c:pt>
                <c:pt idx="63">
                  <c:v>281239.25</c:v>
                </c:pt>
                <c:pt idx="64">
                  <c:v>283716.02</c:v>
                </c:pt>
                <c:pt idx="65">
                  <c:v>283716.02</c:v>
                </c:pt>
                <c:pt idx="66">
                  <c:v>300477.89</c:v>
                </c:pt>
                <c:pt idx="67">
                  <c:v>300477.89</c:v>
                </c:pt>
                <c:pt idx="68">
                  <c:v>301029.09000000003</c:v>
                </c:pt>
                <c:pt idx="69">
                  <c:v>296794.44</c:v>
                </c:pt>
                <c:pt idx="70">
                  <c:v>296989.44</c:v>
                </c:pt>
                <c:pt idx="71">
                  <c:v>274755.46000000002</c:v>
                </c:pt>
                <c:pt idx="72">
                  <c:v>274755.46000000002</c:v>
                </c:pt>
                <c:pt idx="73">
                  <c:v>273817.88</c:v>
                </c:pt>
                <c:pt idx="74">
                  <c:v>273375.03999999998</c:v>
                </c:pt>
                <c:pt idx="75">
                  <c:v>306978.36</c:v>
                </c:pt>
                <c:pt idx="76">
                  <c:v>306978.36</c:v>
                </c:pt>
                <c:pt idx="77">
                  <c:v>266613.8</c:v>
                </c:pt>
                <c:pt idx="78">
                  <c:v>271958.33</c:v>
                </c:pt>
                <c:pt idx="79">
                  <c:v>271799.48</c:v>
                </c:pt>
                <c:pt idx="80">
                  <c:v>271799.48</c:v>
                </c:pt>
                <c:pt idx="81">
                  <c:v>231449.55</c:v>
                </c:pt>
                <c:pt idx="82">
                  <c:v>255926.54</c:v>
                </c:pt>
                <c:pt idx="83">
                  <c:v>256457.54</c:v>
                </c:pt>
                <c:pt idx="84">
                  <c:v>255982.56</c:v>
                </c:pt>
                <c:pt idx="85">
                  <c:v>255982.56</c:v>
                </c:pt>
                <c:pt idx="86">
                  <c:v>255982.56</c:v>
                </c:pt>
                <c:pt idx="87">
                  <c:v>237408.49</c:v>
                </c:pt>
                <c:pt idx="88">
                  <c:v>237595.16</c:v>
                </c:pt>
                <c:pt idx="89">
                  <c:v>237595.16</c:v>
                </c:pt>
                <c:pt idx="90">
                  <c:v>237595.16</c:v>
                </c:pt>
                <c:pt idx="91">
                  <c:v>198176.08</c:v>
                </c:pt>
                <c:pt idx="92">
                  <c:v>206509.41</c:v>
                </c:pt>
                <c:pt idx="93">
                  <c:v>196309.39</c:v>
                </c:pt>
                <c:pt idx="94">
                  <c:v>217592.12</c:v>
                </c:pt>
                <c:pt idx="95">
                  <c:v>217592.12</c:v>
                </c:pt>
                <c:pt idx="96">
                  <c:v>217592.12</c:v>
                </c:pt>
                <c:pt idx="97">
                  <c:v>217592.12</c:v>
                </c:pt>
                <c:pt idx="98">
                  <c:v>221731.08</c:v>
                </c:pt>
                <c:pt idx="99">
                  <c:v>217798.74</c:v>
                </c:pt>
                <c:pt idx="100">
                  <c:v>176485.8</c:v>
                </c:pt>
                <c:pt idx="101">
                  <c:v>176485.8</c:v>
                </c:pt>
                <c:pt idx="102">
                  <c:v>176485.8</c:v>
                </c:pt>
                <c:pt idx="103">
                  <c:v>317719.40999999997</c:v>
                </c:pt>
                <c:pt idx="104">
                  <c:v>317244.43</c:v>
                </c:pt>
                <c:pt idx="105">
                  <c:v>317244.43</c:v>
                </c:pt>
                <c:pt idx="106">
                  <c:v>317244.43</c:v>
                </c:pt>
                <c:pt idx="107">
                  <c:v>317244.43</c:v>
                </c:pt>
                <c:pt idx="108">
                  <c:v>317244.43</c:v>
                </c:pt>
                <c:pt idx="109">
                  <c:v>311632.77</c:v>
                </c:pt>
                <c:pt idx="110">
                  <c:v>311632.77</c:v>
                </c:pt>
                <c:pt idx="111">
                  <c:v>272576.3</c:v>
                </c:pt>
                <c:pt idx="112">
                  <c:v>272576.3</c:v>
                </c:pt>
                <c:pt idx="113">
                  <c:v>262789.33</c:v>
                </c:pt>
                <c:pt idx="114">
                  <c:v>262314.34999999998</c:v>
                </c:pt>
                <c:pt idx="115">
                  <c:v>262577.34999999998</c:v>
                </c:pt>
                <c:pt idx="116">
                  <c:v>262577.34999999998</c:v>
                </c:pt>
                <c:pt idx="117">
                  <c:v>359115.13</c:v>
                </c:pt>
                <c:pt idx="118">
                  <c:v>359115.13</c:v>
                </c:pt>
                <c:pt idx="119">
                  <c:v>359115.13</c:v>
                </c:pt>
                <c:pt idx="120">
                  <c:v>317912.34000000003</c:v>
                </c:pt>
                <c:pt idx="121">
                  <c:v>318373.34000000003</c:v>
                </c:pt>
                <c:pt idx="122">
                  <c:v>319350.08</c:v>
                </c:pt>
                <c:pt idx="123">
                  <c:v>329131.38</c:v>
                </c:pt>
                <c:pt idx="124">
                  <c:v>329131.38</c:v>
                </c:pt>
                <c:pt idx="125">
                  <c:v>329131.38</c:v>
                </c:pt>
                <c:pt idx="126">
                  <c:v>329131.38</c:v>
                </c:pt>
                <c:pt idx="127">
                  <c:v>358518.98</c:v>
                </c:pt>
                <c:pt idx="128">
                  <c:v>388026.98</c:v>
                </c:pt>
                <c:pt idx="129">
                  <c:v>388026.98</c:v>
                </c:pt>
                <c:pt idx="130">
                  <c:v>388026.98</c:v>
                </c:pt>
                <c:pt idx="131">
                  <c:v>347383.35</c:v>
                </c:pt>
                <c:pt idx="132">
                  <c:v>347507.35</c:v>
                </c:pt>
                <c:pt idx="133">
                  <c:v>347648.35</c:v>
                </c:pt>
                <c:pt idx="134">
                  <c:v>347173.37</c:v>
                </c:pt>
                <c:pt idx="135">
                  <c:v>347173.37</c:v>
                </c:pt>
                <c:pt idx="136">
                  <c:v>347422.37</c:v>
                </c:pt>
                <c:pt idx="137">
                  <c:v>347422.37</c:v>
                </c:pt>
                <c:pt idx="138">
                  <c:v>353674.1</c:v>
                </c:pt>
                <c:pt idx="139">
                  <c:v>355815.56</c:v>
                </c:pt>
                <c:pt idx="140">
                  <c:v>319836.78000000003</c:v>
                </c:pt>
                <c:pt idx="141">
                  <c:v>296807.06</c:v>
                </c:pt>
                <c:pt idx="142">
                  <c:v>296807.06</c:v>
                </c:pt>
                <c:pt idx="143">
                  <c:v>291257.96000000002</c:v>
                </c:pt>
                <c:pt idx="144">
                  <c:v>290782.98</c:v>
                </c:pt>
                <c:pt idx="145">
                  <c:v>290782.98</c:v>
                </c:pt>
                <c:pt idx="146">
                  <c:v>290754.14</c:v>
                </c:pt>
                <c:pt idx="147">
                  <c:v>290450.96000000002</c:v>
                </c:pt>
                <c:pt idx="148">
                  <c:v>282840.40000000002</c:v>
                </c:pt>
                <c:pt idx="149">
                  <c:v>318945.52</c:v>
                </c:pt>
                <c:pt idx="150">
                  <c:v>318945.52</c:v>
                </c:pt>
                <c:pt idx="151">
                  <c:v>278401.03999999998</c:v>
                </c:pt>
                <c:pt idx="152">
                  <c:v>277801.03999999998</c:v>
                </c:pt>
                <c:pt idx="153">
                  <c:v>277801.03999999998</c:v>
                </c:pt>
                <c:pt idx="154">
                  <c:v>277326.06</c:v>
                </c:pt>
                <c:pt idx="155">
                  <c:v>277326.06</c:v>
                </c:pt>
                <c:pt idx="156">
                  <c:v>254730.8</c:v>
                </c:pt>
                <c:pt idx="157">
                  <c:v>254730.8</c:v>
                </c:pt>
                <c:pt idx="158">
                  <c:v>277867.62</c:v>
                </c:pt>
                <c:pt idx="159">
                  <c:v>278679.81</c:v>
                </c:pt>
                <c:pt idx="160">
                  <c:v>278711.32</c:v>
                </c:pt>
                <c:pt idx="161">
                  <c:v>238555.14</c:v>
                </c:pt>
                <c:pt idx="162">
                  <c:v>238555.14</c:v>
                </c:pt>
                <c:pt idx="163">
                  <c:v>238555.14</c:v>
                </c:pt>
                <c:pt idx="164">
                  <c:v>227371.3</c:v>
                </c:pt>
                <c:pt idx="165">
                  <c:v>227907.61</c:v>
                </c:pt>
                <c:pt idx="166">
                  <c:v>227907.61</c:v>
                </c:pt>
                <c:pt idx="167">
                  <c:v>250036.67</c:v>
                </c:pt>
                <c:pt idx="168">
                  <c:v>255964.71</c:v>
                </c:pt>
                <c:pt idx="169">
                  <c:v>315493.2</c:v>
                </c:pt>
                <c:pt idx="170">
                  <c:v>315493.2</c:v>
                </c:pt>
                <c:pt idx="171">
                  <c:v>332334.94</c:v>
                </c:pt>
                <c:pt idx="172">
                  <c:v>332334.94</c:v>
                </c:pt>
                <c:pt idx="173">
                  <c:v>370869.56</c:v>
                </c:pt>
                <c:pt idx="174">
                  <c:v>370394.58</c:v>
                </c:pt>
                <c:pt idx="175">
                  <c:v>370394.58</c:v>
                </c:pt>
                <c:pt idx="176">
                  <c:v>346842.59</c:v>
                </c:pt>
                <c:pt idx="177">
                  <c:v>346842.59</c:v>
                </c:pt>
                <c:pt idx="178">
                  <c:v>346842.59</c:v>
                </c:pt>
                <c:pt idx="179">
                  <c:v>347076.59</c:v>
                </c:pt>
                <c:pt idx="180">
                  <c:v>308665.48</c:v>
                </c:pt>
                <c:pt idx="181">
                  <c:v>308665.48</c:v>
                </c:pt>
                <c:pt idx="182">
                  <c:v>320782.46999999997</c:v>
                </c:pt>
                <c:pt idx="183">
                  <c:v>317911.17</c:v>
                </c:pt>
                <c:pt idx="184">
                  <c:v>317436.19</c:v>
                </c:pt>
                <c:pt idx="185">
                  <c:v>317436.19</c:v>
                </c:pt>
                <c:pt idx="186">
                  <c:v>428386.24</c:v>
                </c:pt>
                <c:pt idx="187">
                  <c:v>428386.24</c:v>
                </c:pt>
                <c:pt idx="188">
                  <c:v>425851.86</c:v>
                </c:pt>
                <c:pt idx="189">
                  <c:v>453679.91</c:v>
                </c:pt>
                <c:pt idx="190">
                  <c:v>412431.05</c:v>
                </c:pt>
                <c:pt idx="191">
                  <c:v>412402.21</c:v>
                </c:pt>
                <c:pt idx="192">
                  <c:v>417372.63</c:v>
                </c:pt>
                <c:pt idx="193">
                  <c:v>415449.23</c:v>
                </c:pt>
                <c:pt idx="194">
                  <c:v>435708</c:v>
                </c:pt>
                <c:pt idx="195">
                  <c:v>435708</c:v>
                </c:pt>
                <c:pt idx="196">
                  <c:v>435708</c:v>
                </c:pt>
                <c:pt idx="197">
                  <c:v>435708</c:v>
                </c:pt>
                <c:pt idx="198">
                  <c:v>435708</c:v>
                </c:pt>
                <c:pt idx="199">
                  <c:v>436040</c:v>
                </c:pt>
                <c:pt idx="200">
                  <c:v>427559.36</c:v>
                </c:pt>
                <c:pt idx="201">
                  <c:v>427559.36</c:v>
                </c:pt>
                <c:pt idx="202">
                  <c:v>427559.36</c:v>
                </c:pt>
                <c:pt idx="203">
                  <c:v>388161.54</c:v>
                </c:pt>
                <c:pt idx="204">
                  <c:v>388161.54</c:v>
                </c:pt>
                <c:pt idx="205">
                  <c:v>381514.53</c:v>
                </c:pt>
                <c:pt idx="206">
                  <c:v>389507.01</c:v>
                </c:pt>
                <c:pt idx="207">
                  <c:v>389507.01</c:v>
                </c:pt>
                <c:pt idx="208">
                  <c:v>389507.01</c:v>
                </c:pt>
                <c:pt idx="209">
                  <c:v>414035.71</c:v>
                </c:pt>
                <c:pt idx="210">
                  <c:v>413985.71</c:v>
                </c:pt>
                <c:pt idx="211">
                  <c:v>413985.71</c:v>
                </c:pt>
                <c:pt idx="212">
                  <c:v>411319.14</c:v>
                </c:pt>
                <c:pt idx="213">
                  <c:v>411160.29</c:v>
                </c:pt>
                <c:pt idx="214">
                  <c:v>411160.29</c:v>
                </c:pt>
                <c:pt idx="215">
                  <c:v>411160.29</c:v>
                </c:pt>
                <c:pt idx="216">
                  <c:v>372476.51</c:v>
                </c:pt>
                <c:pt idx="217">
                  <c:v>376660.01</c:v>
                </c:pt>
                <c:pt idx="218">
                  <c:v>397613.66</c:v>
                </c:pt>
                <c:pt idx="219">
                  <c:v>387878.55</c:v>
                </c:pt>
                <c:pt idx="220">
                  <c:v>387403.57</c:v>
                </c:pt>
                <c:pt idx="221">
                  <c:v>387403.57</c:v>
                </c:pt>
                <c:pt idx="222">
                  <c:v>387403.57</c:v>
                </c:pt>
                <c:pt idx="223">
                  <c:v>417270.82</c:v>
                </c:pt>
                <c:pt idx="224">
                  <c:v>417270.82</c:v>
                </c:pt>
                <c:pt idx="225">
                  <c:v>417270.82</c:v>
                </c:pt>
                <c:pt idx="226">
                  <c:v>411865.95</c:v>
                </c:pt>
                <c:pt idx="227">
                  <c:v>411865.95</c:v>
                </c:pt>
                <c:pt idx="228">
                  <c:v>411865.95</c:v>
                </c:pt>
                <c:pt idx="229">
                  <c:v>411865.95</c:v>
                </c:pt>
                <c:pt idx="230">
                  <c:v>368529.24</c:v>
                </c:pt>
                <c:pt idx="231">
                  <c:v>369146.24</c:v>
                </c:pt>
                <c:pt idx="232">
                  <c:v>369146.24</c:v>
                </c:pt>
                <c:pt idx="233">
                  <c:v>423875.79</c:v>
                </c:pt>
                <c:pt idx="234">
                  <c:v>423875.79</c:v>
                </c:pt>
                <c:pt idx="235">
                  <c:v>423400.81</c:v>
                </c:pt>
                <c:pt idx="236">
                  <c:v>423210.99</c:v>
                </c:pt>
                <c:pt idx="237">
                  <c:v>473210.99</c:v>
                </c:pt>
                <c:pt idx="238">
                  <c:v>470084.64</c:v>
                </c:pt>
                <c:pt idx="239">
                  <c:v>470084.64</c:v>
                </c:pt>
                <c:pt idx="240">
                  <c:v>424767.46</c:v>
                </c:pt>
                <c:pt idx="241">
                  <c:v>424767.46</c:v>
                </c:pt>
                <c:pt idx="242">
                  <c:v>424767.46</c:v>
                </c:pt>
                <c:pt idx="243">
                  <c:v>424767.46</c:v>
                </c:pt>
                <c:pt idx="244">
                  <c:v>442650.11</c:v>
                </c:pt>
                <c:pt idx="245">
                  <c:v>442518.27</c:v>
                </c:pt>
                <c:pt idx="246">
                  <c:v>442518.27</c:v>
                </c:pt>
                <c:pt idx="247">
                  <c:v>442518.27</c:v>
                </c:pt>
                <c:pt idx="248">
                  <c:v>442518.27</c:v>
                </c:pt>
                <c:pt idx="249">
                  <c:v>420942.38</c:v>
                </c:pt>
                <c:pt idx="250">
                  <c:v>379216.39</c:v>
                </c:pt>
                <c:pt idx="251">
                  <c:v>379216.39</c:v>
                </c:pt>
                <c:pt idx="252">
                  <c:v>379216.39</c:v>
                </c:pt>
                <c:pt idx="253">
                  <c:v>379216.39</c:v>
                </c:pt>
                <c:pt idx="254">
                  <c:v>383318.34</c:v>
                </c:pt>
                <c:pt idx="255">
                  <c:v>383318.34</c:v>
                </c:pt>
                <c:pt idx="256">
                  <c:v>383318.34</c:v>
                </c:pt>
                <c:pt idx="257">
                  <c:v>378306.47</c:v>
                </c:pt>
                <c:pt idx="258">
                  <c:v>385097.98</c:v>
                </c:pt>
                <c:pt idx="259">
                  <c:v>385399.2</c:v>
                </c:pt>
                <c:pt idx="260">
                  <c:v>385399.2</c:v>
                </c:pt>
                <c:pt idx="261">
                  <c:v>343338.22</c:v>
                </c:pt>
                <c:pt idx="262">
                  <c:v>339355.16</c:v>
                </c:pt>
                <c:pt idx="263">
                  <c:v>346945.63</c:v>
                </c:pt>
                <c:pt idx="264">
                  <c:v>346470.13</c:v>
                </c:pt>
                <c:pt idx="265">
                  <c:v>346470.13</c:v>
                </c:pt>
                <c:pt idx="266">
                  <c:v>346470.13</c:v>
                </c:pt>
                <c:pt idx="267">
                  <c:v>432503.36</c:v>
                </c:pt>
                <c:pt idx="268">
                  <c:v>432600.88</c:v>
                </c:pt>
                <c:pt idx="269">
                  <c:v>432698.4</c:v>
                </c:pt>
                <c:pt idx="270">
                  <c:v>432698.4</c:v>
                </c:pt>
                <c:pt idx="271">
                  <c:v>432648.4</c:v>
                </c:pt>
                <c:pt idx="272">
                  <c:v>432648.4</c:v>
                </c:pt>
                <c:pt idx="273">
                  <c:v>376288.8</c:v>
                </c:pt>
                <c:pt idx="274">
                  <c:v>375846.51</c:v>
                </c:pt>
                <c:pt idx="275">
                  <c:v>375246.51</c:v>
                </c:pt>
                <c:pt idx="276">
                  <c:v>375703.51</c:v>
                </c:pt>
                <c:pt idx="277">
                  <c:v>375837.32</c:v>
                </c:pt>
                <c:pt idx="278">
                  <c:v>358313.37</c:v>
                </c:pt>
                <c:pt idx="279">
                  <c:v>362655.36</c:v>
                </c:pt>
                <c:pt idx="280">
                  <c:v>362655.36</c:v>
                </c:pt>
                <c:pt idx="281">
                  <c:v>296234.34999999998</c:v>
                </c:pt>
                <c:pt idx="282">
                  <c:v>309641.15000000002</c:v>
                </c:pt>
                <c:pt idx="283">
                  <c:v>316446.05</c:v>
                </c:pt>
                <c:pt idx="284">
                  <c:v>315066.78000000003</c:v>
                </c:pt>
                <c:pt idx="285">
                  <c:v>314907.93</c:v>
                </c:pt>
                <c:pt idx="286">
                  <c:v>314907.93</c:v>
                </c:pt>
                <c:pt idx="287">
                  <c:v>314907.93</c:v>
                </c:pt>
                <c:pt idx="288">
                  <c:v>315650.68</c:v>
                </c:pt>
                <c:pt idx="289">
                  <c:v>291355.65000000002</c:v>
                </c:pt>
                <c:pt idx="290">
                  <c:v>270294.52</c:v>
                </c:pt>
                <c:pt idx="291">
                  <c:v>269684.28999999998</c:v>
                </c:pt>
                <c:pt idx="292">
                  <c:v>269684.28999999998</c:v>
                </c:pt>
                <c:pt idx="293">
                  <c:v>259972.42</c:v>
                </c:pt>
                <c:pt idx="294">
                  <c:v>282694.13</c:v>
                </c:pt>
                <c:pt idx="295">
                  <c:v>282636.44</c:v>
                </c:pt>
                <c:pt idx="296">
                  <c:v>298296.44</c:v>
                </c:pt>
                <c:pt idx="297">
                  <c:v>298259.44</c:v>
                </c:pt>
                <c:pt idx="298">
                  <c:v>286670.99</c:v>
                </c:pt>
                <c:pt idx="299">
                  <c:v>329121.65000000002</c:v>
                </c:pt>
                <c:pt idx="300">
                  <c:v>287265.95</c:v>
                </c:pt>
                <c:pt idx="301">
                  <c:v>291765.95</c:v>
                </c:pt>
                <c:pt idx="302">
                  <c:v>291800.28000000003</c:v>
                </c:pt>
                <c:pt idx="303">
                  <c:v>298342.23</c:v>
                </c:pt>
                <c:pt idx="304">
                  <c:v>292633.62</c:v>
                </c:pt>
                <c:pt idx="305">
                  <c:v>292633.62</c:v>
                </c:pt>
                <c:pt idx="306">
                  <c:v>320810.26</c:v>
                </c:pt>
                <c:pt idx="307">
                  <c:v>320810.26</c:v>
                </c:pt>
                <c:pt idx="308">
                  <c:v>341705.89</c:v>
                </c:pt>
                <c:pt idx="309">
                  <c:v>341754.4</c:v>
                </c:pt>
                <c:pt idx="310">
                  <c:v>330670.37</c:v>
                </c:pt>
                <c:pt idx="311">
                  <c:v>338045.7</c:v>
                </c:pt>
                <c:pt idx="312">
                  <c:v>338604.7</c:v>
                </c:pt>
                <c:pt idx="313">
                  <c:v>329491.15000000002</c:v>
                </c:pt>
                <c:pt idx="314">
                  <c:v>329106.55</c:v>
                </c:pt>
                <c:pt idx="315">
                  <c:v>329106.55</c:v>
                </c:pt>
                <c:pt idx="316">
                  <c:v>366692.56</c:v>
                </c:pt>
                <c:pt idx="317">
                  <c:v>368956.85</c:v>
                </c:pt>
                <c:pt idx="318">
                  <c:v>390880.67</c:v>
                </c:pt>
                <c:pt idx="319">
                  <c:v>414120.74</c:v>
                </c:pt>
                <c:pt idx="320">
                  <c:v>424130.52</c:v>
                </c:pt>
                <c:pt idx="321">
                  <c:v>424130.52</c:v>
                </c:pt>
                <c:pt idx="322">
                  <c:v>424163.34</c:v>
                </c:pt>
                <c:pt idx="323">
                  <c:v>422350.37</c:v>
                </c:pt>
                <c:pt idx="324">
                  <c:v>421965.77</c:v>
                </c:pt>
                <c:pt idx="325">
                  <c:v>419047.88</c:v>
                </c:pt>
                <c:pt idx="326">
                  <c:v>425165.2</c:v>
                </c:pt>
                <c:pt idx="327">
                  <c:v>415468.61</c:v>
                </c:pt>
                <c:pt idx="328">
                  <c:v>444345.89</c:v>
                </c:pt>
                <c:pt idx="329">
                  <c:v>444345.89</c:v>
                </c:pt>
                <c:pt idx="330">
                  <c:v>472758.17</c:v>
                </c:pt>
                <c:pt idx="331">
                  <c:v>431931.97</c:v>
                </c:pt>
                <c:pt idx="332">
                  <c:v>435079.42</c:v>
                </c:pt>
                <c:pt idx="333">
                  <c:v>424040.9</c:v>
                </c:pt>
                <c:pt idx="334">
                  <c:v>449683.31</c:v>
                </c:pt>
                <c:pt idx="335">
                  <c:v>449683.31</c:v>
                </c:pt>
                <c:pt idx="336">
                  <c:v>449683.31</c:v>
                </c:pt>
                <c:pt idx="337">
                  <c:v>449683.31</c:v>
                </c:pt>
                <c:pt idx="338">
                  <c:v>425038.75</c:v>
                </c:pt>
                <c:pt idx="339">
                  <c:v>425038.75</c:v>
                </c:pt>
                <c:pt idx="340">
                  <c:v>381899.02</c:v>
                </c:pt>
                <c:pt idx="341">
                  <c:v>403291.29</c:v>
                </c:pt>
                <c:pt idx="342">
                  <c:v>398523.39</c:v>
                </c:pt>
                <c:pt idx="343">
                  <c:v>405256.29</c:v>
                </c:pt>
                <c:pt idx="344">
                  <c:v>404915.18</c:v>
                </c:pt>
                <c:pt idx="345">
                  <c:v>403828.39</c:v>
                </c:pt>
                <c:pt idx="346">
                  <c:v>403828.39</c:v>
                </c:pt>
                <c:pt idx="347">
                  <c:v>434721.04</c:v>
                </c:pt>
                <c:pt idx="348">
                  <c:v>421127.98</c:v>
                </c:pt>
                <c:pt idx="349">
                  <c:v>420969.13</c:v>
                </c:pt>
                <c:pt idx="350">
                  <c:v>420969.13</c:v>
                </c:pt>
                <c:pt idx="351">
                  <c:v>379345</c:v>
                </c:pt>
                <c:pt idx="352">
                  <c:v>379345</c:v>
                </c:pt>
                <c:pt idx="353">
                  <c:v>379345</c:v>
                </c:pt>
                <c:pt idx="354">
                  <c:v>402733.09</c:v>
                </c:pt>
                <c:pt idx="355">
                  <c:v>403316.09</c:v>
                </c:pt>
                <c:pt idx="356">
                  <c:v>403316.09</c:v>
                </c:pt>
                <c:pt idx="357">
                  <c:v>385876.12</c:v>
                </c:pt>
                <c:pt idx="358">
                  <c:v>351812.45</c:v>
                </c:pt>
                <c:pt idx="359">
                  <c:v>351812.45</c:v>
                </c:pt>
                <c:pt idx="360">
                  <c:v>368195.43</c:v>
                </c:pt>
                <c:pt idx="361">
                  <c:v>368195.43</c:v>
                </c:pt>
                <c:pt idx="362">
                  <c:v>368195.43</c:v>
                </c:pt>
                <c:pt idx="363">
                  <c:v>368195.43</c:v>
                </c:pt>
                <c:pt idx="364">
                  <c:v>367810.83</c:v>
                </c:pt>
                <c:pt idx="365">
                  <c:v>367851.39</c:v>
                </c:pt>
                <c:pt idx="366">
                  <c:v>367851.39</c:v>
                </c:pt>
                <c:pt idx="367">
                  <c:v>367851.39</c:v>
                </c:pt>
                <c:pt idx="368">
                  <c:v>356642.57</c:v>
                </c:pt>
                <c:pt idx="369">
                  <c:v>356642.57</c:v>
                </c:pt>
                <c:pt idx="370">
                  <c:v>308974.21000000002</c:v>
                </c:pt>
                <c:pt idx="371">
                  <c:v>338753.05</c:v>
                </c:pt>
                <c:pt idx="372">
                  <c:v>391263.14</c:v>
                </c:pt>
                <c:pt idx="373">
                  <c:v>391263.14</c:v>
                </c:pt>
                <c:pt idx="374">
                  <c:v>449119.47</c:v>
                </c:pt>
                <c:pt idx="375">
                  <c:v>449119.47</c:v>
                </c:pt>
                <c:pt idx="376">
                  <c:v>448869.47</c:v>
                </c:pt>
                <c:pt idx="377">
                  <c:v>448869.47</c:v>
                </c:pt>
                <c:pt idx="378">
                  <c:v>438853.17</c:v>
                </c:pt>
                <c:pt idx="379">
                  <c:v>439117.17</c:v>
                </c:pt>
                <c:pt idx="380">
                  <c:v>407163.47</c:v>
                </c:pt>
                <c:pt idx="381">
                  <c:v>415855.1</c:v>
                </c:pt>
                <c:pt idx="382">
                  <c:v>415855.1</c:v>
                </c:pt>
                <c:pt idx="383">
                  <c:v>412361.18</c:v>
                </c:pt>
                <c:pt idx="384">
                  <c:v>411976.58</c:v>
                </c:pt>
                <c:pt idx="385">
                  <c:v>412491.58</c:v>
                </c:pt>
                <c:pt idx="386">
                  <c:v>412491.58</c:v>
                </c:pt>
                <c:pt idx="387">
                  <c:v>412491.58</c:v>
                </c:pt>
                <c:pt idx="388">
                  <c:v>421884.75</c:v>
                </c:pt>
                <c:pt idx="389">
                  <c:v>421884.75</c:v>
                </c:pt>
                <c:pt idx="390">
                  <c:v>422030.75</c:v>
                </c:pt>
                <c:pt idx="391">
                  <c:v>384440.18</c:v>
                </c:pt>
                <c:pt idx="392">
                  <c:v>383701.41</c:v>
                </c:pt>
                <c:pt idx="393">
                  <c:v>384859.49</c:v>
                </c:pt>
                <c:pt idx="394">
                  <c:v>412308.62</c:v>
                </c:pt>
                <c:pt idx="395">
                  <c:v>412308.62</c:v>
                </c:pt>
                <c:pt idx="396">
                  <c:v>412282.92</c:v>
                </c:pt>
                <c:pt idx="397">
                  <c:v>402422.58</c:v>
                </c:pt>
                <c:pt idx="398">
                  <c:v>402266.7</c:v>
                </c:pt>
                <c:pt idx="399">
                  <c:v>407981.99</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Data!$F$586:$F$615</c:f>
              <c:numCache>
                <c:formatCode>mmm\-yy</c:formatCode>
                <c:ptCount val="30"/>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numCache>
            </c:numRef>
          </c:cat>
          <c:val>
            <c:numRef>
              <c:f>Data!$G$586:$G$615</c:f>
              <c:numCache>
                <c:formatCode>"$"#,##0_);[Red]\("$"#,##0\)</c:formatCode>
                <c:ptCount val="30"/>
                <c:pt idx="0">
                  <c:v>416865.56</c:v>
                </c:pt>
                <c:pt idx="1">
                  <c:v>403762.36</c:v>
                </c:pt>
                <c:pt idx="2">
                  <c:v>218522.99</c:v>
                </c:pt>
                <c:pt idx="3">
                  <c:v>281784.46000000002</c:v>
                </c:pt>
                <c:pt idx="4">
                  <c:v>231705.38</c:v>
                </c:pt>
                <c:pt idx="5">
                  <c:v>254786.13</c:v>
                </c:pt>
                <c:pt idx="6">
                  <c:v>323671.89</c:v>
                </c:pt>
                <c:pt idx="7">
                  <c:v>334383.06</c:v>
                </c:pt>
                <c:pt idx="8">
                  <c:v>325598.5</c:v>
                </c:pt>
                <c:pt idx="9">
                  <c:v>397934.47</c:v>
                </c:pt>
                <c:pt idx="10">
                  <c:v>304557.78000000003</c:v>
                </c:pt>
                <c:pt idx="11">
                  <c:v>339829.81</c:v>
                </c:pt>
                <c:pt idx="12">
                  <c:v>483670.84</c:v>
                </c:pt>
                <c:pt idx="13">
                  <c:v>403181.63</c:v>
                </c:pt>
                <c:pt idx="14">
                  <c:v>315833.28999999998</c:v>
                </c:pt>
                <c:pt idx="15">
                  <c:v>327170</c:v>
                </c:pt>
                <c:pt idx="16">
                  <c:v>246847.16</c:v>
                </c:pt>
                <c:pt idx="17">
                  <c:v>274391.32</c:v>
                </c:pt>
                <c:pt idx="18">
                  <c:v>311473.07</c:v>
                </c:pt>
                <c:pt idx="19">
                  <c:v>246923.1</c:v>
                </c:pt>
                <c:pt idx="20">
                  <c:v>214783.77</c:v>
                </c:pt>
                <c:pt idx="21">
                  <c:v>264786.40999999997</c:v>
                </c:pt>
                <c:pt idx="22">
                  <c:v>290727.87</c:v>
                </c:pt>
                <c:pt idx="23">
                  <c:v>362006.45</c:v>
                </c:pt>
                <c:pt idx="24">
                  <c:v>494072.83</c:v>
                </c:pt>
                <c:pt idx="25">
                  <c:v>399857.44</c:v>
                </c:pt>
                <c:pt idx="26">
                  <c:v>279188.34999999998</c:v>
                </c:pt>
                <c:pt idx="27">
                  <c:v>299247.65000000002</c:v>
                </c:pt>
                <c:pt idx="28">
                  <c:v>215276.77</c:v>
                </c:pt>
                <c:pt idx="29">
                  <c:v>288792.5</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8186187470367861"/>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Data!$J$526:$J$612</c:f>
              <c:numCache>
                <c:formatCode>mmm\-yy</c:formatCode>
                <c:ptCount val="87"/>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numCache>
            </c:numRef>
          </c:xVal>
          <c:yVal>
            <c:numRef>
              <c:f>Data!$K$526:$K$612</c:f>
              <c:numCache>
                <c:formatCode>_("$"* #,##0_);_("$"* \(#,##0\);_("$"* "-"_);_(@_)</c:formatCode>
                <c:ptCount val="87"/>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2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65"/>
        <c:minorUnit val="30"/>
      </c:valAx>
      <c:valAx>
        <c:axId val="416924224"/>
        <c:scaling>
          <c:orientation val="minMax"/>
          <c:max val="45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'June''23 AR Aging '!$B$208</c:f>
              <c:strCache>
                <c:ptCount val="1"/>
                <c:pt idx="0">
                  <c:v>Current Month</c:v>
                </c:pt>
              </c:strCache>
            </c:strRef>
          </c:tx>
          <c:spPr>
            <a:solidFill>
              <a:srgbClr val="0070C0"/>
            </a:solidFill>
          </c:spPr>
          <c:invertIfNegative val="0"/>
          <c:val>
            <c:numRef>
              <c:f>'June''23 AR Aging '!$C$208:$N$208</c:f>
            </c:numRef>
          </c:val>
          <c:extLst>
            <c:ext xmlns:c15="http://schemas.microsoft.com/office/drawing/2012/chart" uri="{02D57815-91ED-43cb-92C2-25804820EDAC}">
              <c15:filteredCategoryTitle>
                <c15:cat>
                  <c:multiLvlStrRef>
                    <c:extLst>
                      <c:ext uri="{02D57815-91ED-43cb-92C2-25804820EDAC}">
                        <c15:formulaRef>
                          <c15:sqref>'June''23 AR Aging '!$C$207:$N$207</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'June''23 AR Aging '!$B$209</c:f>
              <c:strCache>
                <c:ptCount val="1"/>
                <c:pt idx="0">
                  <c:v>Previous Month</c:v>
                </c:pt>
              </c:strCache>
            </c:strRef>
          </c:tx>
          <c:spPr>
            <a:solidFill>
              <a:schemeClr val="accent6">
                <a:lumMod val="40000"/>
                <a:lumOff val="60000"/>
              </a:schemeClr>
            </a:solidFill>
          </c:spPr>
          <c:invertIfNegative val="0"/>
          <c:val>
            <c:numRef>
              <c:f>'June''23 AR Aging '!$C$209:$N$209</c:f>
            </c:numRef>
          </c:val>
          <c:extLst>
            <c:ext xmlns:c15="http://schemas.microsoft.com/office/drawing/2012/chart" uri="{02D57815-91ED-43cb-92C2-25804820EDAC}">
              <c15:filteredCategoryTitle>
                <c15:cat>
                  <c:multiLvlStrRef>
                    <c:extLst>
                      <c:ext uri="{02D57815-91ED-43cb-92C2-25804820EDAC}">
                        <c15:formulaRef>
                          <c15:sqref>'June''23 AR Aging '!$C$207:$N$207</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'June''23 AR Aging '!$B$210</c:f>
              <c:strCache>
                <c:ptCount val="1"/>
                <c:pt idx="0">
                  <c:v>Three Months Ago</c:v>
                </c:pt>
              </c:strCache>
            </c:strRef>
          </c:tx>
          <c:spPr>
            <a:solidFill>
              <a:schemeClr val="accent3">
                <a:lumMod val="75000"/>
              </a:schemeClr>
            </a:solidFill>
          </c:spPr>
          <c:invertIfNegative val="0"/>
          <c:val>
            <c:numRef>
              <c:f>'June''23 AR Aging '!$C$210:$N$210</c:f>
            </c:numRef>
          </c:val>
          <c:extLst>
            <c:ext xmlns:c15="http://schemas.microsoft.com/office/drawing/2012/chart" uri="{02D57815-91ED-43cb-92C2-25804820EDAC}">
              <c15:filteredCategoryTitle>
                <c15:cat>
                  <c:multiLvlStrRef>
                    <c:extLst>
                      <c:ext uri="{02D57815-91ED-43cb-92C2-25804820EDAC}">
                        <c15:formulaRef>
                          <c15:sqref>'June''23 AR Aging '!$C$207:$N$207</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'June''23 AR Aging '!$B$211</c:f>
              <c:strCache>
                <c:ptCount val="1"/>
                <c:pt idx="0">
                  <c:v>Older than Three Months</c:v>
                </c:pt>
              </c:strCache>
            </c:strRef>
          </c:tx>
          <c:spPr>
            <a:solidFill>
              <a:schemeClr val="accent4">
                <a:lumMod val="40000"/>
                <a:lumOff val="60000"/>
              </a:schemeClr>
            </a:solidFill>
          </c:spPr>
          <c:invertIfNegative val="0"/>
          <c:val>
            <c:numRef>
              <c:f>'June''23 AR Aging '!$C$211:$N$211</c:f>
            </c:numRef>
          </c:val>
          <c:extLst>
            <c:ext xmlns:c15="http://schemas.microsoft.com/office/drawing/2012/chart" uri="{02D57815-91ED-43cb-92C2-25804820EDAC}">
              <c15:filteredCategoryTitle>
                <c15:cat>
                  <c:multiLvlStrRef>
                    <c:extLst>
                      <c:ext uri="{02D57815-91ED-43cb-92C2-25804820EDAC}">
                        <c15:formulaRef>
                          <c15:sqref>'June''23 AR Aging '!$C$207:$N$207</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25</xdr:row>
      <xdr:rowOff>28575</xdr:rowOff>
    </xdr:from>
    <xdr:to>
      <xdr:col>7</xdr:col>
      <xdr:colOff>933450</xdr:colOff>
      <xdr:row>32</xdr:row>
      <xdr:rowOff>171450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201</xdr:row>
      <xdr:rowOff>47625</xdr:rowOff>
    </xdr:from>
    <xdr:to>
      <xdr:col>8</xdr:col>
      <xdr:colOff>523875</xdr:colOff>
      <xdr:row>238</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410</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435</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85" t="s">
        <v>49</v>
      </c>
      <c r="H5" s="985"/>
      <c r="I5" s="985"/>
      <c r="J5" s="985"/>
      <c r="K5" s="985"/>
      <c r="L5" s="415" t="s">
        <v>181</v>
      </c>
      <c r="M5" s="412"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92" t="s">
        <v>436</v>
      </c>
      <c r="H7" s="793" t="s">
        <v>437</v>
      </c>
      <c r="I7" s="793" t="s">
        <v>438</v>
      </c>
      <c r="J7" s="793"/>
      <c r="K7" s="794" t="s">
        <v>443</v>
      </c>
      <c r="L7" s="986" t="s">
        <v>414</v>
      </c>
      <c r="M7" s="986"/>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101</v>
      </c>
      <c r="D8" s="420"/>
      <c r="E8" s="420"/>
      <c r="F8" s="73"/>
      <c r="G8" s="326">
        <v>200992</v>
      </c>
      <c r="H8" s="326">
        <v>507048</v>
      </c>
      <c r="I8" s="326">
        <f>G8+H8</f>
        <v>708040</v>
      </c>
      <c r="J8" s="326"/>
      <c r="K8" s="263">
        <v>700893</v>
      </c>
      <c r="L8" s="378">
        <f>I8-K8</f>
        <v>7147</v>
      </c>
      <c r="M8" s="413">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150</v>
      </c>
      <c r="D9" s="420"/>
      <c r="E9" s="420"/>
      <c r="F9" s="73"/>
      <c r="G9" s="322">
        <v>18908</v>
      </c>
      <c r="H9" s="322">
        <v>61000</v>
      </c>
      <c r="I9" s="322">
        <f>G9+H9</f>
        <v>79908</v>
      </c>
      <c r="J9" s="322"/>
      <c r="K9" s="264">
        <v>90000</v>
      </c>
      <c r="L9" s="506">
        <f>I9-K9</f>
        <v>-10092</v>
      </c>
      <c r="M9" s="413">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179</v>
      </c>
      <c r="D10" s="420"/>
      <c r="E10" s="420"/>
      <c r="F10" s="73"/>
      <c r="G10" s="322">
        <v>16159</v>
      </c>
      <c r="H10" s="322">
        <v>25547</v>
      </c>
      <c r="I10" s="322">
        <f>G10+H10</f>
        <v>41706</v>
      </c>
      <c r="J10" s="322"/>
      <c r="K10" s="264">
        <v>50397</v>
      </c>
      <c r="L10" s="506">
        <f>I10-K10</f>
        <v>-8691</v>
      </c>
      <c r="M10" s="413">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102</v>
      </c>
      <c r="D11" s="420"/>
      <c r="E11" s="420"/>
      <c r="F11" s="73"/>
      <c r="G11" s="322"/>
      <c r="H11" s="322"/>
      <c r="I11" s="322">
        <f t="shared" ref="I11:I28" si="1">G11+H11</f>
        <v>0</v>
      </c>
      <c r="J11" s="322"/>
      <c r="K11" s="264"/>
      <c r="L11" s="506"/>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139</v>
      </c>
      <c r="E12" s="420"/>
      <c r="F12" s="73"/>
      <c r="G12" s="322">
        <v>78605</v>
      </c>
      <c r="H12" s="322">
        <f>239968-H10-H13-H14</f>
        <v>121781</v>
      </c>
      <c r="I12" s="322">
        <f t="shared" si="1"/>
        <v>200386</v>
      </c>
      <c r="J12" s="322"/>
      <c r="K12" s="264">
        <v>169789</v>
      </c>
      <c r="L12" s="506">
        <f t="shared" ref="L12:L28" si="2">I12-K12</f>
        <v>30597</v>
      </c>
      <c r="M12" s="413">
        <f t="shared" si="0"/>
        <v>0.18020602041357214</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159</v>
      </c>
      <c r="E13" s="420"/>
      <c r="F13" s="73"/>
      <c r="G13" s="322">
        <v>6000</v>
      </c>
      <c r="H13" s="322">
        <f>1500*8</f>
        <v>12000</v>
      </c>
      <c r="I13" s="322">
        <f t="shared" si="1"/>
        <v>18000</v>
      </c>
      <c r="J13" s="322"/>
      <c r="K13" s="264">
        <v>18000</v>
      </c>
      <c r="L13" s="506">
        <f t="shared" si="2"/>
        <v>0</v>
      </c>
      <c r="M13" s="413">
        <f t="shared" si="0"/>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403</v>
      </c>
      <c r="E14" s="420"/>
      <c r="F14" s="73"/>
      <c r="G14" s="322">
        <v>39088</v>
      </c>
      <c r="H14" s="322">
        <v>80640</v>
      </c>
      <c r="I14" s="322">
        <f t="shared" si="1"/>
        <v>119728</v>
      </c>
      <c r="J14" s="322"/>
      <c r="K14" s="264">
        <v>114072</v>
      </c>
      <c r="L14" s="506">
        <f t="shared" si="2"/>
        <v>5656</v>
      </c>
      <c r="M14" s="413">
        <f t="shared" si="0"/>
        <v>4.9582719685812467E-2</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376</v>
      </c>
      <c r="D15" s="420"/>
      <c r="E15" s="420"/>
      <c r="F15" s="73"/>
      <c r="G15" s="322">
        <v>5511</v>
      </c>
      <c r="H15" s="322">
        <f>17000-G15</f>
        <v>11489</v>
      </c>
      <c r="I15" s="322">
        <f t="shared" si="1"/>
        <v>17000</v>
      </c>
      <c r="J15" s="322"/>
      <c r="K15" s="264">
        <v>17000</v>
      </c>
      <c r="L15" s="506">
        <f t="shared" si="2"/>
        <v>0</v>
      </c>
      <c r="M15" s="413">
        <f t="shared" si="0"/>
        <v>0</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110</v>
      </c>
      <c r="D16" s="420"/>
      <c r="E16" s="420"/>
      <c r="F16" s="73"/>
      <c r="G16" s="322">
        <v>228</v>
      </c>
      <c r="H16" s="322">
        <v>684</v>
      </c>
      <c r="I16" s="322">
        <f t="shared" si="1"/>
        <v>912</v>
      </c>
      <c r="J16" s="322"/>
      <c r="K16" s="264">
        <v>1200</v>
      </c>
      <c r="L16" s="506">
        <f t="shared" si="2"/>
        <v>-288</v>
      </c>
      <c r="M16" s="413">
        <f t="shared" si="0"/>
        <v>-0.24</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237</v>
      </c>
      <c r="D17" s="420"/>
      <c r="E17" s="420"/>
      <c r="F17" s="73"/>
      <c r="G17" s="322">
        <v>-405</v>
      </c>
      <c r="H17" s="322">
        <f>400*8-1000</f>
        <v>2200</v>
      </c>
      <c r="I17" s="322">
        <f t="shared" si="1"/>
        <v>1795</v>
      </c>
      <c r="J17" s="322"/>
      <c r="K17" s="264">
        <v>4680</v>
      </c>
      <c r="L17" s="506">
        <f t="shared" si="2"/>
        <v>-2885</v>
      </c>
      <c r="M17" s="413">
        <f t="shared" si="0"/>
        <v>-0.61645299145299148</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320</v>
      </c>
      <c r="D18" s="420"/>
      <c r="E18" s="420"/>
      <c r="F18" s="73"/>
      <c r="G18" s="322">
        <v>12304</v>
      </c>
      <c r="H18" s="322">
        <v>1500</v>
      </c>
      <c r="I18" s="322">
        <f t="shared" si="1"/>
        <v>13804</v>
      </c>
      <c r="J18" s="322"/>
      <c r="K18" s="264">
        <v>1500</v>
      </c>
      <c r="L18" s="506">
        <f t="shared" si="2"/>
        <v>12304</v>
      </c>
      <c r="M18" s="413">
        <f t="shared" si="0"/>
        <v>8.2026666666666674</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415</v>
      </c>
      <c r="D19" s="420"/>
      <c r="E19" s="420"/>
      <c r="F19" s="73"/>
      <c r="G19" s="322"/>
      <c r="H19" s="322"/>
      <c r="I19" s="322">
        <f t="shared" si="1"/>
        <v>0</v>
      </c>
      <c r="J19" s="322"/>
      <c r="K19" s="264"/>
      <c r="L19" s="506">
        <f t="shared" si="2"/>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f>10047-3000</f>
        <v>7047</v>
      </c>
      <c r="H20" s="322">
        <f>65179-H21-12000</f>
        <v>21179</v>
      </c>
      <c r="I20" s="322">
        <f t="shared" si="1"/>
        <v>28226</v>
      </c>
      <c r="J20" s="322"/>
      <c r="K20" s="264">
        <f>79293-48000</f>
        <v>31293</v>
      </c>
      <c r="L20" s="506">
        <f t="shared" si="2"/>
        <v>-3067</v>
      </c>
      <c r="M20" s="413">
        <f t="shared" si="0"/>
        <v>-9.8009139424152361E-2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791"/>
      <c r="D21" s="420" t="s">
        <v>17</v>
      </c>
      <c r="E21" s="791"/>
      <c r="F21" s="791"/>
      <c r="G21" s="322">
        <f>48000/12*4</f>
        <v>16000</v>
      </c>
      <c r="H21" s="322">
        <f>48000-G21</f>
        <v>32000</v>
      </c>
      <c r="I21" s="322">
        <f t="shared" si="1"/>
        <v>48000</v>
      </c>
      <c r="J21" s="322"/>
      <c r="K21" s="264">
        <v>48000</v>
      </c>
      <c r="L21" s="506">
        <f t="shared" si="2"/>
        <v>0</v>
      </c>
      <c r="M21" s="413">
        <f t="shared" si="0"/>
        <v>0</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91"/>
      <c r="D22" s="420" t="s">
        <v>439</v>
      </c>
      <c r="E22" s="791"/>
      <c r="F22" s="791"/>
      <c r="G22" s="322">
        <v>3000</v>
      </c>
      <c r="H22" s="322">
        <v>12000</v>
      </c>
      <c r="I22" s="322">
        <f t="shared" si="1"/>
        <v>15000</v>
      </c>
      <c r="J22" s="322"/>
      <c r="K22" s="264">
        <v>0</v>
      </c>
      <c r="L22" s="506">
        <f t="shared" si="2"/>
        <v>15000</v>
      </c>
      <c r="M22" s="413"/>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0" t="s">
        <v>322</v>
      </c>
      <c r="D23" s="791"/>
      <c r="E23" s="791"/>
      <c r="F23" s="791"/>
      <c r="G23" s="322">
        <v>3150</v>
      </c>
      <c r="H23" s="322">
        <v>0</v>
      </c>
      <c r="I23" s="322">
        <f t="shared" si="1"/>
        <v>3150</v>
      </c>
      <c r="J23" s="322"/>
      <c r="K23" s="264"/>
      <c r="L23" s="506">
        <f t="shared" si="2"/>
        <v>3150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0" t="s">
        <v>109</v>
      </c>
      <c r="D24" s="791"/>
      <c r="E24" s="791"/>
      <c r="F24" s="791"/>
      <c r="G24" s="322">
        <v>17580</v>
      </c>
      <c r="H24" s="322">
        <f>H35</f>
        <v>35160</v>
      </c>
      <c r="I24" s="322">
        <f t="shared" si="1"/>
        <v>52740</v>
      </c>
      <c r="J24" s="322"/>
      <c r="K24" s="322">
        <v>46576</v>
      </c>
      <c r="L24" s="506">
        <f t="shared" si="2"/>
        <v>6164</v>
      </c>
      <c r="M24" s="413">
        <f t="shared" si="0"/>
        <v>0.13234283751288217</v>
      </c>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418</v>
      </c>
      <c r="D25" s="791"/>
      <c r="E25" s="791"/>
      <c r="F25" s="791"/>
      <c r="G25" s="322">
        <v>5055</v>
      </c>
      <c r="H25" s="322">
        <f>15000+250</f>
        <v>15250</v>
      </c>
      <c r="I25" s="322">
        <f t="shared" si="1"/>
        <v>20305</v>
      </c>
      <c r="J25" s="322"/>
      <c r="K25" s="322">
        <v>21600</v>
      </c>
      <c r="L25" s="506">
        <f t="shared" si="2"/>
        <v>-1295</v>
      </c>
      <c r="M25" s="413">
        <f t="shared" si="0"/>
        <v>-5.9953703703703703E-2</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102</v>
      </c>
      <c r="D26" s="791"/>
      <c r="E26" s="791"/>
      <c r="F26" s="791"/>
      <c r="G26" s="322">
        <f>18500/12*4</f>
        <v>6166.666666666667</v>
      </c>
      <c r="H26" s="322">
        <f>18500-G26</f>
        <v>12333.333333333332</v>
      </c>
      <c r="I26" s="322">
        <f t="shared" si="1"/>
        <v>18500</v>
      </c>
      <c r="J26" s="322"/>
      <c r="K26" s="322">
        <v>19000</v>
      </c>
      <c r="L26" s="506">
        <f t="shared" si="2"/>
        <v>-500</v>
      </c>
      <c r="M26" s="413">
        <f t="shared" si="0"/>
        <v>-2.6315789473684209E-2</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319</v>
      </c>
      <c r="D27" s="791"/>
      <c r="E27" s="791"/>
      <c r="F27" s="791"/>
      <c r="G27" s="322">
        <f>41600/12*4</f>
        <v>13866.666666666666</v>
      </c>
      <c r="H27" s="322">
        <f>3466.67*8</f>
        <v>27733.360000000001</v>
      </c>
      <c r="I27" s="322">
        <f t="shared" si="1"/>
        <v>41600.026666666665</v>
      </c>
      <c r="J27" s="322"/>
      <c r="K27" s="322">
        <v>50000</v>
      </c>
      <c r="L27" s="506">
        <f t="shared" si="2"/>
        <v>-8399.9733333333352</v>
      </c>
      <c r="M27" s="413">
        <f t="shared" si="0"/>
        <v>-0.16799946666666671</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321</v>
      </c>
      <c r="D28" s="791"/>
      <c r="E28" s="791"/>
      <c r="F28" s="791"/>
      <c r="G28" s="322">
        <f>27832-G26-G27</f>
        <v>7798.6666666666661</v>
      </c>
      <c r="H28" s="322">
        <v>11317</v>
      </c>
      <c r="I28" s="322">
        <f t="shared" si="1"/>
        <v>19115.666666666664</v>
      </c>
      <c r="J28" s="322"/>
      <c r="K28" s="322">
        <v>16835</v>
      </c>
      <c r="L28" s="506">
        <f t="shared" si="2"/>
        <v>2280.6666666666642</v>
      </c>
      <c r="M28" s="413">
        <f t="shared" si="0"/>
        <v>0.13547173547173533</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c r="D29" s="73" t="s">
        <v>105</v>
      </c>
      <c r="E29" s="420"/>
      <c r="F29" s="73"/>
      <c r="G29" s="748">
        <f>SUM(G8:G28)</f>
        <v>457054.00000000006</v>
      </c>
      <c r="H29" s="748">
        <f>SUM(H8:H28)</f>
        <v>990861.69333333336</v>
      </c>
      <c r="I29" s="748">
        <f>SUM(I8:I28)</f>
        <v>1447915.6933333334</v>
      </c>
      <c r="J29" s="748"/>
      <c r="K29" s="748">
        <f>SUM(K8:K28)</f>
        <v>1400835</v>
      </c>
      <c r="L29" s="749">
        <f>SUM(L8:L28)</f>
        <v>47080.693333333329</v>
      </c>
      <c r="M29" s="750">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c r="D30" s="73"/>
      <c r="E30" s="420"/>
      <c r="F30" s="73"/>
      <c r="G30" s="322"/>
      <c r="H30" s="322"/>
      <c r="I30" s="322"/>
      <c r="J30" s="322"/>
      <c r="K30" s="591"/>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111</v>
      </c>
      <c r="C31" s="87"/>
      <c r="D31" s="87"/>
      <c r="E31" s="87"/>
      <c r="F31" s="87"/>
      <c r="G31" s="322"/>
      <c r="H31" s="322"/>
      <c r="I31" s="322"/>
      <c r="J31" s="322"/>
      <c r="K31" s="3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112</v>
      </c>
      <c r="D32" s="79"/>
      <c r="E32" s="79"/>
      <c r="F32" s="79"/>
      <c r="G32" s="232">
        <v>276045.51</v>
      </c>
      <c r="H32" s="322">
        <v>641500</v>
      </c>
      <c r="I32" s="322">
        <f>SUM(G32:H32)</f>
        <v>917545.51</v>
      </c>
      <c r="J32" s="322"/>
      <c r="K32" s="751">
        <v>932770</v>
      </c>
      <c r="L32" s="506">
        <f>I32-K32</f>
        <v>-15224.489999999991</v>
      </c>
      <c r="M32" s="436">
        <f>L32/K32</f>
        <v>-1.6321804946557019E-2</v>
      </c>
    </row>
    <row r="33" spans="1:15" s="68" customFormat="1" ht="20.25" x14ac:dyDescent="0.2">
      <c r="A33" s="67"/>
      <c r="B33" s="67"/>
      <c r="C33" s="79" t="s">
        <v>113</v>
      </c>
      <c r="D33" s="79"/>
      <c r="E33" s="79"/>
      <c r="F33" s="79"/>
      <c r="G33" s="232">
        <f>60096.8</f>
        <v>60096.800000000003</v>
      </c>
      <c r="H33" s="322">
        <v>131256</v>
      </c>
      <c r="I33" s="322">
        <f>SUM(G33:H33)</f>
        <v>191352.8</v>
      </c>
      <c r="J33" s="322"/>
      <c r="K33" s="752">
        <v>181856</v>
      </c>
      <c r="L33" s="506">
        <f>I33-K33</f>
        <v>9496.7999999999884</v>
      </c>
      <c r="M33" s="436">
        <f>L33/K33</f>
        <v>5.2221537920112554E-2</v>
      </c>
    </row>
    <row r="34" spans="1:15" s="68" customFormat="1" ht="20.25" x14ac:dyDescent="0.2">
      <c r="A34" s="67"/>
      <c r="B34" s="67"/>
      <c r="C34" s="79" t="s">
        <v>114</v>
      </c>
      <c r="D34" s="79"/>
      <c r="E34" s="79"/>
      <c r="F34" s="79"/>
      <c r="G34" s="232">
        <v>600</v>
      </c>
      <c r="H34" s="322">
        <f>150*8</f>
        <v>1200</v>
      </c>
      <c r="I34" s="322">
        <f t="shared" ref="I34:K49" si="3">SUM(G34:H34)</f>
        <v>1800</v>
      </c>
      <c r="J34" s="322"/>
      <c r="K34" s="752">
        <v>1800</v>
      </c>
      <c r="L34" s="506">
        <f t="shared" ref="L34:L49" si="4">I34-K34</f>
        <v>0</v>
      </c>
      <c r="M34" s="436">
        <f t="shared" ref="M34:M49" si="5">L34/K34</f>
        <v>0</v>
      </c>
    </row>
    <row r="35" spans="1:15" s="68" customFormat="1" ht="20.25" x14ac:dyDescent="0.2">
      <c r="A35" s="67"/>
      <c r="B35" s="67"/>
      <c r="C35" s="79" t="s">
        <v>104</v>
      </c>
      <c r="D35" s="79"/>
      <c r="E35" s="79"/>
      <c r="F35" s="79"/>
      <c r="G35" s="232">
        <v>17580</v>
      </c>
      <c r="H35" s="322">
        <f>G35/4*8</f>
        <v>35160</v>
      </c>
      <c r="I35" s="322">
        <f t="shared" si="3"/>
        <v>52740</v>
      </c>
      <c r="J35" s="322"/>
      <c r="K35" s="752">
        <v>46576</v>
      </c>
      <c r="L35" s="506">
        <f t="shared" si="4"/>
        <v>6164</v>
      </c>
      <c r="M35" s="436">
        <f t="shared" si="5"/>
        <v>0.13234283751288217</v>
      </c>
    </row>
    <row r="36" spans="1:15" s="68" customFormat="1" ht="20.25" x14ac:dyDescent="0.2">
      <c r="A36" s="67"/>
      <c r="B36" s="67"/>
      <c r="C36" s="79" t="s">
        <v>115</v>
      </c>
      <c r="D36" s="79"/>
      <c r="E36" s="79"/>
      <c r="F36" s="79"/>
      <c r="G36" s="232">
        <v>6970</v>
      </c>
      <c r="H36" s="322">
        <v>13232</v>
      </c>
      <c r="I36" s="322">
        <f t="shared" si="3"/>
        <v>20202</v>
      </c>
      <c r="J36" s="322"/>
      <c r="K36" s="752">
        <v>19873</v>
      </c>
      <c r="L36" s="506">
        <f t="shared" si="4"/>
        <v>329</v>
      </c>
      <c r="M36" s="436">
        <f t="shared" si="5"/>
        <v>1.6555125044029589E-2</v>
      </c>
    </row>
    <row r="37" spans="1:15" s="68" customFormat="1" ht="20.25" x14ac:dyDescent="0.2">
      <c r="A37" s="67"/>
      <c r="B37" s="67"/>
      <c r="C37" s="79" t="s">
        <v>116</v>
      </c>
      <c r="D37" s="79"/>
      <c r="E37" s="79"/>
      <c r="F37" s="79"/>
      <c r="G37" s="232">
        <v>983</v>
      </c>
      <c r="H37" s="322">
        <f>2736-983</f>
        <v>1753</v>
      </c>
      <c r="I37" s="322">
        <f t="shared" si="3"/>
        <v>2736</v>
      </c>
      <c r="J37" s="322"/>
      <c r="K37" s="752">
        <v>2736</v>
      </c>
      <c r="L37" s="506">
        <f t="shared" si="4"/>
        <v>0</v>
      </c>
      <c r="M37" s="436">
        <f t="shared" si="5"/>
        <v>0</v>
      </c>
      <c r="O37" s="795"/>
    </row>
    <row r="38" spans="1:15" s="68" customFormat="1" ht="20.25" x14ac:dyDescent="0.2">
      <c r="A38" s="67"/>
      <c r="B38" s="67"/>
      <c r="C38" s="79" t="s">
        <v>117</v>
      </c>
      <c r="D38" s="79"/>
      <c r="E38" s="79"/>
      <c r="F38" s="79"/>
      <c r="G38" s="232">
        <v>1426</v>
      </c>
      <c r="H38" s="322">
        <v>4352</v>
      </c>
      <c r="I38" s="322">
        <f t="shared" si="3"/>
        <v>5778</v>
      </c>
      <c r="J38" s="322"/>
      <c r="K38" s="752">
        <v>5022</v>
      </c>
      <c r="L38" s="506">
        <f t="shared" si="4"/>
        <v>756</v>
      </c>
      <c r="M38" s="436">
        <f t="shared" si="5"/>
        <v>0.15053763440860216</v>
      </c>
    </row>
    <row r="39" spans="1:15" s="68" customFormat="1" ht="20.25" x14ac:dyDescent="0.2">
      <c r="A39" s="67"/>
      <c r="B39" s="67"/>
      <c r="C39" s="79" t="s">
        <v>118</v>
      </c>
      <c r="D39" s="79"/>
      <c r="E39" s="79"/>
      <c r="F39" s="79"/>
      <c r="G39" s="232">
        <v>286</v>
      </c>
      <c r="H39" s="322">
        <v>7958</v>
      </c>
      <c r="I39" s="322">
        <f t="shared" si="3"/>
        <v>8244</v>
      </c>
      <c r="J39" s="322"/>
      <c r="K39" s="752">
        <v>6244</v>
      </c>
      <c r="L39" s="506">
        <f t="shared" si="4"/>
        <v>2000</v>
      </c>
      <c r="M39" s="436">
        <f t="shared" si="5"/>
        <v>0.32030749519538759</v>
      </c>
    </row>
    <row r="40" spans="1:15" s="68" customFormat="1" ht="20.25" x14ac:dyDescent="0.2">
      <c r="A40" s="67"/>
      <c r="B40" s="67"/>
      <c r="C40" s="79" t="s">
        <v>119</v>
      </c>
      <c r="D40" s="79"/>
      <c r="E40" s="79"/>
      <c r="F40" s="79"/>
      <c r="G40" s="232">
        <v>14139</v>
      </c>
      <c r="H40" s="322">
        <f>27582</f>
        <v>27582</v>
      </c>
      <c r="I40" s="322">
        <f t="shared" si="3"/>
        <v>41721</v>
      </c>
      <c r="J40" s="322"/>
      <c r="K40" s="752">
        <v>40180</v>
      </c>
      <c r="L40" s="506">
        <f t="shared" si="4"/>
        <v>1541</v>
      </c>
      <c r="M40" s="436">
        <f t="shared" si="5"/>
        <v>3.8352414136386265E-2</v>
      </c>
      <c r="O40" s="262"/>
    </row>
    <row r="41" spans="1:15" s="68" customFormat="1" ht="20.25" x14ac:dyDescent="0.2">
      <c r="A41" s="67"/>
      <c r="B41" s="67"/>
      <c r="C41" s="79" t="s">
        <v>120</v>
      </c>
      <c r="D41" s="79"/>
      <c r="E41" s="79"/>
      <c r="F41" s="79"/>
      <c r="G41" s="232">
        <v>2253</v>
      </c>
      <c r="H41" s="322">
        <v>2960</v>
      </c>
      <c r="I41" s="322">
        <f t="shared" si="3"/>
        <v>5213</v>
      </c>
      <c r="J41" s="322"/>
      <c r="K41" s="752">
        <v>4270</v>
      </c>
      <c r="L41" s="506">
        <f t="shared" si="4"/>
        <v>943</v>
      </c>
      <c r="M41" s="436">
        <f t="shared" si="5"/>
        <v>0.2208430913348946</v>
      </c>
    </row>
    <row r="42" spans="1:15" s="68" customFormat="1" ht="20.25" x14ac:dyDescent="0.2">
      <c r="A42" s="67"/>
      <c r="B42" s="67"/>
      <c r="C42" s="79" t="s">
        <v>121</v>
      </c>
      <c r="D42" s="79"/>
      <c r="E42" s="79"/>
      <c r="F42" s="79"/>
      <c r="G42" s="232">
        <v>386</v>
      </c>
      <c r="H42" s="322">
        <f>1020-G42</f>
        <v>634</v>
      </c>
      <c r="I42" s="322">
        <f t="shared" si="3"/>
        <v>1020</v>
      </c>
      <c r="J42" s="322"/>
      <c r="K42" s="752">
        <v>1020</v>
      </c>
      <c r="L42" s="506">
        <f t="shared" si="4"/>
        <v>0</v>
      </c>
      <c r="M42" s="436">
        <f t="shared" si="5"/>
        <v>0</v>
      </c>
    </row>
    <row r="43" spans="1:15" s="68" customFormat="1" ht="20.25" x14ac:dyDescent="0.2">
      <c r="A43" s="67"/>
      <c r="B43" s="67"/>
      <c r="C43" s="79" t="s">
        <v>166</v>
      </c>
      <c r="D43" s="79"/>
      <c r="E43" s="79"/>
      <c r="F43" s="79"/>
      <c r="G43" s="232">
        <v>10200</v>
      </c>
      <c r="H43" s="322">
        <f>2800+125+25</f>
        <v>2950</v>
      </c>
      <c r="I43" s="322">
        <f t="shared" si="3"/>
        <v>13150</v>
      </c>
      <c r="J43" s="322"/>
      <c r="K43" s="752">
        <v>13618</v>
      </c>
      <c r="L43" s="506">
        <f t="shared" si="4"/>
        <v>-468</v>
      </c>
      <c r="M43" s="436">
        <f t="shared" si="5"/>
        <v>-3.4366279923630491E-2</v>
      </c>
    </row>
    <row r="44" spans="1:15" s="68" customFormat="1" ht="20.25" x14ac:dyDescent="0.2">
      <c r="A44" s="67"/>
      <c r="B44" s="67"/>
      <c r="C44" s="987" t="s">
        <v>324</v>
      </c>
      <c r="D44" s="987"/>
      <c r="E44" s="987"/>
      <c r="F44" s="987"/>
      <c r="G44" s="232"/>
      <c r="H44" s="322">
        <f>SUM([1]Transportaton!N46:S46)</f>
        <v>0</v>
      </c>
      <c r="I44" s="322">
        <f t="shared" si="3"/>
        <v>0</v>
      </c>
      <c r="J44" s="322"/>
      <c r="K44" s="322">
        <f t="shared" si="3"/>
        <v>0</v>
      </c>
      <c r="L44" s="506">
        <f t="shared" si="4"/>
        <v>0</v>
      </c>
      <c r="M44" s="436"/>
      <c r="O44" s="732"/>
    </row>
    <row r="45" spans="1:15" s="68" customFormat="1" ht="20.25" x14ac:dyDescent="0.2">
      <c r="A45" s="67"/>
      <c r="B45" s="67"/>
      <c r="C45" s="79" t="s">
        <v>122</v>
      </c>
      <c r="D45" s="79"/>
      <c r="E45" s="79"/>
      <c r="F45" s="79"/>
      <c r="G45" s="322">
        <v>7626</v>
      </c>
      <c r="H45" s="322">
        <v>7740</v>
      </c>
      <c r="I45" s="322">
        <f t="shared" si="3"/>
        <v>15366</v>
      </c>
      <c r="J45" s="322"/>
      <c r="K45" s="752">
        <v>13802</v>
      </c>
      <c r="L45" s="506">
        <f t="shared" si="4"/>
        <v>1564</v>
      </c>
      <c r="M45" s="436">
        <f t="shared" si="5"/>
        <v>0.11331691059266773</v>
      </c>
    </row>
    <row r="46" spans="1:15" s="68" customFormat="1" ht="20.25" x14ac:dyDescent="0.2">
      <c r="A46" s="67"/>
      <c r="B46" s="67"/>
      <c r="C46" s="79" t="s">
        <v>123</v>
      </c>
      <c r="D46" s="79"/>
      <c r="E46" s="79"/>
      <c r="F46" s="79"/>
      <c r="G46" s="322">
        <v>3742</v>
      </c>
      <c r="H46" s="322">
        <v>7566</v>
      </c>
      <c r="I46" s="322">
        <f t="shared" si="3"/>
        <v>11308</v>
      </c>
      <c r="J46" s="322"/>
      <c r="K46" s="752">
        <v>10740</v>
      </c>
      <c r="L46" s="506">
        <f t="shared" si="4"/>
        <v>568</v>
      </c>
      <c r="M46" s="436">
        <f t="shared" si="5"/>
        <v>5.2886405959031657E-2</v>
      </c>
      <c r="O46" s="732"/>
    </row>
    <row r="47" spans="1:15" s="68" customFormat="1" ht="20.25" x14ac:dyDescent="0.2">
      <c r="A47" s="67"/>
      <c r="B47" s="67"/>
      <c r="C47" s="79" t="s">
        <v>130</v>
      </c>
      <c r="D47" s="79"/>
      <c r="E47" s="79"/>
      <c r="F47" s="79"/>
      <c r="G47" s="232">
        <v>340</v>
      </c>
      <c r="H47" s="322">
        <v>1140</v>
      </c>
      <c r="I47" s="322">
        <f t="shared" si="3"/>
        <v>1480</v>
      </c>
      <c r="J47" s="322"/>
      <c r="K47" s="752">
        <v>1470</v>
      </c>
      <c r="L47" s="506">
        <f t="shared" si="4"/>
        <v>10</v>
      </c>
      <c r="M47" s="436">
        <f t="shared" si="5"/>
        <v>6.8027210884353739E-3</v>
      </c>
    </row>
    <row r="48" spans="1:15" s="68" customFormat="1" ht="20.25" x14ac:dyDescent="0.2">
      <c r="A48" s="67"/>
      <c r="B48" s="67"/>
      <c r="C48" s="79" t="s">
        <v>124</v>
      </c>
      <c r="D48" s="79"/>
      <c r="E48" s="79"/>
      <c r="F48" s="79"/>
      <c r="G48" s="322"/>
      <c r="H48" s="322">
        <v>2500</v>
      </c>
      <c r="I48" s="322">
        <f t="shared" si="3"/>
        <v>2500</v>
      </c>
      <c r="J48" s="322"/>
      <c r="K48" s="752">
        <v>3000</v>
      </c>
      <c r="L48" s="506">
        <f t="shared" si="4"/>
        <v>-500</v>
      </c>
      <c r="M48" s="436">
        <f t="shared" si="5"/>
        <v>-0.16666666666666666</v>
      </c>
      <c r="O48" s="732"/>
    </row>
    <row r="49" spans="1:17" s="68" customFormat="1" ht="20.25" customHeight="1" x14ac:dyDescent="0.2">
      <c r="A49" s="67"/>
      <c r="B49" s="67"/>
      <c r="C49" s="79" t="s">
        <v>199</v>
      </c>
      <c r="D49" s="79"/>
      <c r="E49" s="79"/>
      <c r="F49" s="79"/>
      <c r="G49" s="232">
        <v>462</v>
      </c>
      <c r="H49" s="322">
        <v>4500</v>
      </c>
      <c r="I49" s="322">
        <f t="shared" si="3"/>
        <v>4962</v>
      </c>
      <c r="J49" s="322"/>
      <c r="K49" s="752">
        <v>9980</v>
      </c>
      <c r="L49" s="506">
        <f t="shared" si="4"/>
        <v>-5018</v>
      </c>
      <c r="M49" s="436">
        <f t="shared" si="5"/>
        <v>-0.50280561122244494</v>
      </c>
    </row>
    <row r="50" spans="1:17" s="76" customFormat="1" ht="20.25" x14ac:dyDescent="0.2">
      <c r="A50" s="79"/>
      <c r="B50" s="79"/>
      <c r="C50" s="79" t="s">
        <v>126</v>
      </c>
      <c r="D50" s="79"/>
      <c r="E50" s="79"/>
      <c r="F50" s="79"/>
      <c r="G50" s="322">
        <v>5810</v>
      </c>
      <c r="H50" s="322">
        <v>21380</v>
      </c>
      <c r="I50" s="322">
        <f>G50+H50</f>
        <v>27190</v>
      </c>
      <c r="J50" s="322"/>
      <c r="K50" s="752">
        <v>8437</v>
      </c>
      <c r="L50" s="506">
        <f>I50-K50</f>
        <v>18753</v>
      </c>
      <c r="M50" s="436">
        <f>L50/K50</f>
        <v>2.2227094938959344</v>
      </c>
    </row>
    <row r="51" spans="1:17" s="68" customFormat="1" ht="20.25" x14ac:dyDescent="0.2">
      <c r="A51" s="67"/>
      <c r="B51" s="67"/>
      <c r="C51" s="79" t="s">
        <v>165</v>
      </c>
      <c r="D51" s="79"/>
      <c r="E51" s="79"/>
      <c r="F51" s="79"/>
      <c r="G51" s="232">
        <v>18022</v>
      </c>
      <c r="H51" s="322">
        <v>39426</v>
      </c>
      <c r="I51" s="322">
        <f t="shared" ref="I51:I53" si="6">G51+H51</f>
        <v>57448</v>
      </c>
      <c r="J51" s="322"/>
      <c r="K51" s="752">
        <v>54075</v>
      </c>
      <c r="L51" s="506">
        <f t="shared" ref="L51:L53" si="7">I51-K51</f>
        <v>3373</v>
      </c>
      <c r="M51" s="436">
        <f t="shared" ref="M51:M54" si="8">L51/K51</f>
        <v>6.2376329172445677E-2</v>
      </c>
      <c r="Q51" s="341"/>
    </row>
    <row r="52" spans="1:17" s="68" customFormat="1" ht="20.25" x14ac:dyDescent="0.2">
      <c r="A52" s="67"/>
      <c r="B52" s="67"/>
      <c r="C52" s="79" t="s">
        <v>127</v>
      </c>
      <c r="D52" s="79"/>
      <c r="E52" s="79"/>
      <c r="F52" s="79"/>
      <c r="G52" s="232">
        <v>39998</v>
      </c>
      <c r="H52" s="322">
        <v>31489</v>
      </c>
      <c r="I52" s="322">
        <f t="shared" si="6"/>
        <v>71487</v>
      </c>
      <c r="J52" s="322"/>
      <c r="K52" s="752">
        <v>42592</v>
      </c>
      <c r="L52" s="506">
        <f t="shared" si="7"/>
        <v>28895</v>
      </c>
      <c r="M52" s="436">
        <f t="shared" si="8"/>
        <v>0.67841378662659657</v>
      </c>
    </row>
    <row r="53" spans="1:17" s="68" customFormat="1" ht="21" thickBot="1" x14ac:dyDescent="0.25">
      <c r="A53" s="67"/>
      <c r="B53" s="67"/>
      <c r="C53" s="79" t="s">
        <v>405</v>
      </c>
      <c r="D53" s="79"/>
      <c r="E53" s="79"/>
      <c r="F53" s="79"/>
      <c r="G53" s="241">
        <v>660</v>
      </c>
      <c r="H53" s="398">
        <f>660/4*5</f>
        <v>825</v>
      </c>
      <c r="I53" s="398">
        <f t="shared" si="6"/>
        <v>1485</v>
      </c>
      <c r="J53" s="398"/>
      <c r="K53" s="753">
        <v>1980</v>
      </c>
      <c r="L53" s="509">
        <f t="shared" si="7"/>
        <v>-495</v>
      </c>
      <c r="M53" s="436">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50">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54" t="s">
        <v>419</v>
      </c>
      <c r="D56"/>
      <c r="E56" s="67"/>
      <c r="F56" s="67"/>
      <c r="G56" s="242">
        <f>G29-G54</f>
        <v>-10571.309999999939</v>
      </c>
      <c r="H56" s="242">
        <f>H29-H54</f>
        <v>3758.6933333333582</v>
      </c>
      <c r="I56" s="242">
        <f>G56+H56</f>
        <v>-6812.6166666665813</v>
      </c>
      <c r="J56" s="232"/>
      <c r="K56" s="242">
        <f>K29-K54</f>
        <v>-1206</v>
      </c>
      <c r="L56" s="755">
        <f t="shared" ref="L56" si="9">I56-K56</f>
        <v>-5606.6166666665813</v>
      </c>
      <c r="M56" s="750">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125</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54" t="s">
        <v>420</v>
      </c>
      <c r="D60"/>
      <c r="E60"/>
      <c r="F60"/>
      <c r="G60" s="756">
        <f>G56-G58</f>
        <v>-23391.309999999939</v>
      </c>
      <c r="H60" s="756">
        <f>H56-H58</f>
        <v>-21887.306666666642</v>
      </c>
      <c r="I60" s="756">
        <f>I56-I58</f>
        <v>-45278.616666666581</v>
      </c>
      <c r="J60" s="237"/>
      <c r="K60" s="756">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421</v>
      </c>
      <c r="G64" s="232"/>
      <c r="H64" s="232"/>
      <c r="I64" s="232"/>
      <c r="J64" s="232"/>
      <c r="K64" s="232"/>
    </row>
    <row r="65" spans="1:11" s="68" customFormat="1" ht="20.25" x14ac:dyDescent="0.2">
      <c r="A65" s="67"/>
      <c r="B65" s="67"/>
      <c r="D65" s="79"/>
      <c r="E65" s="67"/>
      <c r="F65" s="796" t="s">
        <v>440</v>
      </c>
      <c r="G65" s="232"/>
      <c r="H65" s="232"/>
      <c r="I65" s="232"/>
      <c r="J65" s="232"/>
      <c r="K65" s="232"/>
    </row>
    <row r="66" spans="1:11" s="68" customFormat="1" ht="23.25" x14ac:dyDescent="0.2">
      <c r="A66" s="67"/>
      <c r="B66" s="271"/>
      <c r="C66" s="67"/>
      <c r="D66" s="67"/>
      <c r="E66" s="67"/>
      <c r="F66" s="796" t="s">
        <v>441</v>
      </c>
      <c r="G66" s="237"/>
      <c r="H66" s="237"/>
      <c r="I66" s="237"/>
      <c r="J66" s="237"/>
      <c r="K66" s="237"/>
    </row>
    <row r="67" spans="1:11" s="68" customFormat="1" ht="20.25" x14ac:dyDescent="0.2">
      <c r="A67" s="67"/>
      <c r="B67" s="67"/>
      <c r="C67" s="67"/>
      <c r="D67" s="67"/>
      <c r="E67" s="67"/>
      <c r="F67" s="796" t="s">
        <v>442</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O112"/>
  <sheetViews>
    <sheetView topLeftCell="A55" zoomScale="80" zoomScaleNormal="80" workbookViewId="0">
      <selection activeCell="G79" sqref="G78:G79"/>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7.125" style="57" customWidth="1"/>
    <col min="7" max="7" width="22.375" style="18" customWidth="1"/>
    <col min="8" max="8" width="1.75" style="18" customWidth="1"/>
    <col min="9" max="9" width="22.25" style="18" customWidth="1"/>
    <col min="10" max="10" width="10" style="18" bestFit="1" customWidth="1"/>
    <col min="11" max="11" width="9" style="521"/>
    <col min="12" max="12" width="11.5" style="190" bestFit="1" customWidth="1"/>
    <col min="13" max="13" width="9" style="521"/>
    <col min="14" max="52" width="9" style="1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119" ht="22.5" customHeight="1" x14ac:dyDescent="0.4">
      <c r="A1" s="58" t="s">
        <v>94</v>
      </c>
      <c r="B1" s="59"/>
      <c r="C1" s="60"/>
      <c r="D1" s="60"/>
      <c r="E1" s="60"/>
      <c r="F1" s="59"/>
      <c r="G1" s="59"/>
      <c r="H1" s="59"/>
      <c r="I1" s="59"/>
      <c r="J1" s="59"/>
      <c r="K1" s="845"/>
      <c r="L1" s="846"/>
      <c r="M1" s="845"/>
      <c r="N1" s="59"/>
      <c r="O1" s="59"/>
      <c r="P1" s="59"/>
      <c r="Q1" s="59"/>
      <c r="R1" s="59"/>
      <c r="S1" s="59"/>
      <c r="T1" s="59"/>
      <c r="U1" s="59"/>
      <c r="V1" s="59"/>
      <c r="W1" s="59"/>
      <c r="X1" s="59"/>
      <c r="Y1" s="59"/>
      <c r="Z1" s="59"/>
      <c r="AA1" s="59"/>
      <c r="AB1" s="59"/>
      <c r="AC1" s="59"/>
      <c r="AD1" s="59"/>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19" ht="22.5" customHeight="1" x14ac:dyDescent="0.4">
      <c r="A2" s="58" t="s">
        <v>492</v>
      </c>
      <c r="B2" s="59"/>
      <c r="C2" s="60"/>
      <c r="D2" s="60"/>
      <c r="E2" s="60"/>
      <c r="F2" s="59"/>
      <c r="G2" s="59"/>
      <c r="H2" s="59"/>
      <c r="I2" s="59"/>
      <c r="J2" s="59"/>
      <c r="K2" s="845"/>
      <c r="L2" s="846"/>
      <c r="M2" s="845"/>
      <c r="N2" s="59"/>
      <c r="O2" s="59"/>
      <c r="P2" s="59"/>
      <c r="Q2" s="59"/>
      <c r="R2" s="59"/>
      <c r="S2" s="59"/>
      <c r="T2" s="59"/>
      <c r="U2" s="59"/>
      <c r="V2" s="59"/>
      <c r="W2" s="59"/>
      <c r="X2" s="59"/>
      <c r="Y2" s="59"/>
      <c r="Z2" s="59"/>
      <c r="AA2" s="59"/>
      <c r="AB2" s="59"/>
      <c r="AC2" s="59"/>
      <c r="AD2" s="59"/>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19" ht="22.5" customHeight="1" x14ac:dyDescent="0.4">
      <c r="A3" s="58" t="s">
        <v>493</v>
      </c>
      <c r="B3" s="59"/>
      <c r="C3" s="60"/>
      <c r="D3" s="60"/>
      <c r="E3" s="60"/>
      <c r="F3" s="59"/>
      <c r="G3" s="59"/>
      <c r="H3" s="59"/>
      <c r="I3" s="59"/>
      <c r="J3" s="59"/>
      <c r="K3" s="845"/>
      <c r="L3" s="846"/>
      <c r="M3" s="845"/>
      <c r="N3" s="59"/>
      <c r="O3" s="59"/>
      <c r="P3" s="59"/>
      <c r="Q3" s="59"/>
      <c r="R3" s="59"/>
      <c r="S3" s="59"/>
      <c r="T3" s="59"/>
      <c r="U3" s="59"/>
      <c r="V3" s="59"/>
      <c r="W3" s="59"/>
      <c r="X3" s="59"/>
      <c r="Y3" s="59"/>
      <c r="Z3" s="59"/>
      <c r="AA3" s="59"/>
      <c r="AB3" s="59"/>
      <c r="AC3" s="59"/>
      <c r="AD3" s="59"/>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row>
    <row r="4" spans="1:119" s="63" customFormat="1" ht="8.25" customHeight="1" x14ac:dyDescent="0.2">
      <c r="A4" s="61"/>
      <c r="B4" s="61"/>
      <c r="C4" s="61"/>
      <c r="D4" s="61"/>
      <c r="E4" s="61"/>
      <c r="F4" s="61"/>
      <c r="G4" s="62"/>
      <c r="H4" s="62"/>
      <c r="I4" s="62"/>
      <c r="J4" s="62"/>
      <c r="K4" s="847"/>
      <c r="L4" s="848"/>
      <c r="M4" s="847"/>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119" s="68" customFormat="1" ht="8.25" customHeight="1" thickBot="1" x14ac:dyDescent="0.25">
      <c r="A5" s="67"/>
      <c r="B5" s="67"/>
      <c r="C5" s="67"/>
      <c r="D5" s="67"/>
      <c r="E5" s="67"/>
      <c r="F5" s="67"/>
      <c r="K5" s="849"/>
      <c r="L5" s="848"/>
      <c r="M5" s="849"/>
    </row>
    <row r="6" spans="1:119" s="74" customFormat="1" ht="48" customHeight="1" thickBot="1" x14ac:dyDescent="0.25">
      <c r="A6" s="73"/>
      <c r="B6" s="850" t="s">
        <v>100</v>
      </c>
      <c r="C6" s="850"/>
      <c r="D6" s="850"/>
      <c r="E6" s="850"/>
      <c r="F6" s="850"/>
      <c r="G6" s="851" t="s">
        <v>494</v>
      </c>
      <c r="H6" s="851"/>
      <c r="I6" s="851" t="s">
        <v>495</v>
      </c>
      <c r="J6" s="68"/>
      <c r="K6" s="849"/>
      <c r="L6" s="848"/>
      <c r="M6" s="849"/>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119" s="74" customFormat="1" ht="20.25" x14ac:dyDescent="0.2">
      <c r="A7" s="73"/>
      <c r="B7" s="73"/>
      <c r="C7" s="420" t="s">
        <v>101</v>
      </c>
      <c r="D7" s="420"/>
      <c r="E7" s="420"/>
      <c r="F7" s="73"/>
      <c r="G7" s="326">
        <v>768013</v>
      </c>
      <c r="H7" s="326"/>
      <c r="I7" s="326">
        <v>795100</v>
      </c>
      <c r="J7" s="68"/>
      <c r="K7" s="849"/>
      <c r="L7" s="848"/>
      <c r="M7" s="849"/>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row>
    <row r="8" spans="1:119" s="74" customFormat="1" ht="20.25" x14ac:dyDescent="0.2">
      <c r="A8" s="73"/>
      <c r="B8" s="73"/>
      <c r="C8" s="420" t="s">
        <v>150</v>
      </c>
      <c r="D8" s="420"/>
      <c r="E8" s="420"/>
      <c r="F8" s="73"/>
      <c r="G8" s="322">
        <v>92000</v>
      </c>
      <c r="H8" s="322"/>
      <c r="I8" s="322">
        <v>88160</v>
      </c>
      <c r="J8" s="68"/>
      <c r="K8" s="849"/>
      <c r="L8" s="848"/>
      <c r="M8" s="849"/>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row>
    <row r="9" spans="1:119" s="74" customFormat="1" ht="20.25" x14ac:dyDescent="0.2">
      <c r="A9" s="73"/>
      <c r="B9" s="73"/>
      <c r="C9" s="420" t="s">
        <v>179</v>
      </c>
      <c r="D9" s="420"/>
      <c r="E9" s="420"/>
      <c r="F9" s="73"/>
      <c r="G9" s="322">
        <v>42167</v>
      </c>
      <c r="H9" s="322"/>
      <c r="I9" s="322">
        <v>32100</v>
      </c>
      <c r="J9" s="68"/>
      <c r="K9" s="849"/>
      <c r="L9" s="848"/>
      <c r="M9" s="849"/>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1:119" s="74" customFormat="1" ht="20.25" x14ac:dyDescent="0.2">
      <c r="A10" s="73"/>
      <c r="B10" s="73"/>
      <c r="C10" s="420" t="s">
        <v>102</v>
      </c>
      <c r="D10" s="420"/>
      <c r="E10" s="420"/>
      <c r="F10" s="73"/>
      <c r="G10" s="322">
        <v>0</v>
      </c>
      <c r="H10" s="322"/>
      <c r="I10" s="322"/>
      <c r="J10" s="68"/>
      <c r="K10" s="849"/>
      <c r="L10" s="848"/>
      <c r="M10" s="849"/>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row>
    <row r="11" spans="1:119" s="74" customFormat="1" ht="20.25" x14ac:dyDescent="0.2">
      <c r="A11" s="73"/>
      <c r="B11" s="73"/>
      <c r="C11" s="77"/>
      <c r="D11" s="420" t="s">
        <v>139</v>
      </c>
      <c r="E11" s="420"/>
      <c r="F11" s="73"/>
      <c r="G11" s="322">
        <f>148159+47500+3687</f>
        <v>199346</v>
      </c>
      <c r="H11" s="322"/>
      <c r="I11" s="322">
        <v>204910</v>
      </c>
      <c r="J11" s="469"/>
      <c r="K11" s="849"/>
      <c r="L11" s="852"/>
      <c r="M11" s="849"/>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row>
    <row r="12" spans="1:119" s="74" customFormat="1" ht="20.25" x14ac:dyDescent="0.2">
      <c r="A12" s="73"/>
      <c r="B12" s="73"/>
      <c r="C12" s="77"/>
      <c r="D12" s="420" t="s">
        <v>159</v>
      </c>
      <c r="E12" s="420"/>
      <c r="F12" s="73"/>
      <c r="G12" s="322">
        <v>18000</v>
      </c>
      <c r="H12" s="322"/>
      <c r="I12" s="322">
        <v>18000</v>
      </c>
      <c r="J12" s="388"/>
      <c r="K12" s="849"/>
      <c r="L12" s="848"/>
      <c r="M12" s="849"/>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row>
    <row r="13" spans="1:119" s="74" customFormat="1" ht="20.25" x14ac:dyDescent="0.2">
      <c r="A13" s="73"/>
      <c r="B13" s="73"/>
      <c r="C13" s="420"/>
      <c r="D13" s="420" t="s">
        <v>403</v>
      </c>
      <c r="E13" s="420"/>
      <c r="F13" s="73"/>
      <c r="G13" s="322">
        <v>30439</v>
      </c>
      <c r="H13" s="322"/>
      <c r="I13" s="322">
        <v>265600</v>
      </c>
      <c r="J13" s="388"/>
      <c r="K13" s="849"/>
      <c r="L13" s="848"/>
      <c r="M13" s="849"/>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row>
    <row r="14" spans="1:119" s="74" customFormat="1" ht="20.25" x14ac:dyDescent="0.2">
      <c r="A14" s="73"/>
      <c r="B14" s="73"/>
      <c r="C14" s="420" t="s">
        <v>376</v>
      </c>
      <c r="D14" s="420"/>
      <c r="E14" s="420"/>
      <c r="F14" s="73"/>
      <c r="G14" s="322">
        <v>20000</v>
      </c>
      <c r="H14" s="322"/>
      <c r="I14" s="322">
        <v>17600</v>
      </c>
      <c r="J14" s="388"/>
      <c r="K14" s="849"/>
      <c r="L14" s="848"/>
      <c r="M14" s="849"/>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row>
    <row r="15" spans="1:119" s="74" customFormat="1" ht="20.25" x14ac:dyDescent="0.2">
      <c r="A15" s="73"/>
      <c r="B15" s="73"/>
      <c r="C15" s="420" t="s">
        <v>110</v>
      </c>
      <c r="D15" s="420"/>
      <c r="E15" s="420"/>
      <c r="F15" s="73"/>
      <c r="G15" s="322">
        <v>684</v>
      </c>
      <c r="H15" s="322"/>
      <c r="I15" s="322">
        <v>420</v>
      </c>
      <c r="J15" s="388"/>
      <c r="K15" s="849"/>
      <c r="L15" s="848"/>
      <c r="M15" s="849"/>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row>
    <row r="16" spans="1:119" s="74" customFormat="1" ht="20.25" x14ac:dyDescent="0.2">
      <c r="A16" s="73"/>
      <c r="B16" s="73"/>
      <c r="C16" s="420" t="s">
        <v>237</v>
      </c>
      <c r="D16" s="420"/>
      <c r="E16" s="420"/>
      <c r="F16" s="73"/>
      <c r="G16" s="322">
        <v>1200</v>
      </c>
      <c r="H16" s="322"/>
      <c r="I16" s="322">
        <v>1000</v>
      </c>
      <c r="J16" s="388"/>
      <c r="K16" s="849"/>
      <c r="L16" s="848"/>
      <c r="M16" s="849"/>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row>
    <row r="17" spans="1:52" s="74" customFormat="1" ht="20.25" x14ac:dyDescent="0.2">
      <c r="A17" s="73"/>
      <c r="B17" s="73"/>
      <c r="C17" s="863" t="s">
        <v>320</v>
      </c>
      <c r="D17" s="863"/>
      <c r="E17" s="863"/>
      <c r="F17" s="864"/>
      <c r="G17" s="322">
        <v>-3000</v>
      </c>
      <c r="H17" s="322"/>
      <c r="I17" s="843">
        <v>-48000</v>
      </c>
      <c r="J17" s="388"/>
      <c r="K17" s="849"/>
      <c r="L17" s="848"/>
      <c r="M17" s="849"/>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row>
    <row r="18" spans="1:52" s="74" customFormat="1" ht="20.25" x14ac:dyDescent="0.2">
      <c r="A18" s="73"/>
      <c r="B18" s="73"/>
      <c r="C18" s="420" t="s">
        <v>415</v>
      </c>
      <c r="D18" s="420"/>
      <c r="E18" s="420"/>
      <c r="F18" s="73"/>
      <c r="G18" s="322">
        <v>282538</v>
      </c>
      <c r="H18" s="322"/>
      <c r="I18" s="322">
        <v>159000</v>
      </c>
      <c r="J18" s="387"/>
      <c r="K18" s="849"/>
      <c r="L18" s="848"/>
      <c r="M18" s="849"/>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row>
    <row r="19" spans="1:52" s="74" customFormat="1" ht="20.25" x14ac:dyDescent="0.2">
      <c r="A19" s="73"/>
      <c r="B19" s="73"/>
      <c r="C19" s="420" t="s">
        <v>109</v>
      </c>
      <c r="D19" s="840"/>
      <c r="E19" s="840"/>
      <c r="F19" s="840"/>
      <c r="G19" s="322">
        <v>52740</v>
      </c>
      <c r="H19" s="322"/>
      <c r="I19" s="322">
        <v>52740</v>
      </c>
      <c r="J19" s="387"/>
      <c r="K19" s="849"/>
      <c r="L19" s="848"/>
      <c r="M19" s="849"/>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row>
    <row r="20" spans="1:52" s="74" customFormat="1" ht="20.25" x14ac:dyDescent="0.2">
      <c r="A20" s="73"/>
      <c r="B20" s="73"/>
      <c r="C20" s="420" t="s">
        <v>418</v>
      </c>
      <c r="D20" s="840"/>
      <c r="E20" s="840"/>
      <c r="F20" s="840"/>
      <c r="G20" s="322">
        <v>10250</v>
      </c>
      <c r="H20" s="322"/>
      <c r="I20" s="322">
        <v>31710</v>
      </c>
      <c r="J20" s="387"/>
      <c r="K20" s="849"/>
      <c r="L20" s="848"/>
      <c r="M20" s="849"/>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row>
    <row r="21" spans="1:52" s="74" customFormat="1" ht="20.25" x14ac:dyDescent="0.2">
      <c r="A21" s="73"/>
      <c r="B21" s="73"/>
      <c r="C21" s="420" t="s">
        <v>102</v>
      </c>
      <c r="D21" s="840"/>
      <c r="E21" s="840"/>
      <c r="F21" s="840"/>
      <c r="G21" s="322">
        <v>20000</v>
      </c>
      <c r="H21" s="322"/>
      <c r="I21" s="322">
        <v>20000</v>
      </c>
      <c r="J21" s="387"/>
      <c r="K21" s="849"/>
      <c r="L21" s="848"/>
      <c r="M21" s="849"/>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row>
    <row r="22" spans="1:52" s="74" customFormat="1" ht="20.25" x14ac:dyDescent="0.2">
      <c r="A22" s="73"/>
      <c r="B22" s="73"/>
      <c r="C22" s="420" t="s">
        <v>319</v>
      </c>
      <c r="D22" s="840"/>
      <c r="E22" s="840"/>
      <c r="F22" s="840"/>
      <c r="G22" s="322">
        <v>52000</v>
      </c>
      <c r="H22" s="322"/>
      <c r="I22" s="322">
        <v>62400</v>
      </c>
      <c r="J22" s="387"/>
      <c r="K22" s="849"/>
      <c r="L22" s="848"/>
      <c r="M22" s="849"/>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row>
    <row r="23" spans="1:52" s="74" customFormat="1" ht="20.25" x14ac:dyDescent="0.2">
      <c r="A23" s="73"/>
      <c r="B23" s="73"/>
      <c r="C23" s="420" t="s">
        <v>321</v>
      </c>
      <c r="D23" s="840"/>
      <c r="E23" s="840"/>
      <c r="F23" s="840"/>
      <c r="G23" s="322">
        <v>18537</v>
      </c>
      <c r="H23" s="322"/>
      <c r="I23" s="322">
        <v>18600</v>
      </c>
      <c r="J23" s="387"/>
      <c r="K23" s="849"/>
      <c r="L23" s="848"/>
      <c r="M23" s="849"/>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row>
    <row r="24" spans="1:52" s="74" customFormat="1" ht="20.25" x14ac:dyDescent="0.2">
      <c r="A24" s="73"/>
      <c r="B24" s="73"/>
      <c r="C24" s="420"/>
      <c r="D24" s="73" t="s">
        <v>105</v>
      </c>
      <c r="E24" s="420"/>
      <c r="F24" s="73"/>
      <c r="G24" s="748">
        <f>SUM(G7:G23)</f>
        <v>1604914</v>
      </c>
      <c r="H24" s="748"/>
      <c r="I24" s="748">
        <f>SUM(I7:I23)</f>
        <v>1719340</v>
      </c>
      <c r="J24" s="68"/>
      <c r="K24" s="849"/>
      <c r="L24" s="848"/>
      <c r="M24" s="849"/>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row>
    <row r="25" spans="1:52" s="74" customFormat="1" ht="21" thickBot="1" x14ac:dyDescent="0.25">
      <c r="A25" s="73"/>
      <c r="B25" s="73"/>
      <c r="C25" s="420"/>
      <c r="D25" s="73"/>
      <c r="E25" s="420"/>
      <c r="F25" s="73"/>
      <c r="G25" s="322"/>
      <c r="H25" s="322"/>
      <c r="I25" s="322"/>
      <c r="J25" s="68"/>
      <c r="K25" s="849"/>
      <c r="L25" s="848"/>
      <c r="M25" s="849"/>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row>
    <row r="26" spans="1:52" s="74" customFormat="1" ht="54.75" thickBot="1" x14ac:dyDescent="0.25">
      <c r="A26" s="73"/>
      <c r="B26" s="850" t="s">
        <v>111</v>
      </c>
      <c r="C26" s="850"/>
      <c r="D26" s="850"/>
      <c r="E26" s="850"/>
      <c r="F26" s="850"/>
      <c r="G26" s="851" t="s">
        <v>494</v>
      </c>
      <c r="H26" s="851"/>
      <c r="I26" s="851" t="s">
        <v>495</v>
      </c>
      <c r="J26" s="68"/>
      <c r="K26" s="849"/>
      <c r="L26" s="848"/>
      <c r="M26" s="849"/>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row>
    <row r="27" spans="1:52" s="68" customFormat="1" ht="20.25" x14ac:dyDescent="0.2">
      <c r="A27" s="67"/>
      <c r="B27" s="67"/>
      <c r="C27" s="79" t="s">
        <v>112</v>
      </c>
      <c r="D27" s="79"/>
      <c r="E27" s="79"/>
      <c r="F27" s="79"/>
      <c r="G27" s="322">
        <v>1121855</v>
      </c>
      <c r="H27" s="322"/>
      <c r="I27" s="322">
        <v>994800</v>
      </c>
      <c r="K27" s="849"/>
      <c r="L27" s="848"/>
      <c r="M27" s="849"/>
    </row>
    <row r="28" spans="1:52" s="68" customFormat="1" ht="20.25" x14ac:dyDescent="0.2">
      <c r="A28" s="67"/>
      <c r="B28" s="67"/>
      <c r="C28" s="79" t="s">
        <v>113</v>
      </c>
      <c r="D28" s="79"/>
      <c r="E28" s="79"/>
      <c r="F28" s="79"/>
      <c r="G28" s="322">
        <v>256895</v>
      </c>
      <c r="H28" s="322"/>
      <c r="I28" s="322">
        <f>199118+20000</f>
        <v>219118</v>
      </c>
      <c r="K28" s="849"/>
      <c r="L28" s="848"/>
      <c r="M28" s="849"/>
    </row>
    <row r="29" spans="1:52" s="68" customFormat="1" ht="20.25" x14ac:dyDescent="0.2">
      <c r="A29" s="67"/>
      <c r="B29" s="67"/>
      <c r="C29" s="79" t="s">
        <v>114</v>
      </c>
      <c r="D29" s="79"/>
      <c r="E29" s="79"/>
      <c r="F29" s="79"/>
      <c r="G29" s="322">
        <v>1800</v>
      </c>
      <c r="H29" s="322"/>
      <c r="I29" s="322">
        <v>1800</v>
      </c>
      <c r="K29" s="849"/>
      <c r="L29" s="848"/>
      <c r="M29" s="849"/>
    </row>
    <row r="30" spans="1:52" s="68" customFormat="1" ht="20.25" x14ac:dyDescent="0.2">
      <c r="A30" s="67"/>
      <c r="B30" s="67"/>
      <c r="C30" s="79" t="s">
        <v>104</v>
      </c>
      <c r="D30" s="79"/>
      <c r="E30" s="79"/>
      <c r="F30" s="79"/>
      <c r="G30" s="322">
        <v>52740</v>
      </c>
      <c r="H30" s="322"/>
      <c r="I30" s="322">
        <v>52740</v>
      </c>
      <c r="K30" s="849"/>
      <c r="L30" s="848"/>
      <c r="M30" s="849"/>
    </row>
    <row r="31" spans="1:52" s="68" customFormat="1" ht="20.25" x14ac:dyDescent="0.2">
      <c r="A31" s="67"/>
      <c r="B31" s="67"/>
      <c r="C31" s="79" t="s">
        <v>115</v>
      </c>
      <c r="D31" s="79"/>
      <c r="E31" s="79"/>
      <c r="F31" s="79"/>
      <c r="G31" s="322">
        <v>22940</v>
      </c>
      <c r="H31" s="322"/>
      <c r="I31" s="322">
        <v>21250</v>
      </c>
      <c r="K31" s="849"/>
      <c r="L31" s="848"/>
      <c r="M31" s="849"/>
    </row>
    <row r="32" spans="1:52" s="68" customFormat="1" ht="20.25" x14ac:dyDescent="0.2">
      <c r="A32" s="67"/>
      <c r="B32" s="67"/>
      <c r="C32" s="79" t="s">
        <v>116</v>
      </c>
      <c r="D32" s="79"/>
      <c r="E32" s="79"/>
      <c r="F32" s="79"/>
      <c r="G32" s="322">
        <v>2385</v>
      </c>
      <c r="H32" s="322"/>
      <c r="I32" s="322">
        <v>2520</v>
      </c>
      <c r="K32" s="849"/>
      <c r="L32" s="848"/>
      <c r="M32" s="849"/>
    </row>
    <row r="33" spans="1:14" s="68" customFormat="1" ht="20.25" x14ac:dyDescent="0.2">
      <c r="A33" s="67"/>
      <c r="B33" s="67"/>
      <c r="C33" s="79" t="s">
        <v>117</v>
      </c>
      <c r="D33" s="79"/>
      <c r="E33" s="79"/>
      <c r="F33" s="79"/>
      <c r="G33" s="322">
        <v>4620</v>
      </c>
      <c r="H33" s="322"/>
      <c r="I33" s="322">
        <v>3720</v>
      </c>
      <c r="K33" s="849"/>
      <c r="L33" s="848"/>
      <c r="M33" s="849"/>
    </row>
    <row r="34" spans="1:14" s="68" customFormat="1" ht="20.25" x14ac:dyDescent="0.2">
      <c r="A34" s="67"/>
      <c r="B34" s="67"/>
      <c r="C34" s="79" t="s">
        <v>118</v>
      </c>
      <c r="D34" s="79"/>
      <c r="E34" s="79"/>
      <c r="F34" s="79"/>
      <c r="G34" s="322">
        <v>13333</v>
      </c>
      <c r="H34" s="322"/>
      <c r="I34" s="322">
        <v>11230</v>
      </c>
      <c r="K34" s="849"/>
      <c r="L34" s="848"/>
      <c r="M34" s="849"/>
    </row>
    <row r="35" spans="1:14" s="68" customFormat="1" ht="20.25" x14ac:dyDescent="0.2">
      <c r="A35" s="67"/>
      <c r="B35" s="67"/>
      <c r="C35" s="79" t="s">
        <v>119</v>
      </c>
      <c r="D35" s="79"/>
      <c r="E35" s="79"/>
      <c r="F35" s="79"/>
      <c r="G35" s="322">
        <f>25674+15000</f>
        <v>40674</v>
      </c>
      <c r="H35" s="322"/>
      <c r="I35" s="322">
        <v>39910</v>
      </c>
      <c r="K35" s="849"/>
      <c r="L35" s="848"/>
      <c r="M35" s="849"/>
    </row>
    <row r="36" spans="1:14" s="68" customFormat="1" ht="20.25" x14ac:dyDescent="0.2">
      <c r="A36" s="67"/>
      <c r="B36" s="67"/>
      <c r="C36" s="79" t="s">
        <v>120</v>
      </c>
      <c r="D36" s="79"/>
      <c r="E36" s="79"/>
      <c r="F36" s="79"/>
      <c r="G36" s="322">
        <v>2918</v>
      </c>
      <c r="H36" s="322"/>
      <c r="I36" s="322">
        <v>3920</v>
      </c>
      <c r="K36" s="849"/>
      <c r="L36" s="848"/>
      <c r="M36" s="849"/>
    </row>
    <row r="37" spans="1:14" s="68" customFormat="1" ht="20.25" x14ac:dyDescent="0.2">
      <c r="A37" s="67"/>
      <c r="B37" s="67"/>
      <c r="C37" s="79" t="s">
        <v>121</v>
      </c>
      <c r="D37" s="79"/>
      <c r="E37" s="79"/>
      <c r="F37" s="79"/>
      <c r="G37" s="322">
        <v>1300</v>
      </c>
      <c r="H37" s="322"/>
      <c r="I37" s="322">
        <f>940+360</f>
        <v>1300</v>
      </c>
      <c r="K37" s="849"/>
      <c r="L37" s="848"/>
      <c r="M37" s="849"/>
    </row>
    <row r="38" spans="1:14" s="68" customFormat="1" ht="20.25" x14ac:dyDescent="0.2">
      <c r="A38" s="67"/>
      <c r="B38" s="67"/>
      <c r="C38" s="79" t="s">
        <v>166</v>
      </c>
      <c r="D38" s="79"/>
      <c r="E38" s="79"/>
      <c r="F38" s="79"/>
      <c r="G38" s="322">
        <v>15125</v>
      </c>
      <c r="H38" s="322"/>
      <c r="I38" s="322">
        <v>16375</v>
      </c>
      <c r="K38" s="849"/>
      <c r="L38" s="848"/>
      <c r="M38" s="849"/>
    </row>
    <row r="39" spans="1:14" s="68" customFormat="1" ht="20.25" x14ac:dyDescent="0.2">
      <c r="A39" s="67"/>
      <c r="B39" s="67"/>
      <c r="C39" s="987" t="s">
        <v>324</v>
      </c>
      <c r="D39" s="987"/>
      <c r="E39" s="987"/>
      <c r="F39" s="987"/>
      <c r="G39" s="322">
        <v>0</v>
      </c>
      <c r="H39" s="322"/>
      <c r="I39" s="322"/>
      <c r="J39" s="732"/>
      <c r="K39" s="849"/>
      <c r="L39" s="848"/>
      <c r="M39" s="849"/>
    </row>
    <row r="40" spans="1:14" s="68" customFormat="1" ht="20.25" x14ac:dyDescent="0.2">
      <c r="A40" s="67"/>
      <c r="B40" s="67"/>
      <c r="C40" s="79" t="s">
        <v>122</v>
      </c>
      <c r="D40" s="79"/>
      <c r="E40" s="79"/>
      <c r="F40" s="79"/>
      <c r="G40" s="322">
        <v>23851</v>
      </c>
      <c r="H40" s="322"/>
      <c r="I40" s="322">
        <v>22610</v>
      </c>
      <c r="K40" s="849"/>
      <c r="L40" s="848"/>
      <c r="M40" s="849"/>
      <c r="N40" s="849"/>
    </row>
    <row r="41" spans="1:14" s="68" customFormat="1" ht="20.25" x14ac:dyDescent="0.2">
      <c r="A41" s="67"/>
      <c r="B41" s="67"/>
      <c r="C41" s="79" t="s">
        <v>123</v>
      </c>
      <c r="D41" s="79"/>
      <c r="E41" s="79"/>
      <c r="F41" s="79"/>
      <c r="G41" s="322">
        <v>13155</v>
      </c>
      <c r="H41" s="322"/>
      <c r="I41" s="322">
        <v>12600</v>
      </c>
      <c r="J41" s="732"/>
      <c r="K41" s="849"/>
      <c r="L41" s="848"/>
      <c r="M41" s="849"/>
    </row>
    <row r="42" spans="1:14" s="68" customFormat="1" ht="20.25" x14ac:dyDescent="0.2">
      <c r="A42" s="67"/>
      <c r="B42" s="67"/>
      <c r="C42" s="79" t="s">
        <v>130</v>
      </c>
      <c r="D42" s="79"/>
      <c r="E42" s="79"/>
      <c r="F42" s="79"/>
      <c r="G42" s="322">
        <v>1320</v>
      </c>
      <c r="H42" s="322"/>
      <c r="I42" s="322">
        <v>900</v>
      </c>
      <c r="K42" s="849"/>
      <c r="L42" s="848"/>
      <c r="M42" s="849"/>
    </row>
    <row r="43" spans="1:14" s="68" customFormat="1" ht="20.25" x14ac:dyDescent="0.2">
      <c r="A43" s="67"/>
      <c r="B43" s="67"/>
      <c r="C43" s="79" t="s">
        <v>124</v>
      </c>
      <c r="D43" s="79"/>
      <c r="E43" s="79"/>
      <c r="F43" s="79"/>
      <c r="G43" s="322">
        <f>1500+4750</f>
        <v>6250</v>
      </c>
      <c r="H43" s="322"/>
      <c r="I43" s="322">
        <v>6750</v>
      </c>
      <c r="J43" s="732"/>
      <c r="K43" s="849"/>
      <c r="L43" s="848"/>
      <c r="M43" s="849"/>
    </row>
    <row r="44" spans="1:14" s="68" customFormat="1" ht="20.25" customHeight="1" x14ac:dyDescent="0.2">
      <c r="A44" s="67"/>
      <c r="B44" s="67"/>
      <c r="C44" s="79" t="s">
        <v>199</v>
      </c>
      <c r="D44" s="79"/>
      <c r="E44" s="79"/>
      <c r="F44" s="79"/>
      <c r="G44" s="322">
        <v>8812</v>
      </c>
      <c r="H44" s="322"/>
      <c r="I44" s="322">
        <v>8840</v>
      </c>
      <c r="K44" s="849"/>
      <c r="L44" s="848"/>
      <c r="M44" s="849"/>
    </row>
    <row r="45" spans="1:14" s="76" customFormat="1" ht="20.25" x14ac:dyDescent="0.2">
      <c r="A45" s="79"/>
      <c r="B45" s="79"/>
      <c r="C45" s="79" t="s">
        <v>126</v>
      </c>
      <c r="D45" s="79"/>
      <c r="E45" s="79"/>
      <c r="F45" s="79"/>
      <c r="G45" s="322">
        <v>13980</v>
      </c>
      <c r="H45" s="322"/>
      <c r="I45" s="322">
        <v>150220</v>
      </c>
      <c r="K45" s="853"/>
      <c r="L45" s="848"/>
      <c r="M45" s="853"/>
    </row>
    <row r="46" spans="1:14" s="68" customFormat="1" ht="20.25" x14ac:dyDescent="0.2">
      <c r="A46" s="67"/>
      <c r="B46" s="67"/>
      <c r="C46" s="79" t="s">
        <v>165</v>
      </c>
      <c r="D46" s="79"/>
      <c r="E46" s="79"/>
      <c r="F46" s="79"/>
      <c r="G46" s="322">
        <v>71775</v>
      </c>
      <c r="H46" s="322"/>
      <c r="I46" s="322">
        <v>75200</v>
      </c>
      <c r="K46" s="849"/>
      <c r="L46" s="848"/>
      <c r="M46" s="849"/>
    </row>
    <row r="47" spans="1:14" s="68" customFormat="1" ht="20.25" x14ac:dyDescent="0.2">
      <c r="A47" s="67"/>
      <c r="B47" s="67"/>
      <c r="C47" s="79" t="s">
        <v>127</v>
      </c>
      <c r="D47" s="79"/>
      <c r="E47" s="79"/>
      <c r="F47" s="79"/>
      <c r="G47" s="322">
        <f>3750+38808</f>
        <v>42558</v>
      </c>
      <c r="H47" s="322"/>
      <c r="I47" s="322">
        <v>79050</v>
      </c>
      <c r="K47" s="849"/>
      <c r="L47" s="848"/>
      <c r="M47" s="849"/>
    </row>
    <row r="48" spans="1:14" s="76" customFormat="1" ht="20.25" x14ac:dyDescent="0.2">
      <c r="A48" s="79"/>
      <c r="B48" s="79"/>
      <c r="D48" s="67" t="s">
        <v>128</v>
      </c>
      <c r="G48" s="322">
        <f>SUM(G27:G47)</f>
        <v>1718286</v>
      </c>
      <c r="H48" s="322"/>
      <c r="I48" s="322">
        <f>SUM(I27:I47)</f>
        <v>1724853</v>
      </c>
      <c r="K48" s="853"/>
      <c r="L48" s="848"/>
      <c r="M48" s="853"/>
    </row>
    <row r="49" spans="1:13" s="76" customFormat="1" ht="8.25" customHeight="1" x14ac:dyDescent="0.2">
      <c r="A49" s="79"/>
      <c r="B49" s="79"/>
      <c r="C49" s="67"/>
      <c r="D49" s="67"/>
      <c r="G49" s="322"/>
      <c r="H49" s="322"/>
      <c r="I49" s="322"/>
      <c r="K49" s="853"/>
      <c r="L49" s="848"/>
      <c r="M49" s="853"/>
    </row>
    <row r="50" spans="1:13" s="76" customFormat="1" ht="20.25" x14ac:dyDescent="0.2">
      <c r="A50" s="79"/>
      <c r="B50" s="79"/>
      <c r="C50" s="854" t="s">
        <v>419</v>
      </c>
      <c r="D50"/>
      <c r="E50" s="67"/>
      <c r="F50" s="67"/>
      <c r="G50" s="242">
        <f>G24-G48</f>
        <v>-113372</v>
      </c>
      <c r="H50" s="232"/>
      <c r="I50" s="242">
        <f>I24-I48</f>
        <v>-5513</v>
      </c>
      <c r="K50" s="853"/>
      <c r="L50" s="848"/>
      <c r="M50" s="853"/>
    </row>
    <row r="51" spans="1:13" s="76" customFormat="1" ht="9" customHeight="1" x14ac:dyDescent="0.2">
      <c r="A51" s="79"/>
      <c r="B51" s="79"/>
      <c r="C51" s="79"/>
      <c r="D51" s="79"/>
      <c r="E51" s="79"/>
      <c r="F51" s="79"/>
      <c r="G51" s="232"/>
      <c r="H51" s="232"/>
      <c r="I51" s="232"/>
      <c r="K51" s="853"/>
      <c r="L51" s="848"/>
      <c r="M51" s="853"/>
    </row>
    <row r="52" spans="1:13" s="76" customFormat="1" ht="23.25" customHeight="1" x14ac:dyDescent="0.2">
      <c r="A52" s="79"/>
      <c r="B52" s="79"/>
      <c r="C52" s="79" t="s">
        <v>483</v>
      </c>
      <c r="D52" s="79"/>
      <c r="F52" s="79"/>
      <c r="G52" s="232">
        <v>48285</v>
      </c>
      <c r="H52" s="232"/>
      <c r="I52" s="232">
        <v>39540</v>
      </c>
      <c r="K52" s="853"/>
      <c r="L52" s="848"/>
      <c r="M52" s="853"/>
    </row>
    <row r="53" spans="1:13" s="76" customFormat="1" ht="20.25" x14ac:dyDescent="0.2">
      <c r="A53" s="79"/>
      <c r="B53" s="79"/>
      <c r="C53" s="79" t="s">
        <v>32</v>
      </c>
      <c r="D53" s="79"/>
      <c r="F53" s="79"/>
      <c r="G53" s="232">
        <v>5933</v>
      </c>
      <c r="H53" s="232"/>
      <c r="I53" s="232">
        <v>465</v>
      </c>
      <c r="K53" s="853"/>
      <c r="L53" s="848"/>
      <c r="M53" s="853"/>
    </row>
    <row r="54" spans="1:13" s="76" customFormat="1" ht="9" customHeight="1" thickBot="1" x14ac:dyDescent="0.25">
      <c r="A54" s="79"/>
      <c r="B54" s="79"/>
      <c r="C54" s="79"/>
      <c r="D54" s="79"/>
      <c r="E54" s="79"/>
      <c r="F54" s="79"/>
      <c r="G54" s="232"/>
      <c r="H54" s="232"/>
      <c r="I54" s="232"/>
      <c r="K54" s="853"/>
      <c r="L54" s="848"/>
      <c r="M54" s="853"/>
    </row>
    <row r="55" spans="1:13" s="68" customFormat="1" ht="21.75" thickTop="1" thickBot="1" x14ac:dyDescent="0.25">
      <c r="A55" s="67"/>
      <c r="B55" s="67"/>
      <c r="C55" s="855" t="s">
        <v>420</v>
      </c>
      <c r="D55" s="856"/>
      <c r="E55" s="856"/>
      <c r="F55" s="856"/>
      <c r="G55" s="857">
        <f>G50-G53-G52</f>
        <v>-167590</v>
      </c>
      <c r="H55" s="857"/>
      <c r="I55" s="857">
        <f>I50-I53-I52</f>
        <v>-45518</v>
      </c>
      <c r="K55" s="849"/>
      <c r="L55" s="848"/>
      <c r="M55" s="849"/>
    </row>
    <row r="56" spans="1:13" s="68" customFormat="1" ht="21" thickTop="1" x14ac:dyDescent="0.2">
      <c r="A56" s="67"/>
      <c r="B56" s="67"/>
      <c r="C56" s="67"/>
      <c r="D56" s="67"/>
      <c r="E56" s="67"/>
      <c r="F56" s="67"/>
      <c r="G56" s="237"/>
      <c r="H56" s="237"/>
      <c r="K56" s="849"/>
      <c r="L56" s="848"/>
      <c r="M56" s="849"/>
    </row>
    <row r="57" spans="1:13" s="18" customFormat="1" ht="20.25" x14ac:dyDescent="0.3">
      <c r="A57" s="122"/>
      <c r="B57" s="858" t="s">
        <v>496</v>
      </c>
      <c r="C57" s="859"/>
      <c r="D57" s="122"/>
      <c r="E57" s="122"/>
      <c r="F57" s="759"/>
      <c r="G57" s="277"/>
      <c r="H57" s="277"/>
      <c r="I57" s="859"/>
      <c r="K57" s="521"/>
      <c r="L57" s="190"/>
      <c r="M57" s="521"/>
    </row>
    <row r="58" spans="1:13" s="18" customFormat="1" ht="9.75" customHeight="1" x14ac:dyDescent="0.3">
      <c r="A58" s="122"/>
      <c r="B58" s="858"/>
      <c r="C58" s="859"/>
      <c r="D58" s="122"/>
      <c r="E58" s="122"/>
      <c r="F58" s="759"/>
      <c r="G58" s="277"/>
      <c r="H58" s="277"/>
      <c r="I58" s="859"/>
      <c r="K58" s="521"/>
      <c r="L58" s="190"/>
      <c r="M58" s="521"/>
    </row>
    <row r="59" spans="1:13" s="18" customFormat="1" ht="20.25" x14ac:dyDescent="0.3">
      <c r="A59" s="122"/>
      <c r="B59" s="858"/>
      <c r="C59" s="860" t="s">
        <v>497</v>
      </c>
      <c r="D59" s="122"/>
      <c r="E59" s="122"/>
      <c r="F59" s="759"/>
      <c r="G59" s="277"/>
      <c r="H59" s="277"/>
      <c r="I59" s="859"/>
      <c r="K59" s="521"/>
      <c r="L59" s="190"/>
      <c r="M59" s="521"/>
    </row>
    <row r="60" spans="1:13" s="18" customFormat="1" ht="20.25" x14ac:dyDescent="0.3">
      <c r="A60" s="122"/>
      <c r="B60" s="858"/>
      <c r="C60" s="861" t="s">
        <v>498</v>
      </c>
      <c r="D60" s="122"/>
      <c r="E60" s="122"/>
      <c r="F60" s="759"/>
      <c r="G60" s="277"/>
      <c r="H60" s="277"/>
      <c r="I60" s="859"/>
      <c r="K60" s="521"/>
      <c r="L60" s="190"/>
      <c r="M60" s="521"/>
    </row>
    <row r="61" spans="1:13" s="18" customFormat="1" ht="33.75" customHeight="1" x14ac:dyDescent="0.3">
      <c r="A61" s="122"/>
      <c r="B61" s="858"/>
      <c r="C61" s="988" t="s">
        <v>548</v>
      </c>
      <c r="D61" s="988"/>
      <c r="E61" s="988"/>
      <c r="F61" s="988"/>
      <c r="G61" s="988"/>
      <c r="H61" s="988"/>
      <c r="I61" s="988"/>
      <c r="K61" s="521"/>
      <c r="L61" s="190"/>
      <c r="M61" s="521"/>
    </row>
    <row r="62" spans="1:13" s="911" customFormat="1" ht="39" customHeight="1" x14ac:dyDescent="0.2">
      <c r="A62" s="909"/>
      <c r="B62" s="910"/>
      <c r="C62" s="989" t="s">
        <v>547</v>
      </c>
      <c r="D62" s="989"/>
      <c r="E62" s="989"/>
      <c r="F62" s="989"/>
      <c r="G62" s="989"/>
      <c r="H62" s="989"/>
      <c r="I62" s="989"/>
      <c r="K62" s="912"/>
      <c r="L62" s="913"/>
      <c r="M62" s="912"/>
    </row>
    <row r="63" spans="1:13" s="18" customFormat="1" ht="20.25" x14ac:dyDescent="0.3">
      <c r="A63" s="122"/>
      <c r="B63" s="858"/>
      <c r="C63" s="861" t="s">
        <v>544</v>
      </c>
      <c r="D63" s="122"/>
      <c r="E63" s="122"/>
      <c r="F63" s="759"/>
      <c r="G63" s="277"/>
      <c r="H63" s="277"/>
      <c r="I63" s="859"/>
      <c r="K63" s="521"/>
      <c r="L63" s="190"/>
      <c r="M63" s="521"/>
    </row>
    <row r="64" spans="1:13" s="18" customFormat="1" ht="20.25" x14ac:dyDescent="0.3">
      <c r="A64" s="122"/>
      <c r="B64" s="858"/>
      <c r="C64" s="18">
        <v>1</v>
      </c>
      <c r="D64" s="861" t="s">
        <v>529</v>
      </c>
      <c r="E64" s="122"/>
      <c r="F64" s="759"/>
      <c r="G64" s="277"/>
      <c r="H64" s="277"/>
      <c r="I64" s="859"/>
      <c r="K64" s="521"/>
      <c r="L64" s="190"/>
      <c r="M64" s="521"/>
    </row>
    <row r="65" spans="1:15" s="18" customFormat="1" ht="20.25" x14ac:dyDescent="0.3">
      <c r="A65" s="122"/>
      <c r="B65" s="858"/>
      <c r="C65" s="861">
        <v>2</v>
      </c>
      <c r="D65" s="908" t="s">
        <v>530</v>
      </c>
      <c r="E65" s="122"/>
      <c r="F65" s="759"/>
      <c r="G65" s="277"/>
      <c r="H65" s="277"/>
      <c r="I65" s="859"/>
      <c r="K65" s="521"/>
      <c r="L65" s="190"/>
      <c r="M65" s="521"/>
    </row>
    <row r="66" spans="1:15" s="18" customFormat="1" ht="20.25" x14ac:dyDescent="0.3">
      <c r="A66" s="122"/>
      <c r="B66" s="858"/>
      <c r="C66" s="861">
        <v>3</v>
      </c>
      <c r="D66" s="908" t="s">
        <v>531</v>
      </c>
      <c r="E66" s="122"/>
      <c r="F66" s="759"/>
      <c r="G66" s="277"/>
      <c r="H66" s="277"/>
      <c r="I66" s="859"/>
      <c r="K66" s="521"/>
      <c r="L66" s="190"/>
      <c r="M66" s="521"/>
    </row>
    <row r="67" spans="1:15" s="18" customFormat="1" ht="20.25" x14ac:dyDescent="0.3">
      <c r="A67" s="122"/>
      <c r="B67" s="858"/>
      <c r="C67" s="861" t="s">
        <v>545</v>
      </c>
      <c r="D67" s="908"/>
      <c r="E67" s="122"/>
      <c r="F67" s="759"/>
      <c r="G67" s="277"/>
      <c r="H67" s="277"/>
      <c r="I67" s="859"/>
      <c r="K67" s="521"/>
      <c r="L67" s="190"/>
      <c r="M67" s="521"/>
    </row>
    <row r="68" spans="1:15" s="18" customFormat="1" ht="39.75" customHeight="1" x14ac:dyDescent="0.3">
      <c r="A68" s="122"/>
      <c r="B68" s="858"/>
      <c r="C68" s="988" t="s">
        <v>546</v>
      </c>
      <c r="D68" s="988"/>
      <c r="E68" s="988"/>
      <c r="F68" s="988"/>
      <c r="G68" s="988"/>
      <c r="H68" s="988"/>
      <c r="I68" s="988"/>
      <c r="K68" s="521"/>
      <c r="L68" s="190"/>
      <c r="M68" s="521"/>
      <c r="O68" s="1"/>
    </row>
    <row r="69" spans="1:15" ht="20.25" customHeight="1" x14ac:dyDescent="0.2">
      <c r="C69" s="988" t="s">
        <v>549</v>
      </c>
      <c r="D69" s="988"/>
      <c r="E69" s="988"/>
      <c r="F69" s="988"/>
      <c r="G69" s="988"/>
      <c r="H69" s="988"/>
      <c r="I69" s="988"/>
      <c r="O69" s="1"/>
    </row>
    <row r="70" spans="1:15" ht="11.25" customHeight="1" x14ac:dyDescent="0.3">
      <c r="C70" s="861"/>
      <c r="F70" s="760"/>
      <c r="G70" s="277"/>
      <c r="H70" s="277"/>
      <c r="I70" s="859"/>
      <c r="O70" s="1"/>
    </row>
    <row r="71" spans="1:15" ht="20.25" x14ac:dyDescent="0.3">
      <c r="C71" s="862" t="s">
        <v>499</v>
      </c>
      <c r="F71" s="760"/>
      <c r="G71" s="277"/>
      <c r="H71" s="277"/>
      <c r="I71" s="859"/>
      <c r="O71" s="1"/>
    </row>
    <row r="72" spans="1:15" ht="38.25" customHeight="1" x14ac:dyDescent="0.2">
      <c r="C72" s="988" t="s">
        <v>500</v>
      </c>
      <c r="D72" s="988"/>
      <c r="E72" s="988"/>
      <c r="F72" s="988"/>
      <c r="G72" s="988"/>
      <c r="H72" s="988"/>
      <c r="I72" s="988"/>
      <c r="O72" s="1"/>
    </row>
    <row r="73" spans="1:15" ht="37.5" customHeight="1" x14ac:dyDescent="0.2">
      <c r="C73" s="989" t="s">
        <v>543</v>
      </c>
      <c r="D73" s="989"/>
      <c r="E73" s="989"/>
      <c r="F73" s="989"/>
      <c r="G73" s="989"/>
      <c r="H73" s="989"/>
      <c r="I73" s="989"/>
      <c r="O73" s="1"/>
    </row>
    <row r="74" spans="1:15" ht="18" x14ac:dyDescent="0.25">
      <c r="C74" s="861" t="s">
        <v>501</v>
      </c>
      <c r="F74" s="760"/>
      <c r="G74" s="859"/>
      <c r="H74" s="859"/>
      <c r="I74" s="859"/>
      <c r="O74" s="1"/>
    </row>
    <row r="75" spans="1:15" ht="18" x14ac:dyDescent="0.25">
      <c r="C75" s="861" t="s">
        <v>541</v>
      </c>
      <c r="F75" s="760"/>
      <c r="G75" s="859"/>
      <c r="H75" s="859"/>
      <c r="I75" s="859"/>
      <c r="O75" s="1"/>
    </row>
    <row r="76" spans="1:15" ht="29.25" customHeight="1" x14ac:dyDescent="0.2">
      <c r="C76" s="988" t="s">
        <v>542</v>
      </c>
      <c r="D76" s="988"/>
      <c r="E76" s="988"/>
      <c r="F76" s="988"/>
      <c r="G76" s="988"/>
      <c r="H76" s="988"/>
      <c r="I76" s="988"/>
      <c r="O76" s="1"/>
    </row>
    <row r="77" spans="1:15" ht="18" x14ac:dyDescent="0.25">
      <c r="C77" s="279" t="s">
        <v>532</v>
      </c>
      <c r="F77" s="760"/>
      <c r="G77" s="859"/>
      <c r="H77" s="859"/>
      <c r="I77" s="859"/>
      <c r="O77" s="1"/>
    </row>
    <row r="78" spans="1:15" ht="18" x14ac:dyDescent="0.25">
      <c r="C78" s="279">
        <v>1</v>
      </c>
      <c r="D78" s="279" t="s">
        <v>533</v>
      </c>
      <c r="F78" s="760"/>
      <c r="G78" s="859"/>
      <c r="H78" s="859"/>
      <c r="I78" s="859"/>
      <c r="O78" s="1"/>
    </row>
    <row r="79" spans="1:15" ht="18" x14ac:dyDescent="0.25">
      <c r="C79" s="279">
        <v>2</v>
      </c>
      <c r="D79" s="279" t="s">
        <v>539</v>
      </c>
      <c r="F79" s="760"/>
    </row>
    <row r="80" spans="1:15" ht="18" x14ac:dyDescent="0.25">
      <c r="C80" s="279">
        <v>3</v>
      </c>
      <c r="D80" s="279" t="s">
        <v>540</v>
      </c>
      <c r="F80" s="760"/>
    </row>
    <row r="81" spans="3:6" ht="18" x14ac:dyDescent="0.25">
      <c r="C81" s="279">
        <v>4</v>
      </c>
      <c r="D81" s="279" t="s">
        <v>535</v>
      </c>
      <c r="F81" s="760"/>
    </row>
    <row r="82" spans="3:6" ht="18" x14ac:dyDescent="0.25">
      <c r="C82" s="279" t="s">
        <v>534</v>
      </c>
      <c r="D82" s="279"/>
      <c r="F82" s="760"/>
    </row>
    <row r="83" spans="3:6" ht="18" x14ac:dyDescent="0.25">
      <c r="C83" s="279" t="s">
        <v>537</v>
      </c>
      <c r="D83" s="279"/>
      <c r="F83" s="760"/>
    </row>
    <row r="84" spans="3:6" ht="18" x14ac:dyDescent="0.25">
      <c r="C84" s="279">
        <v>1</v>
      </c>
      <c r="D84" s="279" t="s">
        <v>536</v>
      </c>
      <c r="F84" s="761"/>
    </row>
    <row r="85" spans="3:6" ht="18" x14ac:dyDescent="0.25">
      <c r="C85" s="279">
        <v>2</v>
      </c>
      <c r="D85" s="279" t="s">
        <v>538</v>
      </c>
      <c r="F85" s="761"/>
    </row>
    <row r="86" spans="3:6" x14ac:dyDescent="0.2">
      <c r="C86" s="279" t="s">
        <v>534</v>
      </c>
      <c r="D86" s="279"/>
    </row>
    <row r="87" spans="3:6" x14ac:dyDescent="0.2">
      <c r="C87" s="279" t="s">
        <v>550</v>
      </c>
      <c r="D87" s="279"/>
    </row>
    <row r="88" spans="3:6" x14ac:dyDescent="0.2">
      <c r="C88" s="279" t="s">
        <v>551</v>
      </c>
      <c r="D88" s="279"/>
    </row>
    <row r="89" spans="3:6" x14ac:dyDescent="0.2">
      <c r="C89" s="279"/>
      <c r="D89" s="279"/>
    </row>
    <row r="90" spans="3:6" x14ac:dyDescent="0.2">
      <c r="C90" s="279"/>
      <c r="D90" s="279"/>
    </row>
    <row r="91" spans="3:6" x14ac:dyDescent="0.2">
      <c r="C91" s="279"/>
      <c r="D91" s="279"/>
    </row>
    <row r="92" spans="3:6" x14ac:dyDescent="0.2">
      <c r="C92" s="279"/>
      <c r="D92" s="279"/>
    </row>
    <row r="93" spans="3:6" x14ac:dyDescent="0.2">
      <c r="C93" s="279"/>
      <c r="D93" s="279"/>
    </row>
    <row r="94" spans="3:6" x14ac:dyDescent="0.2">
      <c r="C94" s="279"/>
      <c r="D94" s="279"/>
    </row>
    <row r="95" spans="3:6" x14ac:dyDescent="0.2">
      <c r="C95" s="279"/>
      <c r="D95" s="279"/>
    </row>
    <row r="96" spans="3:6" x14ac:dyDescent="0.2">
      <c r="C96" s="279"/>
      <c r="D96" s="279"/>
    </row>
    <row r="97" spans="3:4" x14ac:dyDescent="0.2">
      <c r="C97" s="279"/>
      <c r="D97" s="279"/>
    </row>
    <row r="98" spans="3:4" x14ac:dyDescent="0.2">
      <c r="C98" s="279"/>
    </row>
    <row r="99" spans="3:4" x14ac:dyDescent="0.2">
      <c r="C99" s="279"/>
    </row>
    <row r="100" spans="3:4" x14ac:dyDescent="0.2">
      <c r="C100" s="279"/>
    </row>
    <row r="101" spans="3:4" x14ac:dyDescent="0.2">
      <c r="C101" s="279"/>
    </row>
    <row r="102" spans="3:4" x14ac:dyDescent="0.2">
      <c r="C102" s="279"/>
    </row>
    <row r="103" spans="3:4" x14ac:dyDescent="0.2">
      <c r="C103" s="279"/>
    </row>
    <row r="104" spans="3:4" x14ac:dyDescent="0.2">
      <c r="C104" s="279"/>
    </row>
    <row r="105" spans="3:4" x14ac:dyDescent="0.2">
      <c r="C105" s="279"/>
    </row>
    <row r="106" spans="3:4" x14ac:dyDescent="0.2">
      <c r="C106" s="279"/>
    </row>
    <row r="107" spans="3:4" x14ac:dyDescent="0.2">
      <c r="C107" s="279"/>
    </row>
    <row r="108" spans="3:4" x14ac:dyDescent="0.2">
      <c r="C108" s="279"/>
    </row>
    <row r="109" spans="3:4" x14ac:dyDescent="0.2">
      <c r="C109" s="279"/>
    </row>
    <row r="110" spans="3:4" x14ac:dyDescent="0.2">
      <c r="C110" s="279"/>
    </row>
    <row r="111" spans="3:4" x14ac:dyDescent="0.2">
      <c r="C111" s="279"/>
    </row>
    <row r="112" spans="3:4" x14ac:dyDescent="0.2">
      <c r="C112" s="27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B117"/>
  <sheetViews>
    <sheetView zoomScale="70" zoomScaleNormal="70" workbookViewId="0">
      <selection activeCell="F41" sqref="F41"/>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51.375" style="57" bestFit="1" customWidth="1"/>
    <col min="7" max="7" width="24.25" style="57" customWidth="1"/>
    <col min="8" max="9" width="24.125" style="57" customWidth="1"/>
    <col min="10" max="10" width="24.125" style="18" customWidth="1"/>
    <col min="11" max="11" width="22.875" style="18" bestFit="1" customWidth="1"/>
    <col min="12" max="12" width="10.25" style="366" bestFit="1" customWidth="1"/>
    <col min="13" max="13" width="10.875" style="18" bestFit="1" customWidth="1"/>
    <col min="14" max="15" width="10.875" style="18" customWidth="1"/>
    <col min="16" max="16" width="10.5" style="18" bestFit="1" customWidth="1"/>
    <col min="17" max="17" width="15.25" style="18" customWidth="1"/>
    <col min="18" max="18" width="14.625" style="897" customWidth="1"/>
    <col min="19" max="22" width="9" style="18"/>
    <col min="23" max="23" width="13.125" style="876" customWidth="1"/>
    <col min="24" max="24" width="18" style="18" customWidth="1"/>
    <col min="25" max="25" width="11.375" style="898" bestFit="1" customWidth="1"/>
    <col min="26" max="39" width="9" style="18"/>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106" ht="22.5" customHeight="1" x14ac:dyDescent="0.4">
      <c r="A1" s="58" t="s">
        <v>94</v>
      </c>
      <c r="B1" s="59"/>
      <c r="C1" s="60"/>
      <c r="D1" s="60"/>
      <c r="E1" s="60"/>
      <c r="F1" s="59"/>
      <c r="G1" s="59"/>
      <c r="H1" s="59"/>
      <c r="I1" s="59"/>
      <c r="J1" s="59"/>
      <c r="K1" s="59"/>
      <c r="L1" s="358"/>
      <c r="M1" s="59"/>
      <c r="N1" s="59"/>
      <c r="O1" s="59"/>
      <c r="P1" s="59"/>
      <c r="Q1" s="59"/>
      <c r="R1" s="865"/>
      <c r="S1" s="4"/>
      <c r="T1" s="4"/>
      <c r="U1" s="4"/>
      <c r="V1" s="4"/>
      <c r="W1" s="9"/>
      <c r="X1" s="4"/>
      <c r="Y1" s="866"/>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spans="1:106" ht="22.5" customHeight="1" x14ac:dyDescent="0.4">
      <c r="A2" s="58" t="s">
        <v>213</v>
      </c>
      <c r="B2" s="59"/>
      <c r="C2" s="60"/>
      <c r="D2" s="60"/>
      <c r="E2" s="60"/>
      <c r="F2" s="59"/>
      <c r="G2" s="59"/>
      <c r="H2" s="59"/>
      <c r="I2" s="59"/>
      <c r="J2" s="59"/>
      <c r="K2" s="59"/>
      <c r="L2" s="358"/>
      <c r="M2" s="59"/>
      <c r="N2" s="59"/>
      <c r="O2" s="59"/>
      <c r="P2" s="59"/>
      <c r="Q2" s="59"/>
      <c r="R2" s="865"/>
      <c r="S2" s="4"/>
      <c r="T2" s="4"/>
      <c r="U2" s="4"/>
      <c r="V2" s="4"/>
      <c r="W2" s="9"/>
      <c r="X2" s="4"/>
      <c r="Y2" s="866"/>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ht="21.75" hidden="1" customHeight="1" x14ac:dyDescent="0.4">
      <c r="A3" s="58" t="str">
        <f>'[2]August''22 State of Activities'!A3</f>
        <v>Eight Months Ended August 31, 2022 and 2021</v>
      </c>
      <c r="B3" s="59"/>
      <c r="C3" s="60"/>
      <c r="D3" s="60"/>
      <c r="E3" s="60"/>
      <c r="F3" s="59"/>
      <c r="G3" s="59"/>
      <c r="H3" s="59"/>
      <c r="I3" s="59"/>
      <c r="J3" s="59"/>
      <c r="K3" s="59"/>
      <c r="L3" s="358"/>
      <c r="M3" s="59"/>
      <c r="N3" s="59"/>
      <c r="O3" s="59"/>
      <c r="P3" s="59"/>
      <c r="Q3" s="59"/>
      <c r="R3" s="865"/>
      <c r="S3" s="4"/>
      <c r="T3" s="4"/>
      <c r="U3" s="4"/>
      <c r="V3" s="4"/>
      <c r="W3" s="9"/>
      <c r="X3" s="4"/>
      <c r="Y3" s="866"/>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row>
    <row r="4" spans="1:106" ht="22.5" customHeight="1" x14ac:dyDescent="0.4">
      <c r="A4" s="58" t="s">
        <v>502</v>
      </c>
      <c r="B4" s="59"/>
      <c r="C4" s="60"/>
      <c r="D4" s="60"/>
      <c r="E4" s="60"/>
      <c r="F4" s="59"/>
      <c r="G4" s="59"/>
      <c r="H4" s="59"/>
      <c r="I4" s="59"/>
      <c r="J4" s="59"/>
      <c r="K4" s="59"/>
      <c r="L4" s="358"/>
      <c r="M4" s="59"/>
      <c r="N4" s="59"/>
      <c r="O4" s="59"/>
      <c r="P4" s="59"/>
      <c r="Q4" s="59"/>
      <c r="R4" s="865"/>
      <c r="S4" s="4"/>
      <c r="T4" s="4"/>
      <c r="U4" s="4"/>
      <c r="V4" s="4"/>
      <c r="W4" s="9"/>
      <c r="X4" s="4"/>
      <c r="Y4" s="866"/>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row>
    <row r="5" spans="1:106" s="63" customFormat="1" ht="8.25" customHeight="1" thickBot="1" x14ac:dyDescent="0.25">
      <c r="A5" s="61"/>
      <c r="B5" s="61"/>
      <c r="C5" s="61"/>
      <c r="D5" s="61"/>
      <c r="E5" s="61"/>
      <c r="F5" s="61"/>
      <c r="G5" s="61"/>
      <c r="H5" s="61"/>
      <c r="I5" s="61"/>
      <c r="J5" s="62"/>
      <c r="K5" s="320"/>
      <c r="L5" s="359"/>
      <c r="M5" s="62"/>
      <c r="N5" s="62"/>
      <c r="O5" s="62"/>
      <c r="P5" s="62"/>
      <c r="Q5" s="62"/>
      <c r="R5" s="867"/>
      <c r="S5" s="62"/>
      <c r="T5" s="62"/>
      <c r="U5" s="62"/>
      <c r="V5" s="62"/>
      <c r="W5" s="868"/>
      <c r="X5" s="62"/>
      <c r="Y5" s="869"/>
      <c r="Z5" s="62"/>
      <c r="AA5" s="62"/>
      <c r="AB5" s="62"/>
      <c r="AC5" s="62"/>
      <c r="AD5" s="62"/>
      <c r="AE5" s="62"/>
      <c r="AF5" s="62"/>
      <c r="AG5" s="62"/>
      <c r="AH5" s="62"/>
      <c r="AI5" s="62"/>
      <c r="AJ5" s="62"/>
      <c r="AK5" s="62"/>
      <c r="AL5" s="62"/>
      <c r="AM5" s="62"/>
    </row>
    <row r="6" spans="1:106" s="66" customFormat="1" ht="24.75" customHeight="1" thickTop="1" thickBot="1" x14ac:dyDescent="0.25">
      <c r="A6" s="64" t="s">
        <v>108</v>
      </c>
      <c r="B6" s="64"/>
      <c r="C6" s="64"/>
      <c r="D6" s="64"/>
      <c r="E6" s="64"/>
      <c r="F6" s="64"/>
      <c r="G6" s="64"/>
      <c r="H6" s="64"/>
      <c r="I6" s="64"/>
      <c r="J6" s="837"/>
      <c r="K6" s="870"/>
      <c r="L6" s="360"/>
      <c r="M6" s="65"/>
      <c r="N6" s="65"/>
      <c r="O6" s="65"/>
      <c r="P6" s="65"/>
      <c r="Q6" s="65"/>
      <c r="R6" s="871"/>
      <c r="S6" s="65"/>
      <c r="T6" s="65"/>
      <c r="U6" s="65"/>
      <c r="V6" s="65"/>
      <c r="W6" s="872"/>
      <c r="X6" s="65"/>
      <c r="Y6" s="873"/>
      <c r="Z6" s="65"/>
      <c r="AA6" s="65"/>
      <c r="AB6" s="65"/>
      <c r="AC6" s="65"/>
      <c r="AD6" s="65"/>
      <c r="AE6" s="65"/>
      <c r="AF6" s="65"/>
      <c r="AG6" s="65"/>
      <c r="AH6" s="65"/>
      <c r="AI6" s="65"/>
      <c r="AJ6" s="65"/>
      <c r="AK6" s="65"/>
      <c r="AL6" s="65"/>
      <c r="AM6" s="65"/>
    </row>
    <row r="7" spans="1:106" s="68" customFormat="1" ht="8.25" customHeight="1" thickTop="1" x14ac:dyDescent="0.2">
      <c r="A7" s="67"/>
      <c r="B7" s="67"/>
      <c r="C7" s="67"/>
      <c r="D7" s="67"/>
      <c r="E7" s="67"/>
      <c r="F7" s="67"/>
      <c r="G7" s="67"/>
      <c r="H7" s="67"/>
      <c r="I7" s="67"/>
      <c r="L7" s="361"/>
      <c r="R7" s="874"/>
      <c r="W7" s="868"/>
      <c r="Y7" s="873"/>
    </row>
    <row r="8" spans="1:106" s="72" customFormat="1" ht="21" thickBot="1" x14ac:dyDescent="0.35">
      <c r="A8" s="69"/>
      <c r="B8" s="153" t="s">
        <v>100</v>
      </c>
      <c r="C8" s="153"/>
      <c r="D8" s="153"/>
      <c r="E8" s="153"/>
      <c r="F8" s="153"/>
      <c r="G8" s="668">
        <v>43465</v>
      </c>
      <c r="H8" s="668">
        <v>43830</v>
      </c>
      <c r="I8" s="668">
        <v>44196</v>
      </c>
      <c r="J8" s="668">
        <v>44561</v>
      </c>
      <c r="K8" s="668">
        <v>44926</v>
      </c>
      <c r="L8" s="362"/>
      <c r="M8" s="71"/>
      <c r="N8" s="71"/>
      <c r="O8" s="71"/>
      <c r="P8" s="71"/>
      <c r="Q8" s="71"/>
      <c r="R8" s="875"/>
      <c r="S8" s="71"/>
      <c r="T8" s="71"/>
      <c r="U8" s="71"/>
      <c r="V8" s="71"/>
      <c r="W8" s="876"/>
      <c r="X8" s="71"/>
      <c r="Y8" s="877"/>
      <c r="Z8" s="71"/>
      <c r="AA8" s="71"/>
      <c r="AB8" s="71"/>
      <c r="AC8" s="71"/>
      <c r="AD8" s="71"/>
      <c r="AE8" s="71"/>
      <c r="AF8" s="71"/>
      <c r="AG8" s="71"/>
      <c r="AH8" s="71"/>
      <c r="AI8" s="71"/>
      <c r="AJ8" s="71"/>
      <c r="AK8" s="71"/>
      <c r="AL8" s="71"/>
      <c r="AM8" s="71"/>
    </row>
    <row r="9" spans="1:106" s="74" customFormat="1" ht="20.25" x14ac:dyDescent="0.2">
      <c r="A9" s="73"/>
      <c r="B9" s="73"/>
      <c r="C9" s="420" t="s">
        <v>150</v>
      </c>
      <c r="D9" s="420"/>
      <c r="E9" s="420"/>
      <c r="F9" s="73"/>
      <c r="G9" s="326">
        <f>153461+3123</f>
        <v>156584</v>
      </c>
      <c r="H9" s="326">
        <v>158721</v>
      </c>
      <c r="I9" s="326">
        <f>68070.06</f>
        <v>68070.06</v>
      </c>
      <c r="J9" s="326">
        <v>85646.89</v>
      </c>
      <c r="K9" s="326">
        <f>57601.72+8000*2+14508</f>
        <v>88109.72</v>
      </c>
      <c r="L9" s="878"/>
      <c r="M9" s="68"/>
      <c r="N9" s="68"/>
      <c r="O9" s="68"/>
      <c r="P9" s="68"/>
      <c r="Q9" s="68"/>
      <c r="R9" s="874"/>
      <c r="S9" s="68"/>
      <c r="T9" s="68"/>
      <c r="U9" s="68"/>
      <c r="V9" s="68"/>
      <c r="W9" s="868"/>
      <c r="X9" s="68"/>
      <c r="Y9" s="873"/>
      <c r="Z9" s="68"/>
      <c r="AA9" s="68"/>
      <c r="AB9" s="68"/>
      <c r="AC9" s="68"/>
      <c r="AD9" s="68"/>
      <c r="AE9" s="68"/>
      <c r="AF9" s="68"/>
      <c r="AG9" s="68"/>
      <c r="AH9" s="68"/>
      <c r="AI9" s="68"/>
      <c r="AJ9" s="68"/>
      <c r="AK9" s="68"/>
      <c r="AL9" s="68"/>
      <c r="AM9" s="68"/>
    </row>
    <row r="10" spans="1:106" s="74" customFormat="1" ht="20.25" x14ac:dyDescent="0.2">
      <c r="A10" s="73"/>
      <c r="B10" s="73"/>
      <c r="C10" s="420" t="s">
        <v>214</v>
      </c>
      <c r="D10" s="420"/>
      <c r="E10" s="420"/>
      <c r="F10" s="73"/>
      <c r="G10" s="322">
        <v>20332</v>
      </c>
      <c r="H10" s="322">
        <v>12278.42</v>
      </c>
      <c r="I10" s="322">
        <v>16169.1</v>
      </c>
      <c r="J10" s="322">
        <v>34505.879999999997</v>
      </c>
      <c r="K10" s="322">
        <v>13825</v>
      </c>
      <c r="L10" s="878"/>
      <c r="M10" s="68"/>
      <c r="N10" s="68"/>
      <c r="O10" s="68"/>
      <c r="P10" s="68"/>
      <c r="Q10" s="68"/>
      <c r="R10" s="874"/>
      <c r="S10" s="68"/>
      <c r="T10" s="68"/>
      <c r="U10" s="68"/>
      <c r="V10" s="68"/>
      <c r="W10" s="868"/>
      <c r="X10" s="68"/>
      <c r="Y10" s="873"/>
      <c r="Z10" s="68"/>
      <c r="AA10" s="68"/>
      <c r="AB10" s="68"/>
      <c r="AC10" s="68"/>
      <c r="AD10" s="68"/>
      <c r="AE10" s="68"/>
      <c r="AF10" s="68"/>
      <c r="AG10" s="68"/>
      <c r="AH10" s="68"/>
      <c r="AI10" s="68"/>
      <c r="AJ10" s="68"/>
      <c r="AK10" s="68"/>
      <c r="AL10" s="68"/>
      <c r="AM10" s="68"/>
    </row>
    <row r="11" spans="1:106" s="74" customFormat="1" ht="20.25" x14ac:dyDescent="0.2">
      <c r="A11" s="73"/>
      <c r="B11" s="73"/>
      <c r="C11" s="420" t="s">
        <v>389</v>
      </c>
      <c r="D11" s="420"/>
      <c r="E11" s="420"/>
      <c r="F11" s="73"/>
      <c r="G11" s="322"/>
      <c r="H11" s="322">
        <v>10616</v>
      </c>
      <c r="I11" s="322">
        <v>3260</v>
      </c>
      <c r="J11" s="322">
        <v>0</v>
      </c>
      <c r="K11" s="322">
        <f>29668+15301</f>
        <v>44969</v>
      </c>
      <c r="L11" s="878"/>
      <c r="M11" s="68"/>
      <c r="N11" s="68"/>
      <c r="O11" s="68"/>
      <c r="P11" s="68"/>
      <c r="Q11" s="68"/>
      <c r="R11" s="874"/>
      <c r="S11" s="68"/>
      <c r="T11" s="68"/>
      <c r="U11" s="68"/>
      <c r="V11" s="68"/>
      <c r="W11" s="868"/>
      <c r="X11" s="68"/>
      <c r="Y11" s="873"/>
      <c r="Z11" s="68"/>
      <c r="AA11" s="68"/>
      <c r="AB11" s="68"/>
      <c r="AC11" s="68"/>
      <c r="AD11" s="68"/>
      <c r="AE11" s="68"/>
      <c r="AF11" s="68"/>
      <c r="AG11" s="68"/>
      <c r="AH11" s="68"/>
      <c r="AI11" s="68"/>
      <c r="AJ11" s="68"/>
      <c r="AK11" s="68"/>
      <c r="AL11" s="68"/>
      <c r="AM11" s="68"/>
    </row>
    <row r="12" spans="1:106" s="74" customFormat="1" ht="20.25" x14ac:dyDescent="0.2">
      <c r="A12" s="73"/>
      <c r="B12" s="73"/>
      <c r="C12" s="420" t="s">
        <v>102</v>
      </c>
      <c r="D12" s="420"/>
      <c r="E12" s="420"/>
      <c r="F12" s="73"/>
      <c r="G12" s="322"/>
      <c r="H12" s="322"/>
      <c r="I12" s="322"/>
      <c r="J12" s="322"/>
      <c r="K12" s="322"/>
      <c r="L12" s="878"/>
      <c r="M12" s="68"/>
      <c r="N12" s="68"/>
      <c r="O12" s="68"/>
      <c r="P12" s="68"/>
      <c r="Q12" s="68"/>
      <c r="R12" s="874"/>
      <c r="S12" s="68"/>
      <c r="T12" s="68"/>
      <c r="U12" s="68"/>
      <c r="V12" s="68"/>
      <c r="W12" s="868"/>
      <c r="X12" s="68"/>
      <c r="Y12" s="873"/>
      <c r="Z12" s="68"/>
      <c r="AA12" s="68"/>
      <c r="AB12" s="68"/>
      <c r="AC12" s="68"/>
      <c r="AD12" s="68"/>
      <c r="AE12" s="68"/>
      <c r="AF12" s="68"/>
      <c r="AG12" s="68"/>
      <c r="AH12" s="68"/>
      <c r="AI12" s="68"/>
      <c r="AJ12" s="68"/>
      <c r="AK12" s="68"/>
      <c r="AL12" s="68"/>
      <c r="AM12" s="68"/>
    </row>
    <row r="13" spans="1:106" s="74" customFormat="1" ht="20.25" x14ac:dyDescent="0.2">
      <c r="A13" s="73"/>
      <c r="B13" s="73"/>
      <c r="C13" s="77"/>
      <c r="D13" s="420" t="s">
        <v>215</v>
      </c>
      <c r="E13" s="420"/>
      <c r="F13" s="73"/>
      <c r="G13" s="322">
        <v>42500</v>
      </c>
      <c r="H13" s="322">
        <v>44499.96</v>
      </c>
      <c r="I13" s="322">
        <f>3750*12</f>
        <v>45000</v>
      </c>
      <c r="J13" s="322">
        <v>45500</v>
      </c>
      <c r="K13" s="322">
        <v>46000</v>
      </c>
      <c r="L13" s="879"/>
      <c r="M13" s="468"/>
      <c r="N13" s="468"/>
      <c r="O13" s="468"/>
      <c r="P13" s="468"/>
      <c r="Q13" s="68"/>
      <c r="R13" s="874"/>
      <c r="S13" s="68"/>
      <c r="T13" s="68"/>
      <c r="U13" s="68"/>
      <c r="V13" s="68"/>
      <c r="W13" s="868"/>
      <c r="X13" s="68"/>
      <c r="Y13" s="873"/>
      <c r="Z13" s="68"/>
      <c r="AA13" s="68"/>
      <c r="AB13" s="68"/>
      <c r="AC13" s="68"/>
      <c r="AD13" s="68"/>
      <c r="AE13" s="68"/>
      <c r="AF13" s="68"/>
      <c r="AG13" s="68"/>
      <c r="AH13" s="68"/>
      <c r="AI13" s="68"/>
      <c r="AJ13" s="68"/>
      <c r="AK13" s="68"/>
      <c r="AL13" s="68"/>
      <c r="AM13" s="68"/>
    </row>
    <row r="14" spans="1:106" s="74" customFormat="1" ht="20.25" x14ac:dyDescent="0.2">
      <c r="A14" s="73"/>
      <c r="B14" s="73"/>
      <c r="C14" s="77"/>
      <c r="D14" s="420" t="s">
        <v>159</v>
      </c>
      <c r="E14" s="420"/>
      <c r="F14" s="73"/>
      <c r="G14" s="322">
        <v>9000</v>
      </c>
      <c r="H14" s="322">
        <v>13000</v>
      </c>
      <c r="I14" s="322">
        <v>18000</v>
      </c>
      <c r="J14" s="322">
        <v>18000</v>
      </c>
      <c r="K14" s="322">
        <v>18000</v>
      </c>
      <c r="L14" s="878"/>
      <c r="M14" s="470"/>
      <c r="N14" s="470"/>
      <c r="O14" s="470"/>
      <c r="P14" s="79"/>
      <c r="Q14" s="68"/>
      <c r="R14" s="874"/>
      <c r="S14" s="68"/>
      <c r="T14" s="68"/>
      <c r="U14" s="68"/>
      <c r="V14" s="68"/>
      <c r="W14" s="868"/>
      <c r="X14" s="68"/>
      <c r="Y14" s="873"/>
      <c r="Z14" s="68"/>
      <c r="AA14" s="68"/>
      <c r="AB14" s="68"/>
      <c r="AC14" s="68"/>
      <c r="AD14" s="68"/>
      <c r="AE14" s="68"/>
      <c r="AF14" s="68"/>
      <c r="AG14" s="68"/>
      <c r="AH14" s="68"/>
      <c r="AI14" s="68"/>
      <c r="AJ14" s="68"/>
      <c r="AK14" s="68"/>
      <c r="AL14" s="68"/>
      <c r="AM14" s="68"/>
    </row>
    <row r="15" spans="1:106" s="74" customFormat="1" ht="20.25" x14ac:dyDescent="0.2">
      <c r="A15" s="73"/>
      <c r="B15" s="73"/>
      <c r="C15" s="420" t="s">
        <v>103</v>
      </c>
      <c r="D15" s="420"/>
      <c r="E15" s="420"/>
      <c r="F15" s="73"/>
      <c r="G15" s="322">
        <v>12796</v>
      </c>
      <c r="H15" s="322">
        <v>13071.46</v>
      </c>
      <c r="I15" s="322">
        <v>12695.06</v>
      </c>
      <c r="J15" s="322">
        <v>17445.740000000002</v>
      </c>
      <c r="K15" s="322">
        <v>17500</v>
      </c>
      <c r="L15" s="878"/>
      <c r="M15" s="470"/>
      <c r="N15" s="470"/>
      <c r="O15" s="470"/>
      <c r="P15" s="361"/>
      <c r="Q15" s="68"/>
      <c r="R15" s="874"/>
      <c r="S15" s="68"/>
      <c r="T15" s="68"/>
      <c r="U15" s="68"/>
      <c r="V15" s="68"/>
      <c r="W15" s="868"/>
      <c r="X15" s="68"/>
      <c r="Y15" s="873"/>
      <c r="Z15" s="68"/>
      <c r="AA15" s="68"/>
      <c r="AB15" s="68"/>
      <c r="AC15" s="68"/>
      <c r="AD15" s="68"/>
      <c r="AE15" s="68"/>
      <c r="AF15" s="68"/>
      <c r="AG15" s="68"/>
      <c r="AH15" s="68"/>
      <c r="AI15" s="68"/>
      <c r="AJ15" s="68"/>
      <c r="AK15" s="68"/>
      <c r="AL15" s="68"/>
      <c r="AM15" s="68"/>
    </row>
    <row r="16" spans="1:106" s="74" customFormat="1" ht="20.25" x14ac:dyDescent="0.2">
      <c r="A16" s="73"/>
      <c r="B16" s="73"/>
      <c r="C16" s="420" t="s">
        <v>503</v>
      </c>
      <c r="D16" s="420"/>
      <c r="E16" s="420"/>
      <c r="F16" s="73"/>
      <c r="G16" s="322">
        <f>25000</f>
        <v>25000</v>
      </c>
      <c r="H16" s="322">
        <v>71886</v>
      </c>
      <c r="I16" s="322">
        <v>77911.459999999992</v>
      </c>
      <c r="J16" s="322">
        <v>80378.48</v>
      </c>
      <c r="K16" s="322">
        <v>34118</v>
      </c>
      <c r="L16" s="878"/>
      <c r="M16" s="470"/>
      <c r="N16" s="470"/>
      <c r="O16" s="470"/>
      <c r="P16" s="361"/>
      <c r="Q16" s="68"/>
      <c r="R16" s="874"/>
      <c r="S16" s="68"/>
      <c r="T16" s="68"/>
      <c r="U16" s="68"/>
      <c r="V16" s="68"/>
      <c r="W16" s="868"/>
      <c r="X16" s="68"/>
      <c r="Y16" s="873"/>
      <c r="Z16" s="68"/>
      <c r="AA16" s="68"/>
      <c r="AB16" s="68"/>
      <c r="AC16" s="68"/>
      <c r="AD16" s="68"/>
      <c r="AE16" s="68"/>
      <c r="AF16" s="68"/>
      <c r="AG16" s="68"/>
      <c r="AH16" s="68"/>
      <c r="AI16" s="68"/>
      <c r="AJ16" s="68"/>
      <c r="AK16" s="68"/>
      <c r="AL16" s="68"/>
      <c r="AM16" s="68"/>
    </row>
    <row r="17" spans="1:39" s="74" customFormat="1" ht="20.25" x14ac:dyDescent="0.2">
      <c r="A17" s="73"/>
      <c r="B17" s="73"/>
      <c r="C17" s="420" t="s">
        <v>350</v>
      </c>
      <c r="D17" s="420"/>
      <c r="E17" s="420"/>
      <c r="F17" s="73"/>
      <c r="G17" s="322">
        <f>659</f>
        <v>659</v>
      </c>
      <c r="H17" s="322">
        <v>7946</v>
      </c>
      <c r="I17" s="322">
        <v>255.74</v>
      </c>
      <c r="J17" s="322">
        <v>3312.47</v>
      </c>
      <c r="K17" s="322">
        <v>180</v>
      </c>
      <c r="L17" s="878"/>
      <c r="M17" s="470"/>
      <c r="N17" s="470"/>
      <c r="O17" s="470"/>
      <c r="P17" s="361"/>
      <c r="Q17" s="68"/>
      <c r="R17" s="874"/>
      <c r="S17" s="68"/>
      <c r="T17" s="68"/>
      <c r="U17" s="68"/>
      <c r="V17" s="68"/>
      <c r="W17" s="868"/>
      <c r="X17" s="68"/>
      <c r="Y17" s="873"/>
      <c r="Z17" s="68"/>
      <c r="AA17" s="68"/>
      <c r="AB17" s="68"/>
      <c r="AC17" s="68"/>
      <c r="AD17" s="68"/>
      <c r="AE17" s="68"/>
      <c r="AF17" s="68"/>
      <c r="AG17" s="68"/>
      <c r="AH17" s="68"/>
      <c r="AI17" s="68"/>
      <c r="AJ17" s="68"/>
      <c r="AK17" s="68"/>
      <c r="AL17" s="68"/>
      <c r="AM17" s="68"/>
    </row>
    <row r="18" spans="1:39" s="74" customFormat="1" ht="21" thickBot="1" x14ac:dyDescent="0.25">
      <c r="A18" s="73"/>
      <c r="B18" s="73"/>
      <c r="C18" s="420" t="s">
        <v>217</v>
      </c>
      <c r="D18" s="420"/>
      <c r="E18" s="420"/>
      <c r="F18" s="73"/>
      <c r="G18" s="265">
        <v>9315</v>
      </c>
      <c r="H18" s="265">
        <v>9315</v>
      </c>
      <c r="I18" s="265">
        <v>9315</v>
      </c>
      <c r="J18" s="265">
        <v>10548</v>
      </c>
      <c r="K18" s="265">
        <v>10548</v>
      </c>
      <c r="L18" s="878"/>
      <c r="M18" s="68"/>
      <c r="N18" s="68"/>
      <c r="O18" s="68"/>
      <c r="P18" s="68"/>
      <c r="S18" s="68"/>
      <c r="T18" s="68"/>
      <c r="U18" s="68"/>
      <c r="V18" s="68"/>
      <c r="W18" s="868"/>
      <c r="X18" s="68"/>
      <c r="Y18" s="873"/>
      <c r="Z18" s="68"/>
      <c r="AA18" s="68"/>
      <c r="AB18" s="68"/>
      <c r="AC18" s="68"/>
      <c r="AD18" s="68"/>
      <c r="AE18" s="68"/>
      <c r="AF18" s="68"/>
      <c r="AG18" s="68"/>
      <c r="AH18" s="68"/>
      <c r="AI18" s="68"/>
      <c r="AJ18" s="68"/>
      <c r="AK18" s="68"/>
      <c r="AL18" s="68"/>
      <c r="AM18" s="68"/>
    </row>
    <row r="19" spans="1:39" s="74" customFormat="1" ht="20.25" x14ac:dyDescent="0.2">
      <c r="A19" s="73"/>
      <c r="B19" s="73"/>
      <c r="C19" s="420"/>
      <c r="D19" s="73" t="s">
        <v>105</v>
      </c>
      <c r="E19" s="420"/>
      <c r="F19" s="73"/>
      <c r="G19" s="264">
        <f>SUM(G9:G18)</f>
        <v>276186</v>
      </c>
      <c r="H19" s="264">
        <f>SUM(H9:H18)</f>
        <v>341333.83999999997</v>
      </c>
      <c r="I19" s="264">
        <f>SUM(I9:I18)</f>
        <v>250676.41999999998</v>
      </c>
      <c r="J19" s="264">
        <f>SUM(J9:J18)</f>
        <v>295337.45999999996</v>
      </c>
      <c r="K19" s="264">
        <f>SUM(K9:K18)</f>
        <v>273249.71999999997</v>
      </c>
      <c r="L19" s="878"/>
      <c r="M19" s="68"/>
      <c r="N19" s="68"/>
      <c r="O19" s="68"/>
      <c r="P19" s="68"/>
      <c r="S19" s="68"/>
      <c r="T19" s="68"/>
      <c r="U19" s="68"/>
      <c r="V19" s="68"/>
      <c r="W19" s="868"/>
      <c r="X19" s="68"/>
      <c r="Y19" s="873"/>
      <c r="Z19" s="68"/>
      <c r="AA19" s="68"/>
      <c r="AB19" s="68"/>
      <c r="AC19" s="68"/>
      <c r="AD19" s="68"/>
      <c r="AE19" s="68"/>
      <c r="AF19" s="68"/>
      <c r="AG19" s="68"/>
      <c r="AH19" s="68"/>
      <c r="AI19" s="68"/>
      <c r="AJ19" s="68"/>
      <c r="AK19" s="68"/>
      <c r="AL19" s="68"/>
      <c r="AM19" s="68"/>
    </row>
    <row r="20" spans="1:39" s="74" customFormat="1" ht="20.25" x14ac:dyDescent="0.2">
      <c r="A20" s="73"/>
      <c r="B20" s="73"/>
      <c r="C20" s="73" t="s">
        <v>218</v>
      </c>
      <c r="D20" s="420"/>
      <c r="E20" s="420"/>
      <c r="F20" s="73"/>
      <c r="G20" s="322">
        <v>19000</v>
      </c>
      <c r="H20" s="322">
        <v>19000</v>
      </c>
      <c r="I20" s="322">
        <v>19000</v>
      </c>
      <c r="J20" s="322">
        <v>18500</v>
      </c>
      <c r="K20" s="322">
        <f>13333/8*12</f>
        <v>19999.5</v>
      </c>
      <c r="L20" s="878"/>
      <c r="M20" s="68"/>
      <c r="N20" s="68"/>
      <c r="O20" s="68"/>
      <c r="P20" s="68"/>
      <c r="Q20" s="68"/>
      <c r="R20" s="874"/>
      <c r="S20" s="68"/>
      <c r="T20" s="68"/>
      <c r="U20" s="68"/>
      <c r="V20" s="68"/>
      <c r="W20" s="868"/>
      <c r="X20" s="68"/>
      <c r="Y20" s="873"/>
      <c r="Z20" s="68"/>
      <c r="AA20" s="68"/>
      <c r="AB20" s="68"/>
      <c r="AC20" s="68"/>
      <c r="AD20" s="68"/>
      <c r="AE20" s="68"/>
      <c r="AF20" s="68"/>
      <c r="AG20" s="68"/>
      <c r="AH20" s="68"/>
      <c r="AI20" s="68"/>
      <c r="AJ20" s="68"/>
      <c r="AK20" s="68"/>
      <c r="AL20" s="68"/>
      <c r="AM20" s="68"/>
    </row>
    <row r="21" spans="1:39" s="74" customFormat="1" ht="21" thickBot="1" x14ac:dyDescent="0.25">
      <c r="A21" s="73"/>
      <c r="B21" s="73"/>
      <c r="C21" s="73" t="s">
        <v>219</v>
      </c>
      <c r="D21" s="420"/>
      <c r="E21" s="420"/>
      <c r="F21" s="73"/>
      <c r="G21" s="265">
        <v>37641</v>
      </c>
      <c r="H21" s="265">
        <v>37834</v>
      </c>
      <c r="I21" s="265">
        <v>34669.31</v>
      </c>
      <c r="J21" s="265">
        <v>26400.720000000001</v>
      </c>
      <c r="K21" s="265">
        <v>43300</v>
      </c>
      <c r="L21" s="878"/>
      <c r="M21" s="68"/>
      <c r="N21" s="68"/>
      <c r="O21" s="68"/>
      <c r="P21" s="68"/>
      <c r="Q21" s="68"/>
      <c r="R21" s="874"/>
      <c r="S21" s="68"/>
      <c r="T21" s="68"/>
      <c r="U21" s="68"/>
      <c r="V21" s="68"/>
      <c r="W21" s="868"/>
      <c r="X21" s="68"/>
      <c r="Y21" s="873"/>
      <c r="Z21" s="68"/>
      <c r="AA21" s="68"/>
      <c r="AB21" s="68"/>
      <c r="AC21" s="68"/>
      <c r="AD21" s="68"/>
      <c r="AE21" s="68"/>
      <c r="AF21" s="68"/>
      <c r="AG21" s="68"/>
      <c r="AH21" s="68"/>
      <c r="AI21" s="68"/>
      <c r="AJ21" s="68"/>
      <c r="AK21" s="68"/>
      <c r="AL21" s="68"/>
      <c r="AM21" s="68"/>
    </row>
    <row r="22" spans="1:39" s="74" customFormat="1" ht="20.25" x14ac:dyDescent="0.2">
      <c r="A22" s="73"/>
      <c r="B22" s="73"/>
      <c r="C22" s="420"/>
      <c r="D22" s="73" t="s">
        <v>107</v>
      </c>
      <c r="E22" s="420"/>
      <c r="F22" s="73"/>
      <c r="G22" s="264">
        <f>SUM(G19:G21)</f>
        <v>332827</v>
      </c>
      <c r="H22" s="264">
        <f>SUM(H19:H21)</f>
        <v>398167.83999999997</v>
      </c>
      <c r="I22" s="264">
        <f>SUM(I19:I21)</f>
        <v>304345.73</v>
      </c>
      <c r="J22" s="264">
        <f>SUM(J19:J21)</f>
        <v>340238.17999999993</v>
      </c>
      <c r="K22" s="264">
        <f>SUM(K19:K21)</f>
        <v>336549.22</v>
      </c>
      <c r="L22" s="878"/>
      <c r="M22" s="68"/>
      <c r="N22" s="68"/>
      <c r="O22" s="68"/>
      <c r="P22" s="68"/>
      <c r="Q22" s="68"/>
      <c r="R22" s="874"/>
      <c r="S22" s="68"/>
      <c r="T22" s="68"/>
      <c r="U22" s="68"/>
      <c r="V22" s="68"/>
      <c r="W22" s="868"/>
      <c r="X22" s="68"/>
      <c r="Y22" s="873"/>
      <c r="Z22" s="68"/>
      <c r="AA22" s="68"/>
      <c r="AB22" s="68"/>
      <c r="AC22" s="68"/>
      <c r="AD22" s="68"/>
      <c r="AE22" s="68"/>
      <c r="AF22" s="68"/>
      <c r="AG22" s="68"/>
      <c r="AH22" s="68"/>
      <c r="AI22" s="68"/>
      <c r="AJ22" s="68"/>
      <c r="AK22" s="68"/>
      <c r="AL22" s="68"/>
      <c r="AM22" s="68"/>
    </row>
    <row r="23" spans="1:39" s="74" customFormat="1" ht="20.25" x14ac:dyDescent="0.2">
      <c r="A23" s="73"/>
      <c r="B23" s="73"/>
      <c r="C23" s="420"/>
      <c r="D23" s="73"/>
      <c r="E23" s="420"/>
      <c r="F23" s="73" t="s">
        <v>504</v>
      </c>
      <c r="G23" s="264"/>
      <c r="H23" s="264">
        <v>-46886</v>
      </c>
      <c r="I23" s="264"/>
      <c r="J23" s="264"/>
      <c r="K23" s="264"/>
      <c r="L23" s="361"/>
      <c r="M23" s="68"/>
      <c r="N23" s="68"/>
      <c r="O23" s="68"/>
      <c r="P23" s="68"/>
      <c r="Q23" s="68"/>
      <c r="R23" s="874"/>
      <c r="S23" s="68"/>
      <c r="T23" s="68"/>
      <c r="U23" s="68"/>
      <c r="V23" s="68"/>
      <c r="W23" s="868"/>
      <c r="X23" s="68"/>
      <c r="Y23" s="873"/>
      <c r="Z23" s="68"/>
      <c r="AA23" s="68"/>
      <c r="AB23" s="68"/>
      <c r="AC23" s="68"/>
      <c r="AD23" s="68"/>
      <c r="AE23" s="68"/>
      <c r="AF23" s="68"/>
      <c r="AG23" s="68"/>
      <c r="AH23" s="68"/>
      <c r="AI23" s="68"/>
      <c r="AJ23" s="68"/>
      <c r="AK23" s="68"/>
      <c r="AL23" s="68"/>
      <c r="AM23" s="68"/>
    </row>
    <row r="24" spans="1:39" s="74" customFormat="1" ht="20.25" x14ac:dyDescent="0.2">
      <c r="A24" s="73"/>
      <c r="B24" s="73"/>
      <c r="C24" s="420"/>
      <c r="D24" s="73" t="s">
        <v>505</v>
      </c>
      <c r="E24" s="420"/>
      <c r="F24" s="73"/>
      <c r="G24" s="264"/>
      <c r="H24" s="264">
        <f>SUM(H22:H23)</f>
        <v>351281.83999999997</v>
      </c>
      <c r="I24" s="264"/>
      <c r="J24" s="264"/>
      <c r="K24" s="264"/>
      <c r="L24" s="361"/>
      <c r="M24" s="68"/>
      <c r="N24" s="68"/>
      <c r="O24" s="68"/>
      <c r="P24" s="68"/>
      <c r="Q24" s="68"/>
      <c r="R24" s="874"/>
      <c r="S24" s="68"/>
      <c r="T24" s="68"/>
      <c r="U24" s="68"/>
      <c r="V24" s="68"/>
      <c r="W24" s="868"/>
      <c r="X24" s="68"/>
      <c r="Y24" s="873"/>
      <c r="Z24" s="68"/>
      <c r="AA24" s="68"/>
      <c r="AB24" s="68"/>
      <c r="AC24" s="68"/>
      <c r="AD24" s="68"/>
      <c r="AE24" s="68"/>
      <c r="AF24" s="68"/>
      <c r="AG24" s="68"/>
      <c r="AH24" s="68"/>
      <c r="AI24" s="68"/>
      <c r="AJ24" s="68"/>
      <c r="AK24" s="68"/>
      <c r="AL24" s="68"/>
      <c r="AM24" s="68"/>
    </row>
    <row r="25" spans="1:39" s="74" customFormat="1" ht="20.25" x14ac:dyDescent="0.2">
      <c r="A25" s="73"/>
      <c r="B25" s="73"/>
      <c r="C25" s="420"/>
      <c r="D25" s="73"/>
      <c r="E25" s="420"/>
      <c r="F25" s="73"/>
      <c r="G25" s="73"/>
      <c r="H25" s="73"/>
      <c r="I25" s="73"/>
      <c r="J25" s="591"/>
      <c r="K25" s="591"/>
      <c r="L25" s="361"/>
      <c r="M25" s="68"/>
      <c r="N25" s="68"/>
      <c r="O25" s="68"/>
      <c r="P25" s="68"/>
      <c r="Q25" s="68"/>
      <c r="R25" s="874"/>
      <c r="S25" s="68"/>
      <c r="T25" s="68"/>
      <c r="U25" s="68"/>
      <c r="V25" s="68"/>
      <c r="W25" s="868"/>
      <c r="X25" s="68"/>
      <c r="Y25" s="873"/>
      <c r="Z25" s="68"/>
      <c r="AA25" s="68"/>
      <c r="AB25" s="68"/>
      <c r="AC25" s="68"/>
      <c r="AD25" s="68"/>
      <c r="AE25" s="68"/>
      <c r="AF25" s="68"/>
      <c r="AG25" s="68"/>
      <c r="AH25" s="68"/>
      <c r="AI25" s="68"/>
      <c r="AJ25" s="68"/>
      <c r="AK25" s="68"/>
      <c r="AL25" s="68"/>
      <c r="AM25" s="68"/>
    </row>
    <row r="26" spans="1:39" s="74" customFormat="1" ht="21" thickBot="1" x14ac:dyDescent="0.25">
      <c r="A26" s="73"/>
      <c r="B26" s="87" t="s">
        <v>111</v>
      </c>
      <c r="C26" s="87"/>
      <c r="D26" s="87"/>
      <c r="E26" s="87"/>
      <c r="F26" s="87"/>
      <c r="G26" s="67"/>
      <c r="H26" s="67"/>
      <c r="I26" s="67"/>
      <c r="J26" s="368"/>
      <c r="K26" s="368"/>
      <c r="L26" s="361"/>
      <c r="M26" s="68"/>
      <c r="N26" s="68"/>
      <c r="O26" s="68"/>
      <c r="P26" s="68"/>
      <c r="Q26" s="68"/>
      <c r="R26" s="874"/>
      <c r="S26" s="68"/>
      <c r="T26" s="68"/>
      <c r="U26" s="68"/>
      <c r="V26" s="68"/>
      <c r="W26" s="868"/>
      <c r="X26" s="68"/>
      <c r="Y26" s="873"/>
      <c r="Z26" s="68"/>
      <c r="AA26" s="68"/>
      <c r="AB26" s="68"/>
      <c r="AC26" s="68"/>
      <c r="AD26" s="68"/>
      <c r="AE26" s="68"/>
      <c r="AF26" s="68"/>
      <c r="AG26" s="68"/>
      <c r="AH26" s="68"/>
      <c r="AI26" s="68"/>
      <c r="AJ26" s="68"/>
      <c r="AK26" s="68"/>
      <c r="AL26" s="68"/>
      <c r="AM26" s="68"/>
    </row>
    <row r="27" spans="1:39" s="68" customFormat="1" ht="20.25" x14ac:dyDescent="0.2">
      <c r="A27" s="67"/>
      <c r="B27" s="67"/>
      <c r="C27" s="79" t="s">
        <v>220</v>
      </c>
      <c r="D27" s="79"/>
      <c r="E27" s="79"/>
      <c r="F27" s="79"/>
      <c r="G27" s="79"/>
      <c r="H27" s="79"/>
      <c r="I27" s="79"/>
      <c r="J27" s="399"/>
      <c r="K27" s="399"/>
      <c r="L27" s="361"/>
      <c r="R27" s="874"/>
      <c r="W27" s="868"/>
      <c r="Y27" s="873"/>
    </row>
    <row r="28" spans="1:39" s="68" customFormat="1" ht="20.25" x14ac:dyDescent="0.2">
      <c r="A28" s="67"/>
      <c r="B28" s="67"/>
      <c r="C28" s="79"/>
      <c r="D28" s="987" t="s">
        <v>221</v>
      </c>
      <c r="E28" s="987"/>
      <c r="F28" s="987"/>
      <c r="G28" s="843">
        <v>146508</v>
      </c>
      <c r="H28" s="843">
        <v>162253.75</v>
      </c>
      <c r="I28" s="843">
        <v>133830.65</v>
      </c>
      <c r="J28" s="843">
        <v>155035.70000000001</v>
      </c>
      <c r="K28" s="843">
        <v>203000</v>
      </c>
      <c r="L28" s="878" t="s">
        <v>506</v>
      </c>
      <c r="R28" s="874"/>
      <c r="W28" s="868"/>
      <c r="Y28" s="873"/>
    </row>
    <row r="29" spans="1:39" s="68" customFormat="1" ht="20.25" x14ac:dyDescent="0.2">
      <c r="A29" s="67"/>
      <c r="B29" s="67"/>
      <c r="C29" s="79"/>
      <c r="D29" s="987" t="s">
        <v>222</v>
      </c>
      <c r="E29" s="987"/>
      <c r="F29" s="987"/>
      <c r="G29" s="322">
        <v>59928</v>
      </c>
      <c r="H29" s="322">
        <f>37966.12+23862.63+605.03+106.59</f>
        <v>62540.369999999995</v>
      </c>
      <c r="I29" s="322">
        <f>44061.17+21220.39</f>
        <v>65281.56</v>
      </c>
      <c r="J29" s="322">
        <f>43631.85+27917.65</f>
        <v>71549.5</v>
      </c>
      <c r="K29" s="322">
        <f>49205+29027</f>
        <v>78232</v>
      </c>
      <c r="L29" s="878"/>
      <c r="M29" s="341"/>
      <c r="R29" s="874"/>
      <c r="W29" s="868"/>
      <c r="Y29" s="873"/>
    </row>
    <row r="30" spans="1:39" s="68" customFormat="1" ht="20.25" x14ac:dyDescent="0.2">
      <c r="A30" s="67"/>
      <c r="B30" s="67"/>
      <c r="C30" s="79"/>
      <c r="D30" s="987" t="s">
        <v>113</v>
      </c>
      <c r="E30" s="987"/>
      <c r="F30" s="987"/>
      <c r="G30" s="322">
        <v>39636</v>
      </c>
      <c r="H30" s="322">
        <v>42279.58</v>
      </c>
      <c r="I30" s="322">
        <v>36601</v>
      </c>
      <c r="J30" s="322">
        <f>J28*0.213+J29*0.14</f>
        <v>43039.534100000004</v>
      </c>
      <c r="K30" s="322">
        <f>K28*0.213+K29*0.14</f>
        <v>54191.48</v>
      </c>
      <c r="L30" s="878"/>
      <c r="M30" s="341"/>
      <c r="N30" s="341"/>
      <c r="P30" s="341"/>
      <c r="R30" s="874"/>
      <c r="W30" s="868"/>
      <c r="Y30" s="873"/>
    </row>
    <row r="31" spans="1:39" s="68" customFormat="1" ht="20.25" x14ac:dyDescent="0.2">
      <c r="A31" s="67"/>
      <c r="B31" s="67"/>
      <c r="C31" s="79" t="s">
        <v>278</v>
      </c>
      <c r="D31" s="79"/>
      <c r="E31" s="79"/>
      <c r="F31" s="79"/>
      <c r="G31" s="766"/>
      <c r="H31" s="766"/>
      <c r="I31" s="766"/>
      <c r="J31" s="766"/>
      <c r="K31" s="766"/>
      <c r="L31" s="878"/>
      <c r="R31" s="874"/>
      <c r="W31" s="868"/>
      <c r="Y31" s="873"/>
    </row>
    <row r="32" spans="1:39" s="68" customFormat="1" ht="20.25" x14ac:dyDescent="0.2">
      <c r="A32" s="67"/>
      <c r="B32" s="67"/>
      <c r="C32" s="79"/>
      <c r="D32" s="987" t="s">
        <v>223</v>
      </c>
      <c r="E32" s="987"/>
      <c r="F32" s="987"/>
      <c r="G32" s="843">
        <v>27184</v>
      </c>
      <c r="H32" s="843">
        <v>25472.83</v>
      </c>
      <c r="I32" s="843">
        <v>15135.29</v>
      </c>
      <c r="J32" s="843">
        <v>25112.19</v>
      </c>
      <c r="K32" s="843">
        <v>38000</v>
      </c>
      <c r="L32" s="878" t="s">
        <v>506</v>
      </c>
      <c r="R32" s="874"/>
      <c r="W32" s="868"/>
      <c r="Y32" s="873"/>
    </row>
    <row r="33" spans="1:25" s="68" customFormat="1" ht="20.25" x14ac:dyDescent="0.2">
      <c r="A33" s="67"/>
      <c r="B33" s="67"/>
      <c r="C33" s="79"/>
      <c r="D33" s="987" t="s">
        <v>224</v>
      </c>
      <c r="E33" s="987"/>
      <c r="F33" s="987"/>
      <c r="G33" s="322">
        <v>15511</v>
      </c>
      <c r="H33" s="322">
        <v>17989.87</v>
      </c>
      <c r="I33" s="322">
        <v>22636.98</v>
      </c>
      <c r="J33" s="322">
        <v>23957.25</v>
      </c>
      <c r="K33" s="322">
        <f>24654.76+600</f>
        <v>25254.76</v>
      </c>
      <c r="L33" s="878"/>
      <c r="R33" s="874"/>
      <c r="W33" s="868"/>
      <c r="Y33" s="873"/>
    </row>
    <row r="34" spans="1:25" s="68" customFormat="1" ht="20.25" x14ac:dyDescent="0.2">
      <c r="A34" s="67"/>
      <c r="B34" s="67"/>
      <c r="C34" s="79"/>
      <c r="D34" s="987" t="s">
        <v>304</v>
      </c>
      <c r="E34" s="987"/>
      <c r="F34" s="987"/>
      <c r="G34" s="843">
        <v>12450</v>
      </c>
      <c r="H34" s="843">
        <v>16090.9</v>
      </c>
      <c r="I34" s="843">
        <v>11030.88</v>
      </c>
      <c r="J34" s="843">
        <v>19504.66</v>
      </c>
      <c r="K34" s="843">
        <v>8800</v>
      </c>
      <c r="L34" s="878" t="s">
        <v>506</v>
      </c>
      <c r="R34" s="874"/>
      <c r="W34" s="868"/>
      <c r="Y34" s="873"/>
    </row>
    <row r="35" spans="1:25" s="68" customFormat="1" ht="20.25" x14ac:dyDescent="0.2">
      <c r="A35" s="67"/>
      <c r="B35" s="67"/>
      <c r="C35" s="79"/>
      <c r="D35" s="987" t="s">
        <v>225</v>
      </c>
      <c r="E35" s="987"/>
      <c r="F35" s="987"/>
      <c r="G35" s="322">
        <v>377</v>
      </c>
      <c r="H35" s="322">
        <v>1427.75</v>
      </c>
      <c r="I35" s="322">
        <v>397</v>
      </c>
      <c r="J35" s="322">
        <v>663</v>
      </c>
      <c r="K35" s="322">
        <v>750</v>
      </c>
      <c r="L35" s="878"/>
      <c r="R35" s="874"/>
      <c r="W35" s="868"/>
      <c r="Y35" s="873"/>
    </row>
    <row r="36" spans="1:25" s="68" customFormat="1" ht="20.25" x14ac:dyDescent="0.2">
      <c r="A36" s="67"/>
      <c r="B36" s="67"/>
      <c r="C36" s="79" t="s">
        <v>485</v>
      </c>
      <c r="D36" s="79"/>
      <c r="E36" s="79"/>
      <c r="F36" s="79"/>
      <c r="G36" s="322">
        <v>25080</v>
      </c>
      <c r="H36" s="322">
        <f>22438.68+1591</f>
        <v>24029.68</v>
      </c>
      <c r="I36" s="322">
        <f>29909+1860</f>
        <v>31769</v>
      </c>
      <c r="J36" s="322">
        <f>1903+28481</f>
        <v>30384</v>
      </c>
      <c r="K36" s="322">
        <f>20556/8*12</f>
        <v>30834</v>
      </c>
      <c r="L36" s="878"/>
      <c r="R36" s="874"/>
      <c r="W36" s="868"/>
      <c r="Y36" s="873"/>
    </row>
    <row r="37" spans="1:25" s="68" customFormat="1" ht="20.25" x14ac:dyDescent="0.2">
      <c r="A37" s="67"/>
      <c r="B37" s="67"/>
      <c r="C37" s="79" t="s">
        <v>104</v>
      </c>
      <c r="D37" s="79"/>
      <c r="E37" s="79"/>
      <c r="F37" s="79"/>
      <c r="G37" s="322">
        <f>G18</f>
        <v>9315</v>
      </c>
      <c r="H37" s="322">
        <f>H18</f>
        <v>9315</v>
      </c>
      <c r="I37" s="322">
        <f>I18</f>
        <v>9315</v>
      </c>
      <c r="J37" s="322">
        <f>J18</f>
        <v>10548</v>
      </c>
      <c r="K37" s="322">
        <f>K18</f>
        <v>10548</v>
      </c>
      <c r="L37" s="878"/>
      <c r="R37" s="874"/>
      <c r="W37" s="868"/>
      <c r="Y37" s="873"/>
    </row>
    <row r="38" spans="1:25" s="68" customFormat="1" ht="20.25" x14ac:dyDescent="0.2">
      <c r="A38" s="67"/>
      <c r="B38" s="67"/>
      <c r="C38" s="79" t="s">
        <v>313</v>
      </c>
      <c r="D38" s="79"/>
      <c r="E38" s="79"/>
      <c r="F38" s="79"/>
      <c r="G38" s="322">
        <v>4075</v>
      </c>
      <c r="H38" s="322">
        <v>4497</v>
      </c>
      <c r="I38" s="322">
        <v>4682.25</v>
      </c>
      <c r="J38" s="322">
        <v>4231.88</v>
      </c>
      <c r="K38" s="322">
        <f>3948.9+400+400</f>
        <v>4748.8999999999996</v>
      </c>
      <c r="L38" s="878"/>
      <c r="R38" s="874"/>
      <c r="W38" s="868"/>
      <c r="Y38" s="873"/>
    </row>
    <row r="39" spans="1:25" s="68" customFormat="1" ht="20.25" x14ac:dyDescent="0.2">
      <c r="A39" s="67"/>
      <c r="B39" s="67"/>
      <c r="C39" s="79" t="s">
        <v>227</v>
      </c>
      <c r="D39" s="79"/>
      <c r="E39" s="79"/>
      <c r="F39" s="79"/>
      <c r="G39" s="322">
        <v>1496</v>
      </c>
      <c r="H39" s="322">
        <f>75+874</f>
        <v>949</v>
      </c>
      <c r="I39" s="322">
        <v>982</v>
      </c>
      <c r="J39" s="322">
        <f>99+937</f>
        <v>1036</v>
      </c>
      <c r="K39" s="322">
        <v>1314</v>
      </c>
      <c r="L39" s="878"/>
      <c r="R39" s="874"/>
      <c r="W39" s="868"/>
      <c r="Y39" s="873"/>
    </row>
    <row r="40" spans="1:25" s="68" customFormat="1" ht="20.25" x14ac:dyDescent="0.2">
      <c r="A40" s="67"/>
      <c r="B40" s="67"/>
      <c r="C40" s="79" t="s">
        <v>382</v>
      </c>
      <c r="D40" s="79"/>
      <c r="E40" s="79"/>
      <c r="F40" s="79"/>
      <c r="G40" s="322">
        <v>3430</v>
      </c>
      <c r="H40" s="322">
        <v>4436.1400000000003</v>
      </c>
      <c r="I40" s="322">
        <v>7774.44</v>
      </c>
      <c r="J40" s="322">
        <f>7884.62+184.74</f>
        <v>8069.36</v>
      </c>
      <c r="K40" s="322">
        <v>8600</v>
      </c>
      <c r="L40" s="878"/>
      <c r="R40" s="874"/>
      <c r="W40" s="868"/>
      <c r="Y40" s="873"/>
    </row>
    <row r="41" spans="1:25" s="68" customFormat="1" ht="20.25" x14ac:dyDescent="0.2">
      <c r="A41" s="67"/>
      <c r="B41" s="67"/>
      <c r="C41" s="79" t="s">
        <v>228</v>
      </c>
      <c r="D41" s="79"/>
      <c r="E41" s="79"/>
      <c r="F41" s="79"/>
      <c r="G41" s="322">
        <v>459</v>
      </c>
      <c r="H41" s="322">
        <f>223.01+568.51</f>
        <v>791.52</v>
      </c>
      <c r="I41" s="322">
        <v>636.94000000000005</v>
      </c>
      <c r="J41" s="322">
        <f>958.23+28.31+10.3+36.4+4907.37</f>
        <v>5940.61</v>
      </c>
      <c r="K41" s="322">
        <v>1811</v>
      </c>
      <c r="L41" s="878"/>
      <c r="R41" s="874"/>
      <c r="W41" s="868"/>
      <c r="Y41" s="873"/>
    </row>
    <row r="42" spans="1:25" s="68" customFormat="1" ht="20.25" x14ac:dyDescent="0.2">
      <c r="A42" s="67"/>
      <c r="B42" s="67"/>
      <c r="C42" s="79" t="s">
        <v>122</v>
      </c>
      <c r="D42" s="79"/>
      <c r="E42" s="79"/>
      <c r="F42" s="79"/>
      <c r="G42" s="322">
        <v>1041</v>
      </c>
      <c r="H42" s="322">
        <v>1826.56</v>
      </c>
      <c r="I42" s="322">
        <v>2528.2399999999998</v>
      </c>
      <c r="J42" s="322">
        <v>3426.72</v>
      </c>
      <c r="K42" s="322">
        <f>235.23+4801.81</f>
        <v>5037.04</v>
      </c>
      <c r="L42" s="878"/>
      <c r="R42" s="874"/>
      <c r="W42" s="868"/>
      <c r="Y42" s="873"/>
    </row>
    <row r="43" spans="1:25" s="68" customFormat="1" ht="20.25" x14ac:dyDescent="0.2">
      <c r="A43" s="67"/>
      <c r="B43" s="67"/>
      <c r="C43" s="79" t="s">
        <v>120</v>
      </c>
      <c r="D43" s="79"/>
      <c r="E43" s="79"/>
      <c r="F43" s="79"/>
      <c r="G43" s="322">
        <v>436</v>
      </c>
      <c r="H43" s="322">
        <v>396.82</v>
      </c>
      <c r="I43" s="322">
        <v>385.18</v>
      </c>
      <c r="J43" s="322">
        <v>420.52</v>
      </c>
      <c r="K43" s="322">
        <f>421/10*12+125</f>
        <v>630.20000000000005</v>
      </c>
      <c r="L43" s="878"/>
      <c r="R43" s="874"/>
      <c r="W43" s="868"/>
      <c r="Y43" s="873"/>
    </row>
    <row r="44" spans="1:25" s="68" customFormat="1" ht="20.25" hidden="1" x14ac:dyDescent="0.2">
      <c r="A44" s="67"/>
      <c r="B44" s="67"/>
      <c r="C44" s="79" t="s">
        <v>229</v>
      </c>
      <c r="D44" s="79"/>
      <c r="E44" s="79"/>
      <c r="F44" s="79"/>
      <c r="G44" s="322"/>
      <c r="H44" s="322"/>
      <c r="I44" s="322"/>
      <c r="J44" s="322"/>
      <c r="K44" s="322"/>
      <c r="L44" s="878"/>
      <c r="R44" s="874"/>
      <c r="W44" s="868"/>
      <c r="Y44" s="873"/>
    </row>
    <row r="45" spans="1:25" s="76" customFormat="1" ht="20.25" x14ac:dyDescent="0.2">
      <c r="A45" s="79"/>
      <c r="B45" s="79"/>
      <c r="C45" s="79" t="s">
        <v>116</v>
      </c>
      <c r="D45" s="79"/>
      <c r="E45" s="79"/>
      <c r="F45" s="79"/>
      <c r="G45" s="322">
        <v>205</v>
      </c>
      <c r="H45" s="322">
        <v>422.62</v>
      </c>
      <c r="I45" s="322">
        <v>265.58</v>
      </c>
      <c r="J45" s="322">
        <v>225.92</v>
      </c>
      <c r="K45" s="322">
        <f>226/8*12</f>
        <v>339</v>
      </c>
      <c r="L45" s="662"/>
      <c r="R45" s="880"/>
      <c r="W45" s="881"/>
      <c r="Y45" s="873"/>
    </row>
    <row r="46" spans="1:25" s="76" customFormat="1" ht="20.25" x14ac:dyDescent="0.2">
      <c r="A46" s="79"/>
      <c r="B46" s="79"/>
      <c r="C46" s="79" t="s">
        <v>230</v>
      </c>
      <c r="D46" s="79"/>
      <c r="E46" s="79"/>
      <c r="F46" s="79"/>
      <c r="G46" s="398">
        <v>542</v>
      </c>
      <c r="H46" s="398">
        <f>248.22+18.56+28.25+5</f>
        <v>300.02999999999997</v>
      </c>
      <c r="I46" s="398">
        <v>938.98</v>
      </c>
      <c r="J46" s="398">
        <f>292.24+4514.12-J38+84.23</f>
        <v>658.70999999999958</v>
      </c>
      <c r="K46" s="398">
        <v>225</v>
      </c>
      <c r="L46" s="662"/>
      <c r="R46" s="880"/>
      <c r="W46" s="881"/>
      <c r="Y46" s="873"/>
    </row>
    <row r="47" spans="1:25" s="68" customFormat="1" ht="21" thickBot="1" x14ac:dyDescent="0.25">
      <c r="A47" s="67"/>
      <c r="B47" s="67"/>
      <c r="C47" s="67"/>
      <c r="D47" s="73" t="s">
        <v>128</v>
      </c>
      <c r="E47" s="67"/>
      <c r="F47" s="67"/>
      <c r="G47" s="465">
        <f>SUM(G28:G46)</f>
        <v>347673</v>
      </c>
      <c r="H47" s="465">
        <f>SUM(H28:H46)</f>
        <v>375019.4200000001</v>
      </c>
      <c r="I47" s="465">
        <f>SUM(I28:I46)</f>
        <v>344190.97</v>
      </c>
      <c r="J47" s="465">
        <f>SUM(J28:J46)</f>
        <v>403803.55409999995</v>
      </c>
      <c r="K47" s="465">
        <f>SUM(K28:K46)</f>
        <v>472315.38</v>
      </c>
      <c r="L47" s="878"/>
      <c r="R47" s="874"/>
      <c r="W47" s="868"/>
      <c r="Y47" s="873"/>
    </row>
    <row r="48" spans="1:25" s="68" customFormat="1" ht="21" thickBot="1" x14ac:dyDescent="0.25">
      <c r="A48" s="67"/>
      <c r="B48" s="67"/>
      <c r="C48" s="67"/>
      <c r="D48" s="67" t="s">
        <v>129</v>
      </c>
      <c r="E48" s="67"/>
      <c r="F48" s="67"/>
      <c r="G48" s="466">
        <f>G22-G47</f>
        <v>-14846</v>
      </c>
      <c r="H48" s="466">
        <f>H22-H47</f>
        <v>23148.419999999867</v>
      </c>
      <c r="I48" s="466">
        <f>I22-I47</f>
        <v>-39845.239999999991</v>
      </c>
      <c r="J48" s="466">
        <f>J22-J47</f>
        <v>-63565.374100000015</v>
      </c>
      <c r="K48" s="466">
        <f>K22-K47</f>
        <v>-135766.16000000003</v>
      </c>
      <c r="L48" s="361"/>
      <c r="R48" s="874"/>
      <c r="W48" s="868"/>
      <c r="Y48" s="873"/>
    </row>
    <row r="49" spans="1:25" s="68" customFormat="1" ht="20.25" x14ac:dyDescent="0.2">
      <c r="A49" s="67"/>
      <c r="B49" s="67"/>
      <c r="C49" s="67"/>
      <c r="D49" s="67"/>
      <c r="E49" s="67"/>
      <c r="F49" s="67"/>
      <c r="G49" s="67"/>
      <c r="H49" s="67"/>
      <c r="I49" s="322"/>
      <c r="J49" s="322"/>
      <c r="K49" s="322"/>
      <c r="L49" s="361"/>
      <c r="R49" s="874"/>
      <c r="W49" s="868"/>
      <c r="Y49" s="873"/>
    </row>
    <row r="50" spans="1:25" s="65" customFormat="1" ht="26.25" x14ac:dyDescent="0.2">
      <c r="A50" s="268"/>
      <c r="B50" s="268"/>
      <c r="C50" s="79" t="s">
        <v>265</v>
      </c>
      <c r="E50" s="79"/>
      <c r="F50" s="79"/>
      <c r="G50" s="882"/>
      <c r="H50" s="882">
        <f>-69500</f>
        <v>-69500</v>
      </c>
      <c r="I50" s="79"/>
      <c r="J50" s="322"/>
      <c r="K50" s="322"/>
      <c r="L50" s="360"/>
      <c r="R50" s="871"/>
      <c r="W50" s="872"/>
      <c r="Y50" s="873"/>
    </row>
    <row r="51" spans="1:25" s="68" customFormat="1" ht="20.25" x14ac:dyDescent="0.2">
      <c r="A51" s="67"/>
      <c r="B51" s="67"/>
      <c r="C51" s="79" t="s">
        <v>459</v>
      </c>
      <c r="E51" s="67"/>
      <c r="G51" s="322">
        <f>G36</f>
        <v>25080</v>
      </c>
      <c r="H51" s="322">
        <f>H36</f>
        <v>24029.68</v>
      </c>
      <c r="I51" s="322">
        <f>I36</f>
        <v>31769</v>
      </c>
      <c r="J51" s="322">
        <f>J36</f>
        <v>30384</v>
      </c>
      <c r="K51" s="322">
        <f>K36</f>
        <v>30834</v>
      </c>
      <c r="L51" s="361"/>
      <c r="R51" s="874"/>
      <c r="W51" s="868"/>
      <c r="Y51" s="873"/>
    </row>
    <row r="52" spans="1:25" s="68" customFormat="1" ht="24" thickBot="1" x14ac:dyDescent="0.25">
      <c r="A52" s="67"/>
      <c r="B52" s="396"/>
      <c r="C52" s="67"/>
      <c r="D52" s="990" t="s">
        <v>232</v>
      </c>
      <c r="E52" s="990"/>
      <c r="F52" s="990"/>
      <c r="G52" s="467">
        <f>G48+G50+G51</f>
        <v>10234</v>
      </c>
      <c r="H52" s="467">
        <f>H48+H50+H51</f>
        <v>-22321.900000000132</v>
      </c>
      <c r="I52" s="467">
        <f>I48+I50+I51</f>
        <v>-8076.2399999999907</v>
      </c>
      <c r="J52" s="467">
        <f>J48+J50+J51</f>
        <v>-33181.374100000015</v>
      </c>
      <c r="K52" s="467">
        <f>K48+K50+K51</f>
        <v>-104932.16000000003</v>
      </c>
      <c r="L52" s="361"/>
      <c r="R52" s="874"/>
      <c r="W52" s="868"/>
      <c r="Y52" s="873"/>
    </row>
    <row r="53" spans="1:25" s="68" customFormat="1" ht="42" customHeight="1" thickTop="1" x14ac:dyDescent="0.2">
      <c r="A53" s="67"/>
      <c r="B53" s="67"/>
      <c r="C53" s="67"/>
      <c r="D53" s="67"/>
      <c r="E53" s="67"/>
      <c r="F53" s="67"/>
      <c r="G53" s="67"/>
      <c r="H53" s="67"/>
      <c r="I53" s="67"/>
      <c r="J53" s="322"/>
      <c r="K53" s="322"/>
      <c r="L53" s="361"/>
      <c r="R53" s="874"/>
      <c r="W53" s="868"/>
      <c r="Y53" s="873"/>
    </row>
    <row r="54" spans="1:25" s="76" customFormat="1" ht="20.25" x14ac:dyDescent="0.2">
      <c r="A54" s="79"/>
      <c r="B54" s="79"/>
      <c r="C54" s="79"/>
      <c r="D54" s="79"/>
      <c r="F54" s="79" t="s">
        <v>309</v>
      </c>
      <c r="G54" s="322">
        <v>225930</v>
      </c>
      <c r="H54" s="322">
        <v>227723</v>
      </c>
      <c r="I54" s="322">
        <v>178666</v>
      </c>
      <c r="J54" s="322">
        <v>206080</v>
      </c>
      <c r="K54" s="322">
        <v>226000</v>
      </c>
      <c r="L54" s="662"/>
      <c r="R54" s="880"/>
      <c r="W54" s="881"/>
      <c r="Y54" s="873"/>
    </row>
    <row r="55" spans="1:25" s="76" customFormat="1" ht="21" thickBot="1" x14ac:dyDescent="0.25">
      <c r="A55" s="79"/>
      <c r="B55" s="79"/>
      <c r="C55" s="79"/>
      <c r="D55" s="79"/>
      <c r="F55" s="79" t="s">
        <v>314</v>
      </c>
      <c r="G55" s="608">
        <f>(G47-G36-G37)/G54</f>
        <v>1.386615323330235</v>
      </c>
      <c r="H55" s="608">
        <f>(H47-H36-H37)/H54</f>
        <v>1.5003962709080774</v>
      </c>
      <c r="I55" s="608">
        <f>(I47-I36-I37)/I54</f>
        <v>1.6965005653006167</v>
      </c>
      <c r="J55" s="608">
        <f>(J47-J36-J37)/J54</f>
        <v>1.7608285816187885</v>
      </c>
      <c r="K55" s="608">
        <f>(K47-K36-K37)/K54</f>
        <v>1.9067848672566372</v>
      </c>
      <c r="L55" s="662"/>
      <c r="R55" s="880"/>
      <c r="W55" s="881"/>
      <c r="Y55" s="873"/>
    </row>
    <row r="56" spans="1:25" s="76" customFormat="1" ht="20.25" x14ac:dyDescent="0.2">
      <c r="A56" s="79"/>
      <c r="B56" s="79"/>
      <c r="C56" s="79"/>
      <c r="D56" s="79"/>
      <c r="F56" s="79"/>
      <c r="G56" s="79"/>
      <c r="H56" s="322"/>
      <c r="I56" s="322"/>
      <c r="J56" s="322"/>
      <c r="K56" s="322"/>
      <c r="L56" s="662"/>
      <c r="R56" s="880"/>
      <c r="W56" s="881"/>
      <c r="Y56" s="873"/>
    </row>
    <row r="57" spans="1:25" s="76" customFormat="1" ht="20.25" x14ac:dyDescent="0.2">
      <c r="A57" s="79"/>
      <c r="B57" s="79"/>
      <c r="C57" s="79"/>
      <c r="D57" s="79"/>
      <c r="F57" s="79" t="s">
        <v>310</v>
      </c>
      <c r="G57" s="322">
        <v>15755</v>
      </c>
      <c r="H57" s="322">
        <v>16457</v>
      </c>
      <c r="I57" s="322">
        <v>10151</v>
      </c>
      <c r="J57" s="322">
        <v>10428</v>
      </c>
      <c r="K57" s="322">
        <v>11740</v>
      </c>
      <c r="L57" s="662"/>
      <c r="R57" s="880"/>
      <c r="W57" s="881"/>
      <c r="Y57" s="873"/>
    </row>
    <row r="58" spans="1:25" s="76" customFormat="1" ht="21" thickBot="1" x14ac:dyDescent="0.25">
      <c r="A58" s="79"/>
      <c r="B58" s="79"/>
      <c r="C58" s="79"/>
      <c r="D58" s="79"/>
      <c r="F58" s="79" t="s">
        <v>371</v>
      </c>
      <c r="G58" s="608">
        <f>(G47-G36-G37)/G57</f>
        <v>19.884354173278325</v>
      </c>
      <c r="H58" s="608">
        <f>(H47-H36-H37)/H57</f>
        <v>20.761666160296535</v>
      </c>
      <c r="I58" s="608">
        <f>(I47-I36-I37)/I57</f>
        <v>29.859813811447147</v>
      </c>
      <c r="J58" s="608">
        <f>(J47-J36-J37)/J57</f>
        <v>34.797809177215186</v>
      </c>
      <c r="K58" s="608">
        <f>(K47-K36-K37)/K57</f>
        <v>36.706420783645655</v>
      </c>
      <c r="L58" s="662"/>
      <c r="R58" s="880"/>
      <c r="W58" s="881"/>
      <c r="Y58" s="873"/>
    </row>
    <row r="59" spans="1:25" s="76" customFormat="1" ht="20.25" x14ac:dyDescent="0.2">
      <c r="A59" s="79"/>
      <c r="B59" s="79"/>
      <c r="C59" s="79"/>
      <c r="D59" s="79"/>
      <c r="F59" s="79"/>
      <c r="G59" s="79"/>
      <c r="H59" s="322"/>
      <c r="I59" s="322"/>
      <c r="J59" s="322"/>
      <c r="K59" s="322"/>
      <c r="L59" s="662"/>
      <c r="R59" s="880"/>
      <c r="W59" s="881"/>
      <c r="Y59" s="873"/>
    </row>
    <row r="60" spans="1:25" s="76" customFormat="1" ht="20.25" hidden="1" x14ac:dyDescent="0.2">
      <c r="A60" s="79"/>
      <c r="B60" s="79"/>
      <c r="C60" s="67"/>
      <c r="D60" s="79"/>
      <c r="F60" s="79" t="s">
        <v>311</v>
      </c>
      <c r="G60" s="79"/>
      <c r="H60" s="322">
        <v>2102</v>
      </c>
      <c r="I60" s="322">
        <v>2696</v>
      </c>
      <c r="J60" s="322">
        <v>2714</v>
      </c>
      <c r="K60" s="322">
        <v>2714</v>
      </c>
      <c r="L60" s="662"/>
      <c r="R60" s="880"/>
      <c r="W60" s="881"/>
      <c r="Y60" s="873"/>
    </row>
    <row r="61" spans="1:25" s="76" customFormat="1" ht="21" hidden="1" thickBot="1" x14ac:dyDescent="0.25">
      <c r="A61" s="79"/>
      <c r="B61" s="79"/>
      <c r="C61" s="79"/>
      <c r="D61" s="79"/>
      <c r="E61" s="79"/>
      <c r="F61" s="79" t="s">
        <v>372</v>
      </c>
      <c r="G61" s="79"/>
      <c r="H61" s="608">
        <f>H10/H60</f>
        <v>5.8413035204567079</v>
      </c>
      <c r="I61" s="608">
        <f>I9/I60</f>
        <v>25.248538575667656</v>
      </c>
      <c r="J61" s="608">
        <f>J9/J60</f>
        <v>31.557439204126752</v>
      </c>
      <c r="K61" s="608">
        <f>K9/K60</f>
        <v>32.464893146647015</v>
      </c>
      <c r="L61" s="662"/>
      <c r="R61" s="880"/>
      <c r="W61" s="881"/>
      <c r="Y61" s="873"/>
    </row>
    <row r="62" spans="1:25" s="76" customFormat="1" ht="20.25" hidden="1" x14ac:dyDescent="0.2">
      <c r="A62" s="79"/>
      <c r="B62" s="79"/>
      <c r="C62" s="67"/>
      <c r="D62" s="67"/>
      <c r="I62" s="322"/>
      <c r="J62" s="322"/>
      <c r="K62" s="322"/>
      <c r="L62" s="662"/>
      <c r="R62" s="880"/>
      <c r="W62" s="881"/>
      <c r="Y62" s="873"/>
    </row>
    <row r="63" spans="1:25" s="76" customFormat="1" ht="20.25" hidden="1" x14ac:dyDescent="0.2">
      <c r="A63" s="79"/>
      <c r="B63" s="79"/>
      <c r="C63" s="79"/>
      <c r="D63" s="79"/>
      <c r="E63" s="79"/>
      <c r="F63" s="79" t="s">
        <v>507</v>
      </c>
      <c r="G63" s="79"/>
      <c r="H63" s="232">
        <v>195138</v>
      </c>
      <c r="I63" s="232">
        <v>104281</v>
      </c>
      <c r="J63" s="232">
        <v>114885</v>
      </c>
      <c r="K63" s="232">
        <v>134000</v>
      </c>
      <c r="L63" s="662"/>
      <c r="R63" s="880"/>
      <c r="W63" s="881"/>
      <c r="Y63" s="873"/>
    </row>
    <row r="64" spans="1:25" s="76" customFormat="1" ht="21" hidden="1" thickBot="1" x14ac:dyDescent="0.25">
      <c r="A64" s="79"/>
      <c r="B64" s="79"/>
      <c r="C64" s="79"/>
      <c r="D64" s="79"/>
      <c r="E64" s="79"/>
      <c r="F64" s="79" t="s">
        <v>314</v>
      </c>
      <c r="G64" s="79"/>
      <c r="H64" s="883">
        <f>(H47-H36-H37)/H63</f>
        <v>1.7509390277649668</v>
      </c>
      <c r="I64" s="883">
        <f>(I47-I36-I37)/I63</f>
        <v>2.9066365876813607</v>
      </c>
      <c r="J64" s="883">
        <f>(J47-J36-J37)/J63</f>
        <v>3.1585633816425118</v>
      </c>
      <c r="K64" s="883">
        <f>(K47-K36-K37)/K63</f>
        <v>3.2159207462686568</v>
      </c>
      <c r="L64" s="662"/>
      <c r="R64" s="880"/>
      <c r="W64" s="881"/>
      <c r="Y64" s="873"/>
    </row>
    <row r="65" spans="1:25" s="76" customFormat="1" ht="20.25" hidden="1" x14ac:dyDescent="0.2">
      <c r="A65" s="79"/>
      <c r="B65" s="79"/>
      <c r="C65" s="67"/>
      <c r="D65" s="79"/>
      <c r="F65" s="79"/>
      <c r="G65" s="79"/>
      <c r="H65" s="79"/>
      <c r="I65" s="232"/>
      <c r="J65" s="232"/>
      <c r="K65" s="232"/>
      <c r="L65" s="662"/>
      <c r="R65" s="880"/>
      <c r="W65" s="881"/>
      <c r="Y65" s="873"/>
    </row>
    <row r="66" spans="1:25" s="76" customFormat="1" ht="20.25" hidden="1" x14ac:dyDescent="0.2">
      <c r="A66" s="79"/>
      <c r="B66" s="79"/>
      <c r="C66" s="67"/>
      <c r="D66" s="79"/>
      <c r="F66" s="79" t="s">
        <v>507</v>
      </c>
      <c r="G66" s="79"/>
      <c r="H66" s="232">
        <v>195138</v>
      </c>
      <c r="I66" s="232">
        <v>104281</v>
      </c>
      <c r="J66" s="232">
        <v>114885</v>
      </c>
      <c r="K66" s="232">
        <f>K63</f>
        <v>134000</v>
      </c>
      <c r="L66" s="662"/>
      <c r="R66" s="880"/>
      <c r="W66" s="881"/>
      <c r="Y66" s="873"/>
    </row>
    <row r="67" spans="1:25" s="76" customFormat="1" ht="20.25" hidden="1" x14ac:dyDescent="0.2">
      <c r="A67" s="79"/>
      <c r="B67" s="79"/>
      <c r="C67" s="67"/>
      <c r="D67" s="79"/>
      <c r="F67" s="79" t="s">
        <v>310</v>
      </c>
      <c r="G67" s="79"/>
      <c r="H67" s="322">
        <v>16457</v>
      </c>
      <c r="I67" s="322">
        <v>10151</v>
      </c>
      <c r="J67" s="322">
        <v>10428</v>
      </c>
      <c r="K67" s="322">
        <f>K57</f>
        <v>11740</v>
      </c>
      <c r="L67" s="662"/>
      <c r="R67" s="880"/>
      <c r="W67" s="881"/>
      <c r="Y67" s="873"/>
    </row>
    <row r="68" spans="1:25" s="76" customFormat="1" ht="21" hidden="1" thickBot="1" x14ac:dyDescent="0.25">
      <c r="A68" s="79"/>
      <c r="B68" s="79"/>
      <c r="C68" s="79"/>
      <c r="D68" s="79"/>
      <c r="E68" s="79"/>
      <c r="F68" s="79" t="s">
        <v>508</v>
      </c>
      <c r="G68" s="79"/>
      <c r="H68" s="884">
        <f>H66/H67</f>
        <v>11.857446679224646</v>
      </c>
      <c r="I68" s="884">
        <f>I66/I67</f>
        <v>10.272978031721014</v>
      </c>
      <c r="J68" s="884">
        <f>J66/J67</f>
        <v>11.016973532796317</v>
      </c>
      <c r="K68" s="884">
        <f>K66/K67</f>
        <v>11.41396933560477</v>
      </c>
      <c r="L68" s="662"/>
      <c r="R68" s="880"/>
      <c r="W68" s="881"/>
      <c r="Y68" s="873"/>
    </row>
    <row r="69" spans="1:25" s="68" customFormat="1" ht="20.25" hidden="1" x14ac:dyDescent="0.2">
      <c r="A69" s="67"/>
      <c r="B69" s="67"/>
      <c r="C69" s="67"/>
      <c r="D69" s="67"/>
      <c r="E69" s="67"/>
      <c r="F69" s="67"/>
      <c r="G69" s="67"/>
      <c r="H69" s="67"/>
      <c r="I69" s="237"/>
      <c r="J69" s="237"/>
      <c r="K69" s="237"/>
      <c r="L69" s="878"/>
      <c r="R69" s="874"/>
      <c r="W69" s="868"/>
      <c r="X69" s="76"/>
      <c r="Y69" s="873"/>
    </row>
    <row r="70" spans="1:25" s="68" customFormat="1" ht="20.25" hidden="1" x14ac:dyDescent="0.2">
      <c r="A70" s="67"/>
      <c r="B70" s="67"/>
      <c r="C70" s="67"/>
      <c r="D70" s="67"/>
      <c r="E70" s="67"/>
      <c r="F70" s="79" t="s">
        <v>509</v>
      </c>
      <c r="G70" s="79"/>
      <c r="H70" s="322">
        <v>227723</v>
      </c>
      <c r="I70" s="232">
        <v>178666</v>
      </c>
      <c r="J70" s="232">
        <v>206080</v>
      </c>
      <c r="K70" s="232">
        <f>K54</f>
        <v>226000</v>
      </c>
      <c r="L70" s="878"/>
      <c r="R70" s="874"/>
      <c r="W70" s="868"/>
      <c r="Y70" s="873"/>
    </row>
    <row r="71" spans="1:25" s="68" customFormat="1" ht="20.25" hidden="1" x14ac:dyDescent="0.2">
      <c r="A71" s="67"/>
      <c r="B71" s="67"/>
      <c r="C71" s="67"/>
      <c r="D71" s="67"/>
      <c r="E71" s="67"/>
      <c r="F71" s="79" t="s">
        <v>310</v>
      </c>
      <c r="G71" s="79"/>
      <c r="H71" s="322">
        <v>16457</v>
      </c>
      <c r="I71" s="322">
        <v>10151</v>
      </c>
      <c r="J71" s="322">
        <v>10428</v>
      </c>
      <c r="K71" s="322">
        <f>K57</f>
        <v>11740</v>
      </c>
      <c r="L71" s="878"/>
      <c r="R71" s="874"/>
      <c r="W71" s="868"/>
      <c r="Y71" s="873"/>
    </row>
    <row r="72" spans="1:25" s="68" customFormat="1" ht="21" hidden="1" thickBot="1" x14ac:dyDescent="0.25">
      <c r="A72" s="67"/>
      <c r="B72" s="67"/>
      <c r="C72" s="67"/>
      <c r="D72" s="67"/>
      <c r="E72" s="67"/>
      <c r="F72" s="79" t="s">
        <v>510</v>
      </c>
      <c r="G72" s="79"/>
      <c r="H72" s="884">
        <f>H70/H71</f>
        <v>13.837455186242936</v>
      </c>
      <c r="I72" s="884">
        <f>I70/I71</f>
        <v>17.600827504679341</v>
      </c>
      <c r="J72" s="884">
        <f>J70/J71</f>
        <v>19.762178749520523</v>
      </c>
      <c r="K72" s="884">
        <f>K70/K71</f>
        <v>19.250425894378193</v>
      </c>
      <c r="L72" s="878"/>
      <c r="R72" s="874"/>
      <c r="W72" s="868"/>
      <c r="Y72" s="873"/>
    </row>
    <row r="73" spans="1:25" s="68" customFormat="1" ht="20.25" hidden="1" x14ac:dyDescent="0.2">
      <c r="A73" s="67"/>
      <c r="B73" s="67"/>
      <c r="C73" s="67"/>
      <c r="D73" s="67"/>
      <c r="E73" s="67"/>
      <c r="F73" s="79"/>
      <c r="G73" s="79"/>
      <c r="H73" s="885"/>
      <c r="I73" s="885"/>
      <c r="J73" s="885"/>
      <c r="K73" s="885"/>
      <c r="L73" s="878"/>
      <c r="R73" s="874"/>
      <c r="W73" s="868"/>
      <c r="Y73" s="873"/>
    </row>
    <row r="74" spans="1:25" s="68" customFormat="1" ht="20.25" hidden="1" x14ac:dyDescent="0.2">
      <c r="A74" s="67"/>
      <c r="B74" s="67"/>
      <c r="C74" s="67"/>
      <c r="D74" s="67"/>
      <c r="E74" s="67"/>
      <c r="F74" s="886" t="s">
        <v>511</v>
      </c>
      <c r="G74" s="886"/>
      <c r="H74" s="67"/>
      <c r="I74" s="67"/>
      <c r="J74" s="237"/>
      <c r="K74" s="237"/>
      <c r="L74" s="878"/>
      <c r="R74" s="874"/>
      <c r="W74" s="868"/>
      <c r="Y74" s="873"/>
    </row>
    <row r="75" spans="1:25" s="68" customFormat="1" ht="20.25" hidden="1" x14ac:dyDescent="0.2">
      <c r="A75" s="67"/>
      <c r="B75" s="67"/>
      <c r="C75" s="67"/>
      <c r="D75" s="67"/>
      <c r="E75" s="67"/>
      <c r="F75" s="67" t="s">
        <v>512</v>
      </c>
      <c r="G75" s="67"/>
      <c r="H75" s="887">
        <f t="shared" ref="H75:J75" si="0">H28+(H28*0.21)+H32+H34</f>
        <v>237890.76749999999</v>
      </c>
      <c r="I75" s="887">
        <f t="shared" si="0"/>
        <v>188101.25649999999</v>
      </c>
      <c r="J75" s="887">
        <f t="shared" si="0"/>
        <v>232210.04700000002</v>
      </c>
      <c r="K75" s="887">
        <f>K28+(K28*0.2)+K32+K34</f>
        <v>290400</v>
      </c>
      <c r="L75" s="888"/>
      <c r="R75" s="874"/>
      <c r="W75" s="868"/>
      <c r="Y75" s="873"/>
    </row>
    <row r="76" spans="1:25" s="68" customFormat="1" ht="23.25" hidden="1" x14ac:dyDescent="0.2">
      <c r="A76" s="67"/>
      <c r="B76" s="271"/>
      <c r="C76" s="67"/>
      <c r="D76" s="67"/>
      <c r="E76" s="67"/>
      <c r="F76" s="67" t="s">
        <v>513</v>
      </c>
      <c r="G76" s="67"/>
      <c r="H76" s="237">
        <f>H47-H75-H77</f>
        <v>103783.97250000012</v>
      </c>
      <c r="I76" s="237">
        <f>I47-I75-I77</f>
        <v>115005.71349999998</v>
      </c>
      <c r="J76" s="237">
        <f>J47-J75-J77</f>
        <v>130661.50709999993</v>
      </c>
      <c r="K76" s="237">
        <f>K47-K75-K77</f>
        <v>140533.38</v>
      </c>
      <c r="L76" s="888"/>
      <c r="R76" s="874"/>
      <c r="W76" s="868"/>
      <c r="Y76" s="873"/>
    </row>
    <row r="77" spans="1:25" s="76" customFormat="1" ht="20.25" hidden="1" x14ac:dyDescent="0.2">
      <c r="A77" s="79"/>
      <c r="B77" s="79"/>
      <c r="D77" s="79"/>
      <c r="E77" s="79"/>
      <c r="F77" s="67" t="s">
        <v>514</v>
      </c>
      <c r="G77" s="67"/>
      <c r="H77" s="237">
        <f>H36+H37</f>
        <v>33344.68</v>
      </c>
      <c r="I77" s="237">
        <f>I36+I37</f>
        <v>41084</v>
      </c>
      <c r="J77" s="237">
        <f>J36+J37</f>
        <v>40932</v>
      </c>
      <c r="K77" s="237">
        <f>K36+K37</f>
        <v>41382</v>
      </c>
      <c r="L77" s="888"/>
      <c r="R77" s="880"/>
      <c r="W77" s="881"/>
      <c r="Y77" s="873"/>
    </row>
    <row r="78" spans="1:25" s="76" customFormat="1" ht="21" hidden="1" thickBot="1" x14ac:dyDescent="0.25">
      <c r="A78" s="79"/>
      <c r="B78" s="79"/>
      <c r="D78" s="79"/>
      <c r="E78" s="79"/>
      <c r="F78" s="67" t="s">
        <v>515</v>
      </c>
      <c r="G78" s="67"/>
      <c r="H78" s="889">
        <f>SUM(H75:H77)</f>
        <v>375019.4200000001</v>
      </c>
      <c r="I78" s="889">
        <f>SUM(I75:I77)</f>
        <v>344190.97</v>
      </c>
      <c r="J78" s="889">
        <f>SUM(J75:J77)</f>
        <v>403803.55409999995</v>
      </c>
      <c r="K78" s="889">
        <f>SUM(K75:K77)</f>
        <v>472315.38</v>
      </c>
      <c r="L78" s="888"/>
      <c r="R78" s="880"/>
      <c r="W78" s="881"/>
      <c r="Y78" s="873"/>
    </row>
    <row r="79" spans="1:25" s="76" customFormat="1" ht="20.25" hidden="1" x14ac:dyDescent="0.2">
      <c r="A79" s="79"/>
      <c r="B79" s="79"/>
      <c r="D79" s="79"/>
      <c r="E79" s="79"/>
      <c r="F79" s="67" t="s">
        <v>516</v>
      </c>
      <c r="G79" s="67"/>
      <c r="H79" s="890">
        <v>195138</v>
      </c>
      <c r="I79" s="890">
        <v>104281</v>
      </c>
      <c r="J79" s="891">
        <f>J63</f>
        <v>114885</v>
      </c>
      <c r="K79" s="891">
        <f>K63</f>
        <v>134000</v>
      </c>
      <c r="L79" s="888"/>
      <c r="R79" s="880"/>
      <c r="W79" s="881"/>
      <c r="Y79" s="873"/>
    </row>
    <row r="80" spans="1:25" s="76" customFormat="1" ht="20.25" hidden="1" x14ac:dyDescent="0.2">
      <c r="A80" s="79"/>
      <c r="B80" s="79"/>
      <c r="D80" s="79"/>
      <c r="E80" s="79"/>
      <c r="F80" s="67" t="s">
        <v>517</v>
      </c>
      <c r="G80" s="67"/>
      <c r="H80" s="892">
        <f>H75/H79</f>
        <v>1.2190899132921316</v>
      </c>
      <c r="I80" s="892">
        <f>I75/I79</f>
        <v>1.8037922200592629</v>
      </c>
      <c r="J80" s="892">
        <f>J75/J79</f>
        <v>2.0212390390390391</v>
      </c>
      <c r="K80" s="892">
        <f>K75/K79</f>
        <v>2.1671641791044776</v>
      </c>
      <c r="L80" s="888"/>
      <c r="R80" s="880"/>
      <c r="W80" s="881"/>
      <c r="Y80" s="873"/>
    </row>
    <row r="81" spans="1:25" s="76" customFormat="1" ht="20.25" hidden="1" x14ac:dyDescent="0.2">
      <c r="A81" s="79"/>
      <c r="B81" s="79"/>
      <c r="D81" s="79"/>
      <c r="E81" s="79"/>
      <c r="F81" s="67" t="s">
        <v>518</v>
      </c>
      <c r="G81" s="67"/>
      <c r="H81" s="892">
        <f>H76/H57</f>
        <v>6.3063725162544886</v>
      </c>
      <c r="I81" s="892">
        <f>I76/I57</f>
        <v>11.329495960989064</v>
      </c>
      <c r="J81" s="892">
        <f>J76/J57</f>
        <v>12.529872180667427</v>
      </c>
      <c r="K81" s="892">
        <f>K76/K57</f>
        <v>11.970475298126065</v>
      </c>
      <c r="L81" s="888"/>
      <c r="R81" s="880"/>
      <c r="W81" s="881"/>
      <c r="Y81" s="873"/>
    </row>
    <row r="82" spans="1:25" s="76" customFormat="1" ht="20.25" hidden="1" x14ac:dyDescent="0.2">
      <c r="A82" s="79"/>
      <c r="B82" s="79"/>
      <c r="D82" s="79"/>
      <c r="E82" s="79"/>
      <c r="F82" s="67"/>
      <c r="G82" s="67"/>
      <c r="H82" s="67"/>
      <c r="I82" s="892"/>
      <c r="J82" s="892"/>
      <c r="K82" s="892"/>
      <c r="L82" s="888"/>
      <c r="R82" s="880"/>
      <c r="W82" s="881"/>
      <c r="Y82" s="873"/>
    </row>
    <row r="83" spans="1:25" s="76" customFormat="1" ht="20.25" hidden="1" x14ac:dyDescent="0.2">
      <c r="A83" s="79"/>
      <c r="B83" s="79"/>
      <c r="D83" s="79"/>
      <c r="E83" s="79"/>
      <c r="H83" s="79"/>
      <c r="I83" s="79"/>
      <c r="J83" s="232"/>
      <c r="K83" s="232"/>
      <c r="L83" s="363"/>
      <c r="R83" s="880"/>
      <c r="W83" s="881"/>
      <c r="Y83" s="873"/>
    </row>
    <row r="84" spans="1:25" s="68" customFormat="1" ht="20.25" hidden="1" x14ac:dyDescent="0.2">
      <c r="A84" s="67"/>
      <c r="B84" s="67"/>
      <c r="D84" s="79"/>
      <c r="E84" s="67"/>
      <c r="F84" s="67" t="s">
        <v>512</v>
      </c>
      <c r="G84" s="67"/>
      <c r="H84" s="237">
        <f>H24-H85-H86</f>
        <v>238182.86749999985</v>
      </c>
      <c r="I84" s="237">
        <f>I22-I85-I86</f>
        <v>180025.0165</v>
      </c>
      <c r="J84" s="237">
        <f>J22-J85-J86</f>
        <v>199028.67290000001</v>
      </c>
      <c r="K84" s="237">
        <f>K22-K85-K86</f>
        <v>185467.83999999997</v>
      </c>
      <c r="L84" s="888"/>
      <c r="R84" s="874"/>
      <c r="W84" s="868"/>
      <c r="Y84" s="873"/>
    </row>
    <row r="85" spans="1:25" s="68" customFormat="1" ht="23.25" hidden="1" x14ac:dyDescent="0.2">
      <c r="A85" s="67"/>
      <c r="B85" s="271"/>
      <c r="C85" s="67"/>
      <c r="D85" s="67"/>
      <c r="E85" s="67"/>
      <c r="F85" s="67" t="s">
        <v>513</v>
      </c>
      <c r="G85" s="67"/>
      <c r="H85" s="890">
        <f>H76</f>
        <v>103783.97250000012</v>
      </c>
      <c r="I85" s="890">
        <f>I76</f>
        <v>115005.71349999998</v>
      </c>
      <c r="J85" s="237">
        <f>J76</f>
        <v>130661.50709999993</v>
      </c>
      <c r="K85" s="237">
        <f>K76</f>
        <v>140533.38</v>
      </c>
      <c r="L85" s="888"/>
      <c r="R85" s="874"/>
      <c r="W85" s="868"/>
      <c r="Y85" s="873"/>
    </row>
    <row r="86" spans="1:25" s="68" customFormat="1" ht="20.25" hidden="1" x14ac:dyDescent="0.2">
      <c r="A86" s="67"/>
      <c r="B86" s="67"/>
      <c r="C86" s="67"/>
      <c r="D86" s="67"/>
      <c r="E86" s="67"/>
      <c r="F86" s="67" t="s">
        <v>519</v>
      </c>
      <c r="G86" s="67"/>
      <c r="H86" s="890">
        <f>H18</f>
        <v>9315</v>
      </c>
      <c r="I86" s="890">
        <f>I18</f>
        <v>9315</v>
      </c>
      <c r="J86" s="237">
        <f>J37</f>
        <v>10548</v>
      </c>
      <c r="K86" s="237">
        <f>K37</f>
        <v>10548</v>
      </c>
      <c r="L86" s="888"/>
      <c r="R86" s="874"/>
      <c r="W86" s="868"/>
      <c r="Y86" s="873"/>
    </row>
    <row r="87" spans="1:25" s="82" customFormat="1" ht="27" hidden="1" thickBot="1" x14ac:dyDescent="0.25">
      <c r="A87" s="268"/>
      <c r="B87" s="268"/>
      <c r="C87" s="268"/>
      <c r="D87" s="268"/>
      <c r="E87" s="268"/>
      <c r="F87" s="67" t="s">
        <v>520</v>
      </c>
      <c r="G87" s="67"/>
      <c r="H87" s="756">
        <f>SUM(H84:H86)</f>
        <v>351281.83999999997</v>
      </c>
      <c r="I87" s="756">
        <f>SUM(I84:I86)</f>
        <v>304345.73</v>
      </c>
      <c r="J87" s="756">
        <f>SUM(J84:J86)</f>
        <v>340238.17999999993</v>
      </c>
      <c r="K87" s="756">
        <f>SUM(K84:K86)</f>
        <v>336549.22</v>
      </c>
      <c r="L87" s="364"/>
      <c r="R87" s="893"/>
      <c r="W87" s="894"/>
      <c r="Y87" s="895"/>
    </row>
    <row r="88" spans="1:25" s="82" customFormat="1" ht="26.25" hidden="1" x14ac:dyDescent="0.2">
      <c r="A88" s="268"/>
      <c r="B88" s="268"/>
      <c r="C88" s="268"/>
      <c r="D88" s="268"/>
      <c r="E88" s="268"/>
      <c r="F88" s="67" t="s">
        <v>521</v>
      </c>
      <c r="G88" s="67"/>
      <c r="H88" s="237">
        <f>H67</f>
        <v>16457</v>
      </c>
      <c r="I88" s="237">
        <f>I67</f>
        <v>10151</v>
      </c>
      <c r="J88" s="237">
        <f>J57</f>
        <v>10428</v>
      </c>
      <c r="K88" s="237">
        <v>11740</v>
      </c>
      <c r="L88" s="364"/>
      <c r="R88" s="893"/>
      <c r="W88" s="894"/>
      <c r="Y88" s="895"/>
    </row>
    <row r="89" spans="1:25" s="18" customFormat="1" ht="20.25" hidden="1" x14ac:dyDescent="0.3">
      <c r="A89" s="122"/>
      <c r="B89" s="122"/>
      <c r="C89" s="122"/>
      <c r="D89" s="122"/>
      <c r="E89" s="122"/>
      <c r="F89" s="67" t="s">
        <v>522</v>
      </c>
      <c r="G89" s="67"/>
      <c r="H89" s="896">
        <f>H84/H80/H68</f>
        <v>16477.207130148494</v>
      </c>
      <c r="I89" s="896">
        <f>I84/I80/I68</f>
        <v>9715.1607410527849</v>
      </c>
      <c r="J89" s="896">
        <f>J84/J80/J68</f>
        <v>8937.9035395535666</v>
      </c>
      <c r="K89" s="896">
        <f>K84/K80/K68</f>
        <v>7497.9078567493098</v>
      </c>
      <c r="L89" s="366"/>
      <c r="R89" s="897"/>
      <c r="W89" s="876"/>
      <c r="Y89" s="898"/>
    </row>
    <row r="90" spans="1:25" s="18" customFormat="1" ht="20.25" hidden="1" x14ac:dyDescent="0.3">
      <c r="A90" s="122"/>
      <c r="B90" s="122"/>
      <c r="C90" s="122"/>
      <c r="D90" s="122"/>
      <c r="E90" s="122"/>
      <c r="F90" s="67" t="s">
        <v>523</v>
      </c>
      <c r="G90" s="67"/>
      <c r="H90" s="899">
        <f>H89-H88</f>
        <v>20.207130148493889</v>
      </c>
      <c r="I90" s="899">
        <f>I89-I88</f>
        <v>-435.83925894721506</v>
      </c>
      <c r="J90" s="899">
        <f>J89-J88</f>
        <v>-1490.0964604464334</v>
      </c>
      <c r="K90" s="899">
        <f>K89-K88</f>
        <v>-4242.0921432506902</v>
      </c>
      <c r="L90" s="366"/>
      <c r="R90" s="897"/>
      <c r="W90" s="876"/>
      <c r="Y90" s="898"/>
    </row>
    <row r="91" spans="1:25" s="18" customFormat="1" ht="20.25" hidden="1" x14ac:dyDescent="0.3">
      <c r="A91" s="122"/>
      <c r="B91" s="122"/>
      <c r="C91" s="122"/>
      <c r="D91" s="122"/>
      <c r="E91" s="122"/>
      <c r="F91" s="67" t="s">
        <v>517</v>
      </c>
      <c r="G91" s="67"/>
      <c r="H91" s="900">
        <f>H84/(H89*H68)</f>
        <v>1.2190899132921318</v>
      </c>
      <c r="I91" s="900">
        <f>I84/(I89*I68)</f>
        <v>1.8037922200592629</v>
      </c>
      <c r="J91" s="900">
        <f>J84/(J89*J68)</f>
        <v>2.0212390390390391</v>
      </c>
      <c r="K91" s="900">
        <f>K84/(K89*K68)</f>
        <v>2.1671641791044776</v>
      </c>
      <c r="L91" s="366"/>
      <c r="R91" s="897"/>
      <c r="W91" s="876"/>
      <c r="Y91" s="898"/>
    </row>
    <row r="92" spans="1:25" s="18" customFormat="1" ht="20.25" hidden="1" x14ac:dyDescent="0.3">
      <c r="A92" s="122"/>
      <c r="B92" s="122"/>
      <c r="C92" s="122"/>
      <c r="D92" s="122"/>
      <c r="E92" s="122"/>
      <c r="F92" s="67" t="s">
        <v>518</v>
      </c>
      <c r="G92" s="67"/>
      <c r="H92" s="900">
        <f>H85/H89</f>
        <v>6.2986385787495296</v>
      </c>
      <c r="I92" s="900">
        <f>I85/I89</f>
        <v>11.837757147344673</v>
      </c>
      <c r="J92" s="900">
        <f>J85/J89</f>
        <v>14.618809267942297</v>
      </c>
      <c r="K92" s="900">
        <f>K85/K89</f>
        <v>18.743012408921192</v>
      </c>
      <c r="L92" s="366"/>
      <c r="R92" s="897"/>
      <c r="W92" s="876"/>
      <c r="Y92" s="898"/>
    </row>
    <row r="93" spans="1:25" s="18" customFormat="1" ht="20.25" hidden="1" x14ac:dyDescent="0.3">
      <c r="A93" s="122"/>
      <c r="B93" s="122"/>
      <c r="C93" s="122"/>
      <c r="D93" s="122"/>
      <c r="E93" s="122"/>
      <c r="F93" s="67"/>
      <c r="G93" s="67"/>
      <c r="H93" s="67"/>
      <c r="I93" s="900"/>
      <c r="J93" s="900"/>
      <c r="K93" s="900"/>
      <c r="L93" s="366"/>
      <c r="R93" s="897"/>
      <c r="W93" s="876"/>
      <c r="Y93" s="898"/>
    </row>
    <row r="94" spans="1:25" ht="20.25" hidden="1" x14ac:dyDescent="0.3">
      <c r="J94" s="277"/>
      <c r="K94" s="277"/>
    </row>
    <row r="95" spans="1:25" ht="20.25" hidden="1" x14ac:dyDescent="0.3">
      <c r="J95" s="277"/>
      <c r="K95" s="277"/>
    </row>
    <row r="96" spans="1:25" ht="20.25" hidden="1" x14ac:dyDescent="0.3">
      <c r="F96" s="886" t="s">
        <v>524</v>
      </c>
      <c r="G96" s="886"/>
      <c r="J96" s="277"/>
      <c r="K96" s="277"/>
    </row>
    <row r="97" spans="6:12" ht="20.25" hidden="1" x14ac:dyDescent="0.25">
      <c r="F97" s="67" t="s">
        <v>512</v>
      </c>
      <c r="G97" s="67"/>
      <c r="H97" s="887">
        <f t="shared" ref="H97:J99" si="1">H75</f>
        <v>237890.76749999999</v>
      </c>
      <c r="I97" s="887">
        <f t="shared" si="1"/>
        <v>188101.25649999999</v>
      </c>
      <c r="J97" s="887">
        <f t="shared" si="1"/>
        <v>232210.04700000002</v>
      </c>
      <c r="K97" s="887">
        <f>K75</f>
        <v>290400</v>
      </c>
      <c r="L97" s="888"/>
    </row>
    <row r="98" spans="6:12" ht="20.25" hidden="1" x14ac:dyDescent="0.25">
      <c r="F98" s="67" t="s">
        <v>513</v>
      </c>
      <c r="G98" s="67"/>
      <c r="H98" s="237">
        <f t="shared" si="1"/>
        <v>103783.97250000012</v>
      </c>
      <c r="I98" s="237">
        <f t="shared" si="1"/>
        <v>115005.71349999998</v>
      </c>
      <c r="J98" s="237">
        <f t="shared" si="1"/>
        <v>130661.50709999993</v>
      </c>
      <c r="K98" s="237">
        <f>K76</f>
        <v>140533.38</v>
      </c>
      <c r="L98" s="888"/>
    </row>
    <row r="99" spans="6:12" ht="20.25" hidden="1" x14ac:dyDescent="0.25">
      <c r="F99" s="67" t="s">
        <v>514</v>
      </c>
      <c r="G99" s="67"/>
      <c r="H99" s="237">
        <f t="shared" si="1"/>
        <v>33344.68</v>
      </c>
      <c r="I99" s="237">
        <f t="shared" si="1"/>
        <v>41084</v>
      </c>
      <c r="J99" s="237">
        <f t="shared" si="1"/>
        <v>40932</v>
      </c>
      <c r="K99" s="237">
        <f>K77</f>
        <v>41382</v>
      </c>
      <c r="L99" s="888"/>
    </row>
    <row r="100" spans="6:12" ht="21" hidden="1" thickBot="1" x14ac:dyDescent="0.3">
      <c r="F100" s="67" t="s">
        <v>515</v>
      </c>
      <c r="G100" s="67"/>
      <c r="H100" s="889">
        <f>SUM(H97:H99)</f>
        <v>375019.4200000001</v>
      </c>
      <c r="I100" s="889">
        <f>SUM(I97:I99)</f>
        <v>344190.97</v>
      </c>
      <c r="J100" s="889">
        <f>SUM(J97:J99)</f>
        <v>403803.55409999995</v>
      </c>
      <c r="K100" s="889">
        <f>SUM(K97:K99)</f>
        <v>472315.38</v>
      </c>
      <c r="L100" s="888"/>
    </row>
    <row r="101" spans="6:12" ht="20.25" hidden="1" x14ac:dyDescent="0.25">
      <c r="F101" s="67" t="s">
        <v>525</v>
      </c>
      <c r="G101" s="67"/>
      <c r="H101" s="237">
        <f>H54</f>
        <v>227723</v>
      </c>
      <c r="I101" s="237">
        <f t="shared" ref="I101:K101" si="2">I54</f>
        <v>178666</v>
      </c>
      <c r="J101" s="237">
        <f t="shared" si="2"/>
        <v>206080</v>
      </c>
      <c r="K101" s="237">
        <f t="shared" si="2"/>
        <v>226000</v>
      </c>
      <c r="L101" s="888"/>
    </row>
    <row r="102" spans="6:12" ht="20.25" hidden="1" x14ac:dyDescent="0.25">
      <c r="F102" s="67" t="s">
        <v>526</v>
      </c>
      <c r="G102" s="67"/>
      <c r="H102" s="892">
        <f>H97/H101</f>
        <v>1.0446497169807178</v>
      </c>
      <c r="I102" s="892">
        <f>I97/I101</f>
        <v>1.0528094685054794</v>
      </c>
      <c r="J102" s="892">
        <f>J97/J101</f>
        <v>1.1267956473214287</v>
      </c>
      <c r="K102" s="892">
        <f>K97/K101</f>
        <v>1.2849557522123893</v>
      </c>
      <c r="L102" s="888"/>
    </row>
    <row r="103" spans="6:12" ht="20.25" hidden="1" x14ac:dyDescent="0.25">
      <c r="F103" s="67" t="s">
        <v>518</v>
      </c>
      <c r="G103" s="67"/>
      <c r="H103" s="892">
        <f t="shared" ref="H103:K103" si="3">H98/H57</f>
        <v>6.3063725162544886</v>
      </c>
      <c r="I103" s="892">
        <f t="shared" si="3"/>
        <v>11.329495960989064</v>
      </c>
      <c r="J103" s="892">
        <f t="shared" si="3"/>
        <v>12.529872180667427</v>
      </c>
      <c r="K103" s="892">
        <f t="shared" si="3"/>
        <v>11.970475298126065</v>
      </c>
      <c r="L103" s="888"/>
    </row>
    <row r="104" spans="6:12" ht="20.25" hidden="1" x14ac:dyDescent="0.3">
      <c r="H104" s="277"/>
      <c r="I104" s="277"/>
      <c r="J104" s="277"/>
      <c r="K104" s="277"/>
    </row>
    <row r="105" spans="6:12" ht="20.25" hidden="1" x14ac:dyDescent="0.25">
      <c r="H105" s="232"/>
      <c r="I105" s="232"/>
      <c r="J105" s="232"/>
      <c r="K105" s="232"/>
      <c r="L105" s="363"/>
    </row>
    <row r="106" spans="6:12" ht="20.25" hidden="1" x14ac:dyDescent="0.25">
      <c r="F106" s="67" t="s">
        <v>512</v>
      </c>
      <c r="G106" s="67"/>
      <c r="H106" s="237">
        <f>H24-H107-H108</f>
        <v>238182.86749999985</v>
      </c>
      <c r="I106" s="237">
        <f>I22-I107-I108</f>
        <v>180025.0165</v>
      </c>
      <c r="J106" s="237">
        <f>J22-J107-J108</f>
        <v>199028.67290000001</v>
      </c>
      <c r="K106" s="237">
        <f>K22-K107-K108</f>
        <v>185467.83999999997</v>
      </c>
      <c r="L106" s="888"/>
    </row>
    <row r="107" spans="6:12" ht="20.25" hidden="1" x14ac:dyDescent="0.25">
      <c r="F107" s="67" t="s">
        <v>513</v>
      </c>
      <c r="G107" s="67"/>
      <c r="H107" s="237">
        <f t="shared" ref="H107:I107" si="4">H98</f>
        <v>103783.97250000012</v>
      </c>
      <c r="I107" s="237">
        <f t="shared" si="4"/>
        <v>115005.71349999998</v>
      </c>
      <c r="J107" s="237">
        <f>J98</f>
        <v>130661.50709999993</v>
      </c>
      <c r="K107" s="237">
        <f t="shared" ref="K107" si="5">K98</f>
        <v>140533.38</v>
      </c>
      <c r="L107" s="888"/>
    </row>
    <row r="108" spans="6:12" ht="20.25" hidden="1" x14ac:dyDescent="0.25">
      <c r="F108" s="67" t="s">
        <v>104</v>
      </c>
      <c r="G108" s="67"/>
      <c r="H108" s="237">
        <f>H37</f>
        <v>9315</v>
      </c>
      <c r="I108" s="237">
        <f>I37</f>
        <v>9315</v>
      </c>
      <c r="J108" s="237">
        <f>J37</f>
        <v>10548</v>
      </c>
      <c r="K108" s="237">
        <f>K37</f>
        <v>10548</v>
      </c>
      <c r="L108" s="888"/>
    </row>
    <row r="109" spans="6:12" ht="27" hidden="1" thickBot="1" x14ac:dyDescent="0.3">
      <c r="F109" s="67" t="s">
        <v>520</v>
      </c>
      <c r="G109" s="67"/>
      <c r="H109" s="756">
        <f>SUM(H106:H108)</f>
        <v>351281.83999999997</v>
      </c>
      <c r="I109" s="756">
        <f>SUM(I106:I108)</f>
        <v>304345.73</v>
      </c>
      <c r="J109" s="756">
        <f>SUM(J106:J108)</f>
        <v>340238.17999999993</v>
      </c>
      <c r="K109" s="756">
        <f>SUM(K106:K108)</f>
        <v>336549.22</v>
      </c>
      <c r="L109" s="364"/>
    </row>
    <row r="110" spans="6:12" ht="20.25" hidden="1" x14ac:dyDescent="0.25">
      <c r="F110" s="67" t="s">
        <v>521</v>
      </c>
      <c r="G110" s="67"/>
      <c r="H110" s="237">
        <f>H88</f>
        <v>16457</v>
      </c>
      <c r="I110" s="237">
        <f>I88</f>
        <v>10151</v>
      </c>
      <c r="J110" s="237">
        <f>J88</f>
        <v>10428</v>
      </c>
      <c r="K110" s="237">
        <f>K88</f>
        <v>11740</v>
      </c>
    </row>
    <row r="111" spans="6:12" ht="20.25" hidden="1" x14ac:dyDescent="0.3">
      <c r="F111" s="67" t="s">
        <v>522</v>
      </c>
      <c r="G111" s="67"/>
      <c r="H111" s="896">
        <f t="shared" ref="H111:K111" si="6">H106/H102/H72</f>
        <v>16477.207130148494</v>
      </c>
      <c r="I111" s="896">
        <f t="shared" si="6"/>
        <v>9715.1607410527868</v>
      </c>
      <c r="J111" s="896">
        <f t="shared" si="6"/>
        <v>8937.9035395535648</v>
      </c>
      <c r="K111" s="896">
        <f t="shared" si="6"/>
        <v>7497.9078567493116</v>
      </c>
    </row>
    <row r="112" spans="6:12" ht="20.25" hidden="1" x14ac:dyDescent="0.3">
      <c r="F112" s="67" t="s">
        <v>523</v>
      </c>
      <c r="G112" s="67"/>
      <c r="H112" s="899">
        <f>H111-H110</f>
        <v>20.207130148493889</v>
      </c>
      <c r="I112" s="899">
        <f>I111-I110</f>
        <v>-435.83925894721324</v>
      </c>
      <c r="J112" s="899">
        <f>J111-J110</f>
        <v>-1490.0964604464352</v>
      </c>
      <c r="K112" s="899">
        <f>K111-K110</f>
        <v>-4242.0921432506884</v>
      </c>
    </row>
    <row r="113" spans="6:11" ht="20.25" hidden="1" x14ac:dyDescent="0.3">
      <c r="F113" s="67" t="s">
        <v>526</v>
      </c>
      <c r="G113" s="67"/>
      <c r="H113" s="900">
        <f>H106/(H111*H72)</f>
        <v>1.0446497169807178</v>
      </c>
      <c r="I113" s="900">
        <f t="shared" ref="I113:K113" si="7">I106/(I111*I72)</f>
        <v>1.0528094685054794</v>
      </c>
      <c r="J113" s="900">
        <f t="shared" si="7"/>
        <v>1.1267956473214289</v>
      </c>
      <c r="K113" s="900">
        <f t="shared" si="7"/>
        <v>1.2849557522123893</v>
      </c>
    </row>
    <row r="114" spans="6:11" ht="20.25" hidden="1" x14ac:dyDescent="0.3">
      <c r="F114" s="67" t="s">
        <v>527</v>
      </c>
      <c r="G114" s="67"/>
      <c r="H114" s="900">
        <f>H107/H111</f>
        <v>6.2986385787495296</v>
      </c>
      <c r="I114" s="900">
        <f>I107/I111</f>
        <v>11.837757147344671</v>
      </c>
      <c r="J114" s="900">
        <f>J107/J111</f>
        <v>14.618809267942298</v>
      </c>
      <c r="K114" s="900">
        <f>K107/K111</f>
        <v>18.743012408921185</v>
      </c>
    </row>
    <row r="115" spans="6:11" ht="20.25" x14ac:dyDescent="0.25">
      <c r="F115" s="67" t="s">
        <v>528</v>
      </c>
      <c r="G115" s="322">
        <f>G28+G32+G34+G28*0.21</f>
        <v>216908.68</v>
      </c>
      <c r="H115" s="322">
        <f t="shared" ref="H115:K115" si="8">H28+H32+H34+H28*0.21</f>
        <v>237890.76750000002</v>
      </c>
      <c r="I115" s="322">
        <f t="shared" si="8"/>
        <v>188101.25650000002</v>
      </c>
      <c r="J115" s="322">
        <f t="shared" si="8"/>
        <v>232210.04700000002</v>
      </c>
      <c r="K115" s="322">
        <f t="shared" si="8"/>
        <v>292430</v>
      </c>
    </row>
    <row r="116" spans="6:11" ht="20.25" x14ac:dyDescent="0.25">
      <c r="F116" s="67" t="s">
        <v>513</v>
      </c>
      <c r="G116" s="322">
        <f>G47-G115-G117</f>
        <v>105684.32</v>
      </c>
      <c r="H116" s="322">
        <f t="shared" ref="H116:K116" si="9">H47-H115-H117</f>
        <v>113098.97250000009</v>
      </c>
      <c r="I116" s="322">
        <f t="shared" si="9"/>
        <v>124320.71349999995</v>
      </c>
      <c r="J116" s="322">
        <f t="shared" si="9"/>
        <v>141209.50709999993</v>
      </c>
      <c r="K116" s="322">
        <f t="shared" si="9"/>
        <v>149051.38</v>
      </c>
    </row>
    <row r="117" spans="6:11" ht="20.25" x14ac:dyDescent="0.25">
      <c r="F117" s="67" t="s">
        <v>125</v>
      </c>
      <c r="G117" s="322">
        <f>G36</f>
        <v>25080</v>
      </c>
      <c r="H117" s="322">
        <f t="shared" ref="H117:K117" si="10">H36</f>
        <v>24029.68</v>
      </c>
      <c r="I117" s="322">
        <f t="shared" si="10"/>
        <v>31769</v>
      </c>
      <c r="J117" s="322">
        <f t="shared" si="10"/>
        <v>30384</v>
      </c>
      <c r="K117" s="322">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17"/>
  <sheetViews>
    <sheetView tabSelected="1" topLeftCell="A92" zoomScaleNormal="100" workbookViewId="0">
      <selection activeCell="M103" sqref="M93:M103"/>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1018" t="s">
        <v>171</v>
      </c>
      <c r="B1" s="1018"/>
      <c r="C1" s="1018"/>
      <c r="D1" s="1018"/>
      <c r="E1" s="1018"/>
      <c r="F1" s="1018"/>
      <c r="G1" s="1018"/>
      <c r="H1" s="1018"/>
    </row>
    <row r="2" spans="1:8" ht="23.25" x14ac:dyDescent="0.2">
      <c r="A2" s="1018" t="s">
        <v>172</v>
      </c>
      <c r="B2" s="1018"/>
      <c r="C2" s="1018"/>
      <c r="D2" s="1018"/>
      <c r="E2" s="1018"/>
      <c r="F2" s="1018"/>
      <c r="G2" s="1018"/>
      <c r="H2" s="1018"/>
    </row>
    <row r="3" spans="1:8" ht="23.25" x14ac:dyDescent="0.2">
      <c r="A3" s="1019">
        <v>45132</v>
      </c>
      <c r="B3" s="1019"/>
      <c r="C3" s="1019"/>
      <c r="D3" s="1019"/>
      <c r="E3" s="1019"/>
      <c r="F3" s="1019"/>
      <c r="G3" s="1019"/>
      <c r="H3" s="1019"/>
    </row>
    <row r="4" spans="1:8" ht="21.75" customHeight="1" x14ac:dyDescent="0.2">
      <c r="A4" s="1020" t="s">
        <v>182</v>
      </c>
      <c r="B4" s="1020"/>
      <c r="C4" s="1020"/>
      <c r="D4" s="1020"/>
      <c r="E4" s="1020"/>
      <c r="F4" s="1020"/>
      <c r="G4" s="1020"/>
      <c r="H4" s="1020"/>
    </row>
    <row r="5" spans="1:8" ht="83.25" customHeight="1" x14ac:dyDescent="0.2">
      <c r="A5" s="999" t="s">
        <v>634</v>
      </c>
      <c r="B5" s="999"/>
      <c r="C5" s="999"/>
      <c r="D5" s="999"/>
      <c r="E5" s="999"/>
      <c r="F5" s="999"/>
      <c r="G5" s="999"/>
      <c r="H5" s="999"/>
    </row>
    <row r="6" spans="1:8" ht="81" customHeight="1" x14ac:dyDescent="0.2">
      <c r="A6" s="475"/>
      <c r="B6" s="475"/>
      <c r="C6" s="475"/>
      <c r="D6" s="475"/>
      <c r="E6" s="475"/>
      <c r="F6" s="475"/>
      <c r="G6" s="475"/>
      <c r="H6" s="475"/>
    </row>
    <row r="7" spans="1:8" ht="81" customHeight="1" x14ac:dyDescent="0.2">
      <c r="A7" s="475"/>
      <c r="B7" s="475"/>
      <c r="C7" s="475"/>
      <c r="D7" s="475"/>
      <c r="E7" s="475"/>
      <c r="F7" s="475"/>
      <c r="G7" s="475"/>
      <c r="H7" s="475"/>
    </row>
    <row r="8" spans="1:8" ht="81" customHeight="1" x14ac:dyDescent="0.2">
      <c r="A8" s="475"/>
      <c r="B8" s="475"/>
      <c r="C8" s="475"/>
      <c r="D8" s="475"/>
      <c r="E8" s="475"/>
      <c r="F8" s="475"/>
      <c r="G8" s="475"/>
      <c r="H8" s="475"/>
    </row>
    <row r="9" spans="1:8" ht="53.25" customHeight="1" x14ac:dyDescent="0.25">
      <c r="A9" s="1005" t="s">
        <v>616</v>
      </c>
      <c r="B9" s="1005"/>
      <c r="C9" s="1005"/>
      <c r="D9" s="1005"/>
      <c r="E9" s="1005"/>
      <c r="F9" s="1005"/>
      <c r="G9" s="1005"/>
      <c r="H9" s="1005"/>
    </row>
    <row r="10" spans="1:8" ht="15.75" x14ac:dyDescent="0.25">
      <c r="A10" s="446"/>
      <c r="B10" s="1016"/>
      <c r="C10" s="1016"/>
      <c r="D10" s="437"/>
      <c r="E10" s="443" t="s">
        <v>49</v>
      </c>
      <c r="F10" s="443" t="s">
        <v>357</v>
      </c>
      <c r="G10" s="438"/>
      <c r="H10" s="446"/>
    </row>
    <row r="11" spans="1:8" ht="15.75" customHeight="1" x14ac:dyDescent="0.25">
      <c r="A11" s="446"/>
      <c r="C11" s="1014" t="s">
        <v>375</v>
      </c>
      <c r="D11" s="1014"/>
      <c r="E11" s="473">
        <f>'June''23 AR Aging '!G8</f>
        <v>32587.81</v>
      </c>
      <c r="F11" s="671">
        <f>E11/E$18</f>
        <v>0.1128415530257281</v>
      </c>
      <c r="G11" s="439"/>
      <c r="H11" s="446"/>
    </row>
    <row r="12" spans="1:8" ht="15.75" customHeight="1" x14ac:dyDescent="0.25">
      <c r="A12" s="446"/>
      <c r="C12" s="1014" t="s">
        <v>373</v>
      </c>
      <c r="D12" s="1014"/>
      <c r="E12" s="476">
        <f>'June''23 AR Aging '!G32</f>
        <v>42385.350000000006</v>
      </c>
      <c r="F12" s="671">
        <f t="shared" ref="F12:F17" si="0">E12/E$18</f>
        <v>0.14676741761839918</v>
      </c>
      <c r="G12" s="439"/>
      <c r="H12" s="446"/>
    </row>
    <row r="13" spans="1:8" ht="15.75" customHeight="1" x14ac:dyDescent="0.25">
      <c r="A13" s="446"/>
      <c r="C13" s="1014" t="s">
        <v>374</v>
      </c>
      <c r="D13" s="1014"/>
      <c r="E13" s="476">
        <f>'June''23 AR Aging '!G14</f>
        <v>90932.94</v>
      </c>
      <c r="F13" s="671">
        <f t="shared" si="0"/>
        <v>0.31487277515105655</v>
      </c>
      <c r="G13" s="439"/>
      <c r="H13" s="446"/>
    </row>
    <row r="14" spans="1:8" ht="15.75" customHeight="1" x14ac:dyDescent="0.25">
      <c r="A14" s="446"/>
      <c r="C14" s="1016" t="s">
        <v>44</v>
      </c>
      <c r="D14" s="1016"/>
      <c r="E14" s="476">
        <f>'June''23 AR Aging '!G43</f>
        <v>23753.08</v>
      </c>
      <c r="F14" s="671">
        <f t="shared" si="0"/>
        <v>8.2249603036974928E-2</v>
      </c>
      <c r="G14" s="439"/>
      <c r="H14" s="446"/>
    </row>
    <row r="15" spans="1:8" ht="15.75" customHeight="1" x14ac:dyDescent="0.25">
      <c r="A15" s="446"/>
      <c r="C15" s="1016" t="s">
        <v>433</v>
      </c>
      <c r="D15" s="1016"/>
      <c r="E15" s="476">
        <f>'June''23 AR Aging '!G51+'June''23 AR Aging '!G56+'June''23 AR Aging '!G58+'June''23 AR Aging '!G39+'June''23 AR Aging '!G40+'June''23 AR Aging '!G71</f>
        <v>41531.61</v>
      </c>
      <c r="F15" s="671">
        <f t="shared" si="0"/>
        <v>0.14381117884444702</v>
      </c>
      <c r="G15" s="439"/>
      <c r="H15" s="446"/>
    </row>
    <row r="16" spans="1:8" ht="15.75" hidden="1" customHeight="1" x14ac:dyDescent="0.25">
      <c r="A16" s="659"/>
      <c r="C16" s="1016" t="s">
        <v>335</v>
      </c>
      <c r="D16" s="1016"/>
      <c r="E16" s="476">
        <f>'June''23 AR Aging '!G65+'June''23 AR Aging '!G41</f>
        <v>5930.18</v>
      </c>
      <c r="F16" s="671">
        <f t="shared" si="0"/>
        <v>2.0534387579960491E-2</v>
      </c>
      <c r="G16" s="439"/>
      <c r="H16" s="659"/>
    </row>
    <row r="17" spans="1:13" ht="15.75" customHeight="1" x14ac:dyDescent="0.25">
      <c r="A17" s="446"/>
      <c r="C17" s="1016" t="s">
        <v>347</v>
      </c>
      <c r="D17" s="1016"/>
      <c r="E17" s="476">
        <f>'June''23 AR Aging '!G60+'June''23 AR Aging '!G42+'June''23 AR Aging '!G62+'June''23 AR Aging '!G64+'June''23 AR Aging '!G67</f>
        <v>51671.67</v>
      </c>
      <c r="F17" s="671">
        <f t="shared" si="0"/>
        <v>0.17892308474343394</v>
      </c>
      <c r="G17" s="439"/>
      <c r="H17" s="446"/>
    </row>
    <row r="18" spans="1:13" ht="16.5" customHeight="1" thickBot="1" x14ac:dyDescent="0.3">
      <c r="A18" s="446"/>
      <c r="B18" s="1016" t="s">
        <v>635</v>
      </c>
      <c r="C18" s="1016"/>
      <c r="D18" s="1016"/>
      <c r="E18" s="444">
        <f>SUM(E11:E17)</f>
        <v>288792.63999999996</v>
      </c>
      <c r="F18" s="672">
        <f>SUM(F11:F17)</f>
        <v>1.0000000000000002</v>
      </c>
      <c r="G18" s="663"/>
      <c r="H18" s="446"/>
    </row>
    <row r="19" spans="1:13" ht="38.25" customHeight="1" thickTop="1" x14ac:dyDescent="0.2">
      <c r="A19" s="543"/>
      <c r="B19" s="543"/>
      <c r="C19" s="543"/>
      <c r="D19" s="543"/>
      <c r="E19" s="543"/>
      <c r="F19" s="543"/>
      <c r="G19" s="543"/>
      <c r="H19" s="543"/>
    </row>
    <row r="20" spans="1:13" ht="88.5" customHeight="1" x14ac:dyDescent="0.2">
      <c r="A20" s="543"/>
      <c r="B20" s="543"/>
      <c r="C20" s="543"/>
      <c r="D20" s="543"/>
      <c r="E20" s="543"/>
      <c r="F20" s="543"/>
      <c r="G20" s="543"/>
      <c r="H20" s="543"/>
    </row>
    <row r="21" spans="1:13" ht="88.5" customHeight="1" x14ac:dyDescent="0.2">
      <c r="A21" s="543"/>
      <c r="B21" s="543"/>
      <c r="C21" s="543"/>
      <c r="D21" s="543"/>
      <c r="E21" s="543"/>
      <c r="F21" s="543"/>
      <c r="G21" s="543"/>
      <c r="H21" s="543"/>
    </row>
    <row r="22" spans="1:13" ht="88.5" customHeight="1" x14ac:dyDescent="0.2">
      <c r="A22" s="543"/>
      <c r="B22" s="543"/>
      <c r="C22" s="543"/>
      <c r="D22" s="543"/>
      <c r="E22" s="543"/>
      <c r="F22" s="543"/>
      <c r="G22" s="543"/>
      <c r="H22" s="543"/>
    </row>
    <row r="23" spans="1:13" ht="35.25" hidden="1" customHeight="1" x14ac:dyDescent="0.2">
      <c r="A23" s="999" t="s">
        <v>277</v>
      </c>
      <c r="B23" s="999"/>
      <c r="C23" s="999"/>
      <c r="D23" s="999"/>
      <c r="E23" s="999"/>
      <c r="F23" s="999"/>
      <c r="G23" s="999"/>
      <c r="H23" s="999"/>
    </row>
    <row r="24" spans="1:13" ht="15" customHeight="1" x14ac:dyDescent="0.2">
      <c r="A24" s="543"/>
      <c r="B24" s="543"/>
      <c r="C24" s="543"/>
      <c r="D24" s="543"/>
      <c r="E24" s="543"/>
      <c r="F24" s="543"/>
      <c r="G24" s="543"/>
      <c r="H24" s="543"/>
    </row>
    <row r="25" spans="1:13" ht="55.5" customHeight="1" x14ac:dyDescent="0.2">
      <c r="A25" s="999" t="s">
        <v>636</v>
      </c>
      <c r="B25" s="999"/>
      <c r="C25" s="999"/>
      <c r="D25" s="999"/>
      <c r="E25" s="999"/>
      <c r="F25" s="999"/>
      <c r="G25" s="999"/>
      <c r="H25" s="999"/>
      <c r="L25" s="696"/>
    </row>
    <row r="26" spans="1:13" ht="38.25" customHeight="1" x14ac:dyDescent="0.2">
      <c r="A26" s="664"/>
      <c r="B26" s="664"/>
      <c r="C26" s="664"/>
      <c r="D26" s="664"/>
      <c r="E26" s="664"/>
      <c r="F26" s="664"/>
      <c r="G26" s="664"/>
      <c r="H26" s="664"/>
      <c r="L26" s="703"/>
    </row>
    <row r="27" spans="1:13" ht="38.25" customHeight="1" x14ac:dyDescent="0.2">
      <c r="A27" s="664"/>
      <c r="B27" s="664"/>
      <c r="C27" s="664"/>
      <c r="D27" s="664"/>
      <c r="E27" s="664"/>
      <c r="F27" s="664"/>
      <c r="G27" s="664"/>
      <c r="H27" s="664"/>
      <c r="J27" s="696"/>
      <c r="L27" s="703"/>
      <c r="M27" s="703"/>
    </row>
    <row r="28" spans="1:13" ht="38.25" customHeight="1" x14ac:dyDescent="0.2">
      <c r="A28" s="664"/>
      <c r="B28" s="664"/>
      <c r="C28" s="664"/>
      <c r="D28" s="664"/>
      <c r="E28" s="664"/>
      <c r="F28" s="664"/>
      <c r="G28" s="664"/>
      <c r="H28" s="664"/>
      <c r="J28" s="696"/>
      <c r="L28" s="703"/>
    </row>
    <row r="29" spans="1:13" ht="38.25" customHeight="1" x14ac:dyDescent="0.2">
      <c r="A29" s="664"/>
      <c r="B29" s="664"/>
      <c r="C29" s="664"/>
      <c r="D29" s="664"/>
      <c r="E29" s="664"/>
      <c r="F29" s="664"/>
      <c r="G29" s="664"/>
      <c r="H29" s="664"/>
    </row>
    <row r="30" spans="1:13" ht="38.25" customHeight="1" x14ac:dyDescent="0.2">
      <c r="A30" s="664"/>
      <c r="B30" s="664"/>
      <c r="C30" s="664"/>
      <c r="D30" s="664"/>
      <c r="E30" s="664"/>
      <c r="F30" s="664"/>
      <c r="G30" s="664"/>
      <c r="H30" s="664"/>
      <c r="J30" s="703"/>
    </row>
    <row r="31" spans="1:13" ht="38.25" customHeight="1" x14ac:dyDescent="0.2">
      <c r="A31" s="664"/>
      <c r="B31" s="664"/>
      <c r="C31" s="664"/>
      <c r="D31" s="664"/>
      <c r="E31" s="664"/>
      <c r="F31" s="664"/>
      <c r="G31" s="664"/>
      <c r="H31" s="664"/>
      <c r="J31" s="703"/>
    </row>
    <row r="32" spans="1:13" ht="38.25" customHeight="1" x14ac:dyDescent="0.2">
      <c r="A32" s="664"/>
      <c r="B32" s="664"/>
      <c r="C32" s="664"/>
      <c r="D32" s="664"/>
      <c r="E32" s="664"/>
      <c r="F32" s="664"/>
      <c r="G32" s="664"/>
      <c r="H32" s="664"/>
    </row>
    <row r="33" spans="1:12" ht="21.75" customHeight="1" x14ac:dyDescent="0.2">
      <c r="A33" s="664"/>
      <c r="B33" s="664"/>
      <c r="C33" s="664"/>
      <c r="D33" s="664"/>
      <c r="E33" s="664"/>
      <c r="F33" s="664"/>
      <c r="G33" s="664"/>
      <c r="H33" s="664"/>
    </row>
    <row r="34" spans="1:12" ht="30" hidden="1" customHeight="1" x14ac:dyDescent="0.25">
      <c r="A34" s="475"/>
      <c r="B34" s="613" t="s">
        <v>300</v>
      </c>
      <c r="C34" s="614" t="s">
        <v>337</v>
      </c>
      <c r="D34" s="613" t="s">
        <v>239</v>
      </c>
      <c r="E34" s="615" t="s">
        <v>364</v>
      </c>
      <c r="F34" s="615" t="s">
        <v>370</v>
      </c>
      <c r="G34" s="615" t="s">
        <v>393</v>
      </c>
      <c r="H34" s="615" t="s">
        <v>301</v>
      </c>
      <c r="I34" s="592"/>
      <c r="J34" s="593"/>
      <c r="K34" s="592"/>
    </row>
    <row r="35" spans="1:12" ht="15" hidden="1" x14ac:dyDescent="0.2">
      <c r="A35" s="475"/>
      <c r="B35" s="43" t="s">
        <v>367</v>
      </c>
      <c r="C35" s="586">
        <v>-20</v>
      </c>
      <c r="D35" s="586">
        <v>71.92</v>
      </c>
      <c r="E35" s="586">
        <f>10762-10528</f>
        <v>234</v>
      </c>
      <c r="F35" s="586">
        <v>-190</v>
      </c>
      <c r="G35" s="597">
        <v>95.95</v>
      </c>
      <c r="H35" s="692">
        <f>G35/G$45</f>
        <v>5.2028752623263139E-4</v>
      </c>
      <c r="I35" s="93"/>
      <c r="J35" s="682"/>
      <c r="K35" s="18"/>
    </row>
    <row r="36" spans="1:12" ht="15" hidden="1" x14ac:dyDescent="0.2">
      <c r="A36" s="475"/>
      <c r="B36" s="43" t="s">
        <v>240</v>
      </c>
      <c r="C36" s="603">
        <v>38489.56</v>
      </c>
      <c r="D36" s="603">
        <v>1957.5</v>
      </c>
      <c r="E36" s="603"/>
      <c r="F36" s="603">
        <v>3786.43</v>
      </c>
      <c r="G36" s="603">
        <f>C36+D36+F36+E36</f>
        <v>44233.49</v>
      </c>
      <c r="H36" s="692">
        <f>G36/G$45</f>
        <v>0.2398554777356523</v>
      </c>
      <c r="I36" s="594"/>
      <c r="J36" s="682"/>
      <c r="K36" s="683"/>
    </row>
    <row r="37" spans="1:12" ht="15" hidden="1" x14ac:dyDescent="0.25">
      <c r="A37" s="475"/>
      <c r="B37" s="43" t="s">
        <v>241</v>
      </c>
      <c r="C37" s="603">
        <v>14903.11</v>
      </c>
      <c r="D37" s="603">
        <v>192.85</v>
      </c>
      <c r="E37" s="603">
        <v>-15478.91</v>
      </c>
      <c r="F37" s="603">
        <v>382.95</v>
      </c>
      <c r="G37" s="603">
        <f t="shared" ref="G37:G44" si="1">C37+D37+F37+E37</f>
        <v>0</v>
      </c>
      <c r="H37" s="692"/>
      <c r="I37" s="595"/>
      <c r="J37" s="682"/>
      <c r="K37" s="683"/>
      <c r="L37" s="495"/>
    </row>
    <row r="38" spans="1:12" ht="15" hidden="1" x14ac:dyDescent="0.2">
      <c r="A38" s="475"/>
      <c r="B38" s="43" t="s">
        <v>242</v>
      </c>
      <c r="C38" s="603">
        <v>44091.09</v>
      </c>
      <c r="D38" s="603">
        <f>3207.47-14</f>
        <v>3193.47</v>
      </c>
      <c r="E38" s="603"/>
      <c r="F38" s="603">
        <f>10544.9+14</f>
        <v>10558.9</v>
      </c>
      <c r="G38" s="603">
        <f t="shared" si="1"/>
        <v>57843.46</v>
      </c>
      <c r="H38" s="692">
        <f>G38/G$45</f>
        <v>0.31365534874555673</v>
      </c>
      <c r="I38" s="594"/>
      <c r="J38" s="682"/>
      <c r="K38" s="683"/>
      <c r="L38" s="495"/>
    </row>
    <row r="39" spans="1:12" ht="15" hidden="1" x14ac:dyDescent="0.25">
      <c r="A39" s="475"/>
      <c r="B39" s="43" t="s">
        <v>243</v>
      </c>
      <c r="C39" s="603">
        <v>21132.04</v>
      </c>
      <c r="D39" s="603">
        <v>549.69000000000005</v>
      </c>
      <c r="E39" s="603"/>
      <c r="F39" s="603">
        <v>-212.79</v>
      </c>
      <c r="G39" s="603">
        <f t="shared" si="1"/>
        <v>21468.94</v>
      </c>
      <c r="H39" s="692">
        <f>G39/G$45</f>
        <v>0.11641502536150901</v>
      </c>
      <c r="I39" s="595"/>
      <c r="J39" s="682"/>
      <c r="K39" s="683"/>
      <c r="L39" s="495"/>
    </row>
    <row r="40" spans="1:12" ht="15" hidden="1" x14ac:dyDescent="0.25">
      <c r="A40" s="475"/>
      <c r="B40" s="43" t="s">
        <v>244</v>
      </c>
      <c r="C40" s="603">
        <v>21091.57</v>
      </c>
      <c r="D40" s="603">
        <v>438.93</v>
      </c>
      <c r="E40" s="603">
        <v>-22513.11</v>
      </c>
      <c r="F40" s="603">
        <v>982.61</v>
      </c>
      <c r="G40" s="603">
        <f t="shared" si="1"/>
        <v>0</v>
      </c>
      <c r="H40" s="692"/>
      <c r="I40" s="595"/>
      <c r="J40" s="682"/>
      <c r="K40" s="683"/>
      <c r="L40" s="495"/>
    </row>
    <row r="41" spans="1:12" ht="15" hidden="1" x14ac:dyDescent="0.25">
      <c r="A41" s="475"/>
      <c r="B41" s="43" t="s">
        <v>245</v>
      </c>
      <c r="C41" s="603">
        <v>19933.830000000002</v>
      </c>
      <c r="D41" s="603">
        <v>860.03</v>
      </c>
      <c r="E41" s="603">
        <v>-10770</v>
      </c>
      <c r="F41" s="603">
        <v>-375.6</v>
      </c>
      <c r="G41" s="603">
        <f t="shared" si="1"/>
        <v>9648.260000000002</v>
      </c>
      <c r="H41" s="692">
        <f>G41/G$45</f>
        <v>5.2317554224588322E-2</v>
      </c>
      <c r="I41" s="595"/>
      <c r="J41" s="682"/>
      <c r="K41" s="683"/>
      <c r="L41" s="495"/>
    </row>
    <row r="42" spans="1:12" ht="15" hidden="1" x14ac:dyDescent="0.25">
      <c r="A42" s="687"/>
      <c r="B42" s="43" t="s">
        <v>365</v>
      </c>
      <c r="C42" s="603"/>
      <c r="D42" s="603">
        <v>140.21</v>
      </c>
      <c r="E42" s="603">
        <v>15482.91</v>
      </c>
      <c r="F42" s="603">
        <v>64.31</v>
      </c>
      <c r="G42" s="603">
        <f t="shared" si="1"/>
        <v>15687.43</v>
      </c>
      <c r="H42" s="692">
        <f>G42/G$45</f>
        <v>8.5064868657087747E-2</v>
      </c>
      <c r="I42" s="595"/>
      <c r="J42" s="682"/>
      <c r="K42" s="683"/>
      <c r="L42" s="495"/>
    </row>
    <row r="43" spans="1:12" ht="15" hidden="1" x14ac:dyDescent="0.25">
      <c r="A43" s="687"/>
      <c r="B43" s="43" t="s">
        <v>366</v>
      </c>
      <c r="C43" s="603"/>
      <c r="D43" s="603">
        <v>512.02</v>
      </c>
      <c r="E43" s="603">
        <v>22517.11</v>
      </c>
      <c r="F43" s="603">
        <v>817.76</v>
      </c>
      <c r="G43" s="603">
        <f t="shared" si="1"/>
        <v>23846.89</v>
      </c>
      <c r="H43" s="692">
        <f>G43/G$45</f>
        <v>0.12930942580971</v>
      </c>
      <c r="I43" s="595"/>
      <c r="J43" s="682"/>
      <c r="K43" s="683"/>
      <c r="L43" s="495"/>
    </row>
    <row r="44" spans="1:12" ht="17.25" hidden="1" customHeight="1" x14ac:dyDescent="0.2">
      <c r="A44" s="475"/>
      <c r="B44" s="43" t="s">
        <v>386</v>
      </c>
      <c r="C44" s="586"/>
      <c r="D44" s="520">
        <v>81.599999999999994</v>
      </c>
      <c r="E44" s="697">
        <v>10528</v>
      </c>
      <c r="F44" s="586">
        <v>983.24</v>
      </c>
      <c r="G44" s="586">
        <f t="shared" si="1"/>
        <v>11592.84</v>
      </c>
      <c r="H44" s="692">
        <f>G44/G$45</f>
        <v>6.2862011939663356E-2</v>
      </c>
      <c r="I44" s="594"/>
      <c r="J44" s="682"/>
      <c r="K44" s="683"/>
      <c r="L44" s="495"/>
    </row>
    <row r="45" spans="1:12" ht="15" hidden="1" x14ac:dyDescent="0.25">
      <c r="A45" s="475"/>
      <c r="B45" s="587" t="s">
        <v>257</v>
      </c>
      <c r="C45" s="588">
        <f>SUM(C35:C44)</f>
        <v>159621.20000000001</v>
      </c>
      <c r="D45" s="589">
        <f>SUM(D36:D44)</f>
        <v>7926.3000000000011</v>
      </c>
      <c r="E45" s="588">
        <f>SUM(E35:E44)</f>
        <v>0</v>
      </c>
      <c r="F45" s="588">
        <f>SUM(F35:F44)+72</f>
        <v>16869.809999999998</v>
      </c>
      <c r="G45" s="588">
        <f>SUM(G35:G44)</f>
        <v>184417.25999999998</v>
      </c>
      <c r="H45" s="693">
        <f>SUM(H35:H44)</f>
        <v>1.0000000000000002</v>
      </c>
      <c r="I45" s="596"/>
      <c r="J45" s="682"/>
      <c r="K45" s="683"/>
    </row>
    <row r="46" spans="1:12" ht="15" hidden="1" x14ac:dyDescent="0.2">
      <c r="A46" s="483"/>
      <c r="B46" s="684"/>
      <c r="C46" s="685"/>
      <c r="D46" s="685"/>
      <c r="E46" s="685"/>
      <c r="F46" s="685"/>
      <c r="G46" s="686"/>
      <c r="I46" s="1"/>
      <c r="J46" s="682"/>
      <c r="K46" s="683"/>
    </row>
    <row r="47" spans="1:12" ht="15" hidden="1" x14ac:dyDescent="0.2">
      <c r="A47" s="664"/>
      <c r="B47" s="18"/>
      <c r="C47" s="521"/>
      <c r="D47" s="521"/>
      <c r="E47" s="521"/>
      <c r="F47" s="521"/>
      <c r="G47" s="681"/>
      <c r="I47" s="1"/>
      <c r="J47" s="682"/>
      <c r="K47" s="683"/>
    </row>
    <row r="48" spans="1:12" ht="15" hidden="1" x14ac:dyDescent="0.2">
      <c r="A48" s="664"/>
      <c r="B48" s="1015" t="s">
        <v>362</v>
      </c>
      <c r="C48" s="1015"/>
      <c r="D48" s="1015"/>
      <c r="E48" s="1015"/>
      <c r="F48" s="664"/>
      <c r="G48" s="664"/>
      <c r="H48" s="664"/>
      <c r="J48" s="682"/>
      <c r="K48" s="683"/>
    </row>
    <row r="49" spans="1:11" ht="47.25" hidden="1" customHeight="1" x14ac:dyDescent="0.2">
      <c r="A49" s="475"/>
      <c r="B49" s="1006" t="s">
        <v>254</v>
      </c>
      <c r="C49" s="1007"/>
      <c r="D49" s="1007"/>
      <c r="E49" s="1007"/>
      <c r="F49" s="1007"/>
      <c r="G49" s="1007"/>
      <c r="H49" s="496"/>
      <c r="J49" s="682"/>
      <c r="K49" s="683"/>
    </row>
    <row r="50" spans="1:11" ht="47.25" hidden="1" customHeight="1" x14ac:dyDescent="0.2">
      <c r="A50" s="475"/>
      <c r="B50" s="1006" t="s">
        <v>256</v>
      </c>
      <c r="C50" s="1007"/>
      <c r="D50" s="1007"/>
      <c r="E50" s="1007"/>
      <c r="F50" s="1007"/>
      <c r="G50" s="1007"/>
      <c r="H50" s="496"/>
      <c r="J50" s="682"/>
      <c r="K50" s="683"/>
    </row>
    <row r="51" spans="1:11" ht="42" hidden="1" customHeight="1" x14ac:dyDescent="0.2">
      <c r="A51" s="475"/>
      <c r="B51" s="1008" t="s">
        <v>253</v>
      </c>
      <c r="C51" s="1009"/>
      <c r="D51" s="1009"/>
      <c r="E51" s="1009"/>
      <c r="F51" s="1009"/>
      <c r="G51" s="1009"/>
      <c r="H51" s="496"/>
      <c r="J51" s="682"/>
      <c r="K51" s="683"/>
    </row>
    <row r="52" spans="1:11" ht="47.25" hidden="1" customHeight="1" x14ac:dyDescent="0.2">
      <c r="A52" s="475"/>
      <c r="B52" s="1006" t="s">
        <v>252</v>
      </c>
      <c r="C52" s="1007"/>
      <c r="D52" s="1007"/>
      <c r="E52" s="1007"/>
      <c r="F52" s="1007"/>
      <c r="G52" s="1007"/>
      <c r="H52" s="496"/>
      <c r="J52" s="682"/>
      <c r="K52" s="683"/>
    </row>
    <row r="53" spans="1:11" ht="47.25" hidden="1" customHeight="1" x14ac:dyDescent="0.2">
      <c r="A53" s="475"/>
      <c r="B53" s="1006" t="s">
        <v>251</v>
      </c>
      <c r="C53" s="1007"/>
      <c r="D53" s="1007"/>
      <c r="E53" s="1007"/>
      <c r="F53" s="1007"/>
      <c r="G53" s="1007"/>
      <c r="H53" s="496"/>
      <c r="J53" s="682"/>
      <c r="K53" s="683"/>
    </row>
    <row r="54" spans="1:11" ht="47.25" hidden="1" customHeight="1" x14ac:dyDescent="0.2">
      <c r="A54" s="475"/>
      <c r="B54" s="1006" t="s">
        <v>250</v>
      </c>
      <c r="C54" s="1007"/>
      <c r="D54" s="1007"/>
      <c r="E54" s="1007"/>
      <c r="F54" s="1007"/>
      <c r="G54" s="1007"/>
      <c r="H54" s="496"/>
      <c r="J54" s="682"/>
      <c r="K54" s="683"/>
    </row>
    <row r="55" spans="1:11" ht="46.5" hidden="1" customHeight="1" x14ac:dyDescent="0.2">
      <c r="A55" s="687"/>
      <c r="B55" s="1021" t="s">
        <v>368</v>
      </c>
      <c r="C55" s="1022"/>
      <c r="D55" s="1022"/>
      <c r="E55" s="1022"/>
      <c r="F55" s="1022"/>
      <c r="G55" s="1022"/>
      <c r="H55" s="496"/>
      <c r="J55" s="682"/>
      <c r="K55" s="691"/>
    </row>
    <row r="56" spans="1:11" ht="38.25" hidden="1" customHeight="1" x14ac:dyDescent="0.2">
      <c r="A56" s="687"/>
      <c r="B56" s="1021" t="s">
        <v>369</v>
      </c>
      <c r="C56" s="1022"/>
      <c r="D56" s="1022"/>
      <c r="E56" s="1022"/>
      <c r="F56" s="1022"/>
      <c r="G56" s="1022"/>
      <c r="H56" s="496"/>
      <c r="J56" s="682"/>
      <c r="K56" s="683"/>
    </row>
    <row r="57" spans="1:11" ht="93" hidden="1" customHeight="1" x14ac:dyDescent="0.2">
      <c r="A57" s="475"/>
      <c r="B57" s="1025" t="s">
        <v>385</v>
      </c>
      <c r="C57" s="1022"/>
      <c r="D57" s="1022"/>
      <c r="E57" s="1022"/>
      <c r="F57" s="1022"/>
      <c r="G57" s="1022"/>
      <c r="H57" s="475"/>
      <c r="J57" s="682"/>
      <c r="K57" s="683"/>
    </row>
    <row r="58" spans="1:11" ht="32.25" customHeight="1" x14ac:dyDescent="0.25">
      <c r="A58" s="1005" t="s">
        <v>432</v>
      </c>
      <c r="B58" s="1005"/>
      <c r="C58" s="1005"/>
      <c r="D58" s="1005"/>
      <c r="E58" s="1005"/>
      <c r="F58" s="1005"/>
      <c r="G58" s="1005"/>
      <c r="H58" s="1005"/>
      <c r="J58" s="682"/>
      <c r="K58" s="683"/>
    </row>
    <row r="59" spans="1:11" ht="16.5" customHeight="1" x14ac:dyDescent="0.25">
      <c r="A59" s="738"/>
      <c r="B59" s="679" t="s">
        <v>360</v>
      </c>
      <c r="C59" s="738"/>
      <c r="D59" s="738"/>
      <c r="E59" s="738"/>
      <c r="F59" s="738"/>
      <c r="G59" s="738"/>
      <c r="H59" s="738"/>
      <c r="J59" s="682"/>
      <c r="K59" s="683"/>
    </row>
    <row r="60" spans="1:11" ht="15" x14ac:dyDescent="0.25">
      <c r="A60" s="737"/>
      <c r="B60" s="736" t="s">
        <v>246</v>
      </c>
      <c r="C60" s="477" t="s">
        <v>247</v>
      </c>
      <c r="D60" s="736" t="s">
        <v>248</v>
      </c>
      <c r="E60" s="1023" t="s">
        <v>24</v>
      </c>
      <c r="F60" s="1024"/>
      <c r="G60" s="736" t="s">
        <v>249</v>
      </c>
      <c r="H60" s="737"/>
      <c r="J60" s="682"/>
      <c r="K60" s="683"/>
    </row>
    <row r="61" spans="1:11" ht="30" customHeight="1" x14ac:dyDescent="0.2">
      <c r="A61" s="598"/>
      <c r="B61" s="478">
        <v>44927</v>
      </c>
      <c r="C61" s="482" t="s">
        <v>487</v>
      </c>
      <c r="D61" s="602" t="s">
        <v>488</v>
      </c>
      <c r="E61" s="1013" t="s">
        <v>575</v>
      </c>
      <c r="F61" s="1013"/>
      <c r="G61" s="479">
        <v>25959</v>
      </c>
      <c r="H61" s="598"/>
    </row>
    <row r="62" spans="1:11" ht="30" customHeight="1" x14ac:dyDescent="0.2">
      <c r="A62" s="598"/>
      <c r="B62" s="478">
        <v>44927</v>
      </c>
      <c r="C62" s="482" t="s">
        <v>487</v>
      </c>
      <c r="D62" s="602" t="s">
        <v>488</v>
      </c>
      <c r="E62" s="1013" t="s">
        <v>575</v>
      </c>
      <c r="F62" s="1013"/>
      <c r="G62" s="479">
        <v>23259</v>
      </c>
      <c r="H62" s="598"/>
    </row>
    <row r="63" spans="1:11" ht="30" customHeight="1" x14ac:dyDescent="0.2">
      <c r="A63" s="598"/>
      <c r="B63" s="478">
        <v>44927</v>
      </c>
      <c r="C63" s="482" t="s">
        <v>487</v>
      </c>
      <c r="D63" s="602" t="s">
        <v>488</v>
      </c>
      <c r="E63" s="1013" t="s">
        <v>575</v>
      </c>
      <c r="F63" s="1013"/>
      <c r="G63" s="479">
        <v>23259</v>
      </c>
      <c r="H63" s="598"/>
    </row>
    <row r="64" spans="1:11" ht="30" customHeight="1" x14ac:dyDescent="0.2">
      <c r="A64" s="612"/>
      <c r="B64" s="478">
        <v>44927</v>
      </c>
      <c r="C64" s="482" t="s">
        <v>487</v>
      </c>
      <c r="D64" s="602" t="s">
        <v>488</v>
      </c>
      <c r="E64" s="1013" t="s">
        <v>575</v>
      </c>
      <c r="F64" s="1013"/>
      <c r="G64" s="479">
        <v>23459</v>
      </c>
      <c r="H64" s="620"/>
    </row>
    <row r="65" spans="1:8" ht="39" hidden="1" customHeight="1" x14ac:dyDescent="0.2">
      <c r="A65" s="612"/>
      <c r="B65" s="478"/>
      <c r="C65" s="482"/>
      <c r="D65" s="602"/>
      <c r="E65" s="1013"/>
      <c r="F65" s="1013"/>
      <c r="G65" s="479"/>
      <c r="H65" s="612"/>
    </row>
    <row r="66" spans="1:8" ht="30" hidden="1" customHeight="1" x14ac:dyDescent="0.2">
      <c r="A66" s="612"/>
      <c r="B66" s="478"/>
      <c r="C66" s="482"/>
      <c r="D66" s="602"/>
      <c r="E66" s="1013"/>
      <c r="F66" s="1013"/>
      <c r="G66" s="479"/>
      <c r="H66" s="612"/>
    </row>
    <row r="67" spans="1:8" ht="30" hidden="1" customHeight="1" x14ac:dyDescent="0.2">
      <c r="A67" s="598"/>
      <c r="B67" s="478"/>
      <c r="C67" s="482"/>
      <c r="D67" s="541"/>
      <c r="E67" s="1013"/>
      <c r="F67" s="1013"/>
      <c r="G67" s="479"/>
      <c r="H67" s="598"/>
    </row>
    <row r="68" spans="1:8" ht="15" x14ac:dyDescent="0.2">
      <c r="A68" s="598"/>
      <c r="B68" s="533"/>
      <c r="C68" s="534"/>
      <c r="D68" s="535"/>
      <c r="E68" s="536"/>
      <c r="F68" s="481" t="s">
        <v>345</v>
      </c>
      <c r="G68" s="788">
        <f>SUM(G61:G67)</f>
        <v>95936</v>
      </c>
      <c r="H68" s="598"/>
    </row>
    <row r="69" spans="1:8" ht="8.25" customHeight="1" x14ac:dyDescent="0.2">
      <c r="A69" s="664"/>
      <c r="B69" s="533"/>
      <c r="C69" s="534"/>
      <c r="D69" s="535"/>
      <c r="E69" s="536"/>
      <c r="F69" s="481"/>
      <c r="G69" s="789"/>
      <c r="H69" s="664"/>
    </row>
    <row r="70" spans="1:8" ht="21.75" customHeight="1" x14ac:dyDescent="0.2">
      <c r="A70" s="664"/>
      <c r="B70" s="1017"/>
      <c r="C70" s="1017"/>
      <c r="D70" s="1017"/>
      <c r="E70" s="1017"/>
      <c r="F70" s="1017"/>
      <c r="G70" s="1017"/>
      <c r="H70" s="598"/>
    </row>
    <row r="71" spans="1:8" ht="15" x14ac:dyDescent="0.2">
      <c r="A71" s="598"/>
      <c r="B71" s="537" t="s">
        <v>361</v>
      </c>
      <c r="C71" s="538" t="s">
        <v>273</v>
      </c>
      <c r="D71" s="539" t="s">
        <v>272</v>
      </c>
      <c r="E71" s="993" t="s">
        <v>24</v>
      </c>
      <c r="F71" s="994"/>
      <c r="G71" s="540" t="s">
        <v>582</v>
      </c>
      <c r="H71" s="598"/>
    </row>
    <row r="72" spans="1:8" ht="15" x14ac:dyDescent="0.2">
      <c r="A72" s="972"/>
      <c r="B72" s="478">
        <v>44958</v>
      </c>
      <c r="C72" s="602" t="s">
        <v>488</v>
      </c>
      <c r="D72" s="974">
        <v>169208</v>
      </c>
      <c r="E72" s="991" t="s">
        <v>578</v>
      </c>
      <c r="F72" s="992"/>
      <c r="G72" s="977">
        <v>2585</v>
      </c>
      <c r="H72" s="972"/>
    </row>
    <row r="73" spans="1:8" ht="15" x14ac:dyDescent="0.2">
      <c r="A73" s="972"/>
      <c r="B73" s="478">
        <v>44958</v>
      </c>
      <c r="C73" s="602" t="s">
        <v>488</v>
      </c>
      <c r="D73" s="974">
        <v>189553</v>
      </c>
      <c r="E73" s="991" t="s">
        <v>577</v>
      </c>
      <c r="F73" s="992"/>
      <c r="G73" s="977">
        <v>1485</v>
      </c>
      <c r="H73" s="972"/>
    </row>
    <row r="74" spans="1:8" ht="15" x14ac:dyDescent="0.2">
      <c r="A74" s="972"/>
      <c r="B74" s="478">
        <v>44958</v>
      </c>
      <c r="C74" s="602" t="s">
        <v>488</v>
      </c>
      <c r="D74" s="974">
        <v>196400</v>
      </c>
      <c r="E74" s="991" t="s">
        <v>580</v>
      </c>
      <c r="F74" s="992"/>
      <c r="G74" s="977">
        <v>1585</v>
      </c>
      <c r="H74" s="972"/>
    </row>
    <row r="75" spans="1:8" ht="22.5" customHeight="1" x14ac:dyDescent="0.2">
      <c r="A75" s="972"/>
      <c r="B75" s="478">
        <v>44958</v>
      </c>
      <c r="C75" s="602" t="s">
        <v>488</v>
      </c>
      <c r="D75" s="974">
        <v>138945</v>
      </c>
      <c r="E75" s="991" t="s">
        <v>579</v>
      </c>
      <c r="F75" s="992"/>
      <c r="G75" s="977">
        <v>6285</v>
      </c>
      <c r="H75" s="972"/>
    </row>
    <row r="76" spans="1:8" ht="15" x14ac:dyDescent="0.2">
      <c r="A76" s="598"/>
      <c r="B76" s="478">
        <v>44927</v>
      </c>
      <c r="C76" s="602" t="s">
        <v>488</v>
      </c>
      <c r="D76" s="974">
        <v>133109</v>
      </c>
      <c r="E76" s="1012" t="s">
        <v>581</v>
      </c>
      <c r="F76" s="1012"/>
      <c r="G76" s="977">
        <v>7175</v>
      </c>
      <c r="H76" s="598"/>
    </row>
    <row r="77" spans="1:8" ht="15" x14ac:dyDescent="0.2">
      <c r="A77" s="598"/>
      <c r="B77" s="478">
        <v>44927</v>
      </c>
      <c r="C77" s="602" t="s">
        <v>488</v>
      </c>
      <c r="D77" s="974">
        <v>116338</v>
      </c>
      <c r="E77" s="1012" t="s">
        <v>576</v>
      </c>
      <c r="F77" s="1012"/>
      <c r="G77" s="977">
        <v>8675</v>
      </c>
      <c r="H77" s="598"/>
    </row>
    <row r="78" spans="1:8" ht="15" x14ac:dyDescent="0.2">
      <c r="A78" s="598"/>
      <c r="B78" s="480"/>
      <c r="C78" s="480"/>
      <c r="D78" s="975"/>
      <c r="E78" s="480"/>
      <c r="F78" s="481" t="s">
        <v>346</v>
      </c>
      <c r="G78" s="976">
        <f>SUM(G72:G77)</f>
        <v>27790</v>
      </c>
      <c r="H78" s="598"/>
    </row>
    <row r="79" spans="1:8" ht="11.25" customHeight="1" x14ac:dyDescent="0.2">
      <c r="A79" s="475"/>
      <c r="B79" s="475"/>
      <c r="C79" s="475"/>
      <c r="D79" s="475"/>
      <c r="E79" s="475"/>
      <c r="F79" s="475"/>
      <c r="G79" s="475"/>
      <c r="H79" s="475"/>
    </row>
    <row r="80" spans="1:8" ht="38.25" customHeight="1" x14ac:dyDescent="0.2">
      <c r="A80" s="999" t="s">
        <v>637</v>
      </c>
      <c r="B80" s="999"/>
      <c r="C80" s="999"/>
      <c r="D80" s="999"/>
      <c r="E80" s="999"/>
      <c r="F80" s="999"/>
      <c r="G80" s="999"/>
      <c r="H80" s="999"/>
    </row>
    <row r="81" spans="1:23" ht="15.75" hidden="1" customHeight="1" x14ac:dyDescent="0.2">
      <c r="A81" s="440"/>
      <c r="C81" s="1010" t="s">
        <v>271</v>
      </c>
      <c r="D81" s="1010"/>
      <c r="E81" s="484">
        <v>1823.85</v>
      </c>
      <c r="F81" s="1011" t="s">
        <v>274</v>
      </c>
      <c r="G81" s="1011"/>
      <c r="H81" s="440"/>
    </row>
    <row r="82" spans="1:23" ht="15.75" hidden="1" customHeight="1" x14ac:dyDescent="0.2">
      <c r="A82" s="440"/>
      <c r="C82" s="1010"/>
      <c r="D82" s="1010"/>
      <c r="E82" s="484"/>
      <c r="F82" s="1011"/>
      <c r="G82" s="1011"/>
      <c r="H82" s="440"/>
    </row>
    <row r="83" spans="1:23" ht="15.75" hidden="1" customHeight="1" x14ac:dyDescent="0.2">
      <c r="A83" s="440"/>
      <c r="C83" s="1010"/>
      <c r="D83" s="1010"/>
      <c r="E83" s="484"/>
      <c r="F83" s="1011"/>
      <c r="G83" s="1011"/>
      <c r="H83" s="440"/>
    </row>
    <row r="84" spans="1:23" ht="15.75" hidden="1" customHeight="1" x14ac:dyDescent="0.2">
      <c r="A84" s="440"/>
      <c r="C84" s="1010" t="s">
        <v>233</v>
      </c>
      <c r="D84" s="1010"/>
      <c r="E84" s="484">
        <f>1689.92+2978.07</f>
        <v>4667.99</v>
      </c>
      <c r="F84" s="1011" t="s">
        <v>275</v>
      </c>
      <c r="G84" s="1011"/>
      <c r="H84" s="440"/>
    </row>
    <row r="85" spans="1:23" ht="16.5" hidden="1" thickBot="1" x14ac:dyDescent="0.25">
      <c r="A85" s="440"/>
      <c r="B85" s="448"/>
      <c r="C85" s="997" t="s">
        <v>209</v>
      </c>
      <c r="D85" s="997"/>
      <c r="E85" s="445">
        <f>SUM(E81:E84)</f>
        <v>6491.84</v>
      </c>
      <c r="F85" s="448"/>
      <c r="G85" s="448"/>
      <c r="H85" s="440"/>
    </row>
    <row r="86" spans="1:23" ht="9.75" customHeight="1" x14ac:dyDescent="0.2">
      <c r="A86" s="440"/>
      <c r="B86" s="531"/>
      <c r="C86" s="532"/>
      <c r="D86" s="532"/>
      <c r="E86" s="542"/>
      <c r="F86" s="531"/>
      <c r="G86" s="531"/>
      <c r="H86" s="440"/>
    </row>
    <row r="87" spans="1:23" ht="33" customHeight="1" x14ac:dyDescent="0.25">
      <c r="A87" s="1005" t="s">
        <v>486</v>
      </c>
      <c r="B87" s="1005"/>
      <c r="C87" s="1005"/>
      <c r="D87" s="1005"/>
      <c r="E87" s="1005"/>
      <c r="F87" s="1005"/>
      <c r="G87" s="1005"/>
      <c r="H87" s="1005"/>
    </row>
    <row r="88" spans="1:23" ht="11.25" hidden="1" customHeight="1" x14ac:dyDescent="0.2">
      <c r="A88" s="665"/>
      <c r="B88" s="665"/>
      <c r="C88" s="665"/>
      <c r="D88" s="665"/>
      <c r="E88" s="665"/>
      <c r="F88" s="665"/>
      <c r="G88" s="665"/>
      <c r="H88" s="665"/>
    </row>
    <row r="89" spans="1:23" ht="47.25" hidden="1" customHeight="1" x14ac:dyDescent="0.2">
      <c r="A89" s="1002" t="s">
        <v>395</v>
      </c>
      <c r="B89" s="1002"/>
      <c r="C89" s="1002"/>
      <c r="D89" s="1002"/>
      <c r="E89" s="1002"/>
      <c r="F89" s="1002"/>
      <c r="G89" s="1002"/>
      <c r="H89" s="1002"/>
    </row>
    <row r="90" spans="1:23" ht="8.25" customHeight="1" x14ac:dyDescent="0.2">
      <c r="A90" s="440"/>
      <c r="B90" s="531"/>
      <c r="C90" s="532"/>
      <c r="D90" s="532"/>
      <c r="E90" s="542"/>
      <c r="F90" s="531"/>
      <c r="G90" s="531"/>
      <c r="H90" s="440"/>
    </row>
    <row r="91" spans="1:23" ht="97.5" customHeight="1" x14ac:dyDescent="0.2">
      <c r="A91" s="999" t="s">
        <v>638</v>
      </c>
      <c r="B91" s="999"/>
      <c r="C91" s="999"/>
      <c r="D91" s="999"/>
      <c r="E91" s="999"/>
      <c r="F91" s="999"/>
      <c r="G91" s="999"/>
      <c r="H91" s="999"/>
      <c r="V91" s="474"/>
      <c r="W91" s="473"/>
    </row>
    <row r="92" spans="1:23" ht="47.25" x14ac:dyDescent="0.2">
      <c r="A92" s="447"/>
      <c r="B92" s="1000" t="s">
        <v>200</v>
      </c>
      <c r="C92" s="1000"/>
      <c r="D92" s="450" t="s">
        <v>201</v>
      </c>
      <c r="E92" s="441" t="s">
        <v>202</v>
      </c>
      <c r="F92" s="450" t="s">
        <v>203</v>
      </c>
      <c r="G92" s="450" t="s">
        <v>639</v>
      </c>
      <c r="H92" s="447"/>
      <c r="V92" s="474"/>
      <c r="W92" s="473"/>
    </row>
    <row r="93" spans="1:23" ht="15.75" customHeight="1" x14ac:dyDescent="0.2">
      <c r="A93" s="447"/>
      <c r="B93" s="1004" t="s">
        <v>11</v>
      </c>
      <c r="C93" s="1004"/>
      <c r="D93" s="1004"/>
      <c r="E93" s="449"/>
      <c r="F93" s="449"/>
      <c r="G93" s="449"/>
      <c r="H93" s="447"/>
      <c r="V93" s="474"/>
      <c r="W93" s="473"/>
    </row>
    <row r="94" spans="1:23" ht="15.75" customHeight="1" x14ac:dyDescent="0.2">
      <c r="A94" s="447"/>
      <c r="B94" s="1001" t="s">
        <v>234</v>
      </c>
      <c r="C94" s="1001"/>
      <c r="D94" s="739">
        <v>3836.17</v>
      </c>
      <c r="E94" s="739">
        <v>4000</v>
      </c>
      <c r="F94" s="739">
        <f>-'June''23 Revenues &amp; Expenses'!H49-'June''23 Revenues &amp; Expenses'!H50-'June''23 Revenues &amp; Expenses'!H51-D94</f>
        <v>-4776.1000000000004</v>
      </c>
      <c r="G94" s="739">
        <f>'June''23 Revenues &amp; Expenses'!K49+'June''23 Revenues &amp; Expenses'!K50+'June''23 Revenues &amp; Expenses'!K51</f>
        <v>3060.07</v>
      </c>
      <c r="H94" s="747"/>
      <c r="I94" s="901"/>
      <c r="V94" s="474"/>
      <c r="W94" s="473"/>
    </row>
    <row r="95" spans="1:23" ht="15.75" customHeight="1" x14ac:dyDescent="0.2">
      <c r="A95" s="447"/>
      <c r="B95" s="1001" t="s">
        <v>235</v>
      </c>
      <c r="C95" s="1001"/>
      <c r="D95" s="739">
        <v>27500</v>
      </c>
      <c r="E95" s="819"/>
      <c r="F95" s="739">
        <f>-'June''23 Revenues &amp; Expenses'!H48</f>
        <v>-13472.43</v>
      </c>
      <c r="G95" s="739">
        <f>'June''23 Revenues &amp; Expenses'!I47+'June''23 Revenues &amp; Expenses'!K48</f>
        <v>14027.57</v>
      </c>
      <c r="H95" s="447"/>
      <c r="V95" s="474"/>
      <c r="W95" s="473"/>
    </row>
    <row r="96" spans="1:23" ht="15.75" customHeight="1" x14ac:dyDescent="0.2">
      <c r="A96" s="447"/>
      <c r="B96" s="1001" t="s">
        <v>452</v>
      </c>
      <c r="C96" s="1001"/>
      <c r="D96" s="808">
        <v>100000</v>
      </c>
      <c r="E96" s="808"/>
      <c r="F96" s="808">
        <f>-'June''23 Revenues &amp; Expenses'!H52</f>
        <v>-9666.64</v>
      </c>
      <c r="G96" s="808">
        <f>'June''23 Revenues &amp; Expenses'!K52</f>
        <v>90333.36</v>
      </c>
      <c r="H96" s="447"/>
      <c r="V96" s="474"/>
      <c r="W96" s="473"/>
    </row>
    <row r="97" spans="1:22" ht="15.75" customHeight="1" x14ac:dyDescent="0.2">
      <c r="A97" s="447"/>
      <c r="B97" s="1004" t="s">
        <v>17</v>
      </c>
      <c r="C97" s="1004"/>
      <c r="D97" s="739"/>
      <c r="E97" s="739"/>
      <c r="F97" s="739"/>
      <c r="G97" s="739"/>
      <c r="H97" s="447"/>
      <c r="V97" s="474"/>
    </row>
    <row r="98" spans="1:22" ht="15.75" customHeight="1" x14ac:dyDescent="0.2">
      <c r="A98" s="447"/>
      <c r="B98" s="1001" t="s">
        <v>583</v>
      </c>
      <c r="C98" s="1001"/>
      <c r="D98" s="739">
        <v>50000</v>
      </c>
      <c r="E98" s="739"/>
      <c r="F98" s="739">
        <f>-'June''23 Revenues &amp; Expenses'!H53</f>
        <v>-25000.02</v>
      </c>
      <c r="G98" s="739">
        <f>'June''23 Revenues &amp; Expenses'!K53</f>
        <v>24999.98</v>
      </c>
      <c r="H98" s="447"/>
      <c r="V98" s="474"/>
    </row>
    <row r="99" spans="1:22" ht="15.75" customHeight="1" x14ac:dyDescent="0.2">
      <c r="A99" s="447"/>
      <c r="B99" s="1004"/>
      <c r="C99" s="1004"/>
      <c r="D99" s="739"/>
      <c r="E99" s="739"/>
      <c r="F99" s="739"/>
      <c r="G99" s="739"/>
      <c r="H99" s="447"/>
      <c r="V99" s="474"/>
    </row>
    <row r="100" spans="1:22" ht="15.75" customHeight="1" x14ac:dyDescent="0.2">
      <c r="A100" s="447"/>
      <c r="B100" s="1001"/>
      <c r="C100" s="1001"/>
      <c r="D100" s="704">
        <v>0</v>
      </c>
      <c r="E100" s="739"/>
      <c r="F100" s="739">
        <f>-'June''23 Revenues &amp; Expenses'!H57</f>
        <v>0</v>
      </c>
      <c r="G100" s="739">
        <f>'June''23 Revenues &amp; Expenses'!K57</f>
        <v>0</v>
      </c>
      <c r="H100" s="447"/>
      <c r="V100" s="474"/>
    </row>
    <row r="101" spans="1:22" ht="7.5" customHeight="1" x14ac:dyDescent="0.2">
      <c r="A101" s="447"/>
      <c r="B101" s="1003"/>
      <c r="C101" s="1003"/>
      <c r="D101" s="449"/>
      <c r="E101" s="449"/>
      <c r="F101" s="449"/>
      <c r="G101" s="449"/>
      <c r="H101" s="447"/>
      <c r="V101" s="474"/>
    </row>
    <row r="102" spans="1:22" ht="15.75" customHeight="1" thickBot="1" x14ac:dyDescent="0.25">
      <c r="A102" s="447"/>
      <c r="B102" s="998" t="s">
        <v>236</v>
      </c>
      <c r="C102" s="998"/>
      <c r="D102" s="442">
        <f>SUM(D93:D101)</f>
        <v>181336.16999999998</v>
      </c>
      <c r="E102" s="442">
        <f>SUM(E93:E101)</f>
        <v>4000</v>
      </c>
      <c r="F102" s="442">
        <f>SUM(F93:F101)</f>
        <v>-52915.19</v>
      </c>
      <c r="G102" s="442">
        <f>SUM(G93:G101)</f>
        <v>132420.98000000001</v>
      </c>
      <c r="H102" s="447"/>
      <c r="V102" s="474"/>
    </row>
    <row r="103" spans="1:22" ht="11.25" customHeight="1" thickTop="1" x14ac:dyDescent="0.2">
      <c r="A103" s="447"/>
      <c r="B103" s="471"/>
      <c r="C103" s="471"/>
      <c r="D103" s="472"/>
      <c r="E103" s="472"/>
      <c r="F103" s="472"/>
      <c r="G103" s="472"/>
      <c r="H103" s="447"/>
      <c r="V103" s="474"/>
    </row>
    <row r="104" spans="1:22" ht="67.5" customHeight="1" x14ac:dyDescent="0.2">
      <c r="A104" s="999" t="s">
        <v>640</v>
      </c>
      <c r="B104" s="999"/>
      <c r="C104" s="999"/>
      <c r="D104" s="999"/>
      <c r="E104" s="999"/>
      <c r="F104" s="999"/>
      <c r="G104" s="999"/>
      <c r="H104" s="999"/>
    </row>
    <row r="105" spans="1:22" ht="47.25" x14ac:dyDescent="0.2">
      <c r="A105" s="447"/>
      <c r="B105" s="1000" t="s">
        <v>200</v>
      </c>
      <c r="C105" s="1000"/>
      <c r="D105" s="450" t="s">
        <v>201</v>
      </c>
      <c r="E105" s="441" t="s">
        <v>202</v>
      </c>
      <c r="F105" s="450" t="s">
        <v>203</v>
      </c>
      <c r="G105" s="809" t="str">
        <f>G92</f>
        <v>Ending Balance at June 30, 2023</v>
      </c>
      <c r="H105" s="447"/>
    </row>
    <row r="106" spans="1:22" ht="15.75" customHeight="1" x14ac:dyDescent="0.2">
      <c r="A106" s="447"/>
      <c r="B106" s="996" t="s">
        <v>204</v>
      </c>
      <c r="C106" s="996"/>
      <c r="D106" s="449">
        <v>0</v>
      </c>
      <c r="E106" s="449">
        <v>52000</v>
      </c>
      <c r="F106" s="449">
        <f>'June''23 Revenues &amp; Expenses'!J65*-1</f>
        <v>-26000</v>
      </c>
      <c r="G106" s="449">
        <f t="shared" ref="G106:G112" si="2">D106+E106+F106</f>
        <v>26000</v>
      </c>
      <c r="H106" s="447"/>
    </row>
    <row r="107" spans="1:22" ht="15.75" customHeight="1" x14ac:dyDescent="0.2">
      <c r="A107" s="447"/>
      <c r="B107" s="996" t="s">
        <v>255</v>
      </c>
      <c r="C107" s="996"/>
      <c r="D107" s="449">
        <v>0</v>
      </c>
      <c r="E107" s="449">
        <v>21000</v>
      </c>
      <c r="F107" s="449">
        <f>-'June''23 Revenues &amp; Expenses'!J67</f>
        <v>-10500</v>
      </c>
      <c r="G107" s="449">
        <f t="shared" si="2"/>
        <v>10500</v>
      </c>
      <c r="H107" s="447"/>
    </row>
    <row r="108" spans="1:22" ht="15.75" customHeight="1" x14ac:dyDescent="0.2">
      <c r="A108" s="447"/>
      <c r="B108" s="996" t="s">
        <v>205</v>
      </c>
      <c r="C108" s="996"/>
      <c r="D108" s="739">
        <f>'June''23 Revenues &amp; Expenses'!G72</f>
        <v>14792.17</v>
      </c>
      <c r="E108" s="449">
        <f>'June''23 Revenues &amp; Expenses'!H72</f>
        <v>33.81</v>
      </c>
      <c r="F108" s="449">
        <f>-'June''23 Revenues &amp; Expenses'!J72</f>
        <v>-4707.4399999999996</v>
      </c>
      <c r="G108" s="449">
        <f t="shared" si="2"/>
        <v>10118.540000000001</v>
      </c>
      <c r="H108" s="447"/>
    </row>
    <row r="109" spans="1:22" ht="15.75" customHeight="1" x14ac:dyDescent="0.2">
      <c r="A109" s="447"/>
      <c r="B109" s="996" t="s">
        <v>206</v>
      </c>
      <c r="C109" s="996"/>
      <c r="D109" s="739">
        <f>'June''23 Revenues &amp; Expenses'!G73</f>
        <v>9827.7800000000007</v>
      </c>
      <c r="E109" s="449">
        <f>'June''23 Revenues &amp; Expenses'!H73</f>
        <v>0</v>
      </c>
      <c r="F109" s="449">
        <f>-'June''23 Revenues &amp; Expenses'!J73</f>
        <v>-426.58</v>
      </c>
      <c r="G109" s="449">
        <f t="shared" si="2"/>
        <v>9401.2000000000007</v>
      </c>
      <c r="H109" s="447"/>
    </row>
    <row r="110" spans="1:22" ht="15.75" customHeight="1" x14ac:dyDescent="0.2">
      <c r="A110" s="447"/>
      <c r="B110" s="996" t="s">
        <v>303</v>
      </c>
      <c r="C110" s="996"/>
      <c r="D110" s="739">
        <f>'June''23 Revenues &amp; Expenses'!G56</f>
        <v>898.7</v>
      </c>
      <c r="E110" s="449"/>
      <c r="F110" s="449">
        <f>-'June''23 Revenues &amp; Expenses'!H56</f>
        <v>0</v>
      </c>
      <c r="G110" s="449">
        <f t="shared" si="2"/>
        <v>898.7</v>
      </c>
      <c r="H110" s="447"/>
    </row>
    <row r="111" spans="1:22" ht="15.75" customHeight="1" x14ac:dyDescent="0.2">
      <c r="A111" s="447"/>
      <c r="B111" s="902" t="s">
        <v>394</v>
      </c>
      <c r="C111" s="902"/>
      <c r="D111" s="903">
        <v>50000</v>
      </c>
      <c r="E111" s="903"/>
      <c r="F111" s="903">
        <f>-'June''23 Revenues &amp; Expenses'!H55</f>
        <v>-25000</v>
      </c>
      <c r="G111" s="903">
        <f t="shared" si="2"/>
        <v>25000</v>
      </c>
      <c r="H111" s="447"/>
    </row>
    <row r="112" spans="1:22" ht="15.75" x14ac:dyDescent="0.2">
      <c r="A112" s="447"/>
      <c r="B112" s="996" t="s">
        <v>207</v>
      </c>
      <c r="C112" s="996"/>
      <c r="D112" s="739">
        <f>'June''23 Revenues &amp; Expenses'!G71</f>
        <v>374.76</v>
      </c>
      <c r="E112" s="449"/>
      <c r="F112" s="449">
        <f>-'June''23 Revenues &amp; Expenses'!J71</f>
        <v>0</v>
      </c>
      <c r="G112" s="449">
        <f t="shared" si="2"/>
        <v>374.76</v>
      </c>
      <c r="H112" s="447"/>
      <c r="K112" s="696"/>
    </row>
    <row r="113" spans="1:11" ht="15.75" x14ac:dyDescent="0.2">
      <c r="A113" s="447"/>
      <c r="B113" s="996" t="s">
        <v>612</v>
      </c>
      <c r="C113" s="996"/>
      <c r="D113" s="774"/>
      <c r="E113" s="774">
        <v>50000</v>
      </c>
      <c r="F113" s="774">
        <f>-'June''23 Revenues &amp; Expenses'!J74</f>
        <v>-7142.85</v>
      </c>
      <c r="G113" s="774">
        <f>D113+E113+F113</f>
        <v>42857.15</v>
      </c>
      <c r="H113" s="447"/>
      <c r="K113" s="696"/>
    </row>
    <row r="114" spans="1:11" ht="15.75" customHeight="1" thickBot="1" x14ac:dyDescent="0.25">
      <c r="A114" s="447"/>
      <c r="B114" s="995" t="s">
        <v>208</v>
      </c>
      <c r="C114" s="995"/>
      <c r="D114" s="442">
        <f>SUM(D106:D112)</f>
        <v>75893.409999999989</v>
      </c>
      <c r="E114" s="442">
        <f>SUM(E106:E113)</f>
        <v>123033.81</v>
      </c>
      <c r="F114" s="442">
        <f>SUM(F106:F113)</f>
        <v>-73776.87000000001</v>
      </c>
      <c r="G114" s="442">
        <f>SUM(G106:G113)</f>
        <v>125150.35</v>
      </c>
      <c r="H114" s="447"/>
    </row>
    <row r="115" spans="1:11" ht="16.5" thickTop="1" x14ac:dyDescent="0.2">
      <c r="A115" s="440"/>
      <c r="B115" s="448"/>
      <c r="C115" s="448"/>
      <c r="D115" s="448"/>
      <c r="E115" s="448"/>
      <c r="F115" s="448"/>
      <c r="G115" s="448"/>
      <c r="H115" s="440"/>
    </row>
    <row r="116" spans="1:11" ht="15.75" customHeight="1" x14ac:dyDescent="0.2"/>
    <row r="117" spans="1:11" ht="6.75" customHeight="1" x14ac:dyDescent="0.2"/>
  </sheetData>
  <mergeCells count="78">
    <mergeCell ref="B55:G55"/>
    <mergeCell ref="B56:G56"/>
    <mergeCell ref="E60:F60"/>
    <mergeCell ref="B57:G57"/>
    <mergeCell ref="E66:F66"/>
    <mergeCell ref="A58:H58"/>
    <mergeCell ref="A23:H23"/>
    <mergeCell ref="A25:H25"/>
    <mergeCell ref="B54:G54"/>
    <mergeCell ref="B53:G53"/>
    <mergeCell ref="B50:G50"/>
    <mergeCell ref="A1:H1"/>
    <mergeCell ref="A2:H2"/>
    <mergeCell ref="A3:H3"/>
    <mergeCell ref="C11:D11"/>
    <mergeCell ref="C12:D12"/>
    <mergeCell ref="B10:C10"/>
    <mergeCell ref="A4:H4"/>
    <mergeCell ref="A5:H5"/>
    <mergeCell ref="A9:H9"/>
    <mergeCell ref="B49:G49"/>
    <mergeCell ref="B96:C96"/>
    <mergeCell ref="A80:H80"/>
    <mergeCell ref="C13:D13"/>
    <mergeCell ref="B48:E48"/>
    <mergeCell ref="C14:D14"/>
    <mergeCell ref="C15:D15"/>
    <mergeCell ref="C17:D17"/>
    <mergeCell ref="B18:D18"/>
    <mergeCell ref="C16:D16"/>
    <mergeCell ref="E62:F62"/>
    <mergeCell ref="E64:F64"/>
    <mergeCell ref="E65:F65"/>
    <mergeCell ref="E76:F76"/>
    <mergeCell ref="E72:F72"/>
    <mergeCell ref="E73:F73"/>
    <mergeCell ref="A87:H87"/>
    <mergeCell ref="B52:G52"/>
    <mergeCell ref="B51:G51"/>
    <mergeCell ref="C84:D84"/>
    <mergeCell ref="F84:G84"/>
    <mergeCell ref="C82:D82"/>
    <mergeCell ref="F82:G82"/>
    <mergeCell ref="C83:D83"/>
    <mergeCell ref="F83:G83"/>
    <mergeCell ref="E77:F77"/>
    <mergeCell ref="C81:D81"/>
    <mergeCell ref="F81:G81"/>
    <mergeCell ref="E63:F63"/>
    <mergeCell ref="E61:F61"/>
    <mergeCell ref="B70:G70"/>
    <mergeCell ref="E67:F67"/>
    <mergeCell ref="A89:H89"/>
    <mergeCell ref="A104:H104"/>
    <mergeCell ref="B109:C109"/>
    <mergeCell ref="B110:C110"/>
    <mergeCell ref="B101:C101"/>
    <mergeCell ref="B97:C97"/>
    <mergeCell ref="B99:C99"/>
    <mergeCell ref="B100:C100"/>
    <mergeCell ref="B98:C98"/>
    <mergeCell ref="B93:D93"/>
    <mergeCell ref="E74:F74"/>
    <mergeCell ref="E75:F75"/>
    <mergeCell ref="E71:F71"/>
    <mergeCell ref="B114:C114"/>
    <mergeCell ref="B112:C112"/>
    <mergeCell ref="B106:C106"/>
    <mergeCell ref="B107:C107"/>
    <mergeCell ref="C85:D85"/>
    <mergeCell ref="B108:C108"/>
    <mergeCell ref="B102:C102"/>
    <mergeCell ref="A91:H91"/>
    <mergeCell ref="B92:C92"/>
    <mergeCell ref="B94:C94"/>
    <mergeCell ref="B95:C95"/>
    <mergeCell ref="B105:C105"/>
    <mergeCell ref="B113:C113"/>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103"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000"/>
  <sheetViews>
    <sheetView topLeftCell="A603" workbookViewId="0">
      <selection activeCell="K610" sqref="K610:K612"/>
    </sheetView>
  </sheetViews>
  <sheetFormatPr defaultRowHeight="14.25" x14ac:dyDescent="0.2"/>
  <cols>
    <col min="1" max="1" width="24.625" style="519" bestFit="1" customWidth="1"/>
    <col min="2" max="2" width="9" style="491"/>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16" t="s">
        <v>260</v>
      </c>
      <c r="B3" s="487" t="s">
        <v>261</v>
      </c>
    </row>
    <row r="4" spans="1:2" ht="15" thickTop="1" x14ac:dyDescent="0.2">
      <c r="A4" s="517">
        <v>42370</v>
      </c>
      <c r="B4" s="488">
        <v>316020.78000000003</v>
      </c>
    </row>
    <row r="5" spans="1:2" x14ac:dyDescent="0.2">
      <c r="A5" s="518">
        <v>42373</v>
      </c>
      <c r="B5" s="489">
        <v>315970.78000000003</v>
      </c>
    </row>
    <row r="6" spans="1:2" x14ac:dyDescent="0.2">
      <c r="A6" s="518">
        <v>42374</v>
      </c>
      <c r="B6" s="489">
        <v>320557.63</v>
      </c>
    </row>
    <row r="7" spans="1:2" x14ac:dyDescent="0.2">
      <c r="A7" s="518">
        <v>42375</v>
      </c>
      <c r="B7" s="489">
        <f>B6</f>
        <v>320557.63</v>
      </c>
    </row>
    <row r="8" spans="1:2" x14ac:dyDescent="0.2">
      <c r="A8" s="518">
        <v>42376</v>
      </c>
      <c r="B8" s="489">
        <v>323108.86</v>
      </c>
    </row>
    <row r="9" spans="1:2" x14ac:dyDescent="0.2">
      <c r="A9" s="518">
        <v>42377</v>
      </c>
      <c r="B9" s="489">
        <f>B8</f>
        <v>323108.86</v>
      </c>
    </row>
    <row r="10" spans="1:2" x14ac:dyDescent="0.2">
      <c r="A10" s="518">
        <v>42380</v>
      </c>
      <c r="B10" s="489">
        <v>323239.86</v>
      </c>
    </row>
    <row r="11" spans="1:2" x14ac:dyDescent="0.2">
      <c r="A11" s="518">
        <v>42381</v>
      </c>
      <c r="B11" s="489">
        <v>288792.71999999997</v>
      </c>
    </row>
    <row r="12" spans="1:2" x14ac:dyDescent="0.2">
      <c r="A12" s="518">
        <v>42382</v>
      </c>
      <c r="B12" s="489">
        <f>B11</f>
        <v>288792.71999999997</v>
      </c>
    </row>
    <row r="13" spans="1:2" x14ac:dyDescent="0.2">
      <c r="A13" s="518">
        <v>42383</v>
      </c>
      <c r="B13" s="489">
        <v>277881.3</v>
      </c>
    </row>
    <row r="14" spans="1:2" x14ac:dyDescent="0.2">
      <c r="A14" s="518">
        <v>42384</v>
      </c>
      <c r="B14" s="489">
        <v>293922.15000000002</v>
      </c>
    </row>
    <row r="15" spans="1:2" x14ac:dyDescent="0.2">
      <c r="A15" s="518">
        <v>42387</v>
      </c>
      <c r="B15" s="489">
        <f>B14</f>
        <v>293922.15000000002</v>
      </c>
    </row>
    <row r="16" spans="1:2" x14ac:dyDescent="0.2">
      <c r="A16" s="518">
        <v>42388</v>
      </c>
      <c r="B16" s="489">
        <f>B14</f>
        <v>293922.15000000002</v>
      </c>
    </row>
    <row r="17" spans="1:2" x14ac:dyDescent="0.2">
      <c r="A17" s="518">
        <v>42389</v>
      </c>
      <c r="B17" s="489">
        <v>294002.2</v>
      </c>
    </row>
    <row r="18" spans="1:2" x14ac:dyDescent="0.2">
      <c r="A18" s="518">
        <v>42390</v>
      </c>
      <c r="B18" s="489">
        <v>285645.33</v>
      </c>
    </row>
    <row r="19" spans="1:2" x14ac:dyDescent="0.2">
      <c r="A19" s="518">
        <v>42391</v>
      </c>
      <c r="B19" s="489">
        <f>B18</f>
        <v>285645.33</v>
      </c>
    </row>
    <row r="20" spans="1:2" x14ac:dyDescent="0.2">
      <c r="A20" s="518">
        <v>42394</v>
      </c>
      <c r="B20" s="489">
        <v>310939.57</v>
      </c>
    </row>
    <row r="21" spans="1:2" x14ac:dyDescent="0.2">
      <c r="A21" s="518">
        <v>42395</v>
      </c>
      <c r="B21" s="489">
        <v>285520.28000000003</v>
      </c>
    </row>
    <row r="22" spans="1:2" x14ac:dyDescent="0.2">
      <c r="A22" s="518">
        <v>42396</v>
      </c>
      <c r="B22" s="489">
        <f>B21</f>
        <v>285520.28000000003</v>
      </c>
    </row>
    <row r="23" spans="1:2" x14ac:dyDescent="0.2">
      <c r="A23" s="518">
        <v>42397</v>
      </c>
      <c r="B23" s="489">
        <v>282022.58</v>
      </c>
    </row>
    <row r="24" spans="1:2" x14ac:dyDescent="0.2">
      <c r="A24" s="518">
        <v>42398</v>
      </c>
      <c r="B24" s="489">
        <v>294848.15999999997</v>
      </c>
    </row>
    <row r="25" spans="1:2" x14ac:dyDescent="0.2">
      <c r="A25" s="518">
        <v>42401</v>
      </c>
      <c r="B25" s="489">
        <v>295971.7</v>
      </c>
    </row>
    <row r="26" spans="1:2" x14ac:dyDescent="0.2">
      <c r="A26" s="518">
        <v>42402</v>
      </c>
      <c r="B26" s="489">
        <v>342700.41</v>
      </c>
    </row>
    <row r="27" spans="1:2" x14ac:dyDescent="0.2">
      <c r="A27" s="518">
        <v>42403</v>
      </c>
      <c r="B27" s="489">
        <f>B26</f>
        <v>342700.41</v>
      </c>
    </row>
    <row r="28" spans="1:2" x14ac:dyDescent="0.2">
      <c r="A28" s="518">
        <v>42404</v>
      </c>
      <c r="B28" s="489">
        <v>337638.63</v>
      </c>
    </row>
    <row r="29" spans="1:2" x14ac:dyDescent="0.2">
      <c r="A29" s="518">
        <v>42405</v>
      </c>
      <c r="B29" s="489">
        <v>367843.39</v>
      </c>
    </row>
    <row r="30" spans="1:2" x14ac:dyDescent="0.2">
      <c r="A30" s="518">
        <v>42408</v>
      </c>
      <c r="B30" s="489">
        <v>367773.39</v>
      </c>
    </row>
    <row r="31" spans="1:2" x14ac:dyDescent="0.2">
      <c r="A31" s="518">
        <v>42409</v>
      </c>
      <c r="B31" s="489">
        <v>339527.33</v>
      </c>
    </row>
    <row r="32" spans="1:2" x14ac:dyDescent="0.2">
      <c r="A32" s="518">
        <v>42410</v>
      </c>
      <c r="B32" s="489">
        <f>B31</f>
        <v>339527.33</v>
      </c>
    </row>
    <row r="33" spans="1:2" x14ac:dyDescent="0.2">
      <c r="A33" s="518">
        <v>42411</v>
      </c>
      <c r="B33" s="489">
        <v>336968.79</v>
      </c>
    </row>
    <row r="34" spans="1:2" x14ac:dyDescent="0.2">
      <c r="A34" s="518">
        <v>42412</v>
      </c>
      <c r="B34" s="489">
        <v>337055.76</v>
      </c>
    </row>
    <row r="35" spans="1:2" x14ac:dyDescent="0.2">
      <c r="A35" s="518">
        <v>42415</v>
      </c>
      <c r="B35" s="489">
        <f>B34</f>
        <v>337055.76</v>
      </c>
    </row>
    <row r="36" spans="1:2" x14ac:dyDescent="0.2">
      <c r="A36" s="518">
        <v>42416</v>
      </c>
      <c r="B36" s="489">
        <f>B35</f>
        <v>337055.76</v>
      </c>
    </row>
    <row r="37" spans="1:2" x14ac:dyDescent="0.2">
      <c r="A37" s="518">
        <v>42417</v>
      </c>
      <c r="B37" s="489">
        <v>365266.06</v>
      </c>
    </row>
    <row r="38" spans="1:2" x14ac:dyDescent="0.2">
      <c r="A38" s="518">
        <v>42418</v>
      </c>
      <c r="B38" s="489">
        <v>360871.98</v>
      </c>
    </row>
    <row r="39" spans="1:2" x14ac:dyDescent="0.2">
      <c r="A39" s="518">
        <v>42419</v>
      </c>
      <c r="B39" s="489">
        <f>B38</f>
        <v>360871.98</v>
      </c>
    </row>
    <row r="40" spans="1:2" x14ac:dyDescent="0.2">
      <c r="A40" s="518">
        <v>42421</v>
      </c>
      <c r="B40" s="489">
        <f>B39</f>
        <v>360871.98</v>
      </c>
    </row>
    <row r="41" spans="1:2" x14ac:dyDescent="0.2">
      <c r="A41" s="518">
        <v>42423</v>
      </c>
      <c r="B41" s="489">
        <v>355845.62</v>
      </c>
    </row>
    <row r="42" spans="1:2" x14ac:dyDescent="0.2">
      <c r="A42" s="518">
        <v>42424</v>
      </c>
      <c r="B42" s="489">
        <f>B41</f>
        <v>355845.62</v>
      </c>
    </row>
    <row r="43" spans="1:2" x14ac:dyDescent="0.2">
      <c r="A43" s="518">
        <v>42425</v>
      </c>
      <c r="B43" s="489">
        <v>345399.7</v>
      </c>
    </row>
    <row r="44" spans="1:2" x14ac:dyDescent="0.2">
      <c r="A44" s="518">
        <v>42426</v>
      </c>
      <c r="B44" s="489">
        <v>370500.69</v>
      </c>
    </row>
    <row r="45" spans="1:2" x14ac:dyDescent="0.2">
      <c r="A45" s="518">
        <v>42429</v>
      </c>
      <c r="B45" s="489">
        <v>389846.49</v>
      </c>
    </row>
    <row r="46" spans="1:2" x14ac:dyDescent="0.2">
      <c r="A46" s="518">
        <v>42430</v>
      </c>
      <c r="B46" s="489">
        <f>B45</f>
        <v>389846.49</v>
      </c>
    </row>
    <row r="47" spans="1:2" x14ac:dyDescent="0.2">
      <c r="A47" s="518">
        <v>42431</v>
      </c>
      <c r="B47" s="489">
        <f>B46</f>
        <v>389846.49</v>
      </c>
    </row>
    <row r="48" spans="1:2" x14ac:dyDescent="0.2">
      <c r="A48" s="518">
        <v>42432</v>
      </c>
      <c r="B48" s="489">
        <v>378391.97</v>
      </c>
    </row>
    <row r="49" spans="1:2" x14ac:dyDescent="0.2">
      <c r="A49" s="518">
        <v>42433</v>
      </c>
      <c r="B49" s="489">
        <v>424034.23</v>
      </c>
    </row>
    <row r="50" spans="1:2" x14ac:dyDescent="0.2">
      <c r="A50" s="518">
        <v>42436</v>
      </c>
      <c r="B50" s="489">
        <f>B49</f>
        <v>424034.23</v>
      </c>
    </row>
    <row r="51" spans="1:2" x14ac:dyDescent="0.2">
      <c r="A51" s="518">
        <v>42437</v>
      </c>
      <c r="B51" s="489">
        <v>386665.73</v>
      </c>
    </row>
    <row r="52" spans="1:2" x14ac:dyDescent="0.2">
      <c r="A52" s="518">
        <v>42438</v>
      </c>
      <c r="B52" s="489">
        <f>B51</f>
        <v>386665.73</v>
      </c>
    </row>
    <row r="53" spans="1:2" x14ac:dyDescent="0.2">
      <c r="A53" s="518">
        <v>42439</v>
      </c>
      <c r="B53" s="489">
        <v>389219.85</v>
      </c>
    </row>
    <row r="54" spans="1:2" x14ac:dyDescent="0.2">
      <c r="A54" s="518">
        <v>42440</v>
      </c>
      <c r="B54" s="489">
        <v>406100.98</v>
      </c>
    </row>
    <row r="55" spans="1:2" x14ac:dyDescent="0.2">
      <c r="A55" s="518">
        <v>42443</v>
      </c>
      <c r="B55" s="489">
        <v>407873.33</v>
      </c>
    </row>
    <row r="56" spans="1:2" x14ac:dyDescent="0.2">
      <c r="A56" s="518">
        <v>42444</v>
      </c>
      <c r="B56" s="489">
        <v>407992.23</v>
      </c>
    </row>
    <row r="57" spans="1:2" x14ac:dyDescent="0.2">
      <c r="A57" s="518">
        <v>42445</v>
      </c>
      <c r="B57" s="489">
        <v>433808.81</v>
      </c>
    </row>
    <row r="58" spans="1:2" x14ac:dyDescent="0.2">
      <c r="A58" s="518">
        <v>42446</v>
      </c>
      <c r="B58" s="489">
        <v>422290.94</v>
      </c>
    </row>
    <row r="59" spans="1:2" x14ac:dyDescent="0.2">
      <c r="A59" s="518">
        <v>42447</v>
      </c>
      <c r="B59" s="489">
        <v>468026.54</v>
      </c>
    </row>
    <row r="60" spans="1:2" x14ac:dyDescent="0.2">
      <c r="A60" s="518">
        <v>42450</v>
      </c>
      <c r="B60" s="489">
        <v>348026.54</v>
      </c>
    </row>
    <row r="61" spans="1:2" x14ac:dyDescent="0.2">
      <c r="A61" s="518">
        <v>42451</v>
      </c>
      <c r="B61" s="489">
        <v>312876.71000000002</v>
      </c>
    </row>
    <row r="62" spans="1:2" x14ac:dyDescent="0.2">
      <c r="A62" s="518">
        <v>42452</v>
      </c>
      <c r="B62" s="489">
        <v>314939.26</v>
      </c>
    </row>
    <row r="63" spans="1:2" x14ac:dyDescent="0.2">
      <c r="A63" s="518">
        <v>42453</v>
      </c>
      <c r="B63" s="489">
        <v>309254.23</v>
      </c>
    </row>
    <row r="64" spans="1:2" x14ac:dyDescent="0.2">
      <c r="A64" s="518">
        <v>42454</v>
      </c>
      <c r="B64" s="489">
        <v>308314.94</v>
      </c>
    </row>
    <row r="65" spans="1:2" x14ac:dyDescent="0.2">
      <c r="A65" s="518">
        <v>42457</v>
      </c>
      <c r="B65" s="489">
        <f>B64</f>
        <v>308314.94</v>
      </c>
    </row>
    <row r="66" spans="1:2" x14ac:dyDescent="0.2">
      <c r="A66" s="518">
        <v>42458</v>
      </c>
      <c r="B66" s="489">
        <v>308501.75</v>
      </c>
    </row>
    <row r="67" spans="1:2" x14ac:dyDescent="0.2">
      <c r="A67" s="518">
        <v>42459</v>
      </c>
      <c r="B67" s="489">
        <f>B66</f>
        <v>308501.75</v>
      </c>
    </row>
    <row r="68" spans="1:2" x14ac:dyDescent="0.2">
      <c r="A68" s="518">
        <v>42460</v>
      </c>
      <c r="B68" s="489">
        <v>309191.53000000003</v>
      </c>
    </row>
    <row r="69" spans="1:2" x14ac:dyDescent="0.2">
      <c r="A69" s="518">
        <v>42461</v>
      </c>
      <c r="B69" s="489">
        <f>B68</f>
        <v>309191.53000000003</v>
      </c>
    </row>
    <row r="70" spans="1:2" x14ac:dyDescent="0.2">
      <c r="A70" s="518">
        <v>42464</v>
      </c>
      <c r="B70" s="489">
        <v>273521.59999999998</v>
      </c>
    </row>
    <row r="71" spans="1:2" x14ac:dyDescent="0.2">
      <c r="A71" s="518">
        <v>42465</v>
      </c>
      <c r="B71" s="489">
        <f>B70</f>
        <v>273521.59999999998</v>
      </c>
    </row>
    <row r="72" spans="1:2" x14ac:dyDescent="0.2">
      <c r="A72" s="518">
        <v>42466</v>
      </c>
      <c r="B72" s="489">
        <v>272690.59999999998</v>
      </c>
    </row>
    <row r="73" spans="1:2" x14ac:dyDescent="0.2">
      <c r="A73" s="518">
        <v>42467</v>
      </c>
      <c r="B73" s="489">
        <v>269582.73</v>
      </c>
    </row>
    <row r="74" spans="1:2" x14ac:dyDescent="0.2">
      <c r="A74" s="518">
        <v>42468</v>
      </c>
      <c r="B74" s="489">
        <f>B73</f>
        <v>269582.73</v>
      </c>
    </row>
    <row r="75" spans="1:2" x14ac:dyDescent="0.2">
      <c r="A75" s="518">
        <v>42471</v>
      </c>
      <c r="B75" s="489">
        <v>269763.98</v>
      </c>
    </row>
    <row r="76" spans="1:2" x14ac:dyDescent="0.2">
      <c r="A76" s="518">
        <v>42472</v>
      </c>
      <c r="B76" s="489">
        <f>B75</f>
        <v>269763.98</v>
      </c>
    </row>
    <row r="77" spans="1:2" x14ac:dyDescent="0.2">
      <c r="A77" s="518">
        <v>42473</v>
      </c>
      <c r="B77" s="489">
        <v>269925.98</v>
      </c>
    </row>
    <row r="78" spans="1:2" x14ac:dyDescent="0.2">
      <c r="A78" s="518">
        <v>42474</v>
      </c>
      <c r="B78" s="489">
        <v>262853.87</v>
      </c>
    </row>
    <row r="79" spans="1:2" x14ac:dyDescent="0.2">
      <c r="A79" s="518">
        <v>42475</v>
      </c>
      <c r="B79" s="489">
        <v>285492.90999999997</v>
      </c>
    </row>
    <row r="80" spans="1:2" x14ac:dyDescent="0.2">
      <c r="A80" s="518">
        <v>42478</v>
      </c>
      <c r="B80" s="489">
        <v>248936.49</v>
      </c>
    </row>
    <row r="81" spans="1:2" x14ac:dyDescent="0.2">
      <c r="A81" s="518">
        <v>42479</v>
      </c>
      <c r="B81" s="489">
        <v>299276.93</v>
      </c>
    </row>
    <row r="82" spans="1:2" x14ac:dyDescent="0.2">
      <c r="A82" s="518">
        <v>42480</v>
      </c>
      <c r="B82" s="489">
        <v>298671.93</v>
      </c>
    </row>
    <row r="83" spans="1:2" x14ac:dyDescent="0.2">
      <c r="A83" s="518">
        <v>42481</v>
      </c>
      <c r="B83" s="489">
        <v>300188.76</v>
      </c>
    </row>
    <row r="84" spans="1:2" x14ac:dyDescent="0.2">
      <c r="A84" s="518">
        <v>42482</v>
      </c>
      <c r="B84" s="489">
        <v>320014.86</v>
      </c>
    </row>
    <row r="85" spans="1:2" x14ac:dyDescent="0.2">
      <c r="A85" s="518">
        <v>42485</v>
      </c>
      <c r="B85" s="489">
        <v>316702.44</v>
      </c>
    </row>
    <row r="86" spans="1:2" x14ac:dyDescent="0.2">
      <c r="A86" s="518">
        <v>42486</v>
      </c>
      <c r="B86" s="489">
        <f>B85</f>
        <v>316702.44</v>
      </c>
    </row>
    <row r="87" spans="1:2" x14ac:dyDescent="0.2">
      <c r="A87" s="518">
        <v>42487</v>
      </c>
      <c r="B87" s="489">
        <v>316945.44</v>
      </c>
    </row>
    <row r="88" spans="1:2" x14ac:dyDescent="0.2">
      <c r="A88" s="518">
        <v>42488</v>
      </c>
      <c r="B88" s="489">
        <v>320979.96999999997</v>
      </c>
    </row>
    <row r="89" spans="1:2" x14ac:dyDescent="0.2">
      <c r="A89" s="518">
        <v>42489</v>
      </c>
      <c r="B89" s="489">
        <f>B88</f>
        <v>320979.96999999997</v>
      </c>
    </row>
    <row r="90" spans="1:2" x14ac:dyDescent="0.2">
      <c r="A90" s="518">
        <v>42492</v>
      </c>
      <c r="B90" s="489">
        <v>285992.84000000003</v>
      </c>
    </row>
    <row r="91" spans="1:2" x14ac:dyDescent="0.2">
      <c r="A91" s="518">
        <v>42493</v>
      </c>
      <c r="B91" s="489">
        <v>286063.08</v>
      </c>
    </row>
    <row r="92" spans="1:2" x14ac:dyDescent="0.2">
      <c r="A92" s="518">
        <v>42494</v>
      </c>
      <c r="B92" s="489">
        <v>314586.46000000002</v>
      </c>
    </row>
    <row r="93" spans="1:2" x14ac:dyDescent="0.2">
      <c r="A93" s="518">
        <v>42495</v>
      </c>
      <c r="B93" s="489">
        <v>317747.52</v>
      </c>
    </row>
    <row r="94" spans="1:2" x14ac:dyDescent="0.2">
      <c r="A94" s="518">
        <v>42496</v>
      </c>
      <c r="B94" s="489">
        <f>B93</f>
        <v>317747.52</v>
      </c>
    </row>
    <row r="95" spans="1:2" x14ac:dyDescent="0.2">
      <c r="A95" s="518">
        <v>42499</v>
      </c>
      <c r="B95" s="489">
        <v>317647.52</v>
      </c>
    </row>
    <row r="96" spans="1:2" x14ac:dyDescent="0.2">
      <c r="A96" s="518">
        <v>42500</v>
      </c>
      <c r="B96" s="489">
        <v>354645.16</v>
      </c>
    </row>
    <row r="97" spans="1:2" x14ac:dyDescent="0.2">
      <c r="A97" s="518">
        <v>42501</v>
      </c>
      <c r="B97" s="489">
        <f>B96</f>
        <v>354645.16</v>
      </c>
    </row>
    <row r="98" spans="1:2" x14ac:dyDescent="0.2">
      <c r="A98" s="518">
        <v>42502</v>
      </c>
      <c r="B98" s="489">
        <v>334676.08</v>
      </c>
    </row>
    <row r="99" spans="1:2" x14ac:dyDescent="0.2">
      <c r="A99" s="518">
        <v>42503</v>
      </c>
      <c r="B99" s="489">
        <v>335053.34999999998</v>
      </c>
    </row>
    <row r="100" spans="1:2" x14ac:dyDescent="0.2">
      <c r="A100" s="518">
        <v>42506</v>
      </c>
      <c r="B100" s="489">
        <v>299641.7</v>
      </c>
    </row>
    <row r="101" spans="1:2" x14ac:dyDescent="0.2">
      <c r="A101" s="518">
        <v>42507</v>
      </c>
      <c r="B101" s="489">
        <f>B100</f>
        <v>299641.7</v>
      </c>
    </row>
    <row r="102" spans="1:2" x14ac:dyDescent="0.2">
      <c r="A102" s="518">
        <v>42508</v>
      </c>
      <c r="B102" s="489">
        <v>316034.81</v>
      </c>
    </row>
    <row r="103" spans="1:2" x14ac:dyDescent="0.2">
      <c r="A103" s="518">
        <v>42509</v>
      </c>
      <c r="B103" s="489">
        <v>320069.11</v>
      </c>
    </row>
    <row r="104" spans="1:2" x14ac:dyDescent="0.2">
      <c r="A104" s="518">
        <v>42510</v>
      </c>
      <c r="B104" s="489">
        <v>328514.03000000003</v>
      </c>
    </row>
    <row r="105" spans="1:2" x14ac:dyDescent="0.2">
      <c r="A105" s="518">
        <v>42513</v>
      </c>
      <c r="B105" s="489">
        <f>B104</f>
        <v>328514.03000000003</v>
      </c>
    </row>
    <row r="106" spans="1:2" x14ac:dyDescent="0.2">
      <c r="A106" s="518">
        <v>42514</v>
      </c>
      <c r="B106" s="489">
        <v>334541.26</v>
      </c>
    </row>
    <row r="107" spans="1:2" x14ac:dyDescent="0.2">
      <c r="A107" s="518">
        <v>42515</v>
      </c>
      <c r="B107" s="490">
        <v>329880.45</v>
      </c>
    </row>
    <row r="108" spans="1:2" x14ac:dyDescent="0.2">
      <c r="A108" s="518">
        <v>42516</v>
      </c>
      <c r="B108" s="491">
        <v>337992.17</v>
      </c>
    </row>
    <row r="109" spans="1:2" x14ac:dyDescent="0.2">
      <c r="A109" s="518">
        <v>42517</v>
      </c>
      <c r="B109" s="491">
        <v>347755.4</v>
      </c>
    </row>
    <row r="110" spans="1:2" x14ac:dyDescent="0.2">
      <c r="A110" s="518">
        <v>42520</v>
      </c>
      <c r="B110" s="491">
        <v>347755.4</v>
      </c>
    </row>
    <row r="111" spans="1:2" x14ac:dyDescent="0.2">
      <c r="A111" s="518">
        <v>42521</v>
      </c>
      <c r="B111" s="491">
        <v>312817.88</v>
      </c>
    </row>
    <row r="112" spans="1:2" x14ac:dyDescent="0.2">
      <c r="A112" s="518">
        <v>42522</v>
      </c>
      <c r="B112" s="491">
        <v>314571.3</v>
      </c>
    </row>
    <row r="113" spans="1:2" x14ac:dyDescent="0.2">
      <c r="A113" s="518">
        <v>42523</v>
      </c>
      <c r="B113" s="491">
        <v>302515.78000000003</v>
      </c>
    </row>
    <row r="114" spans="1:2" x14ac:dyDescent="0.2">
      <c r="A114" s="518">
        <v>42524</v>
      </c>
      <c r="B114" s="491">
        <v>302516</v>
      </c>
    </row>
    <row r="115" spans="1:2" x14ac:dyDescent="0.2">
      <c r="A115" s="518">
        <v>42527</v>
      </c>
      <c r="B115" s="491">
        <v>302516</v>
      </c>
    </row>
    <row r="116" spans="1:2" x14ac:dyDescent="0.2">
      <c r="A116" s="518">
        <v>42528</v>
      </c>
      <c r="B116" s="491">
        <v>302516</v>
      </c>
    </row>
    <row r="117" spans="1:2" x14ac:dyDescent="0.2">
      <c r="A117" s="518">
        <v>42529</v>
      </c>
      <c r="B117" s="491">
        <v>279865.95</v>
      </c>
    </row>
    <row r="118" spans="1:2" x14ac:dyDescent="0.2">
      <c r="A118" s="518">
        <v>42530</v>
      </c>
      <c r="B118" s="491">
        <v>279866</v>
      </c>
    </row>
    <row r="119" spans="1:2" x14ac:dyDescent="0.2">
      <c r="A119" s="518">
        <v>42531</v>
      </c>
      <c r="B119" s="491">
        <v>279866</v>
      </c>
    </row>
    <row r="120" spans="1:2" x14ac:dyDescent="0.2">
      <c r="A120" s="518">
        <v>42534</v>
      </c>
      <c r="B120" s="491">
        <v>279866</v>
      </c>
    </row>
    <row r="121" spans="1:2" x14ac:dyDescent="0.2">
      <c r="A121" s="518">
        <v>42535</v>
      </c>
      <c r="B121" s="491">
        <v>279866</v>
      </c>
    </row>
    <row r="122" spans="1:2" x14ac:dyDescent="0.2">
      <c r="A122" s="518">
        <v>42536</v>
      </c>
      <c r="B122" s="491">
        <v>290096.01</v>
      </c>
    </row>
    <row r="123" spans="1:2" x14ac:dyDescent="0.2">
      <c r="A123" s="518">
        <v>42537</v>
      </c>
      <c r="B123" s="491">
        <v>247423.5</v>
      </c>
    </row>
    <row r="124" spans="1:2" x14ac:dyDescent="0.2">
      <c r="A124" s="518">
        <v>42538</v>
      </c>
      <c r="B124" s="491">
        <v>247424</v>
      </c>
    </row>
    <row r="125" spans="1:2" x14ac:dyDescent="0.2">
      <c r="A125" s="518">
        <v>42541</v>
      </c>
      <c r="B125" s="491">
        <v>247424</v>
      </c>
    </row>
    <row r="126" spans="1:2" x14ac:dyDescent="0.2">
      <c r="A126" s="518">
        <v>42542</v>
      </c>
      <c r="B126" s="491">
        <v>255459.85</v>
      </c>
    </row>
    <row r="127" spans="1:2" x14ac:dyDescent="0.2">
      <c r="A127" s="518">
        <v>42543</v>
      </c>
      <c r="B127" s="491">
        <v>255460</v>
      </c>
    </row>
    <row r="128" spans="1:2" x14ac:dyDescent="0.2">
      <c r="A128" s="492">
        <f>A127+1</f>
        <v>42544</v>
      </c>
      <c r="B128" s="491">
        <v>240780.4</v>
      </c>
    </row>
    <row r="129" spans="1:2" x14ac:dyDescent="0.2">
      <c r="A129" s="492">
        <f>A128+1</f>
        <v>42545</v>
      </c>
      <c r="B129" s="491">
        <v>240780</v>
      </c>
    </row>
    <row r="130" spans="1:2" x14ac:dyDescent="0.2">
      <c r="A130" s="492">
        <f>A125+7</f>
        <v>42548</v>
      </c>
      <c r="B130" s="491">
        <v>205735.12</v>
      </c>
    </row>
    <row r="131" spans="1:2" x14ac:dyDescent="0.2">
      <c r="A131" s="492">
        <f>A126+7</f>
        <v>42549</v>
      </c>
      <c r="B131" s="491">
        <v>207489.37</v>
      </c>
    </row>
    <row r="132" spans="1:2" x14ac:dyDescent="0.2">
      <c r="A132" s="492">
        <f t="shared" ref="A132:A195" si="0">A127+7</f>
        <v>42550</v>
      </c>
      <c r="B132" s="491">
        <v>213757.9</v>
      </c>
    </row>
    <row r="133" spans="1:2" x14ac:dyDescent="0.2">
      <c r="A133" s="492">
        <f t="shared" si="0"/>
        <v>42551</v>
      </c>
      <c r="B133" s="491">
        <v>220332.56</v>
      </c>
    </row>
    <row r="134" spans="1:2" x14ac:dyDescent="0.2">
      <c r="A134" s="492">
        <f t="shared" si="0"/>
        <v>42552</v>
      </c>
      <c r="B134" s="491">
        <v>212813.84</v>
      </c>
    </row>
    <row r="135" spans="1:2" x14ac:dyDescent="0.2">
      <c r="A135" s="492">
        <f t="shared" si="0"/>
        <v>42555</v>
      </c>
      <c r="B135" s="491">
        <v>212814</v>
      </c>
    </row>
    <row r="136" spans="1:2" x14ac:dyDescent="0.2">
      <c r="A136" s="492">
        <f t="shared" si="0"/>
        <v>42556</v>
      </c>
      <c r="B136" s="491">
        <v>236539.45</v>
      </c>
    </row>
    <row r="137" spans="1:2" x14ac:dyDescent="0.2">
      <c r="A137" s="492">
        <f t="shared" si="0"/>
        <v>42557</v>
      </c>
      <c r="B137" s="491">
        <v>234224.42</v>
      </c>
    </row>
    <row r="138" spans="1:2" x14ac:dyDescent="0.2">
      <c r="A138" s="492">
        <f t="shared" si="0"/>
        <v>42558</v>
      </c>
      <c r="B138" s="491">
        <v>234132.08</v>
      </c>
    </row>
    <row r="139" spans="1:2" x14ac:dyDescent="0.2">
      <c r="A139" s="492">
        <f t="shared" si="0"/>
        <v>42559</v>
      </c>
      <c r="B139" s="491">
        <v>234132.08</v>
      </c>
    </row>
    <row r="140" spans="1:2" x14ac:dyDescent="0.2">
      <c r="A140" s="492">
        <f t="shared" si="0"/>
        <v>42562</v>
      </c>
      <c r="B140" s="491">
        <v>199890.85</v>
      </c>
    </row>
    <row r="141" spans="1:2" x14ac:dyDescent="0.2">
      <c r="A141" s="492">
        <f t="shared" si="0"/>
        <v>42563</v>
      </c>
      <c r="B141" s="491">
        <v>221114.27</v>
      </c>
    </row>
    <row r="142" spans="1:2" x14ac:dyDescent="0.2">
      <c r="A142" s="492">
        <f t="shared" si="0"/>
        <v>42564</v>
      </c>
      <c r="B142" s="491">
        <v>221114</v>
      </c>
    </row>
    <row r="143" spans="1:2" x14ac:dyDescent="0.2">
      <c r="A143" s="492">
        <f t="shared" si="0"/>
        <v>42565</v>
      </c>
      <c r="B143" s="491">
        <v>214752.25</v>
      </c>
    </row>
    <row r="144" spans="1:2" x14ac:dyDescent="0.2">
      <c r="A144" s="492">
        <f t="shared" si="0"/>
        <v>42566</v>
      </c>
      <c r="B144" s="491">
        <v>294578.96999999997</v>
      </c>
    </row>
    <row r="145" spans="1:2" x14ac:dyDescent="0.2">
      <c r="A145" s="492">
        <f t="shared" si="0"/>
        <v>42569</v>
      </c>
      <c r="B145" s="491">
        <v>294579</v>
      </c>
    </row>
    <row r="146" spans="1:2" x14ac:dyDescent="0.2">
      <c r="A146" s="492">
        <f t="shared" si="0"/>
        <v>42570</v>
      </c>
      <c r="B146" s="491">
        <v>294579</v>
      </c>
    </row>
    <row r="147" spans="1:2" x14ac:dyDescent="0.2">
      <c r="A147" s="492">
        <f t="shared" si="0"/>
        <v>42571</v>
      </c>
      <c r="B147" s="491">
        <v>328195.42</v>
      </c>
    </row>
    <row r="148" spans="1:2" x14ac:dyDescent="0.2">
      <c r="A148" s="492">
        <f t="shared" si="0"/>
        <v>42572</v>
      </c>
      <c r="B148" s="491">
        <v>407865.86</v>
      </c>
    </row>
    <row r="149" spans="1:2" x14ac:dyDescent="0.2">
      <c r="A149" s="492">
        <f t="shared" si="0"/>
        <v>42573</v>
      </c>
      <c r="B149" s="491">
        <v>409053.93</v>
      </c>
    </row>
    <row r="150" spans="1:2" x14ac:dyDescent="0.2">
      <c r="A150" s="492">
        <f t="shared" si="0"/>
        <v>42576</v>
      </c>
      <c r="B150" s="491">
        <v>372421.56</v>
      </c>
    </row>
    <row r="151" spans="1:2" x14ac:dyDescent="0.2">
      <c r="A151" s="492">
        <f t="shared" si="0"/>
        <v>42577</v>
      </c>
      <c r="B151" s="491">
        <v>375562.78</v>
      </c>
    </row>
    <row r="152" spans="1:2" x14ac:dyDescent="0.2">
      <c r="A152" s="492">
        <f t="shared" si="0"/>
        <v>42578</v>
      </c>
      <c r="B152" s="491">
        <v>375563</v>
      </c>
    </row>
    <row r="153" spans="1:2" x14ac:dyDescent="0.2">
      <c r="A153" s="492">
        <f t="shared" si="0"/>
        <v>42579</v>
      </c>
      <c r="B153" s="491">
        <v>366510.98</v>
      </c>
    </row>
    <row r="154" spans="1:2" x14ac:dyDescent="0.2">
      <c r="A154" s="492">
        <f t="shared" si="0"/>
        <v>42580</v>
      </c>
      <c r="B154" s="491">
        <v>366609.48</v>
      </c>
    </row>
    <row r="155" spans="1:2" x14ac:dyDescent="0.2">
      <c r="A155" s="492">
        <f t="shared" si="0"/>
        <v>42583</v>
      </c>
      <c r="B155" s="491">
        <v>382689.69</v>
      </c>
    </row>
    <row r="156" spans="1:2" x14ac:dyDescent="0.2">
      <c r="A156" s="492">
        <f t="shared" si="0"/>
        <v>42584</v>
      </c>
      <c r="B156" s="491">
        <v>382690</v>
      </c>
    </row>
    <row r="157" spans="1:2" x14ac:dyDescent="0.2">
      <c r="A157" s="492">
        <f t="shared" si="0"/>
        <v>42585</v>
      </c>
      <c r="B157" s="491">
        <v>387013.59</v>
      </c>
    </row>
    <row r="158" spans="1:2" x14ac:dyDescent="0.2">
      <c r="A158" s="492">
        <f t="shared" si="0"/>
        <v>42586</v>
      </c>
      <c r="B158" s="491">
        <v>382543.7</v>
      </c>
    </row>
    <row r="159" spans="1:2" x14ac:dyDescent="0.2">
      <c r="A159" s="492">
        <f t="shared" si="0"/>
        <v>42587</v>
      </c>
      <c r="B159" s="491">
        <v>382544</v>
      </c>
    </row>
    <row r="160" spans="1:2" x14ac:dyDescent="0.2">
      <c r="A160" s="492">
        <f t="shared" si="0"/>
        <v>42590</v>
      </c>
      <c r="B160" s="491">
        <v>344510.17</v>
      </c>
    </row>
    <row r="161" spans="1:2" x14ac:dyDescent="0.2">
      <c r="A161" s="492">
        <f t="shared" si="0"/>
        <v>42591</v>
      </c>
      <c r="B161" s="491">
        <v>350095.94</v>
      </c>
    </row>
    <row r="162" spans="1:2" x14ac:dyDescent="0.2">
      <c r="A162" s="492">
        <f t="shared" si="0"/>
        <v>42592</v>
      </c>
      <c r="B162" s="491">
        <v>350096</v>
      </c>
    </row>
    <row r="163" spans="1:2" x14ac:dyDescent="0.2">
      <c r="A163" s="492">
        <f t="shared" si="0"/>
        <v>42593</v>
      </c>
      <c r="B163" s="491">
        <v>355079.15</v>
      </c>
    </row>
    <row r="164" spans="1:2" x14ac:dyDescent="0.2">
      <c r="A164" s="492">
        <f t="shared" si="0"/>
        <v>42594</v>
      </c>
      <c r="B164" s="491">
        <v>356502.11</v>
      </c>
    </row>
    <row r="165" spans="1:2" x14ac:dyDescent="0.2">
      <c r="A165" s="492">
        <f t="shared" si="0"/>
        <v>42597</v>
      </c>
      <c r="B165" s="491">
        <v>408622.46</v>
      </c>
    </row>
    <row r="166" spans="1:2" x14ac:dyDescent="0.2">
      <c r="A166" s="492">
        <f t="shared" si="0"/>
        <v>42598</v>
      </c>
      <c r="B166" s="491">
        <v>408622</v>
      </c>
    </row>
    <row r="167" spans="1:2" x14ac:dyDescent="0.2">
      <c r="A167" s="492">
        <f t="shared" si="0"/>
        <v>42599</v>
      </c>
      <c r="B167" s="491">
        <v>408622</v>
      </c>
    </row>
    <row r="168" spans="1:2" x14ac:dyDescent="0.2">
      <c r="A168" s="492">
        <f t="shared" si="0"/>
        <v>42600</v>
      </c>
      <c r="B168" s="491">
        <v>409931.67</v>
      </c>
    </row>
    <row r="169" spans="1:2" x14ac:dyDescent="0.2">
      <c r="A169" s="492">
        <f t="shared" si="0"/>
        <v>42601</v>
      </c>
      <c r="B169" s="491">
        <v>410189.3</v>
      </c>
    </row>
    <row r="170" spans="1:2" x14ac:dyDescent="0.2">
      <c r="A170" s="492">
        <f t="shared" si="0"/>
        <v>42604</v>
      </c>
      <c r="B170" s="491">
        <v>370399.56</v>
      </c>
    </row>
    <row r="171" spans="1:2" x14ac:dyDescent="0.2">
      <c r="A171" s="492">
        <f t="shared" si="0"/>
        <v>42605</v>
      </c>
      <c r="B171" s="491">
        <v>370399.56</v>
      </c>
    </row>
    <row r="172" spans="1:2" x14ac:dyDescent="0.2">
      <c r="A172" s="492">
        <f t="shared" si="0"/>
        <v>42606</v>
      </c>
      <c r="B172" s="491">
        <v>370400</v>
      </c>
    </row>
    <row r="173" spans="1:2" x14ac:dyDescent="0.2">
      <c r="A173" s="492">
        <f t="shared" si="0"/>
        <v>42607</v>
      </c>
      <c r="B173" s="491">
        <v>359591.19</v>
      </c>
    </row>
    <row r="174" spans="1:2" x14ac:dyDescent="0.2">
      <c r="A174" s="492">
        <f t="shared" si="0"/>
        <v>42608</v>
      </c>
      <c r="B174" s="491">
        <v>399163.14</v>
      </c>
    </row>
    <row r="175" spans="1:2" x14ac:dyDescent="0.2">
      <c r="A175" s="492">
        <f t="shared" si="0"/>
        <v>42611</v>
      </c>
      <c r="B175" s="491">
        <v>407196.62</v>
      </c>
    </row>
    <row r="176" spans="1:2" x14ac:dyDescent="0.2">
      <c r="A176" s="492">
        <f t="shared" si="0"/>
        <v>42612</v>
      </c>
      <c r="B176" s="491">
        <v>422526.97</v>
      </c>
    </row>
    <row r="177" spans="1:5" x14ac:dyDescent="0.2">
      <c r="A177" s="492">
        <f t="shared" si="0"/>
        <v>42613</v>
      </c>
      <c r="B177" s="491">
        <v>479216.05</v>
      </c>
    </row>
    <row r="178" spans="1:5" x14ac:dyDescent="0.2">
      <c r="A178" s="492">
        <f t="shared" si="0"/>
        <v>42614</v>
      </c>
      <c r="B178" s="491">
        <v>479216</v>
      </c>
    </row>
    <row r="179" spans="1:5" x14ac:dyDescent="0.2">
      <c r="A179" s="492">
        <f t="shared" si="0"/>
        <v>42615</v>
      </c>
      <c r="B179" s="491">
        <v>479216</v>
      </c>
    </row>
    <row r="180" spans="1:5" x14ac:dyDescent="0.2">
      <c r="A180" s="492">
        <f t="shared" si="0"/>
        <v>42618</v>
      </c>
      <c r="B180" s="491">
        <v>479216</v>
      </c>
    </row>
    <row r="181" spans="1:5" x14ac:dyDescent="0.2">
      <c r="A181" s="492">
        <f t="shared" si="0"/>
        <v>42619</v>
      </c>
      <c r="B181" s="491">
        <v>440784.82</v>
      </c>
    </row>
    <row r="182" spans="1:5" x14ac:dyDescent="0.2">
      <c r="A182" s="492">
        <f t="shared" si="0"/>
        <v>42620</v>
      </c>
      <c r="B182" s="491">
        <v>440785</v>
      </c>
      <c r="D182" s="493"/>
      <c r="E182" s="494"/>
    </row>
    <row r="183" spans="1:5" x14ac:dyDescent="0.2">
      <c r="A183" s="492">
        <f t="shared" si="0"/>
        <v>42621</v>
      </c>
      <c r="B183" s="491">
        <v>445373.31</v>
      </c>
    </row>
    <row r="184" spans="1:5" x14ac:dyDescent="0.2">
      <c r="A184" s="492">
        <f t="shared" si="0"/>
        <v>42622</v>
      </c>
      <c r="B184" s="491">
        <v>463896.46</v>
      </c>
      <c r="D184" s="493"/>
      <c r="E184" s="494"/>
    </row>
    <row r="185" spans="1:5" x14ac:dyDescent="0.2">
      <c r="A185" s="492">
        <f t="shared" si="0"/>
        <v>42625</v>
      </c>
      <c r="B185" s="491">
        <v>463296.46</v>
      </c>
      <c r="D185" s="493"/>
      <c r="E185" s="494"/>
    </row>
    <row r="186" spans="1:5" x14ac:dyDescent="0.2">
      <c r="A186" s="492">
        <f t="shared" si="0"/>
        <v>42626</v>
      </c>
      <c r="B186" s="491">
        <v>465024.54</v>
      </c>
      <c r="D186" s="493"/>
      <c r="E186" s="494"/>
    </row>
    <row r="187" spans="1:5" x14ac:dyDescent="0.2">
      <c r="A187" s="492">
        <f t="shared" si="0"/>
        <v>42627</v>
      </c>
      <c r="B187" s="491">
        <v>465025</v>
      </c>
      <c r="D187" s="493"/>
      <c r="E187" s="494"/>
    </row>
    <row r="188" spans="1:5" x14ac:dyDescent="0.2">
      <c r="A188" s="492">
        <f t="shared" si="0"/>
        <v>42628</v>
      </c>
      <c r="B188" s="491">
        <v>447444.34</v>
      </c>
      <c r="D188" s="493"/>
      <c r="E188" s="494"/>
    </row>
    <row r="189" spans="1:5" x14ac:dyDescent="0.2">
      <c r="A189" s="492">
        <f t="shared" si="0"/>
        <v>42629</v>
      </c>
      <c r="B189" s="491">
        <v>451135.42</v>
      </c>
      <c r="D189" s="493"/>
      <c r="E189" s="494"/>
    </row>
    <row r="190" spans="1:5" x14ac:dyDescent="0.2">
      <c r="A190" s="492">
        <f t="shared" si="0"/>
        <v>42632</v>
      </c>
      <c r="B190" s="491">
        <v>413924.51</v>
      </c>
      <c r="D190" s="493"/>
      <c r="E190" s="494"/>
    </row>
    <row r="191" spans="1:5" x14ac:dyDescent="0.2">
      <c r="A191" s="492">
        <f t="shared" si="0"/>
        <v>42633</v>
      </c>
      <c r="B191" s="491">
        <v>395080.96000000002</v>
      </c>
      <c r="D191" s="493"/>
      <c r="E191" s="494"/>
    </row>
    <row r="192" spans="1:5" x14ac:dyDescent="0.2">
      <c r="A192" s="492">
        <f t="shared" si="0"/>
        <v>42634</v>
      </c>
      <c r="B192" s="491">
        <v>393852.1</v>
      </c>
      <c r="D192" s="493"/>
      <c r="E192" s="494"/>
    </row>
    <row r="193" spans="1:5" x14ac:dyDescent="0.2">
      <c r="A193" s="492">
        <f t="shared" si="0"/>
        <v>42635</v>
      </c>
      <c r="B193" s="491">
        <v>397757.18</v>
      </c>
      <c r="D193" s="493"/>
      <c r="E193" s="494"/>
    </row>
    <row r="194" spans="1:5" x14ac:dyDescent="0.2">
      <c r="A194" s="492">
        <f t="shared" si="0"/>
        <v>42636</v>
      </c>
      <c r="B194" s="491">
        <v>397757</v>
      </c>
      <c r="D194" s="493"/>
      <c r="E194" s="494"/>
    </row>
    <row r="195" spans="1:5" x14ac:dyDescent="0.2">
      <c r="A195" s="492">
        <f t="shared" si="0"/>
        <v>42639</v>
      </c>
      <c r="B195" s="491">
        <v>397757</v>
      </c>
      <c r="D195" s="493"/>
      <c r="E195" s="494"/>
    </row>
    <row r="196" spans="1:5" x14ac:dyDescent="0.2">
      <c r="A196" s="492">
        <f t="shared" ref="A196:A259" si="1">A191+7</f>
        <v>42640</v>
      </c>
      <c r="B196" s="491">
        <v>403105.59</v>
      </c>
      <c r="D196" s="493"/>
      <c r="E196" s="494"/>
    </row>
    <row r="197" spans="1:5" x14ac:dyDescent="0.2">
      <c r="A197" s="492">
        <f t="shared" si="1"/>
        <v>42641</v>
      </c>
      <c r="B197" s="491">
        <v>394170.51</v>
      </c>
      <c r="D197" s="493"/>
      <c r="E197" s="494"/>
    </row>
    <row r="198" spans="1:5" x14ac:dyDescent="0.2">
      <c r="A198" s="492">
        <f t="shared" si="1"/>
        <v>42642</v>
      </c>
      <c r="B198" s="491">
        <v>397917.56</v>
      </c>
      <c r="D198" s="493"/>
      <c r="E198" s="494"/>
    </row>
    <row r="199" spans="1:5" x14ac:dyDescent="0.2">
      <c r="A199" s="492">
        <f t="shared" si="1"/>
        <v>42643</v>
      </c>
      <c r="B199" s="491">
        <v>397918</v>
      </c>
      <c r="D199" s="493"/>
      <c r="E199" s="494"/>
    </row>
    <row r="200" spans="1:5" x14ac:dyDescent="0.2">
      <c r="A200" s="492">
        <f t="shared" si="1"/>
        <v>42646</v>
      </c>
      <c r="B200" s="491">
        <v>361701.8</v>
      </c>
      <c r="D200" s="493"/>
      <c r="E200" s="494"/>
    </row>
    <row r="201" spans="1:5" x14ac:dyDescent="0.2">
      <c r="A201" s="492">
        <f t="shared" si="1"/>
        <v>42647</v>
      </c>
      <c r="B201" s="491">
        <v>362031.95</v>
      </c>
      <c r="D201" s="493"/>
      <c r="E201" s="494"/>
    </row>
    <row r="202" spans="1:5" x14ac:dyDescent="0.2">
      <c r="A202" s="492">
        <f t="shared" si="1"/>
        <v>42648</v>
      </c>
      <c r="B202" s="491">
        <v>362032</v>
      </c>
    </row>
    <row r="203" spans="1:5" x14ac:dyDescent="0.2">
      <c r="A203" s="492">
        <f t="shared" si="1"/>
        <v>42649</v>
      </c>
      <c r="B203" s="491">
        <v>360433.13</v>
      </c>
    </row>
    <row r="204" spans="1:5" x14ac:dyDescent="0.2">
      <c r="A204" s="492">
        <f t="shared" si="1"/>
        <v>42650</v>
      </c>
      <c r="B204" s="491">
        <v>361754.66</v>
      </c>
    </row>
    <row r="205" spans="1:5" x14ac:dyDescent="0.2">
      <c r="A205" s="492">
        <f t="shared" si="1"/>
        <v>42653</v>
      </c>
      <c r="B205" s="491">
        <v>361755</v>
      </c>
    </row>
    <row r="206" spans="1:5" x14ac:dyDescent="0.2">
      <c r="A206" s="492">
        <f t="shared" si="1"/>
        <v>42654</v>
      </c>
      <c r="B206" s="491">
        <v>361755</v>
      </c>
    </row>
    <row r="207" spans="1:5" x14ac:dyDescent="0.2">
      <c r="A207" s="492">
        <f t="shared" si="1"/>
        <v>42655</v>
      </c>
      <c r="B207" s="491">
        <v>365429.62</v>
      </c>
    </row>
    <row r="208" spans="1:5" x14ac:dyDescent="0.2">
      <c r="A208" s="492">
        <f t="shared" si="1"/>
        <v>42656</v>
      </c>
      <c r="B208" s="491">
        <v>375400.83</v>
      </c>
    </row>
    <row r="209" spans="1:2" x14ac:dyDescent="0.2">
      <c r="A209" s="492">
        <f t="shared" si="1"/>
        <v>42657</v>
      </c>
      <c r="B209" s="491">
        <v>375484.03</v>
      </c>
    </row>
    <row r="210" spans="1:2" x14ac:dyDescent="0.2">
      <c r="A210" s="492">
        <f t="shared" si="1"/>
        <v>42660</v>
      </c>
      <c r="B210" s="491">
        <v>339702.96</v>
      </c>
    </row>
    <row r="211" spans="1:2" x14ac:dyDescent="0.2">
      <c r="A211" s="492">
        <f t="shared" si="1"/>
        <v>42661</v>
      </c>
      <c r="B211" s="491">
        <v>343741.39</v>
      </c>
    </row>
    <row r="212" spans="1:2" x14ac:dyDescent="0.2">
      <c r="A212" s="492">
        <f t="shared" si="1"/>
        <v>42662</v>
      </c>
      <c r="B212" s="491">
        <v>343741</v>
      </c>
    </row>
    <row r="213" spans="1:2" x14ac:dyDescent="0.2">
      <c r="A213" s="492">
        <f t="shared" si="1"/>
        <v>42663</v>
      </c>
      <c r="B213" s="491">
        <v>332267.31</v>
      </c>
    </row>
    <row r="214" spans="1:2" x14ac:dyDescent="0.2">
      <c r="A214" s="492">
        <f t="shared" si="1"/>
        <v>42664</v>
      </c>
      <c r="B214" s="491">
        <v>332482.06</v>
      </c>
    </row>
    <row r="215" spans="1:2" x14ac:dyDescent="0.2">
      <c r="A215" s="492">
        <f t="shared" si="1"/>
        <v>42667</v>
      </c>
      <c r="B215" s="491">
        <v>332482</v>
      </c>
    </row>
    <row r="216" spans="1:2" x14ac:dyDescent="0.2">
      <c r="A216" s="492">
        <f t="shared" si="1"/>
        <v>42668</v>
      </c>
      <c r="B216" s="491">
        <v>337085.39</v>
      </c>
    </row>
    <row r="217" spans="1:2" x14ac:dyDescent="0.2">
      <c r="A217" s="492">
        <f t="shared" si="1"/>
        <v>42669</v>
      </c>
      <c r="B217" s="491">
        <v>337085</v>
      </c>
    </row>
    <row r="218" spans="1:2" x14ac:dyDescent="0.2">
      <c r="A218" s="492">
        <f t="shared" si="1"/>
        <v>42670</v>
      </c>
      <c r="B218" s="491">
        <v>333113.26</v>
      </c>
    </row>
    <row r="219" spans="1:2" x14ac:dyDescent="0.2">
      <c r="A219" s="492">
        <f t="shared" si="1"/>
        <v>42671</v>
      </c>
      <c r="B219" s="491">
        <v>360993.03</v>
      </c>
    </row>
    <row r="220" spans="1:2" x14ac:dyDescent="0.2">
      <c r="A220" s="492">
        <f t="shared" si="1"/>
        <v>42674</v>
      </c>
      <c r="B220" s="491">
        <v>350567.25</v>
      </c>
    </row>
    <row r="221" spans="1:2" x14ac:dyDescent="0.2">
      <c r="A221" s="492">
        <f t="shared" si="1"/>
        <v>42675</v>
      </c>
      <c r="B221" s="491">
        <v>350939.21</v>
      </c>
    </row>
    <row r="222" spans="1:2" x14ac:dyDescent="0.2">
      <c r="A222" s="492">
        <f t="shared" si="1"/>
        <v>42676</v>
      </c>
      <c r="B222" s="491">
        <v>350939</v>
      </c>
    </row>
    <row r="223" spans="1:2" x14ac:dyDescent="0.2">
      <c r="A223" s="492">
        <f t="shared" si="1"/>
        <v>42677</v>
      </c>
      <c r="B223" s="491">
        <v>344148.64</v>
      </c>
    </row>
    <row r="224" spans="1:2" x14ac:dyDescent="0.2">
      <c r="A224" s="492">
        <f t="shared" si="1"/>
        <v>42678</v>
      </c>
      <c r="B224" s="491">
        <v>399084.27</v>
      </c>
    </row>
    <row r="225" spans="1:2" x14ac:dyDescent="0.2">
      <c r="A225" s="492">
        <f t="shared" si="1"/>
        <v>42681</v>
      </c>
      <c r="B225" s="491">
        <v>399084</v>
      </c>
    </row>
    <row r="226" spans="1:2" x14ac:dyDescent="0.2">
      <c r="A226" s="492">
        <f t="shared" si="1"/>
        <v>42682</v>
      </c>
      <c r="B226" s="491">
        <v>403667.29</v>
      </c>
    </row>
    <row r="227" spans="1:2" x14ac:dyDescent="0.2">
      <c r="A227" s="492">
        <f t="shared" si="1"/>
        <v>42683</v>
      </c>
      <c r="B227" s="491">
        <v>403667</v>
      </c>
    </row>
    <row r="228" spans="1:2" x14ac:dyDescent="0.2">
      <c r="A228" s="492">
        <f t="shared" si="1"/>
        <v>42684</v>
      </c>
      <c r="B228" s="491">
        <v>383477.25</v>
      </c>
    </row>
    <row r="229" spans="1:2" x14ac:dyDescent="0.2">
      <c r="A229" s="492">
        <f t="shared" si="1"/>
        <v>42685</v>
      </c>
      <c r="B229" s="491">
        <v>383477</v>
      </c>
    </row>
    <row r="230" spans="1:2" x14ac:dyDescent="0.2">
      <c r="A230" s="492">
        <f t="shared" si="1"/>
        <v>42688</v>
      </c>
      <c r="B230" s="491">
        <v>347717.6</v>
      </c>
    </row>
    <row r="231" spans="1:2" x14ac:dyDescent="0.2">
      <c r="A231" s="492">
        <f t="shared" si="1"/>
        <v>42689</v>
      </c>
      <c r="B231" s="491">
        <v>347836.75</v>
      </c>
    </row>
    <row r="232" spans="1:2" x14ac:dyDescent="0.2">
      <c r="A232" s="492">
        <f t="shared" si="1"/>
        <v>42690</v>
      </c>
      <c r="B232" s="491">
        <v>347836.75</v>
      </c>
    </row>
    <row r="233" spans="1:2" x14ac:dyDescent="0.2">
      <c r="A233" s="492">
        <f t="shared" si="1"/>
        <v>42691</v>
      </c>
      <c r="B233" s="491">
        <v>350935.56</v>
      </c>
    </row>
    <row r="234" spans="1:2" x14ac:dyDescent="0.2">
      <c r="A234" s="492">
        <f t="shared" si="1"/>
        <v>42692</v>
      </c>
      <c r="B234" s="491">
        <v>350936</v>
      </c>
    </row>
    <row r="235" spans="1:2" x14ac:dyDescent="0.2">
      <c r="A235" s="492">
        <f t="shared" si="1"/>
        <v>42695</v>
      </c>
      <c r="B235" s="491">
        <v>350936</v>
      </c>
    </row>
    <row r="236" spans="1:2" x14ac:dyDescent="0.2">
      <c r="A236" s="492">
        <f t="shared" si="1"/>
        <v>42696</v>
      </c>
      <c r="B236" s="491">
        <v>351588.06</v>
      </c>
    </row>
    <row r="237" spans="1:2" x14ac:dyDescent="0.2">
      <c r="A237" s="492">
        <f t="shared" si="1"/>
        <v>42697</v>
      </c>
      <c r="B237" s="491">
        <v>349477.96</v>
      </c>
    </row>
    <row r="238" spans="1:2" x14ac:dyDescent="0.2">
      <c r="A238" s="492">
        <f t="shared" si="1"/>
        <v>42698</v>
      </c>
      <c r="B238" s="491">
        <v>349478</v>
      </c>
    </row>
    <row r="239" spans="1:2" x14ac:dyDescent="0.2">
      <c r="A239" s="492">
        <f t="shared" si="1"/>
        <v>42699</v>
      </c>
      <c r="B239" s="491">
        <v>368170.66</v>
      </c>
    </row>
    <row r="240" spans="1:2" x14ac:dyDescent="0.2">
      <c r="A240" s="492">
        <f t="shared" si="1"/>
        <v>42702</v>
      </c>
      <c r="B240" s="491">
        <v>368170.66</v>
      </c>
    </row>
    <row r="241" spans="1:2" x14ac:dyDescent="0.2">
      <c r="A241" s="492">
        <f t="shared" si="1"/>
        <v>42703</v>
      </c>
      <c r="B241" s="491">
        <v>328902.64</v>
      </c>
    </row>
    <row r="242" spans="1:2" x14ac:dyDescent="0.2">
      <c r="A242" s="492">
        <f t="shared" si="1"/>
        <v>42704</v>
      </c>
      <c r="B242" s="491">
        <v>338455.85</v>
      </c>
    </row>
    <row r="243" spans="1:2" x14ac:dyDescent="0.2">
      <c r="A243" s="492">
        <f t="shared" si="1"/>
        <v>42705</v>
      </c>
      <c r="B243" s="491">
        <v>336997.18</v>
      </c>
    </row>
    <row r="244" spans="1:2" x14ac:dyDescent="0.2">
      <c r="A244" s="492">
        <f t="shared" si="1"/>
        <v>42706</v>
      </c>
      <c r="B244" s="491">
        <v>342825.59</v>
      </c>
    </row>
    <row r="245" spans="1:2" x14ac:dyDescent="0.2">
      <c r="A245" s="492">
        <f t="shared" si="1"/>
        <v>42709</v>
      </c>
      <c r="B245" s="491">
        <v>342826</v>
      </c>
    </row>
    <row r="246" spans="1:2" x14ac:dyDescent="0.2">
      <c r="A246" s="492">
        <f t="shared" si="1"/>
        <v>42710</v>
      </c>
      <c r="B246" s="491">
        <v>344457.81</v>
      </c>
    </row>
    <row r="247" spans="1:2" x14ac:dyDescent="0.2">
      <c r="A247" s="492">
        <f t="shared" si="1"/>
        <v>42711</v>
      </c>
      <c r="B247" s="491">
        <v>366772.64</v>
      </c>
    </row>
    <row r="248" spans="1:2" x14ac:dyDescent="0.2">
      <c r="A248" s="492">
        <f t="shared" si="1"/>
        <v>42712</v>
      </c>
      <c r="B248" s="491">
        <v>366772.6</v>
      </c>
    </row>
    <row r="249" spans="1:2" x14ac:dyDescent="0.2">
      <c r="A249" s="492">
        <f t="shared" si="1"/>
        <v>42713</v>
      </c>
      <c r="B249" s="491">
        <v>366773</v>
      </c>
    </row>
    <row r="250" spans="1:2" x14ac:dyDescent="0.2">
      <c r="A250" s="492">
        <f t="shared" si="1"/>
        <v>42716</v>
      </c>
      <c r="B250" s="491">
        <v>366773</v>
      </c>
    </row>
    <row r="251" spans="1:2" x14ac:dyDescent="0.2">
      <c r="A251" s="492">
        <f t="shared" si="1"/>
        <v>42717</v>
      </c>
      <c r="B251" s="491">
        <v>346535.44</v>
      </c>
    </row>
    <row r="252" spans="1:2" x14ac:dyDescent="0.2">
      <c r="A252" s="492">
        <f t="shared" si="1"/>
        <v>42718</v>
      </c>
      <c r="B252" s="491">
        <v>346535</v>
      </c>
    </row>
    <row r="253" spans="1:2" x14ac:dyDescent="0.2">
      <c r="A253" s="492">
        <f t="shared" si="1"/>
        <v>42719</v>
      </c>
      <c r="B253" s="491">
        <v>335522.11</v>
      </c>
    </row>
    <row r="254" spans="1:2" x14ac:dyDescent="0.2">
      <c r="A254" s="492">
        <f t="shared" si="1"/>
        <v>42720</v>
      </c>
      <c r="B254" s="491">
        <v>335675.99</v>
      </c>
    </row>
    <row r="255" spans="1:2" x14ac:dyDescent="0.2">
      <c r="A255" s="492">
        <f t="shared" si="1"/>
        <v>42723</v>
      </c>
      <c r="B255" s="491">
        <v>357268.43</v>
      </c>
    </row>
    <row r="256" spans="1:2" x14ac:dyDescent="0.2">
      <c r="A256" s="492">
        <f t="shared" si="1"/>
        <v>42724</v>
      </c>
      <c r="B256" s="491">
        <v>357268</v>
      </c>
    </row>
    <row r="257" spans="1:2" x14ac:dyDescent="0.2">
      <c r="A257" s="492">
        <f t="shared" si="1"/>
        <v>42725</v>
      </c>
      <c r="B257" s="491">
        <v>366192.91</v>
      </c>
    </row>
    <row r="258" spans="1:2" x14ac:dyDescent="0.2">
      <c r="A258" s="492">
        <f t="shared" si="1"/>
        <v>42726</v>
      </c>
      <c r="B258" s="491">
        <v>377001.67</v>
      </c>
    </row>
    <row r="259" spans="1:2" x14ac:dyDescent="0.2">
      <c r="A259" s="492">
        <f t="shared" si="1"/>
        <v>42727</v>
      </c>
      <c r="B259" s="491">
        <v>377329.67</v>
      </c>
    </row>
    <row r="260" spans="1:2" x14ac:dyDescent="0.2">
      <c r="A260" s="492">
        <f t="shared" ref="A260:A264" si="2">A255+7</f>
        <v>42730</v>
      </c>
      <c r="B260" s="491">
        <v>377330</v>
      </c>
    </row>
    <row r="261" spans="1:2" x14ac:dyDescent="0.2">
      <c r="A261" s="492">
        <f t="shared" si="2"/>
        <v>42731</v>
      </c>
      <c r="B261" s="491">
        <v>339782.53</v>
      </c>
    </row>
    <row r="262" spans="1:2" x14ac:dyDescent="0.2">
      <c r="A262" s="492">
        <f t="shared" si="2"/>
        <v>42732</v>
      </c>
      <c r="B262" s="491">
        <v>339783</v>
      </c>
    </row>
    <row r="263" spans="1:2" x14ac:dyDescent="0.2">
      <c r="A263" s="492">
        <f t="shared" si="2"/>
        <v>42733</v>
      </c>
      <c r="B263" s="491">
        <v>337987.77</v>
      </c>
    </row>
    <row r="264" spans="1:2" x14ac:dyDescent="0.2">
      <c r="A264" s="492">
        <f t="shared" si="2"/>
        <v>42734</v>
      </c>
      <c r="B264" s="491">
        <v>354814.33</v>
      </c>
    </row>
    <row r="265" spans="1:2" x14ac:dyDescent="0.2">
      <c r="A265" s="514">
        <v>42737</v>
      </c>
      <c r="B265" s="515">
        <v>354814</v>
      </c>
    </row>
    <row r="266" spans="1:2" x14ac:dyDescent="0.2">
      <c r="A266" s="514">
        <v>42738</v>
      </c>
      <c r="B266" s="515">
        <v>361866.86</v>
      </c>
    </row>
    <row r="267" spans="1:2" x14ac:dyDescent="0.2">
      <c r="A267" s="514">
        <v>42739</v>
      </c>
      <c r="B267" s="515">
        <v>363519.32</v>
      </c>
    </row>
    <row r="268" spans="1:2" x14ac:dyDescent="0.2">
      <c r="A268" s="514">
        <v>42740</v>
      </c>
      <c r="B268" s="515">
        <v>361866.66</v>
      </c>
    </row>
    <row r="269" spans="1:2" x14ac:dyDescent="0.2">
      <c r="A269" s="514">
        <v>42741</v>
      </c>
      <c r="B269" s="515">
        <v>363519</v>
      </c>
    </row>
    <row r="270" spans="1:2" x14ac:dyDescent="0.2">
      <c r="A270" s="514">
        <v>42744</v>
      </c>
      <c r="B270" s="515">
        <v>363543.47</v>
      </c>
    </row>
    <row r="271" spans="1:2" x14ac:dyDescent="0.2">
      <c r="A271" s="514">
        <v>42745</v>
      </c>
      <c r="B271" s="515">
        <v>328707.83</v>
      </c>
    </row>
    <row r="272" spans="1:2" x14ac:dyDescent="0.2">
      <c r="A272" s="514">
        <v>42746</v>
      </c>
      <c r="B272" s="515">
        <v>328708</v>
      </c>
    </row>
    <row r="273" spans="1:2" x14ac:dyDescent="0.2">
      <c r="A273" s="514">
        <v>42747</v>
      </c>
      <c r="B273" s="515">
        <v>321086.01</v>
      </c>
    </row>
    <row r="274" spans="1:2" x14ac:dyDescent="0.2">
      <c r="A274" s="514">
        <v>42748</v>
      </c>
      <c r="B274" s="515">
        <v>334097.28000000003</v>
      </c>
    </row>
    <row r="275" spans="1:2" x14ac:dyDescent="0.2">
      <c r="A275" s="514">
        <v>42751</v>
      </c>
      <c r="B275" s="515">
        <v>334097</v>
      </c>
    </row>
    <row r="276" spans="1:2" x14ac:dyDescent="0.2">
      <c r="A276" s="514">
        <v>42752</v>
      </c>
      <c r="B276" s="515">
        <v>268850.96000000002</v>
      </c>
    </row>
    <row r="277" spans="1:2" x14ac:dyDescent="0.2">
      <c r="A277" s="514">
        <v>42753</v>
      </c>
      <c r="B277" s="515">
        <v>268851</v>
      </c>
    </row>
    <row r="278" spans="1:2" x14ac:dyDescent="0.2">
      <c r="A278" s="514">
        <v>42754</v>
      </c>
      <c r="B278" s="515">
        <v>269075.21000000002</v>
      </c>
    </row>
    <row r="279" spans="1:2" x14ac:dyDescent="0.2">
      <c r="A279" s="514">
        <v>42755</v>
      </c>
      <c r="B279" s="515">
        <v>270983.21000000002</v>
      </c>
    </row>
    <row r="280" spans="1:2" x14ac:dyDescent="0.2">
      <c r="A280" s="514">
        <v>42758</v>
      </c>
      <c r="B280" s="515">
        <v>270983</v>
      </c>
    </row>
    <row r="281" spans="1:2" x14ac:dyDescent="0.2">
      <c r="A281" s="514">
        <v>42759</v>
      </c>
      <c r="B281" s="515">
        <v>270723.98</v>
      </c>
    </row>
    <row r="282" spans="1:2" x14ac:dyDescent="0.2">
      <c r="A282" s="514">
        <v>42760</v>
      </c>
      <c r="B282" s="515">
        <v>281353.09999999998</v>
      </c>
    </row>
    <row r="283" spans="1:2" x14ac:dyDescent="0.2">
      <c r="A283" s="514">
        <v>42761</v>
      </c>
      <c r="B283" s="515">
        <v>274313.84999999998</v>
      </c>
    </row>
    <row r="284" spans="1:2" x14ac:dyDescent="0.2">
      <c r="A284" s="514">
        <v>42762</v>
      </c>
      <c r="B284" s="515">
        <v>296447.59999999998</v>
      </c>
    </row>
    <row r="285" spans="1:2" x14ac:dyDescent="0.2">
      <c r="A285" s="514">
        <v>42765</v>
      </c>
      <c r="B285" s="515">
        <v>295107.96000000002</v>
      </c>
    </row>
    <row r="286" spans="1:2" x14ac:dyDescent="0.2">
      <c r="A286" s="514">
        <v>42766</v>
      </c>
      <c r="B286" s="515">
        <v>314030.53000000003</v>
      </c>
    </row>
    <row r="287" spans="1:2" x14ac:dyDescent="0.2">
      <c r="A287" s="514">
        <v>42767</v>
      </c>
      <c r="B287" s="515">
        <v>314031</v>
      </c>
    </row>
    <row r="288" spans="1:2" x14ac:dyDescent="0.2">
      <c r="A288" s="514">
        <v>42768</v>
      </c>
      <c r="B288" s="515">
        <v>312808.53999999998</v>
      </c>
    </row>
    <row r="289" spans="1:2" x14ac:dyDescent="0.2">
      <c r="A289" s="514">
        <v>42769</v>
      </c>
      <c r="B289" s="515">
        <v>316461.53999999998</v>
      </c>
    </row>
    <row r="290" spans="1:2" x14ac:dyDescent="0.2">
      <c r="A290" s="514">
        <v>42772</v>
      </c>
      <c r="B290" s="515">
        <v>316462</v>
      </c>
    </row>
    <row r="291" spans="1:2" x14ac:dyDescent="0.2">
      <c r="A291" s="514">
        <v>42773</v>
      </c>
      <c r="B291" s="515">
        <v>289560.21999999997</v>
      </c>
    </row>
    <row r="292" spans="1:2" x14ac:dyDescent="0.2">
      <c r="A292" s="514">
        <v>42774</v>
      </c>
      <c r="B292" s="515">
        <v>297310.21999999997</v>
      </c>
    </row>
    <row r="293" spans="1:2" x14ac:dyDescent="0.2">
      <c r="A293" s="514">
        <v>42775</v>
      </c>
      <c r="B293" s="515">
        <v>352433.91</v>
      </c>
    </row>
    <row r="294" spans="1:2" x14ac:dyDescent="0.2">
      <c r="A294" s="514">
        <v>42776</v>
      </c>
      <c r="B294" s="515">
        <v>352434</v>
      </c>
    </row>
    <row r="295" spans="1:2" x14ac:dyDescent="0.2">
      <c r="A295" s="514">
        <v>42779</v>
      </c>
      <c r="B295" s="515">
        <v>352434</v>
      </c>
    </row>
    <row r="296" spans="1:2" x14ac:dyDescent="0.2">
      <c r="A296" s="514">
        <v>42780</v>
      </c>
      <c r="B296" s="515">
        <v>352434</v>
      </c>
    </row>
    <row r="297" spans="1:2" x14ac:dyDescent="0.2">
      <c r="A297" s="514">
        <v>42781</v>
      </c>
      <c r="B297" s="515">
        <v>352542.46</v>
      </c>
    </row>
    <row r="298" spans="1:2" x14ac:dyDescent="0.2">
      <c r="A298" s="514">
        <v>42782</v>
      </c>
      <c r="B298" s="515">
        <v>383231.99</v>
      </c>
    </row>
    <row r="299" spans="1:2" x14ac:dyDescent="0.2">
      <c r="A299" s="514">
        <v>42783</v>
      </c>
      <c r="B299" s="548">
        <v>404679.36</v>
      </c>
    </row>
    <row r="300" spans="1:2" x14ac:dyDescent="0.2">
      <c r="A300" s="514">
        <v>42785</v>
      </c>
      <c r="B300" s="515">
        <v>404679</v>
      </c>
    </row>
    <row r="301" spans="1:2" x14ac:dyDescent="0.2">
      <c r="A301" s="514">
        <v>42787</v>
      </c>
      <c r="B301" s="515">
        <v>368703.72</v>
      </c>
    </row>
    <row r="302" spans="1:2" x14ac:dyDescent="0.2">
      <c r="A302" s="514">
        <v>42788</v>
      </c>
      <c r="B302" s="515">
        <v>368203.72</v>
      </c>
    </row>
    <row r="303" spans="1:2" x14ac:dyDescent="0.2">
      <c r="A303" s="514">
        <v>42789</v>
      </c>
      <c r="B303" s="515">
        <v>349211.92</v>
      </c>
    </row>
    <row r="304" spans="1:2" x14ac:dyDescent="0.2">
      <c r="A304" s="514">
        <v>42790</v>
      </c>
      <c r="B304" s="515">
        <v>384176.45</v>
      </c>
    </row>
    <row r="305" spans="1:2" x14ac:dyDescent="0.2">
      <c r="A305" s="514">
        <v>42793</v>
      </c>
      <c r="B305" s="515">
        <v>384176</v>
      </c>
    </row>
    <row r="306" spans="1:2" x14ac:dyDescent="0.2">
      <c r="A306" s="514">
        <v>42794</v>
      </c>
      <c r="B306" s="515">
        <v>384176</v>
      </c>
    </row>
    <row r="307" spans="1:2" x14ac:dyDescent="0.2">
      <c r="A307" s="514">
        <v>42795</v>
      </c>
      <c r="B307" s="515">
        <v>384176</v>
      </c>
    </row>
    <row r="308" spans="1:2" x14ac:dyDescent="0.2">
      <c r="A308" s="514">
        <v>42796</v>
      </c>
      <c r="B308" s="515">
        <v>395396.43</v>
      </c>
    </row>
    <row r="309" spans="1:2" x14ac:dyDescent="0.2">
      <c r="A309" s="514">
        <v>42797</v>
      </c>
      <c r="B309" s="515">
        <v>395396</v>
      </c>
    </row>
    <row r="310" spans="1:2" x14ac:dyDescent="0.2">
      <c r="A310" s="514">
        <v>42800</v>
      </c>
      <c r="B310" s="515">
        <v>395396</v>
      </c>
    </row>
    <row r="311" spans="1:2" x14ac:dyDescent="0.2">
      <c r="A311" s="514">
        <v>42801</v>
      </c>
      <c r="B311" s="515">
        <v>361856.47</v>
      </c>
    </row>
    <row r="312" spans="1:2" x14ac:dyDescent="0.2">
      <c r="A312" s="514">
        <v>42802</v>
      </c>
      <c r="B312" s="515">
        <v>361856</v>
      </c>
    </row>
    <row r="313" spans="1:2" x14ac:dyDescent="0.2">
      <c r="A313" s="514">
        <v>42803</v>
      </c>
      <c r="B313" s="515">
        <v>349877.16</v>
      </c>
    </row>
    <row r="314" spans="1:2" x14ac:dyDescent="0.2">
      <c r="A314" s="514">
        <v>42804</v>
      </c>
      <c r="B314" s="515">
        <v>359297.81</v>
      </c>
    </row>
    <row r="315" spans="1:2" x14ac:dyDescent="0.2">
      <c r="A315" s="514">
        <v>42807</v>
      </c>
      <c r="B315" s="515">
        <v>361678.91</v>
      </c>
    </row>
    <row r="316" spans="1:2" x14ac:dyDescent="0.2">
      <c r="A316" s="514">
        <v>42808</v>
      </c>
      <c r="B316" s="515">
        <v>361679</v>
      </c>
    </row>
    <row r="317" spans="1:2" x14ac:dyDescent="0.2">
      <c r="A317" s="514">
        <v>42809</v>
      </c>
      <c r="B317" s="515">
        <v>370843.37</v>
      </c>
    </row>
    <row r="318" spans="1:2" x14ac:dyDescent="0.2">
      <c r="A318" s="514">
        <v>42810</v>
      </c>
      <c r="B318" s="515">
        <v>377566.07</v>
      </c>
    </row>
    <row r="319" spans="1:2" x14ac:dyDescent="0.2">
      <c r="A319" s="514">
        <v>42811</v>
      </c>
      <c r="B319" s="515">
        <v>370373.97</v>
      </c>
    </row>
    <row r="320" spans="1:2" x14ac:dyDescent="0.2">
      <c r="A320" s="514">
        <v>42814</v>
      </c>
      <c r="B320" s="515">
        <v>338340.3</v>
      </c>
    </row>
    <row r="321" spans="1:2" x14ac:dyDescent="0.2">
      <c r="A321" s="514">
        <v>42815</v>
      </c>
      <c r="B321" s="515">
        <v>338340</v>
      </c>
    </row>
    <row r="322" spans="1:2" x14ac:dyDescent="0.2">
      <c r="A322" s="514">
        <v>42816</v>
      </c>
      <c r="B322" s="515">
        <v>338340</v>
      </c>
    </row>
    <row r="323" spans="1:2" x14ac:dyDescent="0.2">
      <c r="A323" s="514">
        <v>42817</v>
      </c>
      <c r="B323" s="515">
        <f>25944.71+322493.66</f>
        <v>348438.37</v>
      </c>
    </row>
    <row r="324" spans="1:2" x14ac:dyDescent="0.2">
      <c r="A324" s="514">
        <v>42818</v>
      </c>
      <c r="B324" s="515">
        <v>348438</v>
      </c>
    </row>
    <row r="325" spans="1:2" x14ac:dyDescent="0.2">
      <c r="A325" s="514">
        <v>42821</v>
      </c>
      <c r="B325" s="515">
        <v>348360.51</v>
      </c>
    </row>
    <row r="326" spans="1:2" x14ac:dyDescent="0.2">
      <c r="A326" s="514">
        <v>42822</v>
      </c>
      <c r="B326" s="491">
        <v>348440.48</v>
      </c>
    </row>
    <row r="327" spans="1:2" x14ac:dyDescent="0.2">
      <c r="A327" s="514">
        <v>42823</v>
      </c>
      <c r="B327" s="491">
        <v>348440</v>
      </c>
    </row>
    <row r="328" spans="1:2" x14ac:dyDescent="0.2">
      <c r="A328" s="514">
        <v>42824</v>
      </c>
      <c r="B328" s="491">
        <v>350305.92</v>
      </c>
    </row>
    <row r="329" spans="1:2" x14ac:dyDescent="0.2">
      <c r="A329" s="514">
        <v>42825</v>
      </c>
      <c r="B329" s="491">
        <v>350306</v>
      </c>
    </row>
    <row r="330" spans="1:2" x14ac:dyDescent="0.2">
      <c r="A330" s="514">
        <v>42828</v>
      </c>
      <c r="B330" s="491">
        <v>350306</v>
      </c>
    </row>
    <row r="331" spans="1:2" x14ac:dyDescent="0.2">
      <c r="A331" s="514">
        <v>42829</v>
      </c>
      <c r="B331" s="491">
        <v>320389.65000000002</v>
      </c>
    </row>
    <row r="332" spans="1:2" x14ac:dyDescent="0.2">
      <c r="A332" s="514">
        <v>42830</v>
      </c>
      <c r="B332" s="491">
        <v>320390</v>
      </c>
    </row>
    <row r="333" spans="1:2" x14ac:dyDescent="0.2">
      <c r="A333" s="514">
        <v>42831</v>
      </c>
      <c r="B333" s="491">
        <v>313344</v>
      </c>
    </row>
    <row r="334" spans="1:2" x14ac:dyDescent="0.2">
      <c r="A334" s="514">
        <v>42832</v>
      </c>
      <c r="B334" s="491">
        <v>313344</v>
      </c>
    </row>
    <row r="335" spans="1:2" x14ac:dyDescent="0.2">
      <c r="A335" s="514">
        <v>42835</v>
      </c>
      <c r="B335" s="491">
        <v>306132.78000000003</v>
      </c>
    </row>
    <row r="336" spans="1:2" x14ac:dyDescent="0.2">
      <c r="A336" s="514">
        <v>42836</v>
      </c>
      <c r="B336" s="491">
        <v>286047.34999999998</v>
      </c>
    </row>
    <row r="337" spans="1:2" x14ac:dyDescent="0.2">
      <c r="A337" s="514">
        <v>42837</v>
      </c>
      <c r="B337" s="491">
        <v>286047</v>
      </c>
    </row>
    <row r="338" spans="1:2" x14ac:dyDescent="0.2">
      <c r="A338" s="514">
        <v>42838</v>
      </c>
      <c r="B338" s="491">
        <v>272128.99</v>
      </c>
    </row>
    <row r="339" spans="1:2" x14ac:dyDescent="0.2">
      <c r="A339" s="514">
        <v>42839</v>
      </c>
      <c r="B339" s="491">
        <v>272229.71000000002</v>
      </c>
    </row>
    <row r="340" spans="1:2" x14ac:dyDescent="0.2">
      <c r="A340" s="514">
        <v>42842</v>
      </c>
      <c r="B340" s="491">
        <v>236683.56</v>
      </c>
    </row>
    <row r="341" spans="1:2" x14ac:dyDescent="0.2">
      <c r="A341" s="514">
        <v>42843</v>
      </c>
      <c r="B341" s="491">
        <v>244114.64</v>
      </c>
    </row>
    <row r="342" spans="1:2" x14ac:dyDescent="0.2">
      <c r="A342" s="514">
        <v>42844</v>
      </c>
      <c r="B342" s="491">
        <v>244115</v>
      </c>
    </row>
    <row r="343" spans="1:2" x14ac:dyDescent="0.2">
      <c r="A343" s="514">
        <v>42845</v>
      </c>
      <c r="B343" s="491">
        <v>241798.76</v>
      </c>
    </row>
    <row r="344" spans="1:2" x14ac:dyDescent="0.2">
      <c r="A344" s="514">
        <v>42846</v>
      </c>
      <c r="B344" s="491">
        <v>241799</v>
      </c>
    </row>
    <row r="345" spans="1:2" x14ac:dyDescent="0.2">
      <c r="A345" s="514">
        <v>42849</v>
      </c>
      <c r="B345" s="491">
        <v>241973.76000000001</v>
      </c>
    </row>
    <row r="346" spans="1:2" x14ac:dyDescent="0.2">
      <c r="A346" s="514">
        <v>42850</v>
      </c>
      <c r="B346" s="491">
        <v>243364.2</v>
      </c>
    </row>
    <row r="347" spans="1:2" x14ac:dyDescent="0.2">
      <c r="A347" s="514">
        <v>42851</v>
      </c>
      <c r="B347" s="491">
        <v>243364</v>
      </c>
    </row>
    <row r="348" spans="1:2" x14ac:dyDescent="0.2">
      <c r="A348" s="514">
        <v>42852</v>
      </c>
      <c r="B348" s="491">
        <v>259265.45</v>
      </c>
    </row>
    <row r="349" spans="1:2" x14ac:dyDescent="0.2">
      <c r="A349" s="514">
        <v>42853</v>
      </c>
      <c r="B349" s="491">
        <v>290731.18</v>
      </c>
    </row>
    <row r="350" spans="1:2" x14ac:dyDescent="0.2">
      <c r="A350" s="514">
        <v>42856</v>
      </c>
      <c r="B350" s="491">
        <v>251486.17</v>
      </c>
    </row>
    <row r="351" spans="1:2" x14ac:dyDescent="0.2">
      <c r="A351" s="514">
        <v>42857</v>
      </c>
      <c r="B351" s="491">
        <v>253188.17</v>
      </c>
    </row>
    <row r="352" spans="1:2" x14ac:dyDescent="0.2">
      <c r="A352" s="514">
        <v>42858</v>
      </c>
      <c r="B352" s="491">
        <v>253188</v>
      </c>
    </row>
    <row r="353" spans="1:2" x14ac:dyDescent="0.2">
      <c r="A353" s="514">
        <v>42859</v>
      </c>
      <c r="B353" s="491">
        <v>232739.33</v>
      </c>
    </row>
    <row r="354" spans="1:2" x14ac:dyDescent="0.2">
      <c r="A354" s="514">
        <v>42860</v>
      </c>
      <c r="B354" s="491">
        <v>234049.33</v>
      </c>
    </row>
    <row r="355" spans="1:2" x14ac:dyDescent="0.2">
      <c r="A355" s="514">
        <v>42863</v>
      </c>
      <c r="B355" s="491">
        <v>314317.77</v>
      </c>
    </row>
    <row r="356" spans="1:2" x14ac:dyDescent="0.2">
      <c r="A356" s="514">
        <v>42864</v>
      </c>
      <c r="B356" s="491">
        <v>314318</v>
      </c>
    </row>
    <row r="357" spans="1:2" x14ac:dyDescent="0.2">
      <c r="A357" s="514">
        <v>42865</v>
      </c>
      <c r="B357" s="491">
        <v>314318</v>
      </c>
    </row>
    <row r="358" spans="1:2" x14ac:dyDescent="0.2">
      <c r="A358" s="514">
        <v>42866</v>
      </c>
      <c r="B358" s="491">
        <v>313971.28000000003</v>
      </c>
    </row>
    <row r="359" spans="1:2" x14ac:dyDescent="0.2">
      <c r="A359" s="514">
        <v>42867</v>
      </c>
      <c r="B359" s="491">
        <v>313971</v>
      </c>
    </row>
    <row r="360" spans="1:2" x14ac:dyDescent="0.2">
      <c r="A360" s="514">
        <v>42870</v>
      </c>
      <c r="B360" s="491">
        <v>271063.69</v>
      </c>
    </row>
    <row r="361" spans="1:2" x14ac:dyDescent="0.2">
      <c r="A361" s="514">
        <v>42871</v>
      </c>
      <c r="B361" s="491">
        <v>271064</v>
      </c>
    </row>
    <row r="362" spans="1:2" x14ac:dyDescent="0.2">
      <c r="A362" s="514">
        <v>42872</v>
      </c>
      <c r="B362" s="491">
        <v>271064</v>
      </c>
    </row>
    <row r="363" spans="1:2" x14ac:dyDescent="0.2">
      <c r="A363" s="514">
        <v>42873</v>
      </c>
      <c r="B363" s="491">
        <v>261497.73</v>
      </c>
    </row>
    <row r="364" spans="1:2" x14ac:dyDescent="0.2">
      <c r="A364" s="514">
        <v>42874</v>
      </c>
      <c r="B364" s="491">
        <v>311507.92</v>
      </c>
    </row>
    <row r="365" spans="1:2" x14ac:dyDescent="0.2">
      <c r="A365" s="514">
        <v>42877</v>
      </c>
      <c r="B365" s="491">
        <v>290080.52</v>
      </c>
    </row>
    <row r="366" spans="1:2" x14ac:dyDescent="0.2">
      <c r="A366" s="514">
        <v>42878</v>
      </c>
      <c r="B366" s="491">
        <v>290081</v>
      </c>
    </row>
    <row r="367" spans="1:2" x14ac:dyDescent="0.2">
      <c r="A367" s="514">
        <v>42879</v>
      </c>
      <c r="B367" s="491">
        <v>327080.46000000002</v>
      </c>
    </row>
    <row r="368" spans="1:2" x14ac:dyDescent="0.2">
      <c r="A368" s="514">
        <v>42880</v>
      </c>
      <c r="B368" s="491">
        <v>327080</v>
      </c>
    </row>
    <row r="369" spans="1:2" x14ac:dyDescent="0.2">
      <c r="A369" s="514">
        <v>42881</v>
      </c>
      <c r="B369" s="491">
        <v>336844.12</v>
      </c>
    </row>
    <row r="370" spans="1:2" x14ac:dyDescent="0.2">
      <c r="A370" s="514">
        <v>42884</v>
      </c>
      <c r="B370" s="491">
        <v>336844</v>
      </c>
    </row>
    <row r="371" spans="1:2" x14ac:dyDescent="0.2">
      <c r="A371" s="514">
        <v>42885</v>
      </c>
      <c r="B371" s="491">
        <v>300553.48</v>
      </c>
    </row>
    <row r="372" spans="1:2" x14ac:dyDescent="0.2">
      <c r="A372" s="514">
        <v>42886</v>
      </c>
      <c r="B372" s="491">
        <v>296887.5</v>
      </c>
    </row>
    <row r="373" spans="1:2" x14ac:dyDescent="0.2">
      <c r="A373" s="514">
        <v>42887</v>
      </c>
      <c r="B373" s="491">
        <v>297355.68</v>
      </c>
    </row>
    <row r="374" spans="1:2" x14ac:dyDescent="0.2">
      <c r="A374" s="514">
        <v>42888</v>
      </c>
      <c r="B374" s="491">
        <v>298760.68</v>
      </c>
    </row>
    <row r="375" spans="1:2" x14ac:dyDescent="0.2">
      <c r="A375" s="514">
        <v>42891</v>
      </c>
      <c r="B375" s="491">
        <v>279006.82</v>
      </c>
    </row>
    <row r="376" spans="1:2" x14ac:dyDescent="0.2">
      <c r="A376" s="514">
        <v>42892</v>
      </c>
      <c r="B376" s="491">
        <v>279007</v>
      </c>
    </row>
    <row r="377" spans="1:2" x14ac:dyDescent="0.2">
      <c r="A377" s="514">
        <v>42893</v>
      </c>
      <c r="B377" s="491">
        <v>279007</v>
      </c>
    </row>
    <row r="378" spans="1:2" x14ac:dyDescent="0.2">
      <c r="A378" s="514">
        <v>42894</v>
      </c>
      <c r="B378" s="491">
        <v>279112.07</v>
      </c>
    </row>
    <row r="379" spans="1:2" x14ac:dyDescent="0.2">
      <c r="A379" s="514">
        <v>42895</v>
      </c>
      <c r="B379" s="491">
        <v>279112</v>
      </c>
    </row>
    <row r="380" spans="1:2" x14ac:dyDescent="0.2">
      <c r="A380" s="514">
        <v>42898</v>
      </c>
      <c r="B380" s="491">
        <v>244072.02</v>
      </c>
    </row>
    <row r="381" spans="1:2" x14ac:dyDescent="0.2">
      <c r="A381" s="514">
        <v>42899</v>
      </c>
      <c r="B381" s="491">
        <v>249325.41</v>
      </c>
    </row>
    <row r="382" spans="1:2" x14ac:dyDescent="0.2">
      <c r="A382" s="514">
        <v>42900</v>
      </c>
      <c r="B382" s="491">
        <v>249325</v>
      </c>
    </row>
    <row r="383" spans="1:2" x14ac:dyDescent="0.2">
      <c r="A383" s="514">
        <v>42901</v>
      </c>
      <c r="B383" s="491">
        <v>252874.48</v>
      </c>
    </row>
    <row r="384" spans="1:2" x14ac:dyDescent="0.2">
      <c r="A384" s="514">
        <v>42902</v>
      </c>
      <c r="B384" s="491">
        <v>253128.65</v>
      </c>
    </row>
    <row r="385" spans="1:2" x14ac:dyDescent="0.2">
      <c r="A385" s="514">
        <v>42905</v>
      </c>
      <c r="B385" s="491">
        <v>255098.96</v>
      </c>
    </row>
    <row r="386" spans="1:2" x14ac:dyDescent="0.2">
      <c r="A386" s="514">
        <v>42906</v>
      </c>
      <c r="B386" s="491">
        <v>253521.42</v>
      </c>
    </row>
    <row r="387" spans="1:2" x14ac:dyDescent="0.2">
      <c r="A387" s="514">
        <v>42907</v>
      </c>
      <c r="B387" s="491">
        <v>253521</v>
      </c>
    </row>
    <row r="388" spans="1:2" x14ac:dyDescent="0.2">
      <c r="A388" s="514">
        <v>42908</v>
      </c>
      <c r="B388" s="491">
        <v>235912.36</v>
      </c>
    </row>
    <row r="389" spans="1:2" x14ac:dyDescent="0.2">
      <c r="A389" s="514">
        <v>42909</v>
      </c>
      <c r="B389" s="491">
        <v>235912</v>
      </c>
    </row>
    <row r="390" spans="1:2" x14ac:dyDescent="0.2">
      <c r="A390" s="514">
        <v>42912</v>
      </c>
      <c r="B390" s="549">
        <v>198879.76</v>
      </c>
    </row>
    <row r="391" spans="1:2" x14ac:dyDescent="0.2">
      <c r="A391" s="514">
        <v>42913</v>
      </c>
      <c r="B391" s="491">
        <v>199009.76</v>
      </c>
    </row>
    <row r="392" spans="1:2" x14ac:dyDescent="0.2">
      <c r="A392" s="514">
        <v>42914</v>
      </c>
      <c r="B392" s="491">
        <v>199010</v>
      </c>
    </row>
    <row r="393" spans="1:2" x14ac:dyDescent="0.2">
      <c r="A393" s="514">
        <v>42915</v>
      </c>
      <c r="B393" s="491">
        <v>210354</v>
      </c>
    </row>
    <row r="394" spans="1:2" x14ac:dyDescent="0.2">
      <c r="A394" s="514">
        <v>42916</v>
      </c>
      <c r="B394" s="491">
        <v>260779.62</v>
      </c>
    </row>
    <row r="395" spans="1:2" x14ac:dyDescent="0.2">
      <c r="A395" s="514">
        <v>42919</v>
      </c>
      <c r="B395" s="491">
        <v>260780</v>
      </c>
    </row>
    <row r="396" spans="1:2" x14ac:dyDescent="0.2">
      <c r="A396" s="514">
        <v>42920</v>
      </c>
      <c r="B396" s="491">
        <v>260780</v>
      </c>
    </row>
    <row r="397" spans="1:2" x14ac:dyDescent="0.2">
      <c r="A397" s="514">
        <v>42921</v>
      </c>
      <c r="B397" s="491">
        <v>260780</v>
      </c>
    </row>
    <row r="398" spans="1:2" x14ac:dyDescent="0.2">
      <c r="A398" s="514">
        <v>42922</v>
      </c>
      <c r="B398" s="491">
        <v>261774.11</v>
      </c>
    </row>
    <row r="399" spans="1:2" x14ac:dyDescent="0.2">
      <c r="A399" s="514">
        <v>42923</v>
      </c>
      <c r="B399" s="491">
        <v>261774</v>
      </c>
    </row>
    <row r="400" spans="1:2" x14ac:dyDescent="0.2">
      <c r="A400" s="514">
        <v>42926</v>
      </c>
      <c r="B400" s="491">
        <v>226950.89</v>
      </c>
    </row>
    <row r="401" spans="1:2" x14ac:dyDescent="0.2">
      <c r="A401" s="514">
        <v>42927</v>
      </c>
      <c r="B401" s="491">
        <v>226951</v>
      </c>
    </row>
    <row r="402" spans="1:2" x14ac:dyDescent="0.2">
      <c r="A402" s="514">
        <v>42928</v>
      </c>
      <c r="B402" s="491">
        <v>248711.94</v>
      </c>
    </row>
    <row r="403" spans="1:2" x14ac:dyDescent="0.2">
      <c r="A403" s="514">
        <v>42929</v>
      </c>
      <c r="B403" s="491">
        <v>256201.58</v>
      </c>
    </row>
    <row r="404" spans="1:2" x14ac:dyDescent="0.2">
      <c r="A404" s="514">
        <v>42930</v>
      </c>
      <c r="B404" s="491">
        <v>256272.97</v>
      </c>
    </row>
    <row r="405" spans="1:2" x14ac:dyDescent="0.2">
      <c r="A405" s="514">
        <v>42933</v>
      </c>
      <c r="B405" s="491">
        <v>256056.42</v>
      </c>
    </row>
    <row r="406" spans="1:2" x14ac:dyDescent="0.2">
      <c r="A406" s="514">
        <v>42934</v>
      </c>
      <c r="B406" s="491">
        <v>257213.96</v>
      </c>
    </row>
    <row r="407" spans="1:2" x14ac:dyDescent="0.2">
      <c r="A407" s="514">
        <v>42935</v>
      </c>
      <c r="B407" s="491">
        <v>257214</v>
      </c>
    </row>
    <row r="408" spans="1:2" x14ac:dyDescent="0.2">
      <c r="A408" s="514">
        <v>42936</v>
      </c>
      <c r="B408" s="491">
        <v>260075.5</v>
      </c>
    </row>
    <row r="409" spans="1:2" x14ac:dyDescent="0.2">
      <c r="A409" s="514">
        <v>42937</v>
      </c>
      <c r="B409" s="491">
        <v>339825.5</v>
      </c>
    </row>
    <row r="410" spans="1:2" x14ac:dyDescent="0.2">
      <c r="A410" s="514">
        <v>42940</v>
      </c>
      <c r="B410" s="491">
        <v>303182.65000000002</v>
      </c>
    </row>
    <row r="411" spans="1:2" x14ac:dyDescent="0.2">
      <c r="A411" s="514">
        <v>42941</v>
      </c>
      <c r="B411" s="491">
        <v>322340.12</v>
      </c>
    </row>
    <row r="412" spans="1:2" x14ac:dyDescent="0.2">
      <c r="A412" s="514">
        <v>42942</v>
      </c>
      <c r="B412" s="491">
        <v>322340</v>
      </c>
    </row>
    <row r="413" spans="1:2" x14ac:dyDescent="0.2">
      <c r="A413" s="514">
        <v>42943</v>
      </c>
      <c r="B413" s="491">
        <v>308772.78999999998</v>
      </c>
    </row>
    <row r="414" spans="1:2" x14ac:dyDescent="0.2">
      <c r="A414" s="514">
        <v>42944</v>
      </c>
      <c r="B414" s="491">
        <v>317343.40999999997</v>
      </c>
    </row>
    <row r="415" spans="1:2" x14ac:dyDescent="0.2">
      <c r="A415" s="514">
        <v>42947</v>
      </c>
      <c r="B415" s="491">
        <v>317343</v>
      </c>
    </row>
    <row r="416" spans="1:2" x14ac:dyDescent="0.2">
      <c r="A416" s="514">
        <v>42948</v>
      </c>
      <c r="B416" s="491">
        <v>369152.35</v>
      </c>
    </row>
    <row r="417" spans="1:2" x14ac:dyDescent="0.2">
      <c r="A417" s="514">
        <v>42949</v>
      </c>
      <c r="B417" s="491">
        <v>371061.94</v>
      </c>
    </row>
    <row r="418" spans="1:2" x14ac:dyDescent="0.2">
      <c r="A418" s="514">
        <v>42950</v>
      </c>
      <c r="B418" s="491">
        <v>372080.87</v>
      </c>
    </row>
    <row r="419" spans="1:2" x14ac:dyDescent="0.2">
      <c r="A419" s="514">
        <v>42951</v>
      </c>
      <c r="B419" s="491">
        <v>372080.87</v>
      </c>
    </row>
    <row r="420" spans="1:2" x14ac:dyDescent="0.2">
      <c r="A420" s="514">
        <v>42954</v>
      </c>
      <c r="B420" s="491">
        <v>336189.47</v>
      </c>
    </row>
    <row r="421" spans="1:2" x14ac:dyDescent="0.2">
      <c r="A421" s="514">
        <v>42955</v>
      </c>
      <c r="B421" s="491">
        <v>340998.07</v>
      </c>
    </row>
    <row r="422" spans="1:2" x14ac:dyDescent="0.2">
      <c r="A422" s="514">
        <v>42956</v>
      </c>
      <c r="B422" s="491">
        <v>332763.65000000002</v>
      </c>
    </row>
    <row r="423" spans="1:2" x14ac:dyDescent="0.2">
      <c r="A423" s="514">
        <v>42957</v>
      </c>
      <c r="B423" s="491">
        <v>375651.45</v>
      </c>
    </row>
    <row r="424" spans="1:2" x14ac:dyDescent="0.2">
      <c r="A424" s="514">
        <v>42958</v>
      </c>
      <c r="B424" s="491">
        <v>378293.21</v>
      </c>
    </row>
    <row r="425" spans="1:2" x14ac:dyDescent="0.2">
      <c r="A425" s="514">
        <v>42961</v>
      </c>
      <c r="B425" s="491">
        <v>378293</v>
      </c>
    </row>
    <row r="426" spans="1:2" x14ac:dyDescent="0.2">
      <c r="A426" s="514">
        <v>42962</v>
      </c>
      <c r="B426" s="491">
        <v>401190.06</v>
      </c>
    </row>
    <row r="427" spans="1:2" x14ac:dyDescent="0.2">
      <c r="A427" s="514">
        <v>42963</v>
      </c>
      <c r="B427" s="491">
        <v>401190</v>
      </c>
    </row>
    <row r="428" spans="1:2" x14ac:dyDescent="0.2">
      <c r="A428" s="514">
        <v>42964</v>
      </c>
      <c r="B428" s="491">
        <v>401569.72</v>
      </c>
    </row>
    <row r="429" spans="1:2" x14ac:dyDescent="0.2">
      <c r="A429" s="514">
        <v>42965</v>
      </c>
      <c r="B429" s="491">
        <v>403837.72</v>
      </c>
    </row>
    <row r="430" spans="1:2" x14ac:dyDescent="0.2">
      <c r="A430" s="514">
        <v>42968</v>
      </c>
      <c r="B430" s="491">
        <v>369495.17</v>
      </c>
    </row>
    <row r="431" spans="1:2" x14ac:dyDescent="0.2">
      <c r="A431" s="514">
        <v>42969</v>
      </c>
      <c r="B431" s="491">
        <v>379169.06</v>
      </c>
    </row>
    <row r="432" spans="1:2" x14ac:dyDescent="0.2">
      <c r="A432" s="514">
        <v>42970</v>
      </c>
      <c r="B432" s="491">
        <v>379169</v>
      </c>
    </row>
    <row r="433" spans="1:2" x14ac:dyDescent="0.2">
      <c r="A433" s="514">
        <v>42971</v>
      </c>
      <c r="B433" s="491">
        <v>372540.41</v>
      </c>
    </row>
    <row r="434" spans="1:2" x14ac:dyDescent="0.2">
      <c r="A434" s="514">
        <v>42972</v>
      </c>
      <c r="B434" s="491">
        <v>372540</v>
      </c>
    </row>
    <row r="435" spans="1:2" x14ac:dyDescent="0.2">
      <c r="A435" s="514">
        <v>42975</v>
      </c>
      <c r="B435" s="491">
        <v>372540</v>
      </c>
    </row>
    <row r="436" spans="1:2" x14ac:dyDescent="0.2">
      <c r="A436" s="514">
        <v>42976</v>
      </c>
      <c r="B436" s="491">
        <v>374625.25</v>
      </c>
    </row>
    <row r="437" spans="1:2" x14ac:dyDescent="0.2">
      <c r="A437" s="514">
        <v>42977</v>
      </c>
      <c r="B437" s="491">
        <v>382658.46</v>
      </c>
    </row>
    <row r="438" spans="1:2" x14ac:dyDescent="0.2">
      <c r="A438" s="514">
        <v>42978</v>
      </c>
      <c r="B438" s="491">
        <v>389160.26</v>
      </c>
    </row>
    <row r="439" spans="1:2" x14ac:dyDescent="0.2">
      <c r="A439" s="514">
        <v>42979</v>
      </c>
      <c r="B439" s="491">
        <v>389160</v>
      </c>
    </row>
    <row r="440" spans="1:2" x14ac:dyDescent="0.2">
      <c r="A440" s="514">
        <v>42982</v>
      </c>
      <c r="B440" s="491">
        <v>389160</v>
      </c>
    </row>
    <row r="441" spans="1:2" x14ac:dyDescent="0.2">
      <c r="A441" s="514">
        <v>42983</v>
      </c>
      <c r="B441" s="491">
        <v>352908.42</v>
      </c>
    </row>
    <row r="442" spans="1:2" x14ac:dyDescent="0.2">
      <c r="A442" s="514">
        <v>42984</v>
      </c>
      <c r="B442" s="491">
        <v>383959.41</v>
      </c>
    </row>
    <row r="443" spans="1:2" x14ac:dyDescent="0.2">
      <c r="A443" s="514">
        <v>42985</v>
      </c>
      <c r="B443" s="491">
        <v>403148.81</v>
      </c>
    </row>
    <row r="444" spans="1:2" x14ac:dyDescent="0.2">
      <c r="A444" s="514">
        <v>42986</v>
      </c>
      <c r="B444" s="491">
        <v>403344.11</v>
      </c>
    </row>
    <row r="445" spans="1:2" x14ac:dyDescent="0.2">
      <c r="A445" s="514">
        <v>42989</v>
      </c>
      <c r="B445" s="491">
        <v>403344</v>
      </c>
    </row>
    <row r="446" spans="1:2" x14ac:dyDescent="0.2">
      <c r="A446" s="514">
        <v>42990</v>
      </c>
      <c r="B446" s="491">
        <v>403344</v>
      </c>
    </row>
    <row r="447" spans="1:2" x14ac:dyDescent="0.2">
      <c r="A447" s="514">
        <v>42991</v>
      </c>
      <c r="B447" s="491">
        <v>403344</v>
      </c>
    </row>
    <row r="448" spans="1:2" x14ac:dyDescent="0.2">
      <c r="A448" s="514">
        <v>42992</v>
      </c>
      <c r="B448" s="491">
        <v>400016.8</v>
      </c>
    </row>
    <row r="449" spans="1:2" x14ac:dyDescent="0.2">
      <c r="A449" s="514">
        <v>42993</v>
      </c>
      <c r="B449" s="491">
        <v>400134.96</v>
      </c>
    </row>
    <row r="450" spans="1:2" x14ac:dyDescent="0.2">
      <c r="A450" s="514">
        <v>42996</v>
      </c>
      <c r="B450" s="491">
        <v>364805.11</v>
      </c>
    </row>
    <row r="451" spans="1:2" x14ac:dyDescent="0.2">
      <c r="A451" s="514">
        <v>42997</v>
      </c>
      <c r="B451" s="491">
        <v>364805</v>
      </c>
    </row>
    <row r="452" spans="1:2" x14ac:dyDescent="0.2">
      <c r="A452" s="514">
        <v>42998</v>
      </c>
      <c r="B452" s="491">
        <v>371804.33</v>
      </c>
    </row>
    <row r="453" spans="1:2" x14ac:dyDescent="0.2">
      <c r="A453" s="514">
        <v>42999</v>
      </c>
      <c r="B453" s="491">
        <v>370759.85</v>
      </c>
    </row>
    <row r="454" spans="1:2" x14ac:dyDescent="0.2">
      <c r="A454" s="514">
        <v>43000</v>
      </c>
      <c r="B454" s="491">
        <v>389878.66</v>
      </c>
    </row>
    <row r="455" spans="1:2" x14ac:dyDescent="0.2">
      <c r="A455" s="514">
        <v>43003</v>
      </c>
      <c r="B455" s="491">
        <v>393013.02</v>
      </c>
    </row>
    <row r="456" spans="1:2" x14ac:dyDescent="0.2">
      <c r="A456" s="514">
        <v>43004</v>
      </c>
      <c r="B456" s="491">
        <v>393593.22</v>
      </c>
    </row>
    <row r="457" spans="1:2" x14ac:dyDescent="0.2">
      <c r="A457" s="514">
        <v>43005</v>
      </c>
      <c r="B457" s="491">
        <v>393593</v>
      </c>
    </row>
    <row r="458" spans="1:2" x14ac:dyDescent="0.2">
      <c r="A458" s="514">
        <v>43006</v>
      </c>
      <c r="B458" s="491">
        <v>385433.95</v>
      </c>
    </row>
    <row r="459" spans="1:2" x14ac:dyDescent="0.2">
      <c r="A459" s="514">
        <v>43007</v>
      </c>
      <c r="B459" s="491">
        <v>385678.15</v>
      </c>
    </row>
    <row r="460" spans="1:2" x14ac:dyDescent="0.2">
      <c r="A460" s="514">
        <v>43010</v>
      </c>
      <c r="B460" s="491">
        <v>350949.28</v>
      </c>
    </row>
    <row r="461" spans="1:2" x14ac:dyDescent="0.2">
      <c r="A461" s="514">
        <v>43011</v>
      </c>
      <c r="B461" s="491">
        <v>352010.98</v>
      </c>
    </row>
    <row r="462" spans="1:2" x14ac:dyDescent="0.2">
      <c r="A462" s="514">
        <v>43012</v>
      </c>
      <c r="B462" s="491">
        <v>352011</v>
      </c>
    </row>
    <row r="463" spans="1:2" x14ac:dyDescent="0.2">
      <c r="A463" s="514">
        <v>43013</v>
      </c>
      <c r="B463" s="491">
        <v>348679</v>
      </c>
    </row>
    <row r="464" spans="1:2" x14ac:dyDescent="0.2">
      <c r="A464" s="514">
        <v>43014</v>
      </c>
      <c r="B464" s="491">
        <v>348679</v>
      </c>
    </row>
    <row r="465" spans="1:2" x14ac:dyDescent="0.2">
      <c r="A465" s="514">
        <v>43017</v>
      </c>
      <c r="B465" s="491">
        <v>348679</v>
      </c>
    </row>
    <row r="466" spans="1:2" x14ac:dyDescent="0.2">
      <c r="A466" s="514">
        <v>43018</v>
      </c>
      <c r="B466" s="491">
        <v>348679</v>
      </c>
    </row>
    <row r="467" spans="1:2" x14ac:dyDescent="0.2">
      <c r="A467" s="514">
        <v>43019</v>
      </c>
      <c r="B467" s="491">
        <v>348761.24</v>
      </c>
    </row>
    <row r="468" spans="1:2" x14ac:dyDescent="0.2">
      <c r="A468" s="514">
        <v>43020</v>
      </c>
      <c r="B468" s="491">
        <v>349998.26</v>
      </c>
    </row>
    <row r="469" spans="1:2" x14ac:dyDescent="0.2">
      <c r="A469" s="514">
        <v>43021</v>
      </c>
      <c r="B469" s="491">
        <v>370561.14</v>
      </c>
    </row>
    <row r="470" spans="1:2" x14ac:dyDescent="0.2">
      <c r="A470" s="514">
        <v>43024</v>
      </c>
      <c r="B470" s="491">
        <v>336220.14</v>
      </c>
    </row>
    <row r="471" spans="1:2" x14ac:dyDescent="0.2">
      <c r="A471" s="514">
        <v>43025</v>
      </c>
      <c r="B471" s="491">
        <v>336332.14</v>
      </c>
    </row>
    <row r="472" spans="1:2" x14ac:dyDescent="0.2">
      <c r="A472" s="514">
        <v>43026</v>
      </c>
      <c r="B472" s="491">
        <v>336332</v>
      </c>
    </row>
    <row r="473" spans="1:2" x14ac:dyDescent="0.2">
      <c r="A473" s="514">
        <v>43027</v>
      </c>
      <c r="B473" s="491">
        <v>339185.02</v>
      </c>
    </row>
    <row r="474" spans="1:2" x14ac:dyDescent="0.2">
      <c r="A474" s="514">
        <v>43028</v>
      </c>
      <c r="B474" s="491">
        <v>344936.35</v>
      </c>
    </row>
    <row r="475" spans="1:2" x14ac:dyDescent="0.2">
      <c r="A475" s="514">
        <v>43031</v>
      </c>
      <c r="B475" s="491">
        <v>344564.68</v>
      </c>
    </row>
    <row r="476" spans="1:2" x14ac:dyDescent="0.2">
      <c r="A476" s="514">
        <v>43032</v>
      </c>
      <c r="B476" s="491">
        <v>344565</v>
      </c>
    </row>
    <row r="477" spans="1:2" x14ac:dyDescent="0.2">
      <c r="A477" s="514">
        <v>43033</v>
      </c>
      <c r="B477" s="491">
        <v>344829.18</v>
      </c>
    </row>
    <row r="478" spans="1:2" x14ac:dyDescent="0.2">
      <c r="A478" s="514">
        <v>43034</v>
      </c>
      <c r="B478" s="491">
        <v>339942.05</v>
      </c>
    </row>
    <row r="479" spans="1:2" x14ac:dyDescent="0.2">
      <c r="A479" s="514">
        <v>43035</v>
      </c>
      <c r="B479" s="491">
        <v>360185.72</v>
      </c>
    </row>
    <row r="480" spans="1:2" x14ac:dyDescent="0.2">
      <c r="A480" s="514">
        <v>43038</v>
      </c>
      <c r="B480" s="491">
        <v>323067.73</v>
      </c>
    </row>
    <row r="481" spans="1:2" x14ac:dyDescent="0.2">
      <c r="A481" s="514">
        <v>43039</v>
      </c>
      <c r="B481" s="491">
        <v>323197.73</v>
      </c>
    </row>
    <row r="482" spans="1:2" x14ac:dyDescent="0.2">
      <c r="A482" s="514">
        <v>43040</v>
      </c>
      <c r="B482" s="491">
        <v>323198</v>
      </c>
    </row>
    <row r="483" spans="1:2" x14ac:dyDescent="0.2">
      <c r="A483" s="514">
        <v>43041</v>
      </c>
      <c r="B483" s="491">
        <v>341044.7</v>
      </c>
    </row>
    <row r="484" spans="1:2" x14ac:dyDescent="0.2">
      <c r="A484" s="514">
        <v>43042</v>
      </c>
      <c r="B484" s="491">
        <v>341676.17</v>
      </c>
    </row>
    <row r="485" spans="1:2" x14ac:dyDescent="0.2">
      <c r="A485" s="514">
        <v>43045</v>
      </c>
      <c r="B485" s="491">
        <v>341676</v>
      </c>
    </row>
    <row r="486" spans="1:2" x14ac:dyDescent="0.2">
      <c r="A486" s="514">
        <v>43046</v>
      </c>
      <c r="B486" s="491">
        <v>341676</v>
      </c>
    </row>
    <row r="487" spans="1:2" x14ac:dyDescent="0.2">
      <c r="A487" s="514">
        <v>43047</v>
      </c>
      <c r="B487" s="491">
        <v>379863.97</v>
      </c>
    </row>
    <row r="488" spans="1:2" x14ac:dyDescent="0.2">
      <c r="A488" s="514">
        <v>43048</v>
      </c>
      <c r="B488" s="491">
        <v>378842.06</v>
      </c>
    </row>
    <row r="489" spans="1:2" x14ac:dyDescent="0.2">
      <c r="A489" s="514">
        <v>43049</v>
      </c>
      <c r="B489" s="491">
        <v>378842</v>
      </c>
    </row>
    <row r="490" spans="1:2" x14ac:dyDescent="0.2">
      <c r="A490" s="514">
        <v>43052</v>
      </c>
      <c r="B490" s="491">
        <v>340784.14</v>
      </c>
    </row>
    <row r="491" spans="1:2" x14ac:dyDescent="0.2">
      <c r="A491" s="514">
        <v>43053</v>
      </c>
      <c r="B491" s="491">
        <v>340784</v>
      </c>
    </row>
    <row r="492" spans="1:2" x14ac:dyDescent="0.2">
      <c r="A492" s="514">
        <v>43054</v>
      </c>
      <c r="B492" s="491">
        <v>340895.76</v>
      </c>
    </row>
    <row r="493" spans="1:2" x14ac:dyDescent="0.2">
      <c r="A493" s="514">
        <v>43055</v>
      </c>
      <c r="B493" s="491">
        <v>354246.44</v>
      </c>
    </row>
    <row r="494" spans="1:2" x14ac:dyDescent="0.2">
      <c r="A494" s="514">
        <v>43056</v>
      </c>
      <c r="B494" s="491">
        <v>354246.44</v>
      </c>
    </row>
    <row r="495" spans="1:2" x14ac:dyDescent="0.2">
      <c r="A495" s="514">
        <v>43059</v>
      </c>
      <c r="B495" s="491">
        <v>354264.44</v>
      </c>
    </row>
    <row r="496" spans="1:2" x14ac:dyDescent="0.2">
      <c r="A496" s="514">
        <v>43060</v>
      </c>
      <c r="B496" s="491">
        <v>354264</v>
      </c>
    </row>
    <row r="497" spans="1:2" x14ac:dyDescent="0.2">
      <c r="A497" s="514">
        <v>43061</v>
      </c>
      <c r="B497" s="491">
        <v>357804.55</v>
      </c>
    </row>
    <row r="498" spans="1:2" x14ac:dyDescent="0.2">
      <c r="A498" s="514">
        <v>43062</v>
      </c>
      <c r="B498" s="491">
        <v>357805</v>
      </c>
    </row>
    <row r="499" spans="1:2" x14ac:dyDescent="0.2">
      <c r="A499" s="514">
        <v>43063</v>
      </c>
      <c r="B499" s="491">
        <v>361119.05</v>
      </c>
    </row>
    <row r="500" spans="1:2" x14ac:dyDescent="0.2">
      <c r="A500" s="514">
        <v>43066</v>
      </c>
      <c r="B500" s="491">
        <v>318415.71000000002</v>
      </c>
    </row>
    <row r="501" spans="1:2" x14ac:dyDescent="0.2">
      <c r="A501" s="514">
        <v>43067</v>
      </c>
      <c r="B501" s="491">
        <v>320237.53999999998</v>
      </c>
    </row>
    <row r="502" spans="1:2" x14ac:dyDescent="0.2">
      <c r="A502" s="514">
        <v>43068</v>
      </c>
      <c r="B502" s="491">
        <v>320237.53999999998</v>
      </c>
    </row>
    <row r="503" spans="1:2" x14ac:dyDescent="0.2">
      <c r="A503" s="514">
        <v>43069</v>
      </c>
      <c r="B503" s="491">
        <v>325286.46999999997</v>
      </c>
    </row>
    <row r="504" spans="1:2" x14ac:dyDescent="0.2">
      <c r="A504" s="514">
        <v>43070</v>
      </c>
      <c r="B504" s="491">
        <v>334247.03000000003</v>
      </c>
    </row>
    <row r="505" spans="1:2" x14ac:dyDescent="0.2">
      <c r="A505" s="514">
        <v>43073</v>
      </c>
      <c r="B505" s="491">
        <v>334247</v>
      </c>
    </row>
    <row r="506" spans="1:2" x14ac:dyDescent="0.2">
      <c r="A506" s="514">
        <v>43074</v>
      </c>
      <c r="B506" s="491">
        <v>334247.03000000003</v>
      </c>
    </row>
    <row r="507" spans="1:2" x14ac:dyDescent="0.2">
      <c r="A507" s="514">
        <v>43075</v>
      </c>
      <c r="B507" s="491">
        <v>334247</v>
      </c>
    </row>
    <row r="508" spans="1:2" x14ac:dyDescent="0.2">
      <c r="A508" s="514">
        <v>43076</v>
      </c>
      <c r="B508" s="491">
        <v>323171.46000000002</v>
      </c>
    </row>
    <row r="509" spans="1:2" x14ac:dyDescent="0.2">
      <c r="A509" s="514">
        <v>43077</v>
      </c>
      <c r="B509" s="491">
        <v>324229.90999999997</v>
      </c>
    </row>
    <row r="510" spans="1:2" x14ac:dyDescent="0.2">
      <c r="A510" s="514">
        <v>43080</v>
      </c>
      <c r="B510" s="491">
        <v>324230</v>
      </c>
    </row>
    <row r="511" spans="1:2" x14ac:dyDescent="0.2">
      <c r="A511" s="514">
        <v>43081</v>
      </c>
      <c r="B511" s="491">
        <v>286030.39</v>
      </c>
    </row>
    <row r="512" spans="1:2" x14ac:dyDescent="0.2">
      <c r="A512" s="514">
        <v>43082</v>
      </c>
      <c r="B512" s="491">
        <v>286197.44</v>
      </c>
    </row>
    <row r="513" spans="1:14" x14ac:dyDescent="0.2">
      <c r="A513" s="514">
        <v>43083</v>
      </c>
      <c r="B513" s="491">
        <v>280065.2</v>
      </c>
    </row>
    <row r="514" spans="1:14" x14ac:dyDescent="0.2">
      <c r="A514" s="514">
        <v>43084</v>
      </c>
      <c r="B514" s="491">
        <v>284409.09999999998</v>
      </c>
    </row>
    <row r="515" spans="1:14" x14ac:dyDescent="0.2">
      <c r="A515" s="514">
        <v>43087</v>
      </c>
      <c r="B515" s="491">
        <v>285119.09999999998</v>
      </c>
    </row>
    <row r="516" spans="1:14" x14ac:dyDescent="0.2">
      <c r="A516" s="514">
        <v>43088</v>
      </c>
      <c r="B516" s="491">
        <v>285395.49</v>
      </c>
    </row>
    <row r="517" spans="1:14" x14ac:dyDescent="0.2">
      <c r="A517" s="514">
        <v>43089</v>
      </c>
      <c r="B517" s="491">
        <v>285395</v>
      </c>
    </row>
    <row r="518" spans="1:14" x14ac:dyDescent="0.2">
      <c r="A518" s="514">
        <v>43090</v>
      </c>
      <c r="B518" s="491">
        <v>285542.49</v>
      </c>
    </row>
    <row r="519" spans="1:14" x14ac:dyDescent="0.2">
      <c r="A519" s="514">
        <v>43091</v>
      </c>
      <c r="B519" s="491">
        <v>285542</v>
      </c>
    </row>
    <row r="520" spans="1:14" x14ac:dyDescent="0.2">
      <c r="A520" s="514">
        <v>43094</v>
      </c>
      <c r="B520" s="491">
        <v>285542</v>
      </c>
    </row>
    <row r="521" spans="1:14" x14ac:dyDescent="0.2">
      <c r="A521" s="514">
        <v>43095</v>
      </c>
      <c r="B521" s="491">
        <v>248584.72</v>
      </c>
    </row>
    <row r="522" spans="1:14" x14ac:dyDescent="0.2">
      <c r="A522" s="514">
        <v>43096</v>
      </c>
      <c r="B522" s="491">
        <v>248585</v>
      </c>
    </row>
    <row r="523" spans="1:14" x14ac:dyDescent="0.2">
      <c r="A523" s="514">
        <v>43097</v>
      </c>
      <c r="B523" s="491">
        <v>270685.83</v>
      </c>
    </row>
    <row r="524" spans="1:14" x14ac:dyDescent="0.2">
      <c r="A524" s="514">
        <v>43098</v>
      </c>
      <c r="B524" s="491">
        <v>282558.58</v>
      </c>
    </row>
    <row r="525" spans="1:14" x14ac:dyDescent="0.2">
      <c r="A525" s="514">
        <v>43101</v>
      </c>
      <c r="B525" s="491">
        <v>282559</v>
      </c>
      <c r="F525" s="493"/>
      <c r="G525" t="s">
        <v>185</v>
      </c>
      <c r="H525" t="s">
        <v>212</v>
      </c>
      <c r="J525" t="s">
        <v>361</v>
      </c>
      <c r="K525" t="s">
        <v>212</v>
      </c>
      <c r="N525">
        <v>0.06</v>
      </c>
    </row>
    <row r="526" spans="1:14" x14ac:dyDescent="0.2">
      <c r="A526" s="514">
        <v>43102</v>
      </c>
      <c r="B526" s="491">
        <v>282508.58</v>
      </c>
      <c r="F526" s="493">
        <v>42370</v>
      </c>
      <c r="G526" s="494">
        <v>369484</v>
      </c>
      <c r="H526" s="601">
        <v>31036</v>
      </c>
      <c r="J526" s="493">
        <v>42461</v>
      </c>
      <c r="K526" s="601">
        <v>151036</v>
      </c>
      <c r="N526" s="690">
        <f>K526*N525/12 +K526</f>
        <v>151791.18</v>
      </c>
    </row>
    <row r="527" spans="1:14" x14ac:dyDescent="0.2">
      <c r="A527" s="514">
        <v>43103</v>
      </c>
      <c r="B527" s="491">
        <v>282509</v>
      </c>
      <c r="F527" s="493">
        <v>42401</v>
      </c>
      <c r="G527" s="494">
        <v>295493.53000000003</v>
      </c>
      <c r="H527" s="601">
        <v>31035.72</v>
      </c>
      <c r="J527" s="493">
        <v>42491</v>
      </c>
      <c r="K527" s="601">
        <v>151087.09</v>
      </c>
      <c r="N527" s="690">
        <f>N$525*N526/12 +N526</f>
        <v>152550.13589999999</v>
      </c>
    </row>
    <row r="528" spans="1:14" x14ac:dyDescent="0.2">
      <c r="A528" s="514">
        <v>43104</v>
      </c>
      <c r="B528" s="491">
        <v>283213.14</v>
      </c>
      <c r="F528" s="493">
        <v>42430</v>
      </c>
      <c r="G528" s="494">
        <v>255865.07</v>
      </c>
      <c r="H528" s="601">
        <v>151035.72</v>
      </c>
      <c r="J528" s="493">
        <v>42551</v>
      </c>
      <c r="K528" s="601">
        <v>151336.84</v>
      </c>
      <c r="N528" s="690">
        <f t="shared" ref="N528:N591" si="3">N$525*N527/12 +N527</f>
        <v>153312.88657949999</v>
      </c>
    </row>
    <row r="529" spans="1:14" x14ac:dyDescent="0.2">
      <c r="A529" s="514">
        <v>43105</v>
      </c>
      <c r="B529" s="491">
        <v>297779.06</v>
      </c>
      <c r="F529" s="493">
        <v>42461</v>
      </c>
      <c r="G529" s="494">
        <v>294098.96000000002</v>
      </c>
      <c r="H529" s="601">
        <v>151036</v>
      </c>
      <c r="J529" s="493">
        <v>42582</v>
      </c>
      <c r="K529" s="601">
        <v>151611.29999999999</v>
      </c>
      <c r="N529" s="690">
        <f t="shared" si="3"/>
        <v>154079.45101239748</v>
      </c>
    </row>
    <row r="530" spans="1:14" x14ac:dyDescent="0.2">
      <c r="A530" s="514">
        <v>43108</v>
      </c>
      <c r="B530" s="491">
        <v>263886.2</v>
      </c>
      <c r="F530" s="493">
        <v>42491</v>
      </c>
      <c r="G530" s="494">
        <v>333922.02</v>
      </c>
      <c r="H530" s="601">
        <v>151087.09</v>
      </c>
      <c r="J530" s="493">
        <v>42583</v>
      </c>
      <c r="K530" s="601">
        <v>151776.70000000001</v>
      </c>
      <c r="N530" s="690">
        <f t="shared" si="3"/>
        <v>154849.84826745946</v>
      </c>
    </row>
    <row r="531" spans="1:14" x14ac:dyDescent="0.2">
      <c r="A531" s="514">
        <v>43109</v>
      </c>
      <c r="B531" s="491">
        <v>277030.96999999997</v>
      </c>
      <c r="F531" s="493">
        <v>42551</v>
      </c>
      <c r="G531" s="494">
        <v>384005.8</v>
      </c>
      <c r="H531" s="601">
        <v>151336.84</v>
      </c>
      <c r="J531" s="493">
        <v>42614</v>
      </c>
      <c r="K531" s="601">
        <v>151844.44</v>
      </c>
      <c r="N531" s="690">
        <f t="shared" si="3"/>
        <v>155624.09750879675</v>
      </c>
    </row>
    <row r="532" spans="1:14" x14ac:dyDescent="0.2">
      <c r="A532" s="514">
        <v>43110</v>
      </c>
      <c r="B532" s="491">
        <v>277031</v>
      </c>
      <c r="F532" s="493">
        <v>42582</v>
      </c>
      <c r="G532" s="494">
        <v>292004.15999999997</v>
      </c>
      <c r="H532" s="601">
        <v>151611.29999999999</v>
      </c>
      <c r="J532" s="493">
        <v>42644</v>
      </c>
      <c r="K532" s="601">
        <v>152036.04</v>
      </c>
      <c r="N532" s="690">
        <f t="shared" si="3"/>
        <v>156402.21799634074</v>
      </c>
    </row>
    <row r="533" spans="1:14" x14ac:dyDescent="0.2">
      <c r="A533" s="514">
        <v>43111</v>
      </c>
      <c r="B533" s="491">
        <v>281394.14</v>
      </c>
      <c r="F533" s="493">
        <v>42583</v>
      </c>
      <c r="G533" s="494">
        <v>182562.29</v>
      </c>
      <c r="H533" s="601">
        <v>151776.70000000001</v>
      </c>
      <c r="J533" s="493">
        <v>42675</v>
      </c>
      <c r="K533" s="601">
        <v>152464.91</v>
      </c>
      <c r="N533" s="690">
        <f t="shared" si="3"/>
        <v>157184.22908632245</v>
      </c>
    </row>
    <row r="534" spans="1:14" x14ac:dyDescent="0.2">
      <c r="A534" s="514">
        <v>43112</v>
      </c>
      <c r="B534" s="491">
        <v>281470.18</v>
      </c>
      <c r="F534" s="493">
        <v>42614</v>
      </c>
      <c r="G534" s="494">
        <v>242442.87</v>
      </c>
      <c r="H534" s="601">
        <v>151844.44</v>
      </c>
      <c r="J534" s="493">
        <v>42705</v>
      </c>
      <c r="K534" s="601">
        <v>154533.13</v>
      </c>
      <c r="N534" s="690">
        <f t="shared" si="3"/>
        <v>157970.15023175406</v>
      </c>
    </row>
    <row r="535" spans="1:14" x14ac:dyDescent="0.2">
      <c r="A535" s="514">
        <v>43115</v>
      </c>
      <c r="B535" s="491">
        <v>281470</v>
      </c>
      <c r="F535" s="493">
        <v>42644</v>
      </c>
      <c r="G535" s="494">
        <v>247104.37</v>
      </c>
      <c r="H535" s="601">
        <v>152036.04</v>
      </c>
      <c r="J535" s="493">
        <v>42736</v>
      </c>
      <c r="K535" s="601">
        <v>155633.59</v>
      </c>
      <c r="N535" s="690">
        <f t="shared" si="3"/>
        <v>158760.00098291284</v>
      </c>
    </row>
    <row r="536" spans="1:14" x14ac:dyDescent="0.2">
      <c r="A536" s="514">
        <v>43116</v>
      </c>
      <c r="B536" s="491">
        <v>284325.94</v>
      </c>
      <c r="F536" s="493">
        <v>42675</v>
      </c>
      <c r="G536" s="494">
        <v>246462.95</v>
      </c>
      <c r="H536" s="601">
        <v>152464.91</v>
      </c>
      <c r="J536" s="493">
        <v>42767</v>
      </c>
      <c r="K536" s="601">
        <v>158448.25</v>
      </c>
      <c r="N536" s="690">
        <f t="shared" si="3"/>
        <v>159553.80098782742</v>
      </c>
    </row>
    <row r="537" spans="1:14" x14ac:dyDescent="0.2">
      <c r="A537" s="514">
        <v>43117</v>
      </c>
      <c r="B537" s="491">
        <v>305911.78000000003</v>
      </c>
      <c r="F537" s="493">
        <v>42705</v>
      </c>
      <c r="G537" s="494">
        <v>249839.51</v>
      </c>
      <c r="H537" s="601">
        <v>154533.13</v>
      </c>
      <c r="J537" s="493">
        <v>42795</v>
      </c>
      <c r="K537" s="601">
        <v>159113.29</v>
      </c>
      <c r="N537" s="690">
        <f t="shared" si="3"/>
        <v>160351.56999276654</v>
      </c>
    </row>
    <row r="538" spans="1:14" x14ac:dyDescent="0.2">
      <c r="A538" s="514">
        <v>43118</v>
      </c>
      <c r="B538" s="491">
        <v>305752.93</v>
      </c>
      <c r="F538" s="493">
        <v>42736</v>
      </c>
      <c r="G538" s="494">
        <v>351420</v>
      </c>
      <c r="H538" s="601">
        <v>155633.59</v>
      </c>
      <c r="J538" s="493">
        <v>42826</v>
      </c>
      <c r="K538" s="601">
        <v>159614.53</v>
      </c>
      <c r="N538" s="690">
        <f t="shared" si="3"/>
        <v>161153.32784273036</v>
      </c>
    </row>
    <row r="539" spans="1:14" x14ac:dyDescent="0.2">
      <c r="A539" s="514">
        <v>43119</v>
      </c>
      <c r="B539" s="491">
        <v>332730.14</v>
      </c>
      <c r="F539" s="493">
        <v>42767</v>
      </c>
      <c r="G539" s="494">
        <v>253330</v>
      </c>
      <c r="H539" s="601">
        <v>158448.25</v>
      </c>
      <c r="J539" s="493">
        <v>42856</v>
      </c>
      <c r="K539" s="601">
        <v>160436.21</v>
      </c>
      <c r="N539" s="690">
        <f t="shared" si="3"/>
        <v>161959.09448194402</v>
      </c>
    </row>
    <row r="540" spans="1:14" x14ac:dyDescent="0.2">
      <c r="A540" s="514">
        <v>43122</v>
      </c>
      <c r="B540" s="491">
        <v>291419.49</v>
      </c>
      <c r="F540" s="493">
        <v>42795</v>
      </c>
      <c r="G540" s="494">
        <v>280744</v>
      </c>
      <c r="H540" s="601">
        <v>159113.29</v>
      </c>
      <c r="J540" s="493">
        <v>42887</v>
      </c>
      <c r="K540" s="601">
        <v>160443.22</v>
      </c>
      <c r="N540" s="690">
        <f t="shared" si="3"/>
        <v>162768.88995435374</v>
      </c>
    </row>
    <row r="541" spans="1:14" x14ac:dyDescent="0.2">
      <c r="A541" s="514">
        <v>43123</v>
      </c>
      <c r="B541" s="491">
        <v>293419.65000000002</v>
      </c>
      <c r="F541" s="493">
        <v>42826</v>
      </c>
      <c r="G541" s="494">
        <v>319478.15999999997</v>
      </c>
      <c r="H541" s="601">
        <v>159614.53</v>
      </c>
      <c r="J541" s="493">
        <v>42917</v>
      </c>
      <c r="K541" s="601">
        <v>161526.35999999999</v>
      </c>
      <c r="N541" s="690">
        <f t="shared" si="3"/>
        <v>163582.73440412551</v>
      </c>
    </row>
    <row r="542" spans="1:14" x14ac:dyDescent="0.2">
      <c r="A542" s="514">
        <v>43124</v>
      </c>
      <c r="B542" s="491">
        <v>293420</v>
      </c>
      <c r="F542" s="493">
        <v>42856</v>
      </c>
      <c r="G542" s="494">
        <v>241828.1</v>
      </c>
      <c r="H542" s="601">
        <v>160436.21</v>
      </c>
      <c r="J542" s="493">
        <v>42948</v>
      </c>
      <c r="K542" s="601">
        <v>162013.01</v>
      </c>
      <c r="N542" s="690">
        <f t="shared" si="3"/>
        <v>164400.64807614614</v>
      </c>
    </row>
    <row r="543" spans="1:14" x14ac:dyDescent="0.2">
      <c r="A543" s="514">
        <v>43125</v>
      </c>
      <c r="B543" s="491">
        <v>301331.82</v>
      </c>
      <c r="F543" s="493">
        <v>42887</v>
      </c>
      <c r="G543" s="494">
        <v>248981.18</v>
      </c>
      <c r="H543" s="601">
        <v>160443.22</v>
      </c>
      <c r="J543" s="493">
        <v>42979</v>
      </c>
      <c r="K543" s="601">
        <v>163493.49</v>
      </c>
      <c r="M543" s="601"/>
      <c r="N543" s="690">
        <f t="shared" si="3"/>
        <v>165222.65131652687</v>
      </c>
    </row>
    <row r="544" spans="1:14" x14ac:dyDescent="0.2">
      <c r="A544" s="514">
        <v>43126</v>
      </c>
      <c r="B544" s="491">
        <v>327084.28999999998</v>
      </c>
      <c r="F544" s="493">
        <v>42917</v>
      </c>
      <c r="G544" s="494">
        <v>268937.63</v>
      </c>
      <c r="H544" s="601">
        <v>161526.35999999999</v>
      </c>
      <c r="J544" s="493">
        <v>43009</v>
      </c>
      <c r="K544" s="601">
        <v>164090.28</v>
      </c>
      <c r="M544" s="243"/>
      <c r="N544" s="690">
        <f t="shared" si="3"/>
        <v>166048.76457310951</v>
      </c>
    </row>
    <row r="545" spans="1:14" x14ac:dyDescent="0.2">
      <c r="A545" s="514">
        <v>43129</v>
      </c>
      <c r="B545" s="491">
        <v>327084</v>
      </c>
      <c r="F545" s="493">
        <v>42948</v>
      </c>
      <c r="G545" s="494">
        <v>198251.6</v>
      </c>
      <c r="H545" s="601">
        <v>162013.01</v>
      </c>
      <c r="J545" s="493">
        <v>43040</v>
      </c>
      <c r="K545" s="601">
        <v>164908.01</v>
      </c>
      <c r="M545" s="243"/>
      <c r="N545" s="690">
        <f t="shared" si="3"/>
        <v>166879.00839597505</v>
      </c>
    </row>
    <row r="546" spans="1:14" x14ac:dyDescent="0.2">
      <c r="A546" s="514">
        <v>43130</v>
      </c>
      <c r="B546" s="491">
        <v>327084</v>
      </c>
      <c r="F546" s="493">
        <v>42979</v>
      </c>
      <c r="G546" s="494">
        <v>178964.63</v>
      </c>
      <c r="H546" s="601">
        <v>163493.49</v>
      </c>
      <c r="J546" s="493">
        <v>43070</v>
      </c>
      <c r="K546" s="601">
        <v>164937.87</v>
      </c>
      <c r="M546" s="243"/>
      <c r="N546" s="690">
        <f t="shared" si="3"/>
        <v>167713.40343795493</v>
      </c>
    </row>
    <row r="547" spans="1:14" x14ac:dyDescent="0.2">
      <c r="A547" s="514">
        <v>43131</v>
      </c>
      <c r="B547" s="491">
        <v>337130.63</v>
      </c>
      <c r="F547" s="493">
        <v>43009</v>
      </c>
      <c r="G547" s="494">
        <v>199171.39</v>
      </c>
      <c r="H547" s="601">
        <v>164090.28</v>
      </c>
      <c r="J547" s="493">
        <v>43101</v>
      </c>
      <c r="K547" s="601">
        <v>167966.33</v>
      </c>
      <c r="M547" s="243"/>
      <c r="N547" s="690">
        <f t="shared" si="3"/>
        <v>168551.97045514471</v>
      </c>
    </row>
    <row r="548" spans="1:14" x14ac:dyDescent="0.2">
      <c r="A548" s="514">
        <v>43132</v>
      </c>
      <c r="B548" s="491">
        <v>334292.59999999998</v>
      </c>
      <c r="F548" s="493">
        <v>43040</v>
      </c>
      <c r="G548" s="494">
        <v>180584.58</v>
      </c>
      <c r="H548" s="601">
        <v>164908.01</v>
      </c>
      <c r="J548" s="493">
        <v>43132</v>
      </c>
      <c r="K548" s="601">
        <v>164746.72</v>
      </c>
      <c r="M548" s="243"/>
      <c r="N548" s="690">
        <f t="shared" si="3"/>
        <v>169394.73030742042</v>
      </c>
    </row>
    <row r="549" spans="1:14" x14ac:dyDescent="0.2">
      <c r="A549" s="514">
        <v>43133</v>
      </c>
      <c r="B549" s="491">
        <v>335977.23</v>
      </c>
      <c r="F549" s="493">
        <v>43070</v>
      </c>
      <c r="G549" s="494">
        <v>258260.86</v>
      </c>
      <c r="H549" s="601">
        <v>164937.87</v>
      </c>
      <c r="J549" s="493">
        <v>43160</v>
      </c>
      <c r="K549" s="601">
        <v>163400.39000000001</v>
      </c>
      <c r="N549" s="690">
        <f t="shared" si="3"/>
        <v>170241.70395895751</v>
      </c>
    </row>
    <row r="550" spans="1:14" x14ac:dyDescent="0.2">
      <c r="A550" s="514">
        <v>43136</v>
      </c>
      <c r="B550" s="491">
        <v>300614.99</v>
      </c>
      <c r="F550" s="493">
        <v>43101</v>
      </c>
      <c r="G550" s="494">
        <v>297556.56</v>
      </c>
      <c r="H550" s="601">
        <v>167966.33</v>
      </c>
      <c r="J550" s="493">
        <v>43191</v>
      </c>
      <c r="K550" s="601">
        <v>163874.63</v>
      </c>
      <c r="N550" s="690">
        <f t="shared" si="3"/>
        <v>171092.91247875229</v>
      </c>
    </row>
    <row r="551" spans="1:14" x14ac:dyDescent="0.2">
      <c r="A551" s="514">
        <v>43137</v>
      </c>
      <c r="B551" s="491">
        <v>295509.53999999998</v>
      </c>
      <c r="F551" s="493">
        <v>43132</v>
      </c>
      <c r="G551" s="494">
        <v>287550</v>
      </c>
      <c r="H551" s="601">
        <v>164746.72</v>
      </c>
      <c r="J551" s="493">
        <v>43221</v>
      </c>
      <c r="K551" s="601">
        <v>165109.67000000001</v>
      </c>
      <c r="N551" s="690">
        <f t="shared" si="3"/>
        <v>171948.37704114604</v>
      </c>
    </row>
    <row r="552" spans="1:14" x14ac:dyDescent="0.2">
      <c r="A552" s="514">
        <v>43138</v>
      </c>
      <c r="B552" s="491">
        <v>295510</v>
      </c>
      <c r="F552" s="493">
        <v>43160</v>
      </c>
      <c r="G552" s="494">
        <v>277699.34999999998</v>
      </c>
      <c r="H552" s="601">
        <v>163400.39000000001</v>
      </c>
      <c r="J552" s="493">
        <v>43252</v>
      </c>
      <c r="K552" s="601">
        <v>164894.5</v>
      </c>
      <c r="M552" s="601"/>
      <c r="N552" s="690">
        <f t="shared" si="3"/>
        <v>172808.11892635177</v>
      </c>
    </row>
    <row r="553" spans="1:14" x14ac:dyDescent="0.2">
      <c r="A553" s="514">
        <v>43139</v>
      </c>
      <c r="B553" s="491">
        <v>295623.09999999998</v>
      </c>
      <c r="F553" s="493">
        <v>43191</v>
      </c>
      <c r="G553" s="494">
        <v>310068.02</v>
      </c>
      <c r="H553" s="601">
        <v>163874.63</v>
      </c>
      <c r="J553" s="493">
        <v>43282</v>
      </c>
      <c r="K553" s="601">
        <v>168308.43</v>
      </c>
      <c r="N553" s="690">
        <f t="shared" si="3"/>
        <v>173672.15952098352</v>
      </c>
    </row>
    <row r="554" spans="1:14" x14ac:dyDescent="0.2">
      <c r="A554" s="514">
        <v>43140</v>
      </c>
      <c r="B554" s="491">
        <v>295623</v>
      </c>
      <c r="F554" s="493">
        <v>43221</v>
      </c>
      <c r="G554" s="494">
        <v>338828.68</v>
      </c>
      <c r="H554" s="601">
        <v>165109.67000000001</v>
      </c>
      <c r="J554" s="493">
        <v>43313</v>
      </c>
      <c r="K554" s="601">
        <v>169314.31</v>
      </c>
      <c r="M554" s="494"/>
      <c r="N554" s="690">
        <f t="shared" si="3"/>
        <v>174540.52031858845</v>
      </c>
    </row>
    <row r="555" spans="1:14" x14ac:dyDescent="0.2">
      <c r="A555" s="514">
        <v>43143</v>
      </c>
      <c r="B555" s="491">
        <v>299232.09999999998</v>
      </c>
      <c r="F555" s="493">
        <v>43252</v>
      </c>
      <c r="G555" s="494">
        <v>316601.96000000002</v>
      </c>
      <c r="H555" s="601">
        <v>164894.5</v>
      </c>
      <c r="J555" s="493">
        <v>43344</v>
      </c>
      <c r="K555" s="601">
        <v>170138.99</v>
      </c>
      <c r="N555" s="690">
        <f t="shared" si="3"/>
        <v>175413.22292018138</v>
      </c>
    </row>
    <row r="556" spans="1:14" x14ac:dyDescent="0.2">
      <c r="A556" s="514">
        <v>43144</v>
      </c>
      <c r="B556" s="491">
        <v>304422.01</v>
      </c>
      <c r="F556" s="493">
        <v>43282</v>
      </c>
      <c r="G556" s="494">
        <v>282196.90999999997</v>
      </c>
      <c r="H556" s="601">
        <v>168308.43</v>
      </c>
      <c r="J556" s="493">
        <v>43374</v>
      </c>
      <c r="K556" s="601">
        <v>164332.01</v>
      </c>
      <c r="M556" s="619"/>
      <c r="N556" s="690">
        <f t="shared" si="3"/>
        <v>176290.28903478227</v>
      </c>
    </row>
    <row r="557" spans="1:14" x14ac:dyDescent="0.2">
      <c r="A557" s="514">
        <v>43145</v>
      </c>
      <c r="B557" s="491">
        <v>330191.24</v>
      </c>
      <c r="F557" s="493">
        <v>43313</v>
      </c>
      <c r="G557" s="494">
        <v>287391.71999999997</v>
      </c>
      <c r="H557" s="601">
        <v>169314.31</v>
      </c>
      <c r="J557" s="493">
        <v>43405</v>
      </c>
      <c r="K557" s="601">
        <v>166031.76999999999</v>
      </c>
      <c r="N557" s="690">
        <f t="shared" si="3"/>
        <v>177171.74047995618</v>
      </c>
    </row>
    <row r="558" spans="1:14" x14ac:dyDescent="0.2">
      <c r="A558" s="514">
        <v>43146</v>
      </c>
      <c r="B558" s="491">
        <v>313471.64</v>
      </c>
      <c r="F558" s="493">
        <v>43344</v>
      </c>
      <c r="G558" s="494">
        <v>327095.84000000003</v>
      </c>
      <c r="H558" s="601">
        <v>170138.99</v>
      </c>
      <c r="J558" s="493">
        <v>43435</v>
      </c>
      <c r="K558" s="601">
        <v>159621.23000000001</v>
      </c>
      <c r="N558" s="690">
        <f t="shared" si="3"/>
        <v>178057.59918235595</v>
      </c>
    </row>
    <row r="559" spans="1:14" x14ac:dyDescent="0.2">
      <c r="A559" s="514">
        <v>43147</v>
      </c>
      <c r="B559" s="491">
        <v>313472</v>
      </c>
      <c r="F559" s="493">
        <v>43374</v>
      </c>
      <c r="G559" s="494">
        <v>233504.28</v>
      </c>
      <c r="H559" s="601">
        <v>164332.01</v>
      </c>
      <c r="J559" s="493">
        <v>43466</v>
      </c>
      <c r="K559" s="601">
        <v>166873.93</v>
      </c>
      <c r="N559" s="690">
        <f t="shared" si="3"/>
        <v>178947.88717826773</v>
      </c>
    </row>
    <row r="560" spans="1:14" x14ac:dyDescent="0.2">
      <c r="A560" s="514">
        <v>43150</v>
      </c>
      <c r="B560" s="491">
        <v>313472</v>
      </c>
      <c r="F560" s="493">
        <v>43405</v>
      </c>
      <c r="G560" s="494">
        <v>166530.44</v>
      </c>
      <c r="H560" s="601">
        <v>166031.76999999999</v>
      </c>
      <c r="J560" s="493">
        <v>43497</v>
      </c>
      <c r="K560" s="601">
        <v>170486.28</v>
      </c>
      <c r="N560" s="690">
        <f t="shared" si="3"/>
        <v>179842.62661415906</v>
      </c>
    </row>
    <row r="561" spans="1:14" x14ac:dyDescent="0.2">
      <c r="A561" s="514">
        <v>43151</v>
      </c>
      <c r="B561" s="491">
        <v>277471.58</v>
      </c>
      <c r="F561" s="493">
        <v>43435</v>
      </c>
      <c r="G561" s="494">
        <v>245292.72</v>
      </c>
      <c r="H561" s="601">
        <v>159621.23000000001</v>
      </c>
      <c r="J561" s="493">
        <v>43525</v>
      </c>
      <c r="K561" s="601">
        <v>171537.16</v>
      </c>
      <c r="N561" s="690">
        <f t="shared" si="3"/>
        <v>180741.83974722985</v>
      </c>
    </row>
    <row r="562" spans="1:14" x14ac:dyDescent="0.2">
      <c r="A562" s="514">
        <v>43152</v>
      </c>
      <c r="B562" s="491">
        <v>287526.92</v>
      </c>
      <c r="F562" s="493">
        <v>43466</v>
      </c>
      <c r="G562" s="494">
        <v>322895</v>
      </c>
      <c r="H562" s="601">
        <v>166873.93</v>
      </c>
      <c r="J562" s="493">
        <v>43556</v>
      </c>
      <c r="K562" s="601">
        <v>174601.21</v>
      </c>
      <c r="N562" s="690">
        <f t="shared" si="3"/>
        <v>181645.548945966</v>
      </c>
    </row>
    <row r="563" spans="1:14" x14ac:dyDescent="0.2">
      <c r="A563" s="514">
        <v>43153</v>
      </c>
      <c r="B563" s="491">
        <v>296486.64</v>
      </c>
      <c r="F563" s="493">
        <v>43497</v>
      </c>
      <c r="G563" s="494">
        <v>388590.24</v>
      </c>
      <c r="H563" s="601">
        <v>170486.28</v>
      </c>
      <c r="J563" s="493">
        <v>43586</v>
      </c>
      <c r="K563" s="601">
        <v>169831.32</v>
      </c>
      <c r="N563" s="690">
        <f t="shared" si="3"/>
        <v>182553.77669069584</v>
      </c>
    </row>
    <row r="564" spans="1:14" x14ac:dyDescent="0.2">
      <c r="A564" s="514">
        <v>43154</v>
      </c>
      <c r="B564" s="491">
        <v>296487</v>
      </c>
      <c r="F564" s="493">
        <v>43525</v>
      </c>
      <c r="G564" s="494">
        <v>244069.19</v>
      </c>
      <c r="H564" s="601">
        <v>171537.16</v>
      </c>
      <c r="J564" s="493">
        <v>43617</v>
      </c>
      <c r="K564" s="601">
        <v>175962.43</v>
      </c>
      <c r="N564" s="690">
        <f t="shared" si="3"/>
        <v>183466.54557414932</v>
      </c>
    </row>
    <row r="565" spans="1:14" x14ac:dyDescent="0.2">
      <c r="A565" s="514">
        <v>43157</v>
      </c>
      <c r="B565" s="491">
        <v>296487</v>
      </c>
      <c r="F565" s="493">
        <v>43556</v>
      </c>
      <c r="G565" s="494">
        <v>265093.77</v>
      </c>
      <c r="H565" s="601">
        <v>174601.21</v>
      </c>
      <c r="J565" s="493">
        <v>43647</v>
      </c>
      <c r="K565" s="601">
        <v>176392.07</v>
      </c>
      <c r="N565" s="690">
        <f t="shared" si="3"/>
        <v>184383.87830202008</v>
      </c>
    </row>
    <row r="566" spans="1:14" x14ac:dyDescent="0.2">
      <c r="A566" s="514">
        <v>43158</v>
      </c>
      <c r="B566" s="491">
        <v>335911.5</v>
      </c>
      <c r="F566" s="493">
        <v>43586</v>
      </c>
      <c r="G566" s="494">
        <v>218979.44</v>
      </c>
      <c r="H566" s="601">
        <v>169831.32</v>
      </c>
      <c r="J566" s="493">
        <v>43678</v>
      </c>
      <c r="K566" s="601">
        <v>174581</v>
      </c>
      <c r="N566" s="690">
        <f t="shared" si="3"/>
        <v>185305.79769353018</v>
      </c>
    </row>
    <row r="567" spans="1:14" x14ac:dyDescent="0.2">
      <c r="A567" s="514">
        <v>43159</v>
      </c>
      <c r="B567" s="491">
        <v>335912</v>
      </c>
      <c r="F567" s="493">
        <v>43617</v>
      </c>
      <c r="G567" s="494">
        <v>271553.78999999998</v>
      </c>
      <c r="H567" s="601">
        <v>175962.43</v>
      </c>
      <c r="J567" s="493">
        <v>43709</v>
      </c>
      <c r="K567" s="601">
        <v>175832.82</v>
      </c>
      <c r="N567" s="690">
        <f t="shared" si="3"/>
        <v>186232.32668199783</v>
      </c>
    </row>
    <row r="568" spans="1:14" x14ac:dyDescent="0.2">
      <c r="A568" s="514">
        <v>43160</v>
      </c>
      <c r="B568" s="491">
        <v>330042.21999999997</v>
      </c>
      <c r="F568" s="493">
        <v>43647</v>
      </c>
      <c r="G568" s="494">
        <v>272625.19</v>
      </c>
      <c r="H568" s="601">
        <v>176392.07</v>
      </c>
      <c r="J568" s="493">
        <v>43739</v>
      </c>
      <c r="K568" s="601">
        <v>176684.91</v>
      </c>
      <c r="N568" s="690">
        <f t="shared" si="3"/>
        <v>187163.48831540783</v>
      </c>
    </row>
    <row r="569" spans="1:14" x14ac:dyDescent="0.2">
      <c r="A569" s="514">
        <v>43161</v>
      </c>
      <c r="B569" s="549">
        <v>367034.5</v>
      </c>
      <c r="F569" s="493">
        <v>43678</v>
      </c>
      <c r="G569" s="494">
        <v>249105.04</v>
      </c>
      <c r="H569" s="601">
        <v>174581.16</v>
      </c>
      <c r="J569" s="493">
        <v>43770</v>
      </c>
      <c r="K569" s="601">
        <v>180686.55</v>
      </c>
      <c r="N569" s="690">
        <f t="shared" si="3"/>
        <v>188099.30575698486</v>
      </c>
    </row>
    <row r="570" spans="1:14" x14ac:dyDescent="0.2">
      <c r="A570" s="514">
        <v>43164</v>
      </c>
      <c r="B570" s="491">
        <v>330990.42</v>
      </c>
      <c r="F570" s="493">
        <v>43709</v>
      </c>
      <c r="G570" s="494">
        <v>224675.57</v>
      </c>
      <c r="H570" s="601">
        <v>175832.82</v>
      </c>
      <c r="J570" s="493">
        <v>43800</v>
      </c>
      <c r="K570" s="601">
        <v>184417.26</v>
      </c>
      <c r="N570" s="690">
        <f t="shared" si="3"/>
        <v>189039.80228576978</v>
      </c>
    </row>
    <row r="571" spans="1:14" x14ac:dyDescent="0.2">
      <c r="A571" s="514">
        <v>43165</v>
      </c>
      <c r="B571" s="491">
        <v>333065.89</v>
      </c>
      <c r="F571" s="493">
        <v>43739</v>
      </c>
      <c r="G571" s="494">
        <f>250597.51-10616</f>
        <v>239981.51</v>
      </c>
      <c r="H571" s="601">
        <v>176684.91</v>
      </c>
      <c r="J571" s="493">
        <v>43831</v>
      </c>
      <c r="K571" s="601">
        <v>186588.03</v>
      </c>
      <c r="N571" s="690">
        <f t="shared" si="3"/>
        <v>189985.00129719861</v>
      </c>
    </row>
    <row r="572" spans="1:14" x14ac:dyDescent="0.2">
      <c r="A572" s="514">
        <v>43166</v>
      </c>
      <c r="B572" s="491">
        <v>331065.89</v>
      </c>
      <c r="F572" s="493">
        <v>43770</v>
      </c>
      <c r="G572" s="494">
        <f>213081.72-10616</f>
        <v>202465.72</v>
      </c>
      <c r="H572" s="601">
        <v>180686.55</v>
      </c>
      <c r="J572" s="493">
        <v>43862</v>
      </c>
      <c r="K572" s="601">
        <v>177685.24</v>
      </c>
      <c r="N572" s="690">
        <f t="shared" si="3"/>
        <v>190934.9263036846</v>
      </c>
    </row>
    <row r="573" spans="1:14" x14ac:dyDescent="0.2">
      <c r="A573" s="514">
        <v>43167</v>
      </c>
      <c r="B573" s="491">
        <v>331092.17</v>
      </c>
      <c r="F573" s="493">
        <v>43800</v>
      </c>
      <c r="G573" s="494">
        <v>298881.24</v>
      </c>
      <c r="H573" s="601">
        <v>184417.26</v>
      </c>
      <c r="J573" s="493">
        <v>43891</v>
      </c>
      <c r="K573" s="601">
        <v>162398.81</v>
      </c>
      <c r="N573" s="690">
        <f t="shared" si="3"/>
        <v>191889.60093520302</v>
      </c>
    </row>
    <row r="574" spans="1:14" x14ac:dyDescent="0.2">
      <c r="A574" s="514">
        <v>43168</v>
      </c>
      <c r="B574" s="491">
        <v>311733.17</v>
      </c>
      <c r="F574" s="493">
        <v>43831</v>
      </c>
      <c r="G574" s="494">
        <v>326352.59000000003</v>
      </c>
      <c r="H574" s="601">
        <v>186588.03</v>
      </c>
      <c r="J574" s="493">
        <v>43922</v>
      </c>
      <c r="K574" s="601">
        <v>175055.83</v>
      </c>
      <c r="N574" s="690">
        <f t="shared" si="3"/>
        <v>192849.04893987905</v>
      </c>
    </row>
    <row r="575" spans="1:14" x14ac:dyDescent="0.2">
      <c r="A575" s="514">
        <v>43171</v>
      </c>
      <c r="B575" s="491">
        <v>317116.19</v>
      </c>
      <c r="F575" s="493">
        <v>43862</v>
      </c>
      <c r="G575" s="494">
        <v>247842.14</v>
      </c>
      <c r="H575" s="601">
        <v>177685.24</v>
      </c>
      <c r="J575" s="493">
        <v>43952</v>
      </c>
      <c r="K575" s="601">
        <v>180640.71</v>
      </c>
      <c r="N575" s="690">
        <f t="shared" si="3"/>
        <v>193813.29418457844</v>
      </c>
    </row>
    <row r="576" spans="1:14" x14ac:dyDescent="0.2">
      <c r="A576" s="514">
        <v>43172</v>
      </c>
      <c r="B576" s="491">
        <v>317116</v>
      </c>
      <c r="F576" s="493">
        <v>43891</v>
      </c>
      <c r="G576" s="494">
        <v>256001.05</v>
      </c>
      <c r="H576" s="601">
        <v>162398.81</v>
      </c>
      <c r="J576" s="493">
        <v>43983</v>
      </c>
      <c r="K576" s="601">
        <v>183627.14</v>
      </c>
      <c r="N576" s="690">
        <f t="shared" si="3"/>
        <v>194782.36065550134</v>
      </c>
    </row>
    <row r="577" spans="1:18" x14ac:dyDescent="0.2">
      <c r="A577" s="514">
        <v>43173</v>
      </c>
      <c r="B577" s="491">
        <v>317496.19</v>
      </c>
      <c r="F577" s="493">
        <v>43922</v>
      </c>
      <c r="G577" s="494">
        <v>319553.11</v>
      </c>
      <c r="H577" s="601">
        <v>175055.83</v>
      </c>
      <c r="J577" s="493">
        <v>44013</v>
      </c>
      <c r="K577" s="601">
        <v>191310.14</v>
      </c>
      <c r="L577" s="243"/>
      <c r="N577" s="690">
        <f t="shared" si="3"/>
        <v>195756.27245877884</v>
      </c>
      <c r="O577" s="243"/>
      <c r="P577" s="243"/>
      <c r="Q577" s="243"/>
      <c r="R577" s="243"/>
    </row>
    <row r="578" spans="1:18" x14ac:dyDescent="0.2">
      <c r="A578" s="514">
        <v>43174</v>
      </c>
      <c r="B578" s="491">
        <v>317772.45</v>
      </c>
      <c r="F578" s="493">
        <v>43952</v>
      </c>
      <c r="G578" s="494">
        <v>373887.89</v>
      </c>
      <c r="H578" s="601">
        <v>180640.71</v>
      </c>
      <c r="J578" s="493">
        <v>44044</v>
      </c>
      <c r="K578" s="601">
        <v>196731.42</v>
      </c>
      <c r="L578" s="243"/>
      <c r="N578" s="690">
        <f t="shared" si="3"/>
        <v>196735.05382107274</v>
      </c>
      <c r="P578" s="243"/>
      <c r="Q578" s="243"/>
      <c r="R578" s="243"/>
    </row>
    <row r="579" spans="1:18" x14ac:dyDescent="0.2">
      <c r="A579" s="514">
        <v>43175</v>
      </c>
      <c r="B579" s="491">
        <v>317772</v>
      </c>
      <c r="C579" s="514"/>
      <c r="D579" s="491"/>
      <c r="F579" s="493">
        <v>43983</v>
      </c>
      <c r="G579" s="494">
        <v>387259.9</v>
      </c>
      <c r="H579" s="601">
        <v>183627.14</v>
      </c>
      <c r="J579" s="493">
        <v>44075</v>
      </c>
      <c r="K579" s="601">
        <v>192424.98</v>
      </c>
      <c r="L579" s="243"/>
      <c r="N579" s="690">
        <f t="shared" si="3"/>
        <v>197718.72909017809</v>
      </c>
      <c r="P579" s="243"/>
      <c r="Q579" s="243"/>
      <c r="R579" s="243"/>
    </row>
    <row r="580" spans="1:18" x14ac:dyDescent="0.2">
      <c r="A580" s="514">
        <v>43178</v>
      </c>
      <c r="B580" s="491">
        <v>279446.55</v>
      </c>
      <c r="C580" s="514"/>
      <c r="D580" s="491"/>
      <c r="F580" s="493">
        <v>44013</v>
      </c>
      <c r="G580" s="494">
        <v>393896.48</v>
      </c>
      <c r="H580" s="601">
        <v>191310.14</v>
      </c>
      <c r="J580" s="493">
        <v>44105</v>
      </c>
      <c r="K580" s="601">
        <v>189044.54</v>
      </c>
      <c r="L580" s="243"/>
      <c r="N580" s="690">
        <f t="shared" si="3"/>
        <v>198707.32273562899</v>
      </c>
      <c r="P580" s="243"/>
      <c r="Q580" s="243"/>
      <c r="R580" s="243"/>
    </row>
    <row r="581" spans="1:18" x14ac:dyDescent="0.2">
      <c r="A581" s="514">
        <v>43179</v>
      </c>
      <c r="B581" s="491">
        <v>272785.62</v>
      </c>
      <c r="C581" s="514"/>
      <c r="D581" s="491"/>
      <c r="F581" s="493">
        <v>44044</v>
      </c>
      <c r="G581" s="494">
        <v>318622.86</v>
      </c>
      <c r="H581" s="601">
        <v>196731.42</v>
      </c>
      <c r="J581" s="493">
        <v>44136</v>
      </c>
      <c r="K581" s="601">
        <v>201253.81</v>
      </c>
      <c r="L581" s="243"/>
      <c r="N581" s="690">
        <f t="shared" si="3"/>
        <v>199700.85934930714</v>
      </c>
      <c r="P581" s="243"/>
      <c r="Q581" s="243"/>
      <c r="R581" s="243"/>
    </row>
    <row r="582" spans="1:18" x14ac:dyDescent="0.2">
      <c r="A582" s="514">
        <v>43180</v>
      </c>
      <c r="B582" s="491">
        <v>288240.15999999997</v>
      </c>
      <c r="C582" s="514"/>
      <c r="D582" s="491"/>
      <c r="F582" s="493">
        <v>44075</v>
      </c>
      <c r="G582" s="494">
        <v>310792.11</v>
      </c>
      <c r="H582" s="601">
        <v>192424.98</v>
      </c>
      <c r="J582" s="493">
        <v>44166</v>
      </c>
      <c r="K582" s="601">
        <v>206549.06</v>
      </c>
      <c r="L582" s="243"/>
      <c r="N582" s="690">
        <f t="shared" si="3"/>
        <v>200699.36364605368</v>
      </c>
      <c r="O582" s="243"/>
      <c r="P582" s="243"/>
      <c r="Q582" s="243"/>
      <c r="R582" s="243"/>
    </row>
    <row r="583" spans="1:18" x14ac:dyDescent="0.2">
      <c r="A583" s="514">
        <v>43181</v>
      </c>
      <c r="B583" s="491">
        <v>278742.74</v>
      </c>
      <c r="C583" s="514"/>
      <c r="D583" s="491"/>
      <c r="F583" s="493">
        <v>44105</v>
      </c>
      <c r="G583" s="494">
        <v>337545.3</v>
      </c>
      <c r="H583" s="601">
        <v>189044.54</v>
      </c>
      <c r="J583" s="493">
        <v>44197</v>
      </c>
      <c r="K583" s="601">
        <v>204163.62</v>
      </c>
      <c r="L583" s="243"/>
      <c r="N583" s="690">
        <f t="shared" si="3"/>
        <v>201702.86046428393</v>
      </c>
      <c r="O583" s="243"/>
      <c r="P583" s="243"/>
      <c r="Q583" s="243"/>
      <c r="R583" s="243"/>
    </row>
    <row r="584" spans="1:18" x14ac:dyDescent="0.2">
      <c r="A584" s="514">
        <v>43182</v>
      </c>
      <c r="B584" s="491">
        <v>278840.24</v>
      </c>
      <c r="C584" s="514"/>
      <c r="D584" s="491"/>
      <c r="F584" s="493">
        <v>44136</v>
      </c>
      <c r="G584" s="494">
        <v>407385.79</v>
      </c>
      <c r="H584" s="601">
        <v>201253.81</v>
      </c>
      <c r="J584" s="493">
        <v>44228</v>
      </c>
      <c r="K584" s="601">
        <v>207045.8</v>
      </c>
      <c r="L584" s="243"/>
      <c r="N584" s="690">
        <f t="shared" si="3"/>
        <v>202711.37476660535</v>
      </c>
      <c r="O584" s="243"/>
      <c r="P584" s="243"/>
      <c r="Q584" s="243"/>
      <c r="R584" s="243"/>
    </row>
    <row r="585" spans="1:18" x14ac:dyDescent="0.2">
      <c r="A585" s="514">
        <v>43185</v>
      </c>
      <c r="B585" s="491">
        <v>278942.24</v>
      </c>
      <c r="C585" s="514"/>
      <c r="D585" s="491"/>
      <c r="F585" s="493">
        <v>44166</v>
      </c>
      <c r="G585" s="494">
        <v>325944.61</v>
      </c>
      <c r="H585" s="601">
        <v>206549.06</v>
      </c>
      <c r="J585" s="493">
        <v>44256</v>
      </c>
      <c r="K585" s="601">
        <v>211866.05</v>
      </c>
      <c r="L585" s="243"/>
      <c r="N585" s="690">
        <f t="shared" si="3"/>
        <v>203724.93164043839</v>
      </c>
      <c r="O585" s="243"/>
      <c r="P585" s="243"/>
      <c r="Q585" s="243"/>
      <c r="R585" s="243"/>
    </row>
    <row r="586" spans="1:18" x14ac:dyDescent="0.2">
      <c r="A586" s="514">
        <v>43186</v>
      </c>
      <c r="B586" s="491">
        <v>257048.49</v>
      </c>
      <c r="C586" s="514"/>
      <c r="D586" s="491"/>
      <c r="F586" s="493">
        <v>44197</v>
      </c>
      <c r="G586" s="494">
        <v>416865.56</v>
      </c>
      <c r="H586" s="601">
        <v>204163.62</v>
      </c>
      <c r="J586" s="493">
        <v>44287</v>
      </c>
      <c r="K586" s="601">
        <v>218448.38</v>
      </c>
      <c r="L586" s="243"/>
      <c r="N586" s="690">
        <f t="shared" si="3"/>
        <v>204743.55629864059</v>
      </c>
      <c r="O586" s="243"/>
      <c r="P586" s="243"/>
      <c r="Q586" s="243"/>
      <c r="R586" s="243"/>
    </row>
    <row r="587" spans="1:18" x14ac:dyDescent="0.2">
      <c r="A587" s="514">
        <v>43187</v>
      </c>
      <c r="B587" s="491">
        <v>252662.47</v>
      </c>
      <c r="C587" s="514"/>
      <c r="D587" s="491"/>
      <c r="F587" s="493">
        <v>44228</v>
      </c>
      <c r="G587" s="494">
        <v>403762.36</v>
      </c>
      <c r="H587" s="601">
        <v>207045.8</v>
      </c>
      <c r="J587" s="493">
        <v>44317</v>
      </c>
      <c r="K587" s="601">
        <f>222185</f>
        <v>222185</v>
      </c>
      <c r="L587" s="243"/>
      <c r="N587" s="690">
        <f t="shared" si="3"/>
        <v>205767.27408013379</v>
      </c>
      <c r="O587" s="243"/>
      <c r="P587" s="243"/>
      <c r="Q587" s="243"/>
      <c r="R587" s="243"/>
    </row>
    <row r="588" spans="1:18" x14ac:dyDescent="0.2">
      <c r="A588" s="514">
        <v>43188</v>
      </c>
      <c r="B588" s="491">
        <v>254708.73</v>
      </c>
      <c r="C588" s="514"/>
      <c r="D588" s="491"/>
      <c r="F588" s="493">
        <v>44256</v>
      </c>
      <c r="G588" s="494">
        <v>218522.99</v>
      </c>
      <c r="H588" s="601">
        <v>211866.05</v>
      </c>
      <c r="J588" s="493">
        <v>44348</v>
      </c>
      <c r="K588" s="601">
        <v>222449.07</v>
      </c>
      <c r="L588" s="243"/>
      <c r="N588" s="690">
        <f t="shared" si="3"/>
        <v>206796.11045053447</v>
      </c>
      <c r="O588" s="243"/>
      <c r="P588" s="243"/>
      <c r="Q588" s="243"/>
      <c r="R588" s="243"/>
    </row>
    <row r="589" spans="1:18" x14ac:dyDescent="0.2">
      <c r="A589" s="514">
        <v>43189</v>
      </c>
      <c r="B589" s="491">
        <v>281702.86</v>
      </c>
      <c r="C589" s="514"/>
      <c r="D589" s="491"/>
      <c r="F589" s="493">
        <v>44287</v>
      </c>
      <c r="G589" s="494">
        <v>281784.46000000002</v>
      </c>
      <c r="H589" s="601">
        <v>218448.38</v>
      </c>
      <c r="J589" s="493">
        <v>44378</v>
      </c>
      <c r="K589" s="601">
        <v>325177.46999999997</v>
      </c>
      <c r="L589" s="243"/>
      <c r="N589" s="690">
        <f>N$525*N588/12 +N588+100000</f>
        <v>307830.09100278711</v>
      </c>
      <c r="O589" s="243"/>
      <c r="P589" s="243"/>
      <c r="Q589" s="243"/>
      <c r="R589" s="243"/>
    </row>
    <row r="590" spans="1:18" x14ac:dyDescent="0.2">
      <c r="A590" s="514">
        <v>43192</v>
      </c>
      <c r="B590" s="491">
        <v>244220.77</v>
      </c>
      <c r="C590" s="514"/>
      <c r="D590" s="491"/>
      <c r="F590" s="493">
        <v>44317</v>
      </c>
      <c r="G590" s="494">
        <v>231705.38</v>
      </c>
      <c r="H590" s="601">
        <v>222184.92</v>
      </c>
      <c r="J590" s="493">
        <v>44409</v>
      </c>
      <c r="K590" s="601">
        <v>329419.45</v>
      </c>
      <c r="L590" s="243"/>
      <c r="N590" s="690">
        <f t="shared" si="3"/>
        <v>309369.24145780102</v>
      </c>
    </row>
    <row r="591" spans="1:18" x14ac:dyDescent="0.2">
      <c r="A591" s="514">
        <v>43193</v>
      </c>
      <c r="B591" s="491">
        <v>244221</v>
      </c>
      <c r="C591" s="514"/>
      <c r="D591" s="491"/>
      <c r="F591" s="493">
        <v>44348</v>
      </c>
      <c r="G591" s="494">
        <v>254786.13</v>
      </c>
      <c r="H591" s="601">
        <v>222449.07</v>
      </c>
      <c r="J591" s="493">
        <v>44440</v>
      </c>
      <c r="K591" s="601">
        <v>318755.06</v>
      </c>
      <c r="L591" s="243"/>
      <c r="N591" s="690">
        <f t="shared" si="3"/>
        <v>310916.08766509005</v>
      </c>
    </row>
    <row r="592" spans="1:18" x14ac:dyDescent="0.2">
      <c r="A592" s="514">
        <v>43194</v>
      </c>
      <c r="B592" s="491">
        <v>244221</v>
      </c>
      <c r="C592" s="514"/>
      <c r="D592" s="491"/>
      <c r="F592" s="493">
        <v>44378</v>
      </c>
      <c r="G592" s="494">
        <v>323671.89</v>
      </c>
      <c r="H592" s="601">
        <v>325177.46999999997</v>
      </c>
      <c r="J592" s="493">
        <v>44470</v>
      </c>
      <c r="K592" s="601">
        <v>329502.62</v>
      </c>
      <c r="L592" s="243"/>
      <c r="N592" s="690">
        <f t="shared" ref="N592:N596" si="4">N$525*N591/12 +N591</f>
        <v>312470.66810341552</v>
      </c>
    </row>
    <row r="593" spans="1:14" x14ac:dyDescent="0.2">
      <c r="A593" s="514">
        <v>43195</v>
      </c>
      <c r="B593" s="491">
        <v>225503.87</v>
      </c>
      <c r="C593" s="514"/>
      <c r="D593" s="491"/>
      <c r="F593" s="493">
        <v>44409</v>
      </c>
      <c r="G593" s="494">
        <v>334383.06</v>
      </c>
      <c r="H593" s="601">
        <v>329419.45</v>
      </c>
      <c r="J593" s="493">
        <v>44501</v>
      </c>
      <c r="K593" s="601">
        <v>323833.99</v>
      </c>
      <c r="L593" s="243"/>
      <c r="N593" s="690">
        <f t="shared" si="4"/>
        <v>314033.02144393261</v>
      </c>
    </row>
    <row r="594" spans="1:14" x14ac:dyDescent="0.2">
      <c r="A594" s="514">
        <v>43196</v>
      </c>
      <c r="B594" s="491">
        <v>225504</v>
      </c>
      <c r="C594" s="514"/>
      <c r="D594" s="491"/>
      <c r="F594" s="493">
        <v>44440</v>
      </c>
      <c r="G594" s="494">
        <v>325598.5</v>
      </c>
      <c r="H594" s="601">
        <v>318755.06</v>
      </c>
      <c r="J594" s="493">
        <v>44531</v>
      </c>
      <c r="K594" s="601">
        <v>334446.53999999998</v>
      </c>
      <c r="L594" s="243"/>
      <c r="N594" s="690">
        <f t="shared" si="4"/>
        <v>315603.18655115226</v>
      </c>
    </row>
    <row r="595" spans="1:14" x14ac:dyDescent="0.2">
      <c r="A595" s="514">
        <v>43199</v>
      </c>
      <c r="B595" s="491">
        <v>225503.8</v>
      </c>
      <c r="C595" s="514"/>
      <c r="D595" s="491"/>
      <c r="F595" s="493">
        <v>44470</v>
      </c>
      <c r="G595" s="494">
        <v>397934.47</v>
      </c>
      <c r="H595" s="601">
        <v>329502.62</v>
      </c>
      <c r="J595" s="493">
        <v>44562</v>
      </c>
      <c r="K595" s="601">
        <v>323933.77</v>
      </c>
      <c r="L595" s="243"/>
      <c r="N595" s="690">
        <f t="shared" si="4"/>
        <v>317181.20248390804</v>
      </c>
    </row>
    <row r="596" spans="1:14" x14ac:dyDescent="0.2">
      <c r="A596" s="514">
        <v>43200</v>
      </c>
      <c r="B596" s="491">
        <v>227389.96</v>
      </c>
      <c r="C596" s="514"/>
      <c r="D596" s="491"/>
      <c r="F596" s="493">
        <v>44501</v>
      </c>
      <c r="G596" s="494">
        <v>304557.78000000003</v>
      </c>
      <c r="H596" s="601">
        <v>323833.99</v>
      </c>
      <c r="J596" s="493">
        <v>44593</v>
      </c>
      <c r="K596" s="601">
        <v>319586.55</v>
      </c>
      <c r="L596" s="243"/>
      <c r="N596" s="690">
        <f t="shared" si="4"/>
        <v>318767.10849632759</v>
      </c>
    </row>
    <row r="597" spans="1:14" x14ac:dyDescent="0.2">
      <c r="A597" s="514">
        <v>43201</v>
      </c>
      <c r="B597" s="491">
        <v>235472.53</v>
      </c>
      <c r="C597" s="514"/>
      <c r="D597" s="491"/>
      <c r="F597" s="493">
        <v>44531</v>
      </c>
      <c r="G597" s="494">
        <v>339829.81</v>
      </c>
      <c r="H597" s="601">
        <v>334446.53999999998</v>
      </c>
      <c r="J597" s="493">
        <v>44621</v>
      </c>
      <c r="K597" s="601">
        <v>422621.04</v>
      </c>
      <c r="L597" s="243"/>
    </row>
    <row r="598" spans="1:14" x14ac:dyDescent="0.2">
      <c r="A598" s="514">
        <v>43202</v>
      </c>
      <c r="B598" s="491">
        <v>222207.84</v>
      </c>
      <c r="C598" s="514"/>
      <c r="D598" s="491"/>
      <c r="F598" s="493">
        <v>44562</v>
      </c>
      <c r="G598" s="494">
        <v>483670.84</v>
      </c>
      <c r="H598" s="601">
        <v>323933.77</v>
      </c>
      <c r="J598" s="493">
        <v>44652</v>
      </c>
      <c r="K598" s="601">
        <v>399826.35</v>
      </c>
      <c r="L598" s="243"/>
    </row>
    <row r="599" spans="1:14" x14ac:dyDescent="0.2">
      <c r="A599" s="514">
        <v>43203</v>
      </c>
      <c r="B599" s="491">
        <v>222287.93</v>
      </c>
      <c r="C599" s="514"/>
      <c r="D599" s="491"/>
      <c r="F599" s="493">
        <v>44593</v>
      </c>
      <c r="G599" s="494">
        <v>403181.63</v>
      </c>
      <c r="H599" s="601">
        <v>319586.55</v>
      </c>
      <c r="J599" s="493">
        <v>44682</v>
      </c>
      <c r="K599" s="601">
        <v>404182.26</v>
      </c>
      <c r="L599" s="243"/>
    </row>
    <row r="600" spans="1:14" x14ac:dyDescent="0.2">
      <c r="A600" s="514">
        <v>43206</v>
      </c>
      <c r="B600" s="491">
        <v>186664.28</v>
      </c>
      <c r="C600" s="514"/>
      <c r="D600" s="491"/>
      <c r="F600" s="493">
        <v>44621</v>
      </c>
      <c r="G600" s="494">
        <v>315833.28999999998</v>
      </c>
      <c r="H600" s="601">
        <v>422621.04</v>
      </c>
      <c r="J600" s="493">
        <v>44713</v>
      </c>
      <c r="K600" s="601">
        <v>378955.05</v>
      </c>
      <c r="L600" s="243"/>
    </row>
    <row r="601" spans="1:14" x14ac:dyDescent="0.2">
      <c r="A601" s="514">
        <v>43207</v>
      </c>
      <c r="B601" s="491">
        <v>188484.95</v>
      </c>
      <c r="C601" s="514"/>
      <c r="D601" s="491"/>
      <c r="F601" s="493">
        <v>44652</v>
      </c>
      <c r="G601" s="494">
        <v>327170</v>
      </c>
      <c r="H601" s="601">
        <v>399826.35</v>
      </c>
      <c r="J601" s="493">
        <v>44743</v>
      </c>
      <c r="K601" s="601">
        <v>395341.91</v>
      </c>
      <c r="L601" s="243"/>
    </row>
    <row r="602" spans="1:14" x14ac:dyDescent="0.2">
      <c r="A602" s="514">
        <v>43208</v>
      </c>
      <c r="B602" s="491">
        <v>188485</v>
      </c>
      <c r="C602" s="514"/>
      <c r="D602" s="491"/>
      <c r="F602" s="493">
        <v>44682</v>
      </c>
      <c r="G602" s="494">
        <v>246847.16</v>
      </c>
      <c r="H602" s="601">
        <v>404182.26</v>
      </c>
      <c r="J602" s="493">
        <v>44774</v>
      </c>
      <c r="K602" s="601">
        <v>382796.02</v>
      </c>
      <c r="L602" s="243"/>
    </row>
    <row r="603" spans="1:14" x14ac:dyDescent="0.2">
      <c r="A603" s="514">
        <v>43209</v>
      </c>
      <c r="B603" s="491">
        <v>180474.73</v>
      </c>
      <c r="C603" s="514"/>
      <c r="D603" s="491"/>
      <c r="F603" s="493">
        <v>44713</v>
      </c>
      <c r="G603" s="494">
        <v>274391.32</v>
      </c>
      <c r="H603" s="601">
        <v>378955.05</v>
      </c>
      <c r="J603" s="493">
        <v>44805</v>
      </c>
      <c r="K603" s="601">
        <v>357259.36</v>
      </c>
      <c r="L603" s="243"/>
    </row>
    <row r="604" spans="1:14" x14ac:dyDescent="0.2">
      <c r="A604" s="514">
        <v>43210</v>
      </c>
      <c r="B604" s="491">
        <v>188207.38</v>
      </c>
      <c r="C604" s="514"/>
      <c r="D604" s="491"/>
      <c r="F604" s="493">
        <v>44743</v>
      </c>
      <c r="G604" s="494">
        <v>311473.07</v>
      </c>
      <c r="H604" s="601">
        <v>395341.91</v>
      </c>
      <c r="J604" s="493">
        <v>44835</v>
      </c>
      <c r="K604" s="601">
        <v>374993.63</v>
      </c>
      <c r="L604" s="243"/>
    </row>
    <row r="605" spans="1:14" x14ac:dyDescent="0.2">
      <c r="A605" s="514">
        <v>43213</v>
      </c>
      <c r="B605" s="491">
        <v>198618.83</v>
      </c>
      <c r="C605" s="514"/>
      <c r="D605" s="491"/>
      <c r="F605" s="493">
        <v>44774</v>
      </c>
      <c r="G605" s="494">
        <v>246923.1</v>
      </c>
      <c r="H605" s="601">
        <v>382796.02</v>
      </c>
      <c r="J605" s="493">
        <v>44866</v>
      </c>
      <c r="K605" s="601">
        <v>396685.21</v>
      </c>
      <c r="L605" s="243"/>
    </row>
    <row r="606" spans="1:14" x14ac:dyDescent="0.2">
      <c r="A606" s="514">
        <v>43214</v>
      </c>
      <c r="B606" s="491">
        <v>198619</v>
      </c>
      <c r="C606" s="514"/>
      <c r="D606" s="491"/>
      <c r="F606" s="493">
        <v>44805</v>
      </c>
      <c r="G606" s="494">
        <v>214783.77</v>
      </c>
      <c r="H606" s="601">
        <v>357259.36</v>
      </c>
      <c r="J606" s="493">
        <v>44896</v>
      </c>
      <c r="K606" s="601">
        <v>385734.14</v>
      </c>
      <c r="L606" s="243"/>
    </row>
    <row r="607" spans="1:14" x14ac:dyDescent="0.2">
      <c r="A607" s="514">
        <v>43215</v>
      </c>
      <c r="B607" s="491">
        <v>198619</v>
      </c>
      <c r="C607" s="514"/>
      <c r="D607" s="491"/>
      <c r="F607" s="493">
        <v>44835</v>
      </c>
      <c r="G607" s="494">
        <v>264786.40999999997</v>
      </c>
      <c r="H607" s="601">
        <v>374993.63</v>
      </c>
      <c r="J607" s="493">
        <v>44927</v>
      </c>
      <c r="K607" s="601">
        <v>402326.67</v>
      </c>
      <c r="L607" s="243"/>
    </row>
    <row r="608" spans="1:14" x14ac:dyDescent="0.2">
      <c r="A608" s="514">
        <v>43216</v>
      </c>
      <c r="B608" s="491">
        <v>189089.55</v>
      </c>
      <c r="C608" s="514"/>
      <c r="D608" s="491"/>
      <c r="F608" s="493">
        <v>44866</v>
      </c>
      <c r="G608" s="494">
        <v>290727.87</v>
      </c>
      <c r="H608" s="601">
        <v>396685.21</v>
      </c>
      <c r="J608" s="493">
        <v>44958</v>
      </c>
      <c r="K608" s="601">
        <v>390206.58</v>
      </c>
      <c r="L608" s="243"/>
    </row>
    <row r="609" spans="1:12" x14ac:dyDescent="0.2">
      <c r="A609" s="514">
        <v>43217</v>
      </c>
      <c r="B609" s="491">
        <v>216053.77</v>
      </c>
      <c r="C609" s="514"/>
      <c r="D609" s="491"/>
      <c r="F609" s="493">
        <v>44896</v>
      </c>
      <c r="G609" s="494">
        <v>362006.45</v>
      </c>
      <c r="H609" s="601">
        <v>385734.14</v>
      </c>
      <c r="J609" s="493">
        <v>44986</v>
      </c>
      <c r="K609" s="601">
        <v>396440.66</v>
      </c>
      <c r="L609" s="243"/>
    </row>
    <row r="610" spans="1:12" x14ac:dyDescent="0.2">
      <c r="A610" s="514">
        <v>43220</v>
      </c>
      <c r="B610" s="491">
        <v>179849.52</v>
      </c>
      <c r="C610" s="514"/>
      <c r="F610" s="493">
        <v>44927</v>
      </c>
      <c r="G610" s="494">
        <v>494072.83</v>
      </c>
      <c r="H610" s="601">
        <v>402326.67</v>
      </c>
      <c r="J610" s="493">
        <v>45017</v>
      </c>
      <c r="K610" s="601">
        <v>401182.89</v>
      </c>
      <c r="L610" s="243"/>
    </row>
    <row r="611" spans="1:12" x14ac:dyDescent="0.2">
      <c r="A611" s="514">
        <v>43221</v>
      </c>
      <c r="B611" s="491">
        <v>179850</v>
      </c>
      <c r="C611" s="514"/>
      <c r="F611" s="493">
        <v>44958</v>
      </c>
      <c r="G611" s="494">
        <v>399857.44</v>
      </c>
      <c r="H611" s="601">
        <v>390206.58</v>
      </c>
      <c r="J611" s="493">
        <v>45047</v>
      </c>
      <c r="K611" s="601">
        <v>393246.23</v>
      </c>
      <c r="L611" s="243"/>
    </row>
    <row r="612" spans="1:12" x14ac:dyDescent="0.2">
      <c r="A612" s="514">
        <v>43222</v>
      </c>
      <c r="B612" s="491">
        <v>173749.01</v>
      </c>
      <c r="C612" s="514"/>
      <c r="F612" s="493">
        <v>44986</v>
      </c>
      <c r="G612" s="494">
        <v>279188.34999999998</v>
      </c>
      <c r="H612" s="601">
        <v>396440.66</v>
      </c>
      <c r="J612" s="493">
        <v>45078</v>
      </c>
      <c r="K612" s="601">
        <v>408061</v>
      </c>
      <c r="L612" s="243"/>
    </row>
    <row r="613" spans="1:12" x14ac:dyDescent="0.2">
      <c r="A613" s="514">
        <v>43223</v>
      </c>
      <c r="B613" s="491">
        <v>200792.85</v>
      </c>
      <c r="C613" s="514"/>
      <c r="F613" s="493">
        <v>45017</v>
      </c>
      <c r="G613" s="494">
        <v>299247.65000000002</v>
      </c>
      <c r="H613" s="601">
        <v>401182.89</v>
      </c>
      <c r="K613" s="680"/>
      <c r="L613" s="243"/>
    </row>
    <row r="614" spans="1:12" x14ac:dyDescent="0.2">
      <c r="A614" s="514">
        <v>43224</v>
      </c>
      <c r="B614" s="491">
        <v>202331.91</v>
      </c>
      <c r="C614" s="514"/>
      <c r="F614" s="493">
        <v>45047</v>
      </c>
      <c r="G614" s="494">
        <v>215276.77</v>
      </c>
      <c r="H614" s="601">
        <v>393246.23</v>
      </c>
      <c r="K614" s="680"/>
      <c r="L614" s="243"/>
    </row>
    <row r="615" spans="1:12" x14ac:dyDescent="0.2">
      <c r="A615" s="514">
        <v>43227</v>
      </c>
      <c r="B615" s="491">
        <v>203517.87</v>
      </c>
      <c r="C615" s="514"/>
      <c r="F615" s="493">
        <v>45078</v>
      </c>
      <c r="G615" s="494">
        <v>288792.5</v>
      </c>
      <c r="H615" s="601">
        <v>408061</v>
      </c>
      <c r="K615" s="680"/>
      <c r="L615" s="243"/>
    </row>
    <row r="616" spans="1:12" x14ac:dyDescent="0.2">
      <c r="A616" s="514">
        <v>43228</v>
      </c>
      <c r="B616" s="491">
        <v>203518</v>
      </c>
      <c r="C616" s="514"/>
      <c r="L616" s="243"/>
    </row>
    <row r="617" spans="1:12" x14ac:dyDescent="0.2">
      <c r="A617" s="514">
        <v>43229</v>
      </c>
      <c r="B617" s="491">
        <v>203518</v>
      </c>
      <c r="C617" s="514"/>
      <c r="L617" s="243"/>
    </row>
    <row r="618" spans="1:12" x14ac:dyDescent="0.2">
      <c r="A618" s="514">
        <v>43230</v>
      </c>
      <c r="B618" s="491">
        <v>191114.58</v>
      </c>
      <c r="C618" s="514"/>
      <c r="L618" s="243"/>
    </row>
    <row r="619" spans="1:12" x14ac:dyDescent="0.2">
      <c r="A619" s="514">
        <v>43231</v>
      </c>
      <c r="B619" s="549">
        <v>153114.57999999999</v>
      </c>
      <c r="C619" s="514"/>
      <c r="D619" s="491"/>
      <c r="F619" t="s">
        <v>392</v>
      </c>
      <c r="L619" s="243"/>
    </row>
    <row r="620" spans="1:12" x14ac:dyDescent="0.2">
      <c r="A620" s="514">
        <v>43234</v>
      </c>
      <c r="B620" s="549">
        <v>153115</v>
      </c>
      <c r="C620" s="514"/>
      <c r="D620" s="491"/>
      <c r="F620" t="s">
        <v>358</v>
      </c>
      <c r="G620">
        <v>50000</v>
      </c>
      <c r="L620" s="243"/>
    </row>
    <row r="621" spans="1:12" x14ac:dyDescent="0.2">
      <c r="A621" s="514">
        <v>43235</v>
      </c>
      <c r="B621" s="491">
        <v>182792.08</v>
      </c>
      <c r="C621" s="514"/>
      <c r="D621" s="491"/>
      <c r="F621" t="s">
        <v>70</v>
      </c>
      <c r="G621" s="550">
        <v>158720.91</v>
      </c>
      <c r="H621" t="s">
        <v>351</v>
      </c>
      <c r="L621" s="243"/>
    </row>
    <row r="622" spans="1:12" x14ac:dyDescent="0.2">
      <c r="A622" s="514">
        <v>43236</v>
      </c>
      <c r="B622" s="491">
        <v>182792</v>
      </c>
      <c r="C622" s="514"/>
      <c r="D622" s="491"/>
      <c r="F622" t="s">
        <v>348</v>
      </c>
      <c r="G622" s="550">
        <v>820788.58</v>
      </c>
      <c r="L622" s="243"/>
    </row>
    <row r="623" spans="1:12" x14ac:dyDescent="0.2">
      <c r="A623" s="514">
        <v>43237</v>
      </c>
      <c r="B623" s="491">
        <v>222152.66</v>
      </c>
      <c r="C623" s="514"/>
      <c r="D623" s="491"/>
      <c r="F623" t="s">
        <v>325</v>
      </c>
      <c r="G623" s="550"/>
      <c r="L623" s="243"/>
    </row>
    <row r="624" spans="1:12" x14ac:dyDescent="0.2">
      <c r="A624" s="514">
        <v>43238</v>
      </c>
      <c r="B624" s="491">
        <v>222153</v>
      </c>
      <c r="C624" s="514"/>
      <c r="D624" s="491"/>
      <c r="F624" t="s">
        <v>349</v>
      </c>
      <c r="G624" s="550">
        <v>248821.26</v>
      </c>
      <c r="L624" s="243"/>
    </row>
    <row r="625" spans="1:12" x14ac:dyDescent="0.2">
      <c r="A625" s="514">
        <v>43241</v>
      </c>
      <c r="B625" s="491">
        <v>222153</v>
      </c>
      <c r="C625" s="514"/>
      <c r="D625" s="491"/>
      <c r="F625" t="s">
        <v>350</v>
      </c>
      <c r="G625" s="550">
        <v>2000</v>
      </c>
      <c r="L625" s="243"/>
    </row>
    <row r="626" spans="1:12" x14ac:dyDescent="0.2">
      <c r="A626" s="514">
        <v>43242</v>
      </c>
      <c r="B626" s="491">
        <v>222153</v>
      </c>
      <c r="C626" s="514"/>
      <c r="D626" s="491"/>
      <c r="F626" t="s">
        <v>356</v>
      </c>
      <c r="G626" s="550">
        <f>51000+19000</f>
        <v>70000</v>
      </c>
      <c r="L626" s="243"/>
    </row>
    <row r="627" spans="1:12" x14ac:dyDescent="0.2">
      <c r="A627" s="514">
        <v>43243</v>
      </c>
      <c r="B627" s="491">
        <v>222152</v>
      </c>
      <c r="C627" s="514"/>
      <c r="D627" s="491"/>
      <c r="E627" t="s">
        <v>352</v>
      </c>
      <c r="G627" s="550">
        <f>SUM(G620:G626)</f>
        <v>1350330.75</v>
      </c>
      <c r="L627" s="243"/>
    </row>
    <row r="628" spans="1:12" x14ac:dyDescent="0.2">
      <c r="A628" s="514">
        <v>43244</v>
      </c>
      <c r="B628" s="491">
        <v>211720.43</v>
      </c>
      <c r="C628" s="514"/>
      <c r="D628" s="491"/>
      <c r="G628" s="550"/>
    </row>
    <row r="629" spans="1:12" x14ac:dyDescent="0.2">
      <c r="A629" s="514">
        <v>43245</v>
      </c>
      <c r="B629" s="491">
        <v>211720</v>
      </c>
      <c r="C629" s="514"/>
      <c r="D629" s="491"/>
      <c r="E629" t="s">
        <v>353</v>
      </c>
      <c r="G629" s="550">
        <f>AVERAGE(G561:G573)</f>
        <v>264939.10923076922</v>
      </c>
    </row>
    <row r="630" spans="1:12" x14ac:dyDescent="0.2">
      <c r="A630" s="514">
        <v>43248</v>
      </c>
      <c r="B630" s="491">
        <v>211720</v>
      </c>
      <c r="C630" s="514"/>
      <c r="D630" s="491"/>
      <c r="G630" s="550"/>
    </row>
    <row r="631" spans="1:12" x14ac:dyDescent="0.2">
      <c r="A631" s="514">
        <v>43249</v>
      </c>
      <c r="B631" s="491">
        <v>176327.95</v>
      </c>
      <c r="C631" s="514"/>
      <c r="D631" s="491"/>
      <c r="E631" t="s">
        <v>354</v>
      </c>
      <c r="G631" s="551">
        <f>G627/G629</f>
        <v>5.0967588511963511</v>
      </c>
    </row>
    <row r="632" spans="1:12" x14ac:dyDescent="0.2">
      <c r="A632" s="514">
        <v>43250</v>
      </c>
      <c r="B632" s="491">
        <v>176328</v>
      </c>
      <c r="C632" s="514"/>
      <c r="D632" s="491"/>
      <c r="G632" s="550"/>
    </row>
    <row r="633" spans="1:12" x14ac:dyDescent="0.2">
      <c r="A633" s="514">
        <v>43251</v>
      </c>
      <c r="B633" s="491">
        <v>169004.5</v>
      </c>
      <c r="C633" s="514"/>
      <c r="D633" s="491"/>
      <c r="E633" t="s">
        <v>355</v>
      </c>
      <c r="G633" s="550">
        <v>365</v>
      </c>
    </row>
    <row r="634" spans="1:12" x14ac:dyDescent="0.2">
      <c r="A634" s="514">
        <v>43252</v>
      </c>
      <c r="B634" s="491">
        <v>261992.26</v>
      </c>
      <c r="C634" s="514"/>
      <c r="D634" s="491"/>
      <c r="G634" s="550">
        <f>G633/G631</f>
        <v>71.614139624111189</v>
      </c>
    </row>
    <row r="635" spans="1:12" x14ac:dyDescent="0.2">
      <c r="A635" s="514">
        <v>43255</v>
      </c>
      <c r="B635" s="491">
        <v>270521.09000000003</v>
      </c>
      <c r="C635" s="514"/>
      <c r="D635" s="491"/>
    </row>
    <row r="636" spans="1:12" x14ac:dyDescent="0.2">
      <c r="A636" s="514">
        <v>43256</v>
      </c>
      <c r="B636" s="491">
        <v>285365.09000000003</v>
      </c>
      <c r="C636" s="514"/>
      <c r="D636" s="491"/>
    </row>
    <row r="637" spans="1:12" x14ac:dyDescent="0.2">
      <c r="A637" s="514">
        <v>43257</v>
      </c>
      <c r="B637" s="491">
        <v>285365</v>
      </c>
      <c r="C637" s="514"/>
      <c r="D637" s="491"/>
    </row>
    <row r="638" spans="1:12" x14ac:dyDescent="0.2">
      <c r="A638" s="514">
        <v>43258</v>
      </c>
      <c r="B638" s="491">
        <v>287246.65999999997</v>
      </c>
      <c r="C638" s="514"/>
      <c r="D638" s="491"/>
    </row>
    <row r="639" spans="1:12" x14ac:dyDescent="0.2">
      <c r="A639" s="514">
        <v>43259</v>
      </c>
      <c r="B639" s="491">
        <v>287247</v>
      </c>
      <c r="C639" s="514"/>
      <c r="D639" s="491"/>
    </row>
    <row r="640" spans="1:12" x14ac:dyDescent="0.2">
      <c r="A640" s="514">
        <v>43262</v>
      </c>
      <c r="B640" s="491">
        <v>287247</v>
      </c>
      <c r="C640" s="514"/>
      <c r="D640" s="491"/>
    </row>
    <row r="641" spans="1:4" x14ac:dyDescent="0.2">
      <c r="A641" s="514">
        <v>43263</v>
      </c>
      <c r="B641" s="491">
        <v>253042.79</v>
      </c>
      <c r="C641" s="514"/>
      <c r="D641" s="491"/>
    </row>
    <row r="642" spans="1:4" x14ac:dyDescent="0.2">
      <c r="A642" s="514">
        <v>43264</v>
      </c>
      <c r="B642" s="491">
        <v>253043</v>
      </c>
      <c r="C642" s="514"/>
      <c r="D642" s="491"/>
    </row>
    <row r="643" spans="1:4" x14ac:dyDescent="0.2">
      <c r="A643" s="514">
        <v>43265</v>
      </c>
      <c r="B643" s="491">
        <v>246521.36</v>
      </c>
      <c r="C643" s="514"/>
      <c r="D643" s="491"/>
    </row>
    <row r="644" spans="1:4" x14ac:dyDescent="0.2">
      <c r="A644" s="514">
        <v>43266</v>
      </c>
      <c r="B644" s="491">
        <v>246593.56</v>
      </c>
      <c r="C644" s="514"/>
      <c r="D644" s="491"/>
    </row>
    <row r="645" spans="1:4" x14ac:dyDescent="0.2">
      <c r="A645" s="514">
        <v>43269</v>
      </c>
      <c r="B645" s="491">
        <v>246594</v>
      </c>
      <c r="C645" s="514"/>
      <c r="D645" s="491"/>
    </row>
    <row r="646" spans="1:4" x14ac:dyDescent="0.2">
      <c r="A646" s="514">
        <v>43270</v>
      </c>
      <c r="B646" s="491">
        <v>246594</v>
      </c>
      <c r="C646" s="514"/>
      <c r="D646" s="491"/>
    </row>
    <row r="647" spans="1:4" x14ac:dyDescent="0.2">
      <c r="A647" s="514">
        <v>43271</v>
      </c>
      <c r="B647" s="491">
        <v>246594</v>
      </c>
      <c r="C647" s="514"/>
      <c r="D647" s="491"/>
    </row>
    <row r="648" spans="1:4" x14ac:dyDescent="0.2">
      <c r="A648" s="514">
        <v>43272</v>
      </c>
      <c r="B648" s="491">
        <v>228395.48</v>
      </c>
      <c r="C648" s="514"/>
      <c r="D648" s="491"/>
    </row>
    <row r="649" spans="1:4" x14ac:dyDescent="0.2">
      <c r="A649" s="514">
        <v>43273</v>
      </c>
      <c r="B649" s="491">
        <v>228395</v>
      </c>
      <c r="C649" s="514"/>
      <c r="D649" s="491"/>
    </row>
    <row r="650" spans="1:4" x14ac:dyDescent="0.2">
      <c r="A650" s="514">
        <v>43276</v>
      </c>
      <c r="B650" s="491">
        <v>192627.9</v>
      </c>
      <c r="C650" s="514"/>
      <c r="D650" s="491"/>
    </row>
    <row r="651" spans="1:4" x14ac:dyDescent="0.2">
      <c r="A651" s="514">
        <v>43277</v>
      </c>
      <c r="B651" s="491">
        <v>192628</v>
      </c>
      <c r="C651" s="514"/>
      <c r="D651" s="491"/>
    </row>
    <row r="652" spans="1:4" x14ac:dyDescent="0.2">
      <c r="A652" s="514">
        <v>43278</v>
      </c>
      <c r="B652" s="491">
        <v>192628</v>
      </c>
      <c r="C652" s="514"/>
      <c r="D652" s="491"/>
    </row>
    <row r="653" spans="1:4" x14ac:dyDescent="0.2">
      <c r="A653" s="514">
        <v>43279</v>
      </c>
      <c r="B653" s="491">
        <v>193904.61</v>
      </c>
      <c r="C653" s="514"/>
      <c r="D653" s="491"/>
    </row>
    <row r="654" spans="1:4" x14ac:dyDescent="0.2">
      <c r="A654" s="514">
        <v>43280</v>
      </c>
      <c r="B654" s="491">
        <v>195328.48</v>
      </c>
      <c r="C654" s="514"/>
      <c r="D654" s="491"/>
    </row>
    <row r="655" spans="1:4" x14ac:dyDescent="0.2">
      <c r="A655" s="514">
        <v>43283</v>
      </c>
      <c r="B655" s="491">
        <v>199304.09</v>
      </c>
      <c r="C655" s="514"/>
      <c r="D655" s="491"/>
    </row>
    <row r="656" spans="1:4" x14ac:dyDescent="0.2">
      <c r="A656" s="514">
        <v>43284</v>
      </c>
      <c r="B656" s="491">
        <v>201071.11</v>
      </c>
      <c r="C656" s="514"/>
      <c r="D656" s="491"/>
    </row>
    <row r="657" spans="1:4" x14ac:dyDescent="0.2">
      <c r="A657" s="514">
        <v>43285</v>
      </c>
      <c r="B657" s="491">
        <v>201071</v>
      </c>
      <c r="C657" s="514"/>
      <c r="D657" s="491"/>
    </row>
    <row r="658" spans="1:4" x14ac:dyDescent="0.2">
      <c r="A658" s="514">
        <v>43286</v>
      </c>
      <c r="B658" s="491">
        <v>223298.16</v>
      </c>
      <c r="C658" s="514"/>
      <c r="D658" s="491"/>
    </row>
    <row r="659" spans="1:4" x14ac:dyDescent="0.2">
      <c r="A659" s="514">
        <v>43287</v>
      </c>
      <c r="B659" s="491">
        <v>238962.66</v>
      </c>
      <c r="C659" s="514"/>
      <c r="D659" s="491"/>
    </row>
    <row r="660" spans="1:4" x14ac:dyDescent="0.2">
      <c r="A660" s="514">
        <v>43290</v>
      </c>
      <c r="B660" s="491">
        <v>203086.22</v>
      </c>
      <c r="C660" s="514"/>
      <c r="D660" s="491"/>
    </row>
    <row r="661" spans="1:4" x14ac:dyDescent="0.2">
      <c r="A661" s="514">
        <v>43291</v>
      </c>
      <c r="B661" s="491">
        <v>226930.31</v>
      </c>
      <c r="C661" s="514"/>
      <c r="D661" s="491"/>
    </row>
    <row r="662" spans="1:4" x14ac:dyDescent="0.2">
      <c r="A662" s="514">
        <v>43292</v>
      </c>
      <c r="B662" s="491">
        <v>226930</v>
      </c>
      <c r="C662" s="514"/>
      <c r="D662" s="491"/>
    </row>
    <row r="663" spans="1:4" x14ac:dyDescent="0.2">
      <c r="A663" s="514">
        <v>43293</v>
      </c>
      <c r="B663" s="491">
        <v>220822.05</v>
      </c>
      <c r="C663" s="514"/>
      <c r="D663" s="491"/>
    </row>
    <row r="664" spans="1:4" x14ac:dyDescent="0.2">
      <c r="A664" s="514">
        <v>43294</v>
      </c>
      <c r="B664" s="491">
        <v>220986.35</v>
      </c>
      <c r="C664" s="514"/>
      <c r="D664" s="491"/>
    </row>
    <row r="665" spans="1:4" x14ac:dyDescent="0.2">
      <c r="A665" s="514">
        <v>43297</v>
      </c>
      <c r="B665" s="491">
        <v>220986</v>
      </c>
      <c r="C665" s="514"/>
      <c r="D665" s="491"/>
    </row>
    <row r="666" spans="1:4" x14ac:dyDescent="0.2">
      <c r="A666" s="514">
        <v>43298</v>
      </c>
      <c r="B666" s="491">
        <v>220986</v>
      </c>
      <c r="C666" s="514"/>
      <c r="D666" s="491"/>
    </row>
    <row r="667" spans="1:4" x14ac:dyDescent="0.2">
      <c r="A667" s="514">
        <v>43299</v>
      </c>
      <c r="B667" s="491">
        <v>197995.27</v>
      </c>
      <c r="C667" s="514"/>
      <c r="D667" s="491"/>
    </row>
    <row r="668" spans="1:4" x14ac:dyDescent="0.2">
      <c r="A668" s="514">
        <v>43300</v>
      </c>
      <c r="B668" s="491">
        <v>202931.61</v>
      </c>
      <c r="C668" s="514"/>
      <c r="D668" s="491"/>
    </row>
    <row r="669" spans="1:4" x14ac:dyDescent="0.2">
      <c r="A669" s="514">
        <v>43301</v>
      </c>
      <c r="B669" s="491">
        <v>202932</v>
      </c>
      <c r="C669" s="514"/>
      <c r="D669" s="491"/>
    </row>
    <row r="670" spans="1:4" x14ac:dyDescent="0.2">
      <c r="A670" s="514">
        <v>43304</v>
      </c>
      <c r="B670" s="491">
        <v>167839.6</v>
      </c>
      <c r="C670" s="514"/>
      <c r="D670" s="491"/>
    </row>
    <row r="671" spans="1:4" x14ac:dyDescent="0.2">
      <c r="A671" s="514">
        <v>43305</v>
      </c>
      <c r="B671" s="491">
        <v>167840</v>
      </c>
      <c r="C671" s="514"/>
      <c r="D671" s="491"/>
    </row>
    <row r="672" spans="1:4" x14ac:dyDescent="0.2">
      <c r="A672" s="514">
        <v>43306</v>
      </c>
      <c r="B672" s="491">
        <v>167840</v>
      </c>
      <c r="C672" s="514"/>
      <c r="D672" s="491"/>
    </row>
    <row r="673" spans="1:4" x14ac:dyDescent="0.2">
      <c r="A673" s="514">
        <v>43307</v>
      </c>
      <c r="B673" s="491">
        <v>180485.58</v>
      </c>
      <c r="C673" s="514"/>
      <c r="D673" s="491"/>
    </row>
    <row r="674" spans="1:4" x14ac:dyDescent="0.2">
      <c r="A674" s="514">
        <v>43308</v>
      </c>
      <c r="B674" s="491">
        <v>205676.09</v>
      </c>
      <c r="C674" s="514"/>
      <c r="D674" s="491"/>
    </row>
    <row r="675" spans="1:4" x14ac:dyDescent="0.2">
      <c r="A675" s="514">
        <v>43311</v>
      </c>
      <c r="B675" s="491">
        <v>199229.46</v>
      </c>
      <c r="C675" s="514"/>
      <c r="D675" s="491"/>
    </row>
    <row r="676" spans="1:4" x14ac:dyDescent="0.2">
      <c r="A676" s="514">
        <v>43312</v>
      </c>
      <c r="B676" s="491">
        <v>199612.46</v>
      </c>
      <c r="C676" s="514"/>
      <c r="D676" s="491"/>
    </row>
    <row r="677" spans="1:4" x14ac:dyDescent="0.2">
      <c r="A677" s="514">
        <v>43313</v>
      </c>
      <c r="B677" s="491">
        <v>327321.84000000003</v>
      </c>
      <c r="C677" s="514"/>
      <c r="D677" s="491"/>
    </row>
    <row r="678" spans="1:4" x14ac:dyDescent="0.2">
      <c r="A678" s="514">
        <v>43314</v>
      </c>
      <c r="B678" s="491">
        <v>328551.67</v>
      </c>
      <c r="C678" s="514"/>
      <c r="D678" s="491"/>
    </row>
    <row r="679" spans="1:4" x14ac:dyDescent="0.2">
      <c r="A679" s="514">
        <v>43315</v>
      </c>
      <c r="B679" s="491">
        <v>328552</v>
      </c>
      <c r="C679" s="514"/>
      <c r="D679" s="491"/>
    </row>
    <row r="680" spans="1:4" x14ac:dyDescent="0.2">
      <c r="A680" s="514">
        <v>43318</v>
      </c>
      <c r="B680" s="491">
        <v>293600.95</v>
      </c>
      <c r="C680" s="514"/>
      <c r="D680" s="491"/>
    </row>
    <row r="681" spans="1:4" x14ac:dyDescent="0.2">
      <c r="A681" s="514">
        <v>43319</v>
      </c>
      <c r="B681" s="491">
        <v>298153.56</v>
      </c>
      <c r="C681" s="514"/>
      <c r="D681" s="491"/>
    </row>
    <row r="682" spans="1:4" x14ac:dyDescent="0.2">
      <c r="A682" s="514">
        <v>43320</v>
      </c>
      <c r="B682" s="491">
        <v>298154</v>
      </c>
      <c r="C682" s="514"/>
      <c r="D682" s="491"/>
    </row>
    <row r="683" spans="1:4" x14ac:dyDescent="0.2">
      <c r="A683" s="514">
        <v>43321</v>
      </c>
      <c r="B683" s="491">
        <v>294180.65999999997</v>
      </c>
      <c r="C683" s="514"/>
      <c r="D683" s="491"/>
    </row>
    <row r="684" spans="1:4" x14ac:dyDescent="0.2">
      <c r="A684" s="514">
        <v>43322</v>
      </c>
      <c r="B684" s="491">
        <v>294181</v>
      </c>
      <c r="C684" s="514"/>
      <c r="D684" s="491"/>
    </row>
    <row r="685" spans="1:4" x14ac:dyDescent="0.2">
      <c r="A685" s="514">
        <v>43325</v>
      </c>
      <c r="B685" s="491">
        <v>294679.65999999997</v>
      </c>
      <c r="C685" s="514"/>
      <c r="D685" s="491"/>
    </row>
    <row r="686" spans="1:4" x14ac:dyDescent="0.2">
      <c r="A686" s="514">
        <v>43326</v>
      </c>
      <c r="B686" s="491">
        <v>294680</v>
      </c>
      <c r="C686" s="514"/>
      <c r="D686" s="491"/>
    </row>
    <row r="687" spans="1:4" x14ac:dyDescent="0.2">
      <c r="A687" s="514">
        <v>43327</v>
      </c>
      <c r="B687" s="491">
        <v>294761.65000000002</v>
      </c>
      <c r="C687" s="514"/>
      <c r="D687" s="491"/>
    </row>
    <row r="688" spans="1:4" x14ac:dyDescent="0.2">
      <c r="A688" s="514">
        <v>43328</v>
      </c>
      <c r="B688" s="491">
        <v>290632.52</v>
      </c>
      <c r="C688" s="514"/>
      <c r="D688" s="491"/>
    </row>
    <row r="689" spans="1:4" x14ac:dyDescent="0.2">
      <c r="A689" s="514">
        <v>43329</v>
      </c>
      <c r="B689" s="491">
        <v>290633</v>
      </c>
      <c r="C689" s="514"/>
      <c r="D689" s="491"/>
    </row>
    <row r="690" spans="1:4" x14ac:dyDescent="0.2">
      <c r="A690" s="514">
        <v>43332</v>
      </c>
      <c r="B690" s="491">
        <v>254427.11</v>
      </c>
      <c r="C690" s="514"/>
      <c r="D690" s="491"/>
    </row>
    <row r="691" spans="1:4" x14ac:dyDescent="0.2">
      <c r="A691" s="514">
        <v>43333</v>
      </c>
      <c r="B691" s="491">
        <v>255823.93</v>
      </c>
      <c r="C691" s="514"/>
      <c r="D691" s="491"/>
    </row>
    <row r="692" spans="1:4" x14ac:dyDescent="0.2">
      <c r="A692" s="514">
        <v>43334</v>
      </c>
      <c r="B692" s="491">
        <v>255419.13</v>
      </c>
      <c r="C692" s="514"/>
      <c r="D692" s="491"/>
    </row>
    <row r="693" spans="1:4" x14ac:dyDescent="0.2">
      <c r="A693" s="514">
        <v>43335</v>
      </c>
      <c r="B693" s="491">
        <v>272759.37</v>
      </c>
      <c r="C693" s="514"/>
      <c r="D693" s="491"/>
    </row>
    <row r="694" spans="1:4" x14ac:dyDescent="0.2">
      <c r="A694" s="514">
        <v>43336</v>
      </c>
      <c r="B694" s="491">
        <v>272846.37</v>
      </c>
      <c r="C694" s="514"/>
      <c r="D694" s="491"/>
    </row>
    <row r="695" spans="1:4" x14ac:dyDescent="0.2">
      <c r="A695" s="514">
        <v>43339</v>
      </c>
      <c r="B695" s="491">
        <v>272846</v>
      </c>
      <c r="C695" s="514"/>
      <c r="D695" s="491"/>
    </row>
    <row r="696" spans="1:4" x14ac:dyDescent="0.2">
      <c r="A696" s="514">
        <v>43340</v>
      </c>
      <c r="B696" s="491">
        <v>272846</v>
      </c>
      <c r="C696" s="514"/>
      <c r="D696" s="491"/>
    </row>
    <row r="697" spans="1:4" x14ac:dyDescent="0.2">
      <c r="A697" s="514">
        <v>43341</v>
      </c>
      <c r="B697" s="491">
        <v>276622.58</v>
      </c>
      <c r="C697" s="514"/>
      <c r="D697" s="491"/>
    </row>
    <row r="698" spans="1:4" x14ac:dyDescent="0.2">
      <c r="A698" s="514">
        <v>43342</v>
      </c>
      <c r="B698" s="491">
        <v>276623</v>
      </c>
      <c r="C698" s="514"/>
      <c r="D698" s="491"/>
    </row>
    <row r="699" spans="1:4" x14ac:dyDescent="0.2">
      <c r="A699" s="514">
        <v>43343</v>
      </c>
      <c r="B699" s="491">
        <v>276773.33</v>
      </c>
      <c r="C699" s="514"/>
      <c r="D699" s="491"/>
    </row>
    <row r="700" spans="1:4" x14ac:dyDescent="0.2">
      <c r="A700" s="514">
        <v>43346</v>
      </c>
      <c r="B700" s="491">
        <v>276773</v>
      </c>
      <c r="C700" s="514"/>
      <c r="D700" s="491"/>
    </row>
    <row r="701" spans="1:4" x14ac:dyDescent="0.2">
      <c r="A701" s="514">
        <v>43347</v>
      </c>
      <c r="B701" s="491">
        <v>240090.56</v>
      </c>
      <c r="C701" s="514"/>
      <c r="D701" s="491"/>
    </row>
    <row r="702" spans="1:4" x14ac:dyDescent="0.2">
      <c r="A702" s="514">
        <v>43348</v>
      </c>
      <c r="B702" s="491">
        <v>240091</v>
      </c>
      <c r="C702" s="514"/>
      <c r="D702" s="491"/>
    </row>
    <row r="703" spans="1:4" x14ac:dyDescent="0.2">
      <c r="A703" s="514">
        <v>43349</v>
      </c>
      <c r="B703" s="491">
        <v>237779.31</v>
      </c>
      <c r="C703" s="514"/>
      <c r="D703" s="491"/>
    </row>
    <row r="704" spans="1:4" x14ac:dyDescent="0.2">
      <c r="A704" s="514">
        <v>43350</v>
      </c>
      <c r="B704" s="491">
        <v>237779</v>
      </c>
      <c r="C704" s="514"/>
      <c r="D704" s="491"/>
    </row>
    <row r="705" spans="1:4" x14ac:dyDescent="0.2">
      <c r="A705" s="514">
        <v>43353</v>
      </c>
      <c r="B705" s="491">
        <v>243552.34</v>
      </c>
      <c r="C705" s="514"/>
      <c r="D705" s="491"/>
    </row>
    <row r="706" spans="1:4" x14ac:dyDescent="0.2">
      <c r="A706" s="514">
        <v>43354</v>
      </c>
      <c r="B706" s="491">
        <v>243552</v>
      </c>
      <c r="C706" s="514"/>
      <c r="D706" s="491"/>
    </row>
    <row r="707" spans="1:4" x14ac:dyDescent="0.2">
      <c r="A707" s="514">
        <v>43355</v>
      </c>
      <c r="B707" s="491">
        <v>243552</v>
      </c>
      <c r="C707" s="514"/>
      <c r="D707" s="491"/>
    </row>
    <row r="708" spans="1:4" x14ac:dyDescent="0.2">
      <c r="A708" s="514">
        <v>43356</v>
      </c>
      <c r="B708" s="491">
        <v>266009.96000000002</v>
      </c>
      <c r="C708" s="514"/>
      <c r="D708" s="491"/>
    </row>
    <row r="709" spans="1:4" x14ac:dyDescent="0.2">
      <c r="A709" s="514">
        <v>43357</v>
      </c>
      <c r="B709" s="491">
        <v>266087.59999999998</v>
      </c>
      <c r="C709" s="514"/>
      <c r="D709" s="491"/>
    </row>
    <row r="710" spans="1:4" x14ac:dyDescent="0.2">
      <c r="A710" s="514">
        <v>43360</v>
      </c>
      <c r="B710" s="491">
        <v>229939.6</v>
      </c>
      <c r="C710" s="514"/>
      <c r="D710" s="491"/>
    </row>
    <row r="711" spans="1:4" x14ac:dyDescent="0.2">
      <c r="A711" s="514">
        <v>43361</v>
      </c>
      <c r="B711" s="491">
        <v>229940</v>
      </c>
      <c r="C711" s="514"/>
      <c r="D711" s="491"/>
    </row>
    <row r="712" spans="1:4" x14ac:dyDescent="0.2">
      <c r="A712" s="514">
        <v>43362</v>
      </c>
      <c r="B712" s="491">
        <v>229940</v>
      </c>
      <c r="C712" s="514"/>
      <c r="D712" s="491"/>
    </row>
    <row r="713" spans="1:4" x14ac:dyDescent="0.2">
      <c r="A713" s="514">
        <v>43363</v>
      </c>
      <c r="B713" s="491">
        <v>226983.82</v>
      </c>
      <c r="C713" s="514"/>
      <c r="D713" s="491"/>
    </row>
    <row r="714" spans="1:4" x14ac:dyDescent="0.2">
      <c r="A714" s="514">
        <v>43364</v>
      </c>
      <c r="B714" s="491">
        <v>226983.82</v>
      </c>
      <c r="C714" s="514"/>
      <c r="D714" s="491"/>
    </row>
    <row r="715" spans="1:4" x14ac:dyDescent="0.2">
      <c r="A715" s="514">
        <v>43367</v>
      </c>
      <c r="B715" s="491">
        <v>231167.41</v>
      </c>
      <c r="C715" s="514"/>
      <c r="D715" s="491"/>
    </row>
    <row r="716" spans="1:4" x14ac:dyDescent="0.2">
      <c r="A716" s="514">
        <v>43368</v>
      </c>
      <c r="B716" s="491">
        <v>231298.26</v>
      </c>
      <c r="C716" s="514"/>
      <c r="D716" s="491"/>
    </row>
    <row r="717" spans="1:4" x14ac:dyDescent="0.2">
      <c r="A717" s="514">
        <v>43369</v>
      </c>
      <c r="B717" s="491">
        <v>231298</v>
      </c>
      <c r="C717" s="514"/>
      <c r="D717" s="491"/>
    </row>
    <row r="718" spans="1:4" x14ac:dyDescent="0.2">
      <c r="A718" s="514">
        <v>43370</v>
      </c>
      <c r="B718" s="491">
        <v>218195.44</v>
      </c>
      <c r="C718" s="514"/>
      <c r="D718" s="491"/>
    </row>
    <row r="719" spans="1:4" x14ac:dyDescent="0.2">
      <c r="A719" s="514">
        <v>43371</v>
      </c>
      <c r="B719" s="491">
        <v>218195</v>
      </c>
      <c r="C719" s="514"/>
      <c r="D719" s="491"/>
    </row>
    <row r="720" spans="1:4" x14ac:dyDescent="0.2">
      <c r="A720" s="514">
        <v>43374</v>
      </c>
      <c r="B720" s="491">
        <v>181738.47</v>
      </c>
      <c r="C720" s="514"/>
      <c r="D720" s="491"/>
    </row>
    <row r="721" spans="1:4" x14ac:dyDescent="0.2">
      <c r="A721" s="514">
        <v>43375</v>
      </c>
      <c r="B721" s="491">
        <v>175674.86</v>
      </c>
      <c r="C721" s="514"/>
      <c r="D721" s="491"/>
    </row>
    <row r="722" spans="1:4" x14ac:dyDescent="0.2">
      <c r="A722" s="514">
        <v>43376</v>
      </c>
      <c r="B722" s="491">
        <v>175890.11</v>
      </c>
      <c r="C722" s="514"/>
      <c r="D722" s="491"/>
    </row>
    <row r="723" spans="1:4" x14ac:dyDescent="0.2">
      <c r="A723" s="514">
        <v>43377</v>
      </c>
      <c r="B723" s="491">
        <v>176908.84</v>
      </c>
      <c r="C723" s="514"/>
      <c r="D723" s="491"/>
    </row>
    <row r="724" spans="1:4" x14ac:dyDescent="0.2">
      <c r="A724" s="514">
        <v>43378</v>
      </c>
      <c r="B724" s="491">
        <v>176909</v>
      </c>
      <c r="C724" s="514"/>
      <c r="D724" s="491"/>
    </row>
    <row r="725" spans="1:4" x14ac:dyDescent="0.2">
      <c r="A725" s="514">
        <v>43381</v>
      </c>
      <c r="B725" s="491">
        <v>176909</v>
      </c>
      <c r="C725" s="514"/>
      <c r="D725" s="491"/>
    </row>
    <row r="726" spans="1:4" x14ac:dyDescent="0.2">
      <c r="A726" s="514">
        <v>43382</v>
      </c>
      <c r="B726" s="491">
        <v>226038.22</v>
      </c>
      <c r="C726" s="514"/>
      <c r="D726" s="491"/>
    </row>
    <row r="727" spans="1:4" x14ac:dyDescent="0.2">
      <c r="A727" s="514">
        <v>43383</v>
      </c>
      <c r="B727" s="491">
        <v>226038</v>
      </c>
      <c r="C727" s="514"/>
      <c r="D727" s="491"/>
    </row>
    <row r="728" spans="1:4" x14ac:dyDescent="0.2">
      <c r="A728" s="514">
        <v>43384</v>
      </c>
      <c r="B728" s="491">
        <v>223293.31</v>
      </c>
      <c r="C728" s="514"/>
      <c r="D728" s="491"/>
    </row>
    <row r="729" spans="1:4" x14ac:dyDescent="0.2">
      <c r="A729" s="514">
        <v>43385</v>
      </c>
      <c r="B729" s="491">
        <v>272327.27</v>
      </c>
      <c r="C729" s="514"/>
      <c r="D729" s="491"/>
    </row>
    <row r="730" spans="1:4" x14ac:dyDescent="0.2">
      <c r="A730" s="514">
        <v>43388</v>
      </c>
      <c r="B730" s="491">
        <v>236397.34</v>
      </c>
      <c r="C730" s="514"/>
      <c r="D730" s="491"/>
    </row>
    <row r="731" spans="1:4" x14ac:dyDescent="0.2">
      <c r="A731" s="514">
        <v>43389</v>
      </c>
      <c r="B731" s="491">
        <v>236553.84</v>
      </c>
      <c r="C731" s="514"/>
      <c r="D731" s="491"/>
    </row>
    <row r="732" spans="1:4" x14ac:dyDescent="0.2">
      <c r="A732" s="514">
        <v>43390</v>
      </c>
      <c r="B732" s="491">
        <v>249133.92</v>
      </c>
      <c r="C732" s="514"/>
      <c r="D732" s="491"/>
    </row>
    <row r="733" spans="1:4" x14ac:dyDescent="0.2">
      <c r="A733" s="514">
        <v>43391</v>
      </c>
      <c r="B733" s="491">
        <v>254043.68</v>
      </c>
      <c r="C733" s="514"/>
      <c r="D733" s="491"/>
    </row>
    <row r="734" spans="1:4" x14ac:dyDescent="0.2">
      <c r="A734" s="514">
        <v>43392</v>
      </c>
      <c r="B734" s="491">
        <v>254064.5</v>
      </c>
      <c r="C734" s="514"/>
      <c r="D734" s="491"/>
    </row>
    <row r="735" spans="1:4" x14ac:dyDescent="0.2">
      <c r="A735" s="514">
        <v>43395</v>
      </c>
      <c r="B735" s="491">
        <v>290142.09999999998</v>
      </c>
      <c r="C735" s="514"/>
      <c r="D735" s="491"/>
    </row>
    <row r="736" spans="1:4" x14ac:dyDescent="0.2">
      <c r="A736" s="514">
        <v>43396</v>
      </c>
      <c r="B736" s="491">
        <v>290142</v>
      </c>
      <c r="C736" s="514"/>
      <c r="D736" s="491"/>
    </row>
    <row r="737" spans="1:4" x14ac:dyDescent="0.2">
      <c r="A737" s="514">
        <v>43397</v>
      </c>
      <c r="B737" s="491">
        <v>290034.38</v>
      </c>
      <c r="C737" s="514"/>
      <c r="D737" s="491"/>
    </row>
    <row r="738" spans="1:4" x14ac:dyDescent="0.2">
      <c r="A738" s="514">
        <v>43398</v>
      </c>
      <c r="B738" s="491">
        <v>291747.36</v>
      </c>
      <c r="C738" s="514"/>
      <c r="D738" s="491"/>
    </row>
    <row r="739" spans="1:4" x14ac:dyDescent="0.2">
      <c r="A739" s="514">
        <v>43399</v>
      </c>
      <c r="B739" s="491">
        <v>306637.48</v>
      </c>
      <c r="C739" s="514"/>
      <c r="D739" s="491"/>
    </row>
    <row r="740" spans="1:4" x14ac:dyDescent="0.2">
      <c r="A740" s="514">
        <v>43402</v>
      </c>
      <c r="B740" s="491">
        <v>270401.28999999998</v>
      </c>
      <c r="C740" s="514"/>
      <c r="D740" s="491"/>
    </row>
    <row r="741" spans="1:4" x14ac:dyDescent="0.2">
      <c r="A741" s="514">
        <v>43403</v>
      </c>
      <c r="B741" s="491">
        <v>278028.58</v>
      </c>
      <c r="C741" s="514"/>
      <c r="D741" s="491"/>
    </row>
    <row r="742" spans="1:4" x14ac:dyDescent="0.2">
      <c r="A742" s="514">
        <v>43404</v>
      </c>
      <c r="B742" s="491">
        <v>278029</v>
      </c>
      <c r="C742" s="514"/>
      <c r="D742" s="491"/>
    </row>
    <row r="743" spans="1:4" x14ac:dyDescent="0.2">
      <c r="A743" s="514">
        <v>43405</v>
      </c>
      <c r="B743" s="491">
        <v>279523.53000000003</v>
      </c>
      <c r="C743" s="514"/>
      <c r="D743" s="491"/>
    </row>
    <row r="744" spans="1:4" x14ac:dyDescent="0.2">
      <c r="A744" s="514">
        <v>43406</v>
      </c>
      <c r="B744" s="491">
        <v>303100.06</v>
      </c>
      <c r="C744" s="514"/>
      <c r="D744" s="491"/>
    </row>
    <row r="745" spans="1:4" x14ac:dyDescent="0.2">
      <c r="A745" s="514">
        <v>43409</v>
      </c>
      <c r="B745" s="491">
        <v>303100.06</v>
      </c>
      <c r="C745" s="514"/>
      <c r="D745" s="491"/>
    </row>
    <row r="746" spans="1:4" x14ac:dyDescent="0.2">
      <c r="A746" s="514">
        <v>43410</v>
      </c>
      <c r="B746" s="491">
        <v>303100.06</v>
      </c>
      <c r="C746" s="514"/>
      <c r="D746" s="491"/>
    </row>
    <row r="747" spans="1:4" x14ac:dyDescent="0.2">
      <c r="A747" s="514">
        <v>43411</v>
      </c>
      <c r="B747" s="491">
        <v>303954.14</v>
      </c>
      <c r="C747" s="514"/>
      <c r="D747" s="491"/>
    </row>
    <row r="748" spans="1:4" x14ac:dyDescent="0.2">
      <c r="A748" s="514">
        <v>43412</v>
      </c>
      <c r="B748" s="491">
        <v>294843.14</v>
      </c>
      <c r="C748" s="514"/>
      <c r="D748" s="491"/>
    </row>
    <row r="749" spans="1:4" x14ac:dyDescent="0.2">
      <c r="A749" s="514">
        <v>43413</v>
      </c>
      <c r="B749" s="491">
        <v>294843</v>
      </c>
      <c r="C749" s="514"/>
      <c r="D749" s="491"/>
    </row>
    <row r="750" spans="1:4" x14ac:dyDescent="0.2">
      <c r="A750" s="514">
        <v>43416</v>
      </c>
      <c r="B750" s="491">
        <v>294843</v>
      </c>
      <c r="C750" s="514"/>
      <c r="D750" s="491"/>
    </row>
    <row r="751" spans="1:4" x14ac:dyDescent="0.2">
      <c r="A751" s="514">
        <v>43417</v>
      </c>
      <c r="B751" s="491">
        <v>294843</v>
      </c>
      <c r="C751" s="514"/>
      <c r="D751" s="491"/>
    </row>
    <row r="752" spans="1:4" x14ac:dyDescent="0.2">
      <c r="A752" s="514">
        <v>43418</v>
      </c>
      <c r="B752" s="491">
        <v>259514.47</v>
      </c>
      <c r="C752" s="514"/>
      <c r="D752" s="491"/>
    </row>
    <row r="753" spans="1:4" x14ac:dyDescent="0.2">
      <c r="A753" s="514">
        <v>43419</v>
      </c>
      <c r="B753" s="491">
        <v>255987.45</v>
      </c>
      <c r="C753" s="514"/>
      <c r="D753" s="491"/>
    </row>
    <row r="754" spans="1:4" x14ac:dyDescent="0.2">
      <c r="A754" s="514">
        <v>43420</v>
      </c>
      <c r="B754" s="491">
        <v>255987.45</v>
      </c>
      <c r="C754" s="514"/>
      <c r="D754" s="491"/>
    </row>
    <row r="755" spans="1:4" x14ac:dyDescent="0.2">
      <c r="A755" s="514">
        <v>43423</v>
      </c>
      <c r="B755" s="491">
        <v>255987.45</v>
      </c>
      <c r="C755" s="514"/>
      <c r="D755" s="491"/>
    </row>
    <row r="756" spans="1:4" x14ac:dyDescent="0.2">
      <c r="A756" s="514">
        <v>43424</v>
      </c>
      <c r="B756" s="491">
        <v>254650.75</v>
      </c>
      <c r="C756" s="514"/>
      <c r="D756" s="491"/>
    </row>
    <row r="757" spans="1:4" x14ac:dyDescent="0.2">
      <c r="A757" s="514">
        <v>43425</v>
      </c>
      <c r="B757" s="491">
        <v>298403.21000000002</v>
      </c>
      <c r="C757" s="514"/>
      <c r="D757" s="491"/>
    </row>
    <row r="758" spans="1:4" x14ac:dyDescent="0.2">
      <c r="A758" s="514">
        <v>43426</v>
      </c>
      <c r="B758" s="491">
        <v>300529.64</v>
      </c>
      <c r="C758" s="514"/>
      <c r="D758" s="491"/>
    </row>
    <row r="759" spans="1:4" x14ac:dyDescent="0.2">
      <c r="A759" s="514">
        <v>43427</v>
      </c>
      <c r="B759" s="491">
        <v>300229.64</v>
      </c>
      <c r="C759" s="514"/>
      <c r="D759" s="491"/>
    </row>
    <row r="760" spans="1:4" x14ac:dyDescent="0.2">
      <c r="A760" s="514">
        <v>43430</v>
      </c>
      <c r="B760" s="491">
        <v>300230</v>
      </c>
      <c r="C760" s="514"/>
      <c r="D760" s="491"/>
    </row>
    <row r="761" spans="1:4" x14ac:dyDescent="0.2">
      <c r="A761" s="514">
        <v>43431</v>
      </c>
      <c r="B761" s="491">
        <v>267674.82</v>
      </c>
      <c r="C761" s="514"/>
      <c r="D761" s="491"/>
    </row>
    <row r="762" spans="1:4" x14ac:dyDescent="0.2">
      <c r="A762" s="514">
        <v>43432</v>
      </c>
      <c r="B762" s="491">
        <v>273448.82</v>
      </c>
      <c r="C762" s="514"/>
      <c r="D762" s="491"/>
    </row>
    <row r="763" spans="1:4" x14ac:dyDescent="0.2">
      <c r="A763" s="514">
        <v>43433</v>
      </c>
      <c r="B763" s="491">
        <v>252527.09</v>
      </c>
      <c r="C763" s="514"/>
      <c r="D763" s="491"/>
    </row>
    <row r="764" spans="1:4" x14ac:dyDescent="0.2">
      <c r="A764" s="514">
        <v>43434</v>
      </c>
      <c r="B764" s="491">
        <v>321968.59000000003</v>
      </c>
      <c r="C764" s="514"/>
      <c r="D764" s="491"/>
    </row>
    <row r="765" spans="1:4" x14ac:dyDescent="0.2">
      <c r="A765" s="514">
        <v>43437</v>
      </c>
      <c r="B765" s="491">
        <v>321969</v>
      </c>
      <c r="C765" s="514"/>
      <c r="D765" s="491"/>
    </row>
    <row r="766" spans="1:4" x14ac:dyDescent="0.2">
      <c r="A766" s="514">
        <v>43438</v>
      </c>
      <c r="B766" s="491">
        <v>321969</v>
      </c>
      <c r="C766" s="514"/>
      <c r="D766" s="491"/>
    </row>
    <row r="767" spans="1:4" x14ac:dyDescent="0.2">
      <c r="A767" s="514">
        <v>43439</v>
      </c>
      <c r="B767" s="491">
        <v>321969</v>
      </c>
      <c r="C767" s="514"/>
      <c r="D767" s="491"/>
    </row>
    <row r="768" spans="1:4" x14ac:dyDescent="0.2">
      <c r="A768" s="514">
        <v>43440</v>
      </c>
      <c r="B768" s="491">
        <v>314251.55</v>
      </c>
      <c r="C768" s="514"/>
      <c r="D768" s="491"/>
    </row>
    <row r="769" spans="1:4" x14ac:dyDescent="0.2">
      <c r="A769" s="514">
        <v>43441</v>
      </c>
      <c r="B769" s="491">
        <v>315739.42</v>
      </c>
      <c r="C769" s="514"/>
      <c r="D769" s="491"/>
    </row>
    <row r="770" spans="1:4" x14ac:dyDescent="0.2">
      <c r="A770" s="514">
        <v>43444</v>
      </c>
      <c r="B770" s="491">
        <v>315739</v>
      </c>
      <c r="C770" s="514"/>
      <c r="D770" s="491"/>
    </row>
    <row r="771" spans="1:4" x14ac:dyDescent="0.2">
      <c r="A771" s="514">
        <v>43445</v>
      </c>
      <c r="B771" s="491">
        <v>275506.94</v>
      </c>
      <c r="C771" s="514"/>
      <c r="D771" s="491"/>
    </row>
    <row r="772" spans="1:4" x14ac:dyDescent="0.2">
      <c r="A772" s="514">
        <v>43446</v>
      </c>
      <c r="B772" s="491">
        <v>275507</v>
      </c>
      <c r="C772" s="514"/>
      <c r="D772" s="491"/>
    </row>
    <row r="773" spans="1:4" x14ac:dyDescent="0.2">
      <c r="A773" s="514">
        <v>43447</v>
      </c>
      <c r="B773" s="491">
        <v>289896.89</v>
      </c>
      <c r="C773" s="514"/>
      <c r="D773" s="491"/>
    </row>
    <row r="774" spans="1:4" x14ac:dyDescent="0.2">
      <c r="A774" s="514">
        <v>43448</v>
      </c>
      <c r="B774" s="491">
        <v>313281.34999999998</v>
      </c>
      <c r="C774" s="514"/>
      <c r="D774" s="491"/>
    </row>
    <row r="775" spans="1:4" x14ac:dyDescent="0.2">
      <c r="A775" s="514">
        <v>43451</v>
      </c>
      <c r="B775" s="491">
        <v>313281</v>
      </c>
      <c r="C775" s="514"/>
      <c r="D775" s="491"/>
    </row>
    <row r="776" spans="1:4" x14ac:dyDescent="0.2">
      <c r="A776" s="514">
        <v>43452</v>
      </c>
      <c r="B776" s="491">
        <v>317556.84999999998</v>
      </c>
      <c r="C776" s="514"/>
      <c r="D776" s="491"/>
    </row>
    <row r="777" spans="1:4" x14ac:dyDescent="0.2">
      <c r="A777" s="514">
        <v>43453</v>
      </c>
      <c r="B777" s="491">
        <v>317557</v>
      </c>
      <c r="C777" s="514"/>
      <c r="D777" s="491"/>
    </row>
    <row r="778" spans="1:4" x14ac:dyDescent="0.2">
      <c r="A778" s="514">
        <v>43454</v>
      </c>
      <c r="B778" s="491">
        <v>297159.33</v>
      </c>
      <c r="C778" s="514"/>
      <c r="D778" s="491"/>
    </row>
    <row r="779" spans="1:4" x14ac:dyDescent="0.2">
      <c r="A779" s="514">
        <v>43455</v>
      </c>
      <c r="B779" s="491">
        <v>297159</v>
      </c>
      <c r="C779" s="514"/>
      <c r="D779" s="491"/>
    </row>
    <row r="780" spans="1:4" x14ac:dyDescent="0.2">
      <c r="A780" s="514">
        <v>43458</v>
      </c>
      <c r="B780" s="491">
        <v>260233.37</v>
      </c>
      <c r="C780" s="514"/>
      <c r="D780" s="491"/>
    </row>
    <row r="781" spans="1:4" x14ac:dyDescent="0.2">
      <c r="A781" s="514">
        <v>43459</v>
      </c>
      <c r="B781" s="491">
        <v>260233</v>
      </c>
      <c r="C781" s="514"/>
      <c r="D781" s="491"/>
    </row>
    <row r="782" spans="1:4" x14ac:dyDescent="0.2">
      <c r="A782" s="514">
        <v>43460</v>
      </c>
      <c r="B782" s="491">
        <v>261845.78</v>
      </c>
      <c r="C782" s="514"/>
      <c r="D782" s="491"/>
    </row>
    <row r="783" spans="1:4" x14ac:dyDescent="0.2">
      <c r="A783" s="514">
        <v>43461</v>
      </c>
      <c r="B783" s="491">
        <v>261846</v>
      </c>
      <c r="C783" s="514"/>
      <c r="D783" s="491"/>
    </row>
    <row r="784" spans="1:4" x14ac:dyDescent="0.2">
      <c r="A784" s="514">
        <v>43462</v>
      </c>
      <c r="B784" s="491">
        <v>273805.40000000002</v>
      </c>
      <c r="C784" s="514"/>
      <c r="D784" s="491"/>
    </row>
    <row r="785" spans="1:4" x14ac:dyDescent="0.2">
      <c r="A785" s="514">
        <v>43465</v>
      </c>
      <c r="B785" s="491">
        <v>274101.40000000002</v>
      </c>
      <c r="C785" s="514"/>
      <c r="D785" s="491"/>
    </row>
    <row r="786" spans="1:4" x14ac:dyDescent="0.2">
      <c r="A786" s="514">
        <v>43466</v>
      </c>
      <c r="B786" s="491">
        <v>274101</v>
      </c>
      <c r="C786" s="514"/>
      <c r="D786" s="491"/>
    </row>
    <row r="787" spans="1:4" x14ac:dyDescent="0.2">
      <c r="A787" s="514">
        <v>43467</v>
      </c>
      <c r="B787" s="491">
        <v>299108.40000000002</v>
      </c>
      <c r="C787" s="514"/>
      <c r="D787" s="491"/>
    </row>
    <row r="788" spans="1:4" x14ac:dyDescent="0.2">
      <c r="A788" s="514">
        <v>43468</v>
      </c>
      <c r="B788" s="491">
        <v>298070.78000000003</v>
      </c>
      <c r="C788" s="514"/>
      <c r="D788" s="491"/>
    </row>
    <row r="789" spans="1:4" x14ac:dyDescent="0.2">
      <c r="A789" s="514">
        <v>43469</v>
      </c>
      <c r="B789" s="491">
        <v>298071</v>
      </c>
      <c r="C789" s="514"/>
      <c r="D789" s="491"/>
    </row>
    <row r="790" spans="1:4" x14ac:dyDescent="0.2">
      <c r="A790" s="514">
        <v>43472</v>
      </c>
      <c r="B790" s="491">
        <v>298430.78000000003</v>
      </c>
      <c r="C790" s="514"/>
      <c r="D790" s="491"/>
    </row>
    <row r="791" spans="1:4" x14ac:dyDescent="0.2">
      <c r="A791" s="514">
        <v>43473</v>
      </c>
      <c r="B791" s="491">
        <v>264835.63</v>
      </c>
      <c r="C791" s="514"/>
      <c r="D791" s="491"/>
    </row>
    <row r="792" spans="1:4" x14ac:dyDescent="0.2">
      <c r="A792" s="514">
        <v>43474</v>
      </c>
      <c r="B792" s="491">
        <v>303664.65999999997</v>
      </c>
      <c r="C792" s="514"/>
      <c r="D792" s="491"/>
    </row>
    <row r="793" spans="1:4" x14ac:dyDescent="0.2">
      <c r="A793" s="514">
        <v>43475</v>
      </c>
      <c r="B793" s="491">
        <v>299790.71999999997</v>
      </c>
      <c r="C793" s="514"/>
      <c r="D793" s="491"/>
    </row>
    <row r="794" spans="1:4" x14ac:dyDescent="0.2">
      <c r="A794" s="514">
        <v>43476</v>
      </c>
      <c r="B794" s="549">
        <v>309881.71999999997</v>
      </c>
      <c r="C794" s="514"/>
      <c r="D794" s="491"/>
    </row>
    <row r="795" spans="1:4" x14ac:dyDescent="0.2">
      <c r="A795" s="514">
        <v>43479</v>
      </c>
      <c r="B795" s="491">
        <v>284374.78999999998</v>
      </c>
      <c r="C795" s="514"/>
      <c r="D795" s="491"/>
    </row>
    <row r="796" spans="1:4" x14ac:dyDescent="0.2">
      <c r="A796" s="514">
        <v>43480</v>
      </c>
      <c r="B796" s="491">
        <v>284494.75</v>
      </c>
      <c r="C796" s="514"/>
      <c r="D796" s="491"/>
    </row>
    <row r="797" spans="1:4" x14ac:dyDescent="0.2">
      <c r="A797" s="514">
        <v>43481</v>
      </c>
      <c r="B797" s="491">
        <v>277370.03000000003</v>
      </c>
      <c r="C797" s="514"/>
      <c r="D797" s="491"/>
    </row>
    <row r="798" spans="1:4" x14ac:dyDescent="0.2">
      <c r="A798" s="514">
        <v>43482</v>
      </c>
      <c r="B798" s="491">
        <v>266103.65999999997</v>
      </c>
      <c r="C798" s="514"/>
      <c r="D798" s="491"/>
    </row>
    <row r="799" spans="1:4" x14ac:dyDescent="0.2">
      <c r="A799" s="514">
        <v>43483</v>
      </c>
      <c r="B799" s="491">
        <v>266189.65999999997</v>
      </c>
      <c r="C799" s="514"/>
      <c r="D799" s="491"/>
    </row>
    <row r="800" spans="1:4" x14ac:dyDescent="0.2">
      <c r="A800" s="514">
        <v>43486</v>
      </c>
      <c r="B800" s="491">
        <v>266190</v>
      </c>
      <c r="C800" s="514"/>
      <c r="D800" s="491"/>
    </row>
    <row r="801" spans="1:4" x14ac:dyDescent="0.2">
      <c r="A801" s="514">
        <v>43487</v>
      </c>
      <c r="B801" s="491">
        <v>228832.05</v>
      </c>
      <c r="C801" s="514"/>
      <c r="D801" s="491"/>
    </row>
    <row r="802" spans="1:4" x14ac:dyDescent="0.2">
      <c r="A802" s="514">
        <v>43488</v>
      </c>
      <c r="B802" s="491">
        <v>229285.41</v>
      </c>
      <c r="C802" s="514"/>
      <c r="D802" s="491"/>
    </row>
    <row r="803" spans="1:4" x14ac:dyDescent="0.2">
      <c r="A803" s="514">
        <v>43489</v>
      </c>
      <c r="B803" s="491">
        <v>236709.42</v>
      </c>
      <c r="C803" s="514"/>
      <c r="D803" s="491"/>
    </row>
    <row r="804" spans="1:4" x14ac:dyDescent="0.2">
      <c r="A804" s="514">
        <v>43490</v>
      </c>
      <c r="B804" s="491">
        <v>236709</v>
      </c>
      <c r="C804" s="514"/>
      <c r="D804" s="491"/>
    </row>
    <row r="805" spans="1:4" x14ac:dyDescent="0.2">
      <c r="A805" s="514">
        <v>43493</v>
      </c>
      <c r="B805" s="491">
        <v>236400.88</v>
      </c>
      <c r="C805" s="514"/>
      <c r="D805" s="491"/>
    </row>
    <row r="806" spans="1:4" x14ac:dyDescent="0.2">
      <c r="A806" s="514">
        <v>43494</v>
      </c>
      <c r="B806" s="491">
        <v>236401</v>
      </c>
      <c r="C806" s="514"/>
      <c r="D806" s="491"/>
    </row>
    <row r="807" spans="1:4" x14ac:dyDescent="0.2">
      <c r="A807" s="514">
        <v>43495</v>
      </c>
      <c r="B807" s="491">
        <v>236401</v>
      </c>
      <c r="C807" s="514"/>
      <c r="D807" s="491"/>
    </row>
    <row r="808" spans="1:4" x14ac:dyDescent="0.2">
      <c r="A808" s="514">
        <v>43496</v>
      </c>
      <c r="B808" s="491">
        <v>237605.71</v>
      </c>
      <c r="C808" s="514"/>
      <c r="D808" s="491"/>
    </row>
    <row r="809" spans="1:4" x14ac:dyDescent="0.2">
      <c r="A809" s="514">
        <v>43497</v>
      </c>
      <c r="B809" s="491">
        <v>237728.71</v>
      </c>
      <c r="C809" s="514"/>
      <c r="D809" s="491"/>
    </row>
    <row r="810" spans="1:4" x14ac:dyDescent="0.2">
      <c r="A810" s="514">
        <v>43500</v>
      </c>
      <c r="B810" s="491">
        <v>201980</v>
      </c>
      <c r="C810" s="514"/>
      <c r="D810" s="491"/>
    </row>
    <row r="811" spans="1:4" x14ac:dyDescent="0.2">
      <c r="A811" s="514">
        <v>43501</v>
      </c>
      <c r="B811" s="491">
        <v>225615.34</v>
      </c>
      <c r="C811" s="514"/>
      <c r="D811" s="491"/>
    </row>
    <row r="812" spans="1:4" x14ac:dyDescent="0.2">
      <c r="A812" s="514">
        <v>43502</v>
      </c>
      <c r="B812" s="491">
        <v>225615</v>
      </c>
      <c r="C812" s="514"/>
      <c r="D812" s="491"/>
    </row>
    <row r="813" spans="1:4" x14ac:dyDescent="0.2">
      <c r="A813" s="514">
        <v>43503</v>
      </c>
      <c r="B813" s="491">
        <v>219151.3</v>
      </c>
      <c r="C813" s="514"/>
      <c r="D813" s="491"/>
    </row>
    <row r="814" spans="1:4" x14ac:dyDescent="0.2">
      <c r="A814" s="514">
        <v>43504</v>
      </c>
      <c r="B814" s="491">
        <v>219351.3</v>
      </c>
      <c r="C814" s="514"/>
      <c r="D814" s="491"/>
    </row>
    <row r="815" spans="1:4" x14ac:dyDescent="0.2">
      <c r="A815" s="514">
        <v>43507</v>
      </c>
      <c r="B815" s="491">
        <v>219351</v>
      </c>
      <c r="C815" s="514"/>
      <c r="D815" s="491"/>
    </row>
    <row r="816" spans="1:4" x14ac:dyDescent="0.2">
      <c r="A816" s="514">
        <v>43508</v>
      </c>
      <c r="B816" s="491">
        <v>219351</v>
      </c>
      <c r="C816" s="514"/>
      <c r="D816" s="491"/>
    </row>
    <row r="817" spans="1:4" x14ac:dyDescent="0.2">
      <c r="A817" s="514">
        <v>43509</v>
      </c>
      <c r="B817" s="491">
        <v>219351</v>
      </c>
      <c r="C817" s="514"/>
      <c r="D817" s="491"/>
    </row>
    <row r="818" spans="1:4" x14ac:dyDescent="0.2">
      <c r="A818" s="514">
        <v>43510</v>
      </c>
      <c r="B818" s="491">
        <v>206758.66</v>
      </c>
      <c r="C818" s="514"/>
      <c r="D818" s="491"/>
    </row>
    <row r="819" spans="1:4" x14ac:dyDescent="0.2">
      <c r="A819" s="514">
        <v>43511</v>
      </c>
      <c r="B819" s="491">
        <v>234837.55</v>
      </c>
      <c r="C819" s="514"/>
      <c r="D819" s="491"/>
    </row>
    <row r="820" spans="1:4" x14ac:dyDescent="0.2">
      <c r="A820" s="514">
        <v>43514</v>
      </c>
      <c r="B820" s="491">
        <v>234838</v>
      </c>
      <c r="C820" s="514"/>
      <c r="D820" s="491"/>
    </row>
    <row r="821" spans="1:4" x14ac:dyDescent="0.2">
      <c r="A821" s="514">
        <v>43515</v>
      </c>
      <c r="B821" s="491">
        <v>199113.26</v>
      </c>
      <c r="C821" s="514"/>
      <c r="D821" s="491"/>
    </row>
    <row r="822" spans="1:4" x14ac:dyDescent="0.2">
      <c r="A822" s="514">
        <v>43516</v>
      </c>
      <c r="B822" s="695">
        <v>199113</v>
      </c>
      <c r="C822" s="514"/>
      <c r="D822" s="491"/>
    </row>
    <row r="823" spans="1:4" x14ac:dyDescent="0.2">
      <c r="A823" s="514">
        <v>43517</v>
      </c>
      <c r="B823" s="491">
        <v>205400.17</v>
      </c>
      <c r="C823" s="514"/>
      <c r="D823" s="491"/>
    </row>
    <row r="824" spans="1:4" x14ac:dyDescent="0.2">
      <c r="A824" s="514">
        <v>43518</v>
      </c>
      <c r="B824" s="491">
        <v>220161.91</v>
      </c>
      <c r="C824" s="514"/>
      <c r="D824" s="491"/>
    </row>
    <row r="825" spans="1:4" x14ac:dyDescent="0.2">
      <c r="A825" s="514">
        <v>43521</v>
      </c>
      <c r="B825" s="491">
        <v>220161.91</v>
      </c>
      <c r="C825" s="514"/>
      <c r="D825" s="491"/>
    </row>
    <row r="826" spans="1:4" x14ac:dyDescent="0.2">
      <c r="A826" s="514">
        <v>43522</v>
      </c>
      <c r="B826" s="491">
        <v>220161.91</v>
      </c>
      <c r="C826" s="514"/>
      <c r="D826" s="491"/>
    </row>
    <row r="827" spans="1:4" x14ac:dyDescent="0.2">
      <c r="A827" s="514">
        <v>43523</v>
      </c>
      <c r="B827" s="491">
        <v>220161.91</v>
      </c>
      <c r="C827" s="514"/>
      <c r="D827" s="491"/>
    </row>
    <row r="828" spans="1:4" x14ac:dyDescent="0.2">
      <c r="A828" s="514">
        <v>43524</v>
      </c>
      <c r="B828" s="491">
        <v>224635.26</v>
      </c>
      <c r="C828" s="514"/>
      <c r="D828" s="491"/>
    </row>
    <row r="829" spans="1:4" x14ac:dyDescent="0.2">
      <c r="A829" s="514">
        <v>43525</v>
      </c>
      <c r="B829" s="491">
        <v>298900.61</v>
      </c>
      <c r="C829" s="514"/>
      <c r="D829" s="491"/>
    </row>
    <row r="830" spans="1:4" x14ac:dyDescent="0.2">
      <c r="A830" s="514">
        <v>43528</v>
      </c>
      <c r="B830" s="491">
        <v>262246.8</v>
      </c>
      <c r="C830" s="514"/>
      <c r="D830" s="491"/>
    </row>
    <row r="831" spans="1:4" x14ac:dyDescent="0.2">
      <c r="A831" s="514">
        <v>43529</v>
      </c>
      <c r="B831" s="491">
        <v>262247</v>
      </c>
      <c r="C831" s="514"/>
      <c r="D831" s="491"/>
    </row>
    <row r="832" spans="1:4" x14ac:dyDescent="0.2">
      <c r="A832" s="514">
        <v>43530</v>
      </c>
      <c r="B832" s="491">
        <v>262247</v>
      </c>
      <c r="C832" s="514"/>
      <c r="D832" s="491"/>
    </row>
    <row r="833" spans="1:4" x14ac:dyDescent="0.2">
      <c r="A833" s="514">
        <v>43531</v>
      </c>
      <c r="B833" s="491">
        <v>275395.15000000002</v>
      </c>
      <c r="C833" s="514"/>
      <c r="D833" s="491"/>
    </row>
    <row r="834" spans="1:4" x14ac:dyDescent="0.2">
      <c r="A834" s="514">
        <v>43532</v>
      </c>
      <c r="B834" s="491">
        <v>275395</v>
      </c>
      <c r="C834" s="514"/>
      <c r="D834" s="491"/>
    </row>
    <row r="835" spans="1:4" x14ac:dyDescent="0.2">
      <c r="A835" s="514">
        <v>43535</v>
      </c>
      <c r="B835" s="491">
        <v>275395</v>
      </c>
      <c r="C835" s="514"/>
      <c r="D835" s="491"/>
    </row>
    <row r="836" spans="1:4" x14ac:dyDescent="0.2">
      <c r="A836" s="514">
        <v>43536</v>
      </c>
      <c r="B836" s="491">
        <v>275395</v>
      </c>
      <c r="C836" s="514"/>
      <c r="D836" s="491"/>
    </row>
    <row r="837" spans="1:4" x14ac:dyDescent="0.2">
      <c r="A837" s="514">
        <v>43537</v>
      </c>
      <c r="B837" s="491">
        <v>316802.46999999997</v>
      </c>
      <c r="C837" s="514"/>
      <c r="D837" s="491"/>
    </row>
    <row r="838" spans="1:4" x14ac:dyDescent="0.2">
      <c r="A838" s="514">
        <v>43538</v>
      </c>
      <c r="B838" s="491">
        <v>297067.40000000002</v>
      </c>
      <c r="C838" s="514"/>
      <c r="D838" s="491"/>
    </row>
    <row r="839" spans="1:4" x14ac:dyDescent="0.2">
      <c r="A839" s="514">
        <v>43539</v>
      </c>
      <c r="B839" s="491">
        <v>300574.83</v>
      </c>
      <c r="C839" s="514"/>
      <c r="D839" s="491"/>
    </row>
    <row r="840" spans="1:4" x14ac:dyDescent="0.2">
      <c r="A840" s="514">
        <v>43542</v>
      </c>
      <c r="B840" s="491">
        <v>264695.24</v>
      </c>
      <c r="C840" s="514"/>
      <c r="D840" s="491"/>
    </row>
    <row r="841" spans="1:4" x14ac:dyDescent="0.2">
      <c r="A841" s="514">
        <v>43543</v>
      </c>
      <c r="B841" s="491">
        <v>264695</v>
      </c>
      <c r="C841" s="514"/>
      <c r="D841" s="491"/>
    </row>
    <row r="842" spans="1:4" x14ac:dyDescent="0.2">
      <c r="A842" s="514">
        <v>43544</v>
      </c>
      <c r="B842" s="491">
        <v>264695</v>
      </c>
      <c r="C842" s="514"/>
      <c r="D842" s="491"/>
    </row>
    <row r="843" spans="1:4" x14ac:dyDescent="0.2">
      <c r="A843" s="514">
        <v>43545</v>
      </c>
      <c r="B843" s="491">
        <v>282838.67</v>
      </c>
      <c r="C843" s="514"/>
      <c r="D843" s="491"/>
    </row>
    <row r="844" spans="1:4" x14ac:dyDescent="0.2">
      <c r="A844" s="514">
        <v>43546</v>
      </c>
      <c r="B844" s="491">
        <v>282839</v>
      </c>
      <c r="C844" s="514"/>
      <c r="D844" s="491"/>
    </row>
    <row r="845" spans="1:4" x14ac:dyDescent="0.2">
      <c r="A845" s="514">
        <v>43549</v>
      </c>
      <c r="B845" s="549">
        <v>333807.26</v>
      </c>
      <c r="C845" s="514"/>
      <c r="D845" s="491"/>
    </row>
    <row r="846" spans="1:4" x14ac:dyDescent="0.2">
      <c r="A846" s="514">
        <v>43550</v>
      </c>
      <c r="B846" s="491">
        <v>332295.96000000002</v>
      </c>
      <c r="C846" s="514"/>
      <c r="D846" s="491"/>
    </row>
    <row r="847" spans="1:4" x14ac:dyDescent="0.2">
      <c r="A847" s="514">
        <v>43551</v>
      </c>
      <c r="B847" s="491">
        <v>325401.01</v>
      </c>
      <c r="C847" s="514"/>
      <c r="D847" s="491"/>
    </row>
    <row r="848" spans="1:4" x14ac:dyDescent="0.2">
      <c r="A848" s="514">
        <v>43552</v>
      </c>
      <c r="B848" s="491">
        <v>328793.55</v>
      </c>
      <c r="C848" s="514"/>
      <c r="D848" s="491"/>
    </row>
    <row r="849" spans="1:4" x14ac:dyDescent="0.2">
      <c r="A849" s="514">
        <v>43553</v>
      </c>
      <c r="B849" s="491">
        <v>329088.55</v>
      </c>
      <c r="C849" s="514"/>
      <c r="D849" s="491"/>
    </row>
    <row r="850" spans="1:4" x14ac:dyDescent="0.2">
      <c r="A850" s="514">
        <v>43556</v>
      </c>
      <c r="B850" s="491">
        <v>328488.55</v>
      </c>
      <c r="C850" s="514"/>
      <c r="D850" s="491"/>
    </row>
    <row r="851" spans="1:4" x14ac:dyDescent="0.2">
      <c r="A851" s="514">
        <v>43557</v>
      </c>
      <c r="B851" s="491">
        <v>292528.71999999997</v>
      </c>
      <c r="C851" s="514"/>
      <c r="D851" s="491"/>
    </row>
    <row r="852" spans="1:4" x14ac:dyDescent="0.2">
      <c r="A852" s="514">
        <v>43558</v>
      </c>
      <c r="B852" s="491">
        <v>294672.43</v>
      </c>
      <c r="C852" s="514"/>
      <c r="D852" s="491"/>
    </row>
    <row r="853" spans="1:4" x14ac:dyDescent="0.2">
      <c r="A853" s="514">
        <v>43559</v>
      </c>
      <c r="B853" s="491">
        <v>292850.33</v>
      </c>
      <c r="C853" s="514"/>
      <c r="D853" s="491"/>
    </row>
    <row r="854" spans="1:4" x14ac:dyDescent="0.2">
      <c r="A854" s="514">
        <v>43560</v>
      </c>
      <c r="B854" s="491">
        <v>284702.78999999998</v>
      </c>
      <c r="C854" s="514"/>
      <c r="D854" s="491"/>
    </row>
    <row r="855" spans="1:4" x14ac:dyDescent="0.2">
      <c r="A855" s="514">
        <v>43563</v>
      </c>
      <c r="B855" s="491">
        <v>284703</v>
      </c>
      <c r="C855" s="514"/>
      <c r="D855" s="491"/>
    </row>
    <row r="856" spans="1:4" x14ac:dyDescent="0.2">
      <c r="A856" s="514">
        <v>43564</v>
      </c>
      <c r="B856" s="491">
        <v>284775.52</v>
      </c>
      <c r="C856" s="514"/>
      <c r="D856" s="491"/>
    </row>
    <row r="857" spans="1:4" x14ac:dyDescent="0.2">
      <c r="A857" s="514">
        <v>43565</v>
      </c>
      <c r="B857" s="491">
        <v>284776</v>
      </c>
      <c r="C857" s="514"/>
      <c r="D857" s="491"/>
    </row>
    <row r="858" spans="1:4" x14ac:dyDescent="0.2">
      <c r="A858" s="514">
        <v>43566</v>
      </c>
      <c r="B858" s="491">
        <v>277335.02</v>
      </c>
      <c r="C858" s="514"/>
      <c r="D858" s="491"/>
    </row>
    <row r="859" spans="1:4" x14ac:dyDescent="0.2">
      <c r="A859" s="514">
        <v>43567</v>
      </c>
      <c r="B859" s="491">
        <v>277335</v>
      </c>
      <c r="C859" s="514"/>
      <c r="D859" s="491"/>
    </row>
    <row r="860" spans="1:4" x14ac:dyDescent="0.2">
      <c r="A860" s="514">
        <v>43570</v>
      </c>
      <c r="B860" s="491">
        <v>277462.90999999997</v>
      </c>
      <c r="C860" s="514"/>
      <c r="D860" s="491"/>
    </row>
    <row r="861" spans="1:4" x14ac:dyDescent="0.2">
      <c r="A861" s="514">
        <v>43571</v>
      </c>
      <c r="B861" s="491">
        <v>241180.07</v>
      </c>
      <c r="C861" s="514"/>
      <c r="D861" s="491"/>
    </row>
    <row r="862" spans="1:4" x14ac:dyDescent="0.2">
      <c r="A862" s="514">
        <v>43572</v>
      </c>
      <c r="B862" s="491">
        <v>257634.61</v>
      </c>
      <c r="C862" s="514"/>
      <c r="D862" s="491"/>
    </row>
    <row r="863" spans="1:4" x14ac:dyDescent="0.2">
      <c r="A863" s="514">
        <v>43573</v>
      </c>
      <c r="B863" s="491">
        <v>241154.55</v>
      </c>
      <c r="C863" s="514"/>
      <c r="D863" s="491"/>
    </row>
    <row r="864" spans="1:4" x14ac:dyDescent="0.2">
      <c r="A864" s="514">
        <v>43574</v>
      </c>
      <c r="B864" s="491">
        <v>243162.78</v>
      </c>
      <c r="C864" s="514"/>
      <c r="D864" s="491"/>
    </row>
    <row r="865" spans="1:4" x14ac:dyDescent="0.2">
      <c r="A865" s="514">
        <v>43577</v>
      </c>
      <c r="B865" s="491">
        <v>243003.93</v>
      </c>
      <c r="C865" s="514"/>
      <c r="D865" s="491"/>
    </row>
    <row r="866" spans="1:4" x14ac:dyDescent="0.2">
      <c r="A866" s="514">
        <v>43578</v>
      </c>
      <c r="B866" s="491">
        <v>243004</v>
      </c>
      <c r="C866" s="514"/>
      <c r="D866" s="491"/>
    </row>
    <row r="867" spans="1:4" x14ac:dyDescent="0.2">
      <c r="A867" s="514">
        <v>43579</v>
      </c>
      <c r="B867" s="491">
        <v>243060.55</v>
      </c>
      <c r="C867" s="514"/>
      <c r="D867" s="491"/>
    </row>
    <row r="868" spans="1:4" x14ac:dyDescent="0.2">
      <c r="A868" s="514">
        <v>43580</v>
      </c>
      <c r="B868" s="491">
        <v>245074.5</v>
      </c>
      <c r="C868" s="514"/>
      <c r="D868" s="491"/>
    </row>
    <row r="869" spans="1:4" x14ac:dyDescent="0.2">
      <c r="A869" s="514">
        <v>43581</v>
      </c>
      <c r="B869" s="491">
        <v>274493.84000000003</v>
      </c>
      <c r="C869" s="514"/>
      <c r="D869" s="491"/>
    </row>
    <row r="870" spans="1:4" x14ac:dyDescent="0.2">
      <c r="A870" s="514">
        <v>43584</v>
      </c>
      <c r="B870" s="491">
        <v>274494</v>
      </c>
      <c r="C870" s="514"/>
      <c r="D870" s="491"/>
    </row>
    <row r="871" spans="1:4" x14ac:dyDescent="0.2">
      <c r="A871" s="514">
        <v>43585</v>
      </c>
      <c r="B871" s="491">
        <v>268536.75</v>
      </c>
      <c r="C871" s="514"/>
      <c r="D871" s="491"/>
    </row>
    <row r="872" spans="1:4" x14ac:dyDescent="0.2">
      <c r="A872" s="514">
        <v>43586</v>
      </c>
      <c r="B872" s="491">
        <v>249086.1</v>
      </c>
      <c r="C872" s="514"/>
      <c r="D872" s="491"/>
    </row>
    <row r="873" spans="1:4" x14ac:dyDescent="0.2">
      <c r="A873" s="514">
        <v>43587</v>
      </c>
      <c r="B873" s="491">
        <v>253347.36</v>
      </c>
      <c r="C873" s="514"/>
      <c r="D873" s="491"/>
    </row>
    <row r="874" spans="1:4" x14ac:dyDescent="0.2">
      <c r="A874" s="514">
        <v>43588</v>
      </c>
      <c r="B874" s="491">
        <v>253347</v>
      </c>
      <c r="C874" s="514"/>
      <c r="D874" s="491"/>
    </row>
    <row r="875" spans="1:4" x14ac:dyDescent="0.2">
      <c r="A875" s="514">
        <v>43591</v>
      </c>
      <c r="B875" s="491">
        <v>253347</v>
      </c>
      <c r="C875" s="514"/>
      <c r="D875" s="491"/>
    </row>
    <row r="876" spans="1:4" x14ac:dyDescent="0.2">
      <c r="A876" s="514">
        <v>43592</v>
      </c>
      <c r="B876" s="491">
        <v>253347</v>
      </c>
      <c r="C876" s="514"/>
      <c r="D876" s="491"/>
    </row>
    <row r="877" spans="1:4" x14ac:dyDescent="0.2">
      <c r="A877" s="514">
        <v>43593</v>
      </c>
      <c r="B877" s="491">
        <v>253347</v>
      </c>
      <c r="C877" s="514"/>
      <c r="D877" s="491"/>
    </row>
    <row r="878" spans="1:4" x14ac:dyDescent="0.2">
      <c r="A878" s="514">
        <v>43594</v>
      </c>
      <c r="B878" s="491">
        <v>256363.47</v>
      </c>
      <c r="C878" s="514"/>
      <c r="D878" s="491"/>
    </row>
    <row r="879" spans="1:4" x14ac:dyDescent="0.2">
      <c r="A879" s="514">
        <v>43595</v>
      </c>
      <c r="B879" s="491">
        <v>256363</v>
      </c>
      <c r="C879" s="514"/>
      <c r="D879" s="491"/>
    </row>
    <row r="880" spans="1:4" x14ac:dyDescent="0.2">
      <c r="A880" s="514">
        <v>43598</v>
      </c>
      <c r="B880" s="491">
        <v>256363</v>
      </c>
      <c r="C880" s="514"/>
      <c r="D880" s="491"/>
    </row>
    <row r="881" spans="1:4" x14ac:dyDescent="0.2">
      <c r="A881" s="514">
        <v>43599</v>
      </c>
      <c r="B881" s="491">
        <v>220671.47</v>
      </c>
      <c r="C881" s="514"/>
      <c r="D881" s="491"/>
    </row>
    <row r="882" spans="1:4" x14ac:dyDescent="0.2">
      <c r="A882" s="514">
        <v>43600</v>
      </c>
      <c r="B882" s="491">
        <v>248680.89</v>
      </c>
      <c r="C882" s="514"/>
      <c r="D882" s="491"/>
    </row>
    <row r="883" spans="1:4" x14ac:dyDescent="0.2">
      <c r="A883" s="514">
        <v>43601</v>
      </c>
      <c r="B883" s="491">
        <v>254567.98</v>
      </c>
      <c r="C883" s="514"/>
      <c r="D883" s="491"/>
    </row>
    <row r="884" spans="1:4" x14ac:dyDescent="0.2">
      <c r="A884" s="514">
        <v>43602</v>
      </c>
      <c r="B884" s="491">
        <v>310563.12</v>
      </c>
      <c r="C884" s="514"/>
      <c r="D884" s="491"/>
    </row>
    <row r="885" spans="1:4" x14ac:dyDescent="0.2">
      <c r="A885" s="514">
        <v>43605</v>
      </c>
      <c r="B885" s="491">
        <v>310000.12</v>
      </c>
      <c r="C885" s="514"/>
      <c r="D885" s="491"/>
    </row>
    <row r="886" spans="1:4" x14ac:dyDescent="0.2">
      <c r="A886" s="514">
        <v>43606</v>
      </c>
      <c r="B886" s="491">
        <v>310000.12</v>
      </c>
      <c r="C886" s="514"/>
      <c r="D886" s="491"/>
    </row>
    <row r="887" spans="1:4" x14ac:dyDescent="0.2">
      <c r="A887" s="514">
        <v>43607</v>
      </c>
      <c r="B887" s="491">
        <v>310000.12</v>
      </c>
      <c r="C887" s="514"/>
      <c r="D887" s="491"/>
    </row>
    <row r="888" spans="1:4" x14ac:dyDescent="0.2">
      <c r="A888" s="514">
        <v>43608</v>
      </c>
      <c r="B888" s="491">
        <v>300109.28999999998</v>
      </c>
      <c r="C888" s="514"/>
      <c r="D888" s="491"/>
    </row>
    <row r="889" spans="1:4" x14ac:dyDescent="0.2">
      <c r="A889" s="514">
        <v>43609</v>
      </c>
      <c r="B889" s="491">
        <v>297396.90999999997</v>
      </c>
      <c r="C889" s="514"/>
      <c r="D889" s="491"/>
    </row>
    <row r="890" spans="1:4" x14ac:dyDescent="0.2">
      <c r="A890" s="514">
        <v>43612</v>
      </c>
      <c r="B890" s="491">
        <v>297397</v>
      </c>
      <c r="C890" s="514"/>
      <c r="D890" s="491"/>
    </row>
    <row r="891" spans="1:4" x14ac:dyDescent="0.2">
      <c r="A891" s="514">
        <v>43613</v>
      </c>
      <c r="B891" s="491">
        <v>309520.18</v>
      </c>
      <c r="C891" s="514"/>
      <c r="D891" s="491"/>
    </row>
    <row r="892" spans="1:4" x14ac:dyDescent="0.2">
      <c r="A892" s="514">
        <v>43614</v>
      </c>
      <c r="B892" s="491">
        <v>309520</v>
      </c>
      <c r="C892" s="514"/>
      <c r="D892" s="491"/>
    </row>
    <row r="893" spans="1:4" x14ac:dyDescent="0.2">
      <c r="A893" s="514">
        <v>43615</v>
      </c>
      <c r="B893" s="491">
        <v>306153.90000000002</v>
      </c>
      <c r="C893" s="514"/>
      <c r="D893" s="491"/>
    </row>
    <row r="894" spans="1:4" x14ac:dyDescent="0.2">
      <c r="A894" s="514">
        <v>43616</v>
      </c>
      <c r="B894" s="491">
        <v>307621.78000000003</v>
      </c>
      <c r="C894" s="514"/>
      <c r="D894" s="491"/>
    </row>
    <row r="895" spans="1:4" x14ac:dyDescent="0.2">
      <c r="A895" s="514">
        <v>43619</v>
      </c>
      <c r="B895" s="491">
        <v>307288.12</v>
      </c>
      <c r="C895" s="514"/>
      <c r="D895" s="491"/>
    </row>
    <row r="896" spans="1:4" x14ac:dyDescent="0.2">
      <c r="A896" s="514">
        <v>43620</v>
      </c>
      <c r="B896" s="491">
        <v>307288</v>
      </c>
      <c r="C896" s="514"/>
      <c r="D896" s="491"/>
    </row>
    <row r="897" spans="1:4" x14ac:dyDescent="0.2">
      <c r="A897" s="514">
        <v>43621</v>
      </c>
      <c r="B897" s="491">
        <v>307288</v>
      </c>
      <c r="C897" s="514"/>
      <c r="D897" s="491"/>
    </row>
    <row r="898" spans="1:4" x14ac:dyDescent="0.2">
      <c r="A898" s="514">
        <v>43622</v>
      </c>
      <c r="B898" s="491">
        <v>296580.19</v>
      </c>
      <c r="C898" s="514"/>
      <c r="D898" s="491"/>
    </row>
    <row r="899" spans="1:4" x14ac:dyDescent="0.2">
      <c r="A899" s="514">
        <v>43623</v>
      </c>
      <c r="B899" s="491">
        <v>295981.95</v>
      </c>
      <c r="C899" s="514"/>
      <c r="D899" s="491"/>
    </row>
    <row r="900" spans="1:4" x14ac:dyDescent="0.2">
      <c r="A900" s="514">
        <v>43626</v>
      </c>
      <c r="B900" s="491">
        <v>260513.06</v>
      </c>
      <c r="C900" s="514"/>
      <c r="D900" s="491"/>
    </row>
    <row r="901" spans="1:4" x14ac:dyDescent="0.2">
      <c r="A901" s="514">
        <v>43627</v>
      </c>
      <c r="B901" s="491">
        <v>260513</v>
      </c>
      <c r="C901" s="514"/>
      <c r="D901" s="491"/>
    </row>
    <row r="902" spans="1:4" x14ac:dyDescent="0.2">
      <c r="A902" s="514">
        <v>43628</v>
      </c>
      <c r="B902" s="491">
        <v>260513</v>
      </c>
      <c r="C902" s="514"/>
      <c r="D902" s="491"/>
    </row>
    <row r="903" spans="1:4" x14ac:dyDescent="0.2">
      <c r="A903" s="514">
        <v>43629</v>
      </c>
      <c r="B903" s="491">
        <v>255966.98</v>
      </c>
      <c r="C903" s="514"/>
      <c r="D903" s="491"/>
    </row>
    <row r="904" spans="1:4" x14ac:dyDescent="0.2">
      <c r="A904" s="514">
        <v>43630</v>
      </c>
      <c r="B904" s="491">
        <v>257507.94</v>
      </c>
      <c r="C904" s="514"/>
      <c r="D904" s="491"/>
    </row>
    <row r="905" spans="1:4" x14ac:dyDescent="0.2">
      <c r="A905" s="514">
        <v>43633</v>
      </c>
      <c r="B905" s="491">
        <v>257508</v>
      </c>
      <c r="C905" s="514"/>
      <c r="D905" s="491"/>
    </row>
    <row r="906" spans="1:4" x14ac:dyDescent="0.2">
      <c r="A906" s="514">
        <v>43634</v>
      </c>
      <c r="B906" s="491">
        <v>257508</v>
      </c>
      <c r="C906" s="514"/>
      <c r="D906" s="491"/>
    </row>
    <row r="907" spans="1:4" x14ac:dyDescent="0.2">
      <c r="A907" s="514">
        <v>43635</v>
      </c>
      <c r="B907" s="491">
        <v>257508</v>
      </c>
      <c r="C907" s="514"/>
      <c r="D907" s="491"/>
    </row>
    <row r="908" spans="1:4" x14ac:dyDescent="0.2">
      <c r="A908" s="514">
        <v>43636</v>
      </c>
      <c r="B908" s="491">
        <v>245601.94</v>
      </c>
      <c r="C908" s="514"/>
      <c r="D908" s="491"/>
    </row>
    <row r="909" spans="1:4" x14ac:dyDescent="0.2">
      <c r="A909" s="514">
        <v>43637</v>
      </c>
      <c r="B909" s="491">
        <v>245768.94</v>
      </c>
      <c r="C909" s="514"/>
      <c r="D909" s="491"/>
    </row>
    <row r="910" spans="1:4" x14ac:dyDescent="0.2">
      <c r="A910" s="514">
        <v>43640</v>
      </c>
      <c r="B910" s="491">
        <v>245769</v>
      </c>
      <c r="C910" s="514"/>
      <c r="D910" s="491"/>
    </row>
    <row r="911" spans="1:4" x14ac:dyDescent="0.2">
      <c r="A911" s="514">
        <v>43641</v>
      </c>
      <c r="B911" s="491">
        <v>209143.06</v>
      </c>
      <c r="C911" s="514"/>
      <c r="D911" s="491"/>
    </row>
    <row r="912" spans="1:4" x14ac:dyDescent="0.2">
      <c r="A912" s="514">
        <v>43642</v>
      </c>
      <c r="B912" s="491">
        <v>216087.16</v>
      </c>
      <c r="C912" s="514"/>
      <c r="D912" s="491"/>
    </row>
    <row r="913" spans="1:4" x14ac:dyDescent="0.2">
      <c r="A913" s="514">
        <v>43643</v>
      </c>
      <c r="B913" s="491">
        <v>218399.34</v>
      </c>
      <c r="C913" s="514"/>
      <c r="D913" s="491"/>
    </row>
    <row r="914" spans="1:4" x14ac:dyDescent="0.2">
      <c r="A914" s="514">
        <v>43644</v>
      </c>
      <c r="B914" s="491">
        <v>246675.15</v>
      </c>
      <c r="C914" s="514"/>
      <c r="D914" s="491"/>
    </row>
    <row r="915" spans="1:4" x14ac:dyDescent="0.2">
      <c r="A915" s="514">
        <v>43647</v>
      </c>
      <c r="B915" s="491">
        <v>246675</v>
      </c>
      <c r="C915" s="514"/>
      <c r="D915" s="491"/>
    </row>
    <row r="916" spans="1:4" x14ac:dyDescent="0.2">
      <c r="A916" s="514">
        <v>43648</v>
      </c>
      <c r="B916" s="491">
        <v>248377.32</v>
      </c>
      <c r="C916" s="514"/>
      <c r="D916" s="491"/>
    </row>
    <row r="917" spans="1:4" x14ac:dyDescent="0.2">
      <c r="A917" s="514">
        <v>43649</v>
      </c>
      <c r="B917" s="491">
        <v>277944.71000000002</v>
      </c>
      <c r="C917" s="514"/>
      <c r="D917" s="491"/>
    </row>
    <row r="918" spans="1:4" x14ac:dyDescent="0.2">
      <c r="A918" s="514">
        <v>43650</v>
      </c>
      <c r="B918" s="491">
        <v>277945</v>
      </c>
      <c r="C918" s="514"/>
      <c r="D918" s="491"/>
    </row>
    <row r="919" spans="1:4" x14ac:dyDescent="0.2">
      <c r="A919" s="514">
        <v>43651</v>
      </c>
      <c r="B919" s="491">
        <v>278046.71000000002</v>
      </c>
      <c r="C919" s="514"/>
      <c r="D919" s="491"/>
    </row>
    <row r="920" spans="1:4" x14ac:dyDescent="0.2">
      <c r="A920" s="514">
        <v>43654</v>
      </c>
      <c r="B920" s="491">
        <v>282590.19</v>
      </c>
      <c r="C920" s="514"/>
      <c r="D920" s="491"/>
    </row>
    <row r="921" spans="1:4" x14ac:dyDescent="0.2">
      <c r="A921" s="514">
        <v>43655</v>
      </c>
      <c r="B921" s="491">
        <v>247195.73</v>
      </c>
      <c r="C921" s="514"/>
      <c r="D921" s="491"/>
    </row>
    <row r="922" spans="1:4" x14ac:dyDescent="0.2">
      <c r="A922" s="514">
        <v>43656</v>
      </c>
      <c r="B922" s="491">
        <v>247195.73</v>
      </c>
      <c r="C922" s="514"/>
      <c r="D922" s="491"/>
    </row>
    <row r="923" spans="1:4" x14ac:dyDescent="0.2">
      <c r="A923" s="514">
        <v>43657</v>
      </c>
      <c r="B923" s="491">
        <v>235813.1</v>
      </c>
      <c r="C923" s="514"/>
      <c r="D923" s="491"/>
    </row>
    <row r="924" spans="1:4" x14ac:dyDescent="0.2">
      <c r="A924" s="514">
        <v>43658</v>
      </c>
      <c r="B924" s="491">
        <v>237210.07</v>
      </c>
      <c r="C924" s="514"/>
      <c r="D924" s="491"/>
    </row>
    <row r="925" spans="1:4" x14ac:dyDescent="0.2">
      <c r="A925" s="514">
        <v>43661</v>
      </c>
      <c r="B925" s="491">
        <v>237490.39</v>
      </c>
      <c r="C925" s="514"/>
      <c r="D925" s="491"/>
    </row>
    <row r="926" spans="1:4" x14ac:dyDescent="0.2">
      <c r="A926" s="514">
        <v>43662</v>
      </c>
      <c r="B926" s="491">
        <v>237490</v>
      </c>
      <c r="C926" s="514"/>
      <c r="D926" s="491"/>
    </row>
    <row r="927" spans="1:4" x14ac:dyDescent="0.2">
      <c r="A927" s="514">
        <v>43663</v>
      </c>
      <c r="B927" s="491">
        <v>237490.39</v>
      </c>
      <c r="C927" s="514"/>
      <c r="D927" s="491"/>
    </row>
    <row r="928" spans="1:4" x14ac:dyDescent="0.2">
      <c r="A928" s="514">
        <v>43664</v>
      </c>
      <c r="B928" s="491">
        <v>232593.57</v>
      </c>
      <c r="C928" s="514"/>
      <c r="D928" s="491"/>
    </row>
    <row r="929" spans="1:4" x14ac:dyDescent="0.2">
      <c r="A929" s="514">
        <v>43665</v>
      </c>
      <c r="B929" s="491">
        <v>232923.06</v>
      </c>
      <c r="C929" s="514"/>
      <c r="D929" s="491"/>
    </row>
    <row r="930" spans="1:4" x14ac:dyDescent="0.2">
      <c r="A930" s="514">
        <v>43668</v>
      </c>
      <c r="B930" s="491">
        <v>196798.51</v>
      </c>
      <c r="C930" s="514"/>
      <c r="D930" s="491"/>
    </row>
    <row r="931" spans="1:4" x14ac:dyDescent="0.2">
      <c r="A931" s="514">
        <v>43669</v>
      </c>
      <c r="B931" s="491">
        <v>199629.38</v>
      </c>
      <c r="C931" s="514"/>
      <c r="D931" s="491"/>
    </row>
    <row r="932" spans="1:4" x14ac:dyDescent="0.2">
      <c r="A932" s="514">
        <v>43670</v>
      </c>
      <c r="B932" s="491">
        <v>199629</v>
      </c>
      <c r="C932" s="514"/>
      <c r="D932" s="491"/>
    </row>
    <row r="933" spans="1:4" x14ac:dyDescent="0.2">
      <c r="A933" s="514">
        <v>43671</v>
      </c>
      <c r="B933" s="491">
        <v>195151.45</v>
      </c>
      <c r="C933" s="514"/>
      <c r="D933" s="491"/>
    </row>
    <row r="934" spans="1:4" x14ac:dyDescent="0.2">
      <c r="A934" s="514">
        <v>43672</v>
      </c>
      <c r="B934" s="491">
        <v>228843.78</v>
      </c>
      <c r="C934" s="514"/>
      <c r="D934" s="491"/>
    </row>
    <row r="935" spans="1:4" x14ac:dyDescent="0.2">
      <c r="A935" s="514">
        <v>43675</v>
      </c>
      <c r="B935" s="491">
        <v>228844</v>
      </c>
      <c r="C935" s="514"/>
      <c r="D935" s="491"/>
    </row>
    <row r="936" spans="1:4" x14ac:dyDescent="0.2">
      <c r="A936" s="514">
        <v>43676</v>
      </c>
      <c r="B936" s="491">
        <v>228844</v>
      </c>
      <c r="C936" s="514"/>
      <c r="D936" s="491"/>
    </row>
    <row r="937" spans="1:4" x14ac:dyDescent="0.2">
      <c r="A937" s="514">
        <v>43677</v>
      </c>
      <c r="B937" s="491">
        <v>229051.78</v>
      </c>
      <c r="C937" s="514"/>
      <c r="D937" s="491"/>
    </row>
    <row r="938" spans="1:4" x14ac:dyDescent="0.2">
      <c r="A938" s="514">
        <v>43678</v>
      </c>
      <c r="B938" s="491">
        <v>234767.17</v>
      </c>
      <c r="C938" s="514"/>
      <c r="D938" s="491"/>
    </row>
    <row r="939" spans="1:4" x14ac:dyDescent="0.2">
      <c r="A939" s="514">
        <v>43679</v>
      </c>
      <c r="B939" s="491">
        <v>236117.76000000001</v>
      </c>
      <c r="C939" s="514"/>
      <c r="D939" s="491"/>
    </row>
    <row r="940" spans="1:4" x14ac:dyDescent="0.2">
      <c r="A940" s="514">
        <v>43682</v>
      </c>
      <c r="B940" s="491">
        <v>236118</v>
      </c>
      <c r="C940" s="514"/>
      <c r="D940" s="491"/>
    </row>
    <row r="941" spans="1:4" x14ac:dyDescent="0.2">
      <c r="A941" s="514">
        <v>43683</v>
      </c>
      <c r="B941" s="491">
        <v>208888.5</v>
      </c>
      <c r="C941" s="514"/>
      <c r="D941" s="491"/>
    </row>
    <row r="942" spans="1:4" x14ac:dyDescent="0.2">
      <c r="A942" s="514">
        <v>43684</v>
      </c>
      <c r="B942" s="491">
        <v>208792.5</v>
      </c>
      <c r="C942" s="514"/>
      <c r="D942" s="491"/>
    </row>
    <row r="943" spans="1:4" x14ac:dyDescent="0.2">
      <c r="A943" s="514">
        <v>43685</v>
      </c>
      <c r="B943" s="491">
        <v>203219.37</v>
      </c>
      <c r="C943" s="514"/>
      <c r="D943" s="491"/>
    </row>
    <row r="944" spans="1:4" x14ac:dyDescent="0.2">
      <c r="A944" s="514">
        <v>43686</v>
      </c>
      <c r="B944" s="491">
        <v>205639.37</v>
      </c>
      <c r="C944" s="514"/>
      <c r="D944" s="491"/>
    </row>
    <row r="945" spans="1:4" x14ac:dyDescent="0.2">
      <c r="A945" s="514">
        <v>43689</v>
      </c>
      <c r="B945" s="491">
        <v>205639.37</v>
      </c>
      <c r="C945" s="514"/>
      <c r="D945" s="491"/>
    </row>
    <row r="946" spans="1:4" x14ac:dyDescent="0.2">
      <c r="A946" s="514">
        <v>43690</v>
      </c>
      <c r="B946" s="491">
        <v>232145.73</v>
      </c>
      <c r="C946" s="514"/>
      <c r="D946" s="491"/>
    </row>
    <row r="947" spans="1:4" x14ac:dyDescent="0.2">
      <c r="A947" s="514">
        <v>43691</v>
      </c>
      <c r="B947" s="491">
        <v>233325.32</v>
      </c>
      <c r="C947" s="514"/>
      <c r="D947" s="491"/>
    </row>
    <row r="948" spans="1:4" x14ac:dyDescent="0.2">
      <c r="A948" s="514">
        <v>43692</v>
      </c>
      <c r="B948" s="491">
        <v>225375.98</v>
      </c>
      <c r="C948" s="514"/>
      <c r="D948" s="491"/>
    </row>
    <row r="949" spans="1:4" x14ac:dyDescent="0.2">
      <c r="A949" s="514">
        <v>43693</v>
      </c>
      <c r="B949" s="491">
        <v>225424.1</v>
      </c>
      <c r="C949" s="514"/>
      <c r="D949" s="491"/>
    </row>
    <row r="950" spans="1:4" x14ac:dyDescent="0.2">
      <c r="A950" s="514">
        <v>43696</v>
      </c>
      <c r="B950" s="491">
        <v>187365.06</v>
      </c>
      <c r="C950" s="514"/>
      <c r="D950" s="491"/>
    </row>
    <row r="951" spans="1:4" x14ac:dyDescent="0.2">
      <c r="A951" s="514">
        <v>43697</v>
      </c>
      <c r="B951" s="491">
        <v>187365</v>
      </c>
      <c r="C951" s="514"/>
      <c r="D951" s="491"/>
    </row>
    <row r="952" spans="1:4" x14ac:dyDescent="0.2">
      <c r="A952" s="514">
        <v>43698</v>
      </c>
      <c r="B952" s="491">
        <v>187365</v>
      </c>
      <c r="C952" s="514"/>
      <c r="D952" s="491"/>
    </row>
    <row r="953" spans="1:4" x14ac:dyDescent="0.2">
      <c r="A953" s="514">
        <v>43699</v>
      </c>
      <c r="B953" s="549">
        <v>172667.6</v>
      </c>
      <c r="C953" s="514"/>
      <c r="D953" s="491"/>
    </row>
    <row r="954" spans="1:4" x14ac:dyDescent="0.2">
      <c r="A954" s="514">
        <v>43700</v>
      </c>
      <c r="B954" s="491">
        <v>172668</v>
      </c>
      <c r="C954" s="514"/>
      <c r="D954" s="491"/>
    </row>
    <row r="955" spans="1:4" x14ac:dyDescent="0.2">
      <c r="A955" s="514">
        <v>43703</v>
      </c>
      <c r="B955" s="491">
        <v>236616.35</v>
      </c>
      <c r="C955" s="514"/>
      <c r="D955" s="491"/>
    </row>
    <row r="956" spans="1:4" x14ac:dyDescent="0.2">
      <c r="A956" s="514">
        <v>43704</v>
      </c>
      <c r="B956" s="491">
        <v>237913.62</v>
      </c>
      <c r="C956" s="514"/>
      <c r="D956" s="491"/>
    </row>
    <row r="957" spans="1:4" x14ac:dyDescent="0.2">
      <c r="A957" s="514">
        <v>43705</v>
      </c>
      <c r="B957" s="491">
        <v>237914</v>
      </c>
      <c r="C957" s="514"/>
      <c r="D957" s="491"/>
    </row>
    <row r="958" spans="1:4" x14ac:dyDescent="0.2">
      <c r="A958" s="514">
        <v>43706</v>
      </c>
      <c r="B958" s="491">
        <v>244708.19</v>
      </c>
      <c r="C958" s="514"/>
      <c r="D958" s="491"/>
    </row>
    <row r="959" spans="1:4" x14ac:dyDescent="0.2">
      <c r="A959" s="514">
        <v>43707</v>
      </c>
      <c r="B959" s="491">
        <v>249899.19</v>
      </c>
      <c r="C959" s="514"/>
      <c r="D959" s="491"/>
    </row>
    <row r="960" spans="1:4" x14ac:dyDescent="0.2">
      <c r="A960" s="514">
        <v>43710</v>
      </c>
      <c r="B960" s="491">
        <v>249899</v>
      </c>
      <c r="C960" s="514"/>
      <c r="D960" s="491"/>
    </row>
    <row r="961" spans="1:4" x14ac:dyDescent="0.2">
      <c r="A961" s="514">
        <v>43711</v>
      </c>
      <c r="B961" s="491">
        <v>215930.73</v>
      </c>
      <c r="C961" s="514"/>
      <c r="D961" s="491"/>
    </row>
    <row r="962" spans="1:4" x14ac:dyDescent="0.2">
      <c r="A962" s="514">
        <v>43712</v>
      </c>
      <c r="B962" s="491">
        <v>215931</v>
      </c>
      <c r="C962" s="514"/>
      <c r="D962" s="491"/>
    </row>
    <row r="963" spans="1:4" x14ac:dyDescent="0.2">
      <c r="A963" s="514">
        <v>43713</v>
      </c>
      <c r="B963" s="491">
        <v>205664.34</v>
      </c>
      <c r="C963" s="514"/>
      <c r="D963" s="491"/>
    </row>
    <row r="964" spans="1:4" x14ac:dyDescent="0.2">
      <c r="A964" s="514">
        <v>43714</v>
      </c>
      <c r="B964" s="491">
        <v>205830.34</v>
      </c>
      <c r="C964" s="514"/>
      <c r="D964" s="491"/>
    </row>
    <row r="965" spans="1:4" x14ac:dyDescent="0.2">
      <c r="A965" s="514">
        <v>43717</v>
      </c>
      <c r="B965" s="491">
        <v>205830</v>
      </c>
      <c r="C965" s="514"/>
      <c r="D965" s="491"/>
    </row>
    <row r="966" spans="1:4" x14ac:dyDescent="0.2">
      <c r="A966" s="514">
        <v>43718</v>
      </c>
      <c r="B966" s="491">
        <v>205830</v>
      </c>
      <c r="C966" s="514"/>
      <c r="D966" s="491"/>
    </row>
    <row r="967" spans="1:4" x14ac:dyDescent="0.2">
      <c r="A967" s="514">
        <v>43719</v>
      </c>
      <c r="B967" s="491">
        <v>205830</v>
      </c>
      <c r="C967" s="514"/>
      <c r="D967" s="491"/>
    </row>
    <row r="968" spans="1:4" x14ac:dyDescent="0.2">
      <c r="A968" s="514">
        <v>43720</v>
      </c>
      <c r="B968" s="491">
        <v>207654.61</v>
      </c>
      <c r="C968" s="514"/>
      <c r="D968" s="491"/>
    </row>
    <row r="969" spans="1:4" x14ac:dyDescent="0.2">
      <c r="A969" s="514">
        <v>43721</v>
      </c>
      <c r="B969" s="491">
        <v>207743.24</v>
      </c>
      <c r="C969" s="514"/>
      <c r="D969" s="491"/>
    </row>
    <row r="970" spans="1:4" x14ac:dyDescent="0.2">
      <c r="A970" s="514">
        <v>43724</v>
      </c>
      <c r="B970" s="491">
        <v>207845.42</v>
      </c>
      <c r="C970" s="514"/>
      <c r="D970" s="491"/>
    </row>
    <row r="971" spans="1:4" x14ac:dyDescent="0.2">
      <c r="A971" s="514">
        <v>43725</v>
      </c>
      <c r="B971" s="491">
        <v>173840.8</v>
      </c>
      <c r="C971" s="514"/>
      <c r="D971" s="491"/>
    </row>
    <row r="972" spans="1:4" x14ac:dyDescent="0.2">
      <c r="A972" s="514">
        <v>43726</v>
      </c>
      <c r="B972" s="491">
        <v>212383.95</v>
      </c>
      <c r="C972" s="514"/>
      <c r="D972" s="491"/>
    </row>
    <row r="973" spans="1:4" x14ac:dyDescent="0.2">
      <c r="A973" s="514">
        <v>43727</v>
      </c>
      <c r="B973" s="491">
        <v>205191.98</v>
      </c>
      <c r="C973" s="514"/>
      <c r="D973" s="491"/>
    </row>
    <row r="974" spans="1:4" x14ac:dyDescent="0.2">
      <c r="A974" s="514">
        <v>43728</v>
      </c>
      <c r="B974" s="491">
        <v>205884.98</v>
      </c>
      <c r="C974" s="514"/>
      <c r="D974" s="491"/>
    </row>
    <row r="975" spans="1:4" x14ac:dyDescent="0.2">
      <c r="A975" s="514">
        <v>43731</v>
      </c>
      <c r="B975" s="491">
        <v>205884.98</v>
      </c>
      <c r="C975" s="514"/>
      <c r="D975" s="491"/>
    </row>
    <row r="976" spans="1:4" x14ac:dyDescent="0.2">
      <c r="A976" s="514">
        <v>43732</v>
      </c>
      <c r="B976" s="491">
        <v>205884.98</v>
      </c>
      <c r="C976" s="514"/>
      <c r="D976" s="491"/>
    </row>
    <row r="977" spans="1:4" x14ac:dyDescent="0.2">
      <c r="A977" s="514">
        <v>43733</v>
      </c>
      <c r="B977" s="491">
        <v>231641.34</v>
      </c>
      <c r="C977" s="514"/>
      <c r="D977" s="491"/>
    </row>
    <row r="978" spans="1:4" x14ac:dyDescent="0.2">
      <c r="A978" s="514">
        <v>43734</v>
      </c>
      <c r="B978" s="491">
        <v>236338.62</v>
      </c>
      <c r="C978" s="514"/>
      <c r="D978" s="491"/>
    </row>
    <row r="979" spans="1:4" x14ac:dyDescent="0.2">
      <c r="A979" s="514">
        <v>43735</v>
      </c>
      <c r="B979" s="491">
        <v>269514.5</v>
      </c>
      <c r="C979" s="514"/>
      <c r="D979" s="491"/>
    </row>
    <row r="980" spans="1:4" x14ac:dyDescent="0.2">
      <c r="A980" s="514">
        <v>43738</v>
      </c>
      <c r="B980" s="491">
        <v>287654.26</v>
      </c>
      <c r="C980" s="514"/>
      <c r="D980" s="491"/>
    </row>
    <row r="981" spans="1:4" x14ac:dyDescent="0.2">
      <c r="A981" s="514">
        <v>43739</v>
      </c>
      <c r="B981" s="491">
        <v>254047.41</v>
      </c>
      <c r="C981" s="514"/>
      <c r="D981" s="491"/>
    </row>
    <row r="982" spans="1:4" x14ac:dyDescent="0.2">
      <c r="A982" s="514">
        <v>43740</v>
      </c>
      <c r="B982" s="491">
        <v>254047</v>
      </c>
      <c r="C982" s="514"/>
      <c r="D982" s="491"/>
    </row>
    <row r="983" spans="1:4" x14ac:dyDescent="0.2">
      <c r="A983" s="514">
        <v>43741</v>
      </c>
      <c r="B983" s="491">
        <v>244596.04</v>
      </c>
      <c r="C983" s="514"/>
      <c r="D983" s="491"/>
    </row>
    <row r="984" spans="1:4" x14ac:dyDescent="0.2">
      <c r="A984" s="514">
        <v>43742</v>
      </c>
      <c r="B984" s="491">
        <v>244881.04</v>
      </c>
      <c r="C984" s="514"/>
      <c r="D984" s="491"/>
    </row>
    <row r="985" spans="1:4" x14ac:dyDescent="0.2">
      <c r="A985" s="514">
        <v>43745</v>
      </c>
      <c r="B985" s="491">
        <v>244881</v>
      </c>
      <c r="C985" s="514"/>
      <c r="D985" s="491"/>
    </row>
    <row r="986" spans="1:4" x14ac:dyDescent="0.2">
      <c r="A986" s="514">
        <v>43746</v>
      </c>
      <c r="B986" s="491">
        <v>244881</v>
      </c>
      <c r="C986" s="514"/>
      <c r="D986" s="491"/>
    </row>
    <row r="987" spans="1:4" x14ac:dyDescent="0.2">
      <c r="A987" s="514">
        <v>43747</v>
      </c>
      <c r="B987" s="491">
        <v>244881</v>
      </c>
      <c r="C987" s="514"/>
      <c r="D987" s="491"/>
    </row>
    <row r="988" spans="1:4" x14ac:dyDescent="0.2">
      <c r="A988" s="514">
        <v>43748</v>
      </c>
      <c r="B988" s="491">
        <v>247845.59</v>
      </c>
      <c r="C988" s="514"/>
      <c r="D988" s="491"/>
    </row>
    <row r="989" spans="1:4" x14ac:dyDescent="0.2">
      <c r="A989" s="514">
        <v>43749</v>
      </c>
      <c r="B989" s="491">
        <v>247846</v>
      </c>
      <c r="C989" s="514"/>
      <c r="D989" s="491"/>
    </row>
    <row r="990" spans="1:4" x14ac:dyDescent="0.2">
      <c r="A990" s="514">
        <v>43752</v>
      </c>
      <c r="B990" s="491">
        <v>247846</v>
      </c>
      <c r="C990" s="514"/>
      <c r="D990" s="491"/>
    </row>
    <row r="991" spans="1:4" x14ac:dyDescent="0.2">
      <c r="A991" s="514">
        <v>43753</v>
      </c>
      <c r="B991" s="491">
        <v>183161.53</v>
      </c>
      <c r="C991" s="514"/>
      <c r="D991" s="491"/>
    </row>
    <row r="992" spans="1:4" x14ac:dyDescent="0.2">
      <c r="A992" s="514">
        <v>43754</v>
      </c>
      <c r="B992" s="491">
        <v>185786.19</v>
      </c>
      <c r="C992" s="514"/>
      <c r="D992" s="491"/>
    </row>
    <row r="993" spans="1:4" x14ac:dyDescent="0.2">
      <c r="A993" s="514">
        <v>43755</v>
      </c>
      <c r="B993" s="491">
        <v>160581.73000000001</v>
      </c>
      <c r="C993" s="514"/>
      <c r="D993" s="491"/>
    </row>
    <row r="994" spans="1:4" x14ac:dyDescent="0.2">
      <c r="A994" s="514">
        <v>43756</v>
      </c>
      <c r="B994" s="491">
        <v>160581.73000000001</v>
      </c>
      <c r="C994" s="514"/>
      <c r="D994" s="491"/>
    </row>
    <row r="995" spans="1:4" x14ac:dyDescent="0.2">
      <c r="A995" s="514">
        <v>43759</v>
      </c>
      <c r="B995" s="491">
        <v>160581.73000000001</v>
      </c>
      <c r="C995" s="514"/>
      <c r="D995" s="491"/>
    </row>
    <row r="996" spans="1:4" x14ac:dyDescent="0.2">
      <c r="A996" s="514">
        <v>43760</v>
      </c>
      <c r="B996" s="491">
        <v>160581.73000000001</v>
      </c>
      <c r="C996" s="514"/>
      <c r="D996" s="491"/>
    </row>
    <row r="997" spans="1:4" x14ac:dyDescent="0.2">
      <c r="A997" s="514">
        <v>43761</v>
      </c>
      <c r="B997" s="491">
        <v>171996.42</v>
      </c>
      <c r="C997" s="514"/>
      <c r="D997" s="491"/>
    </row>
    <row r="998" spans="1:4" x14ac:dyDescent="0.2">
      <c r="A998" s="514">
        <v>43762</v>
      </c>
      <c r="B998" s="491">
        <v>167352.24</v>
      </c>
      <c r="C998" s="514"/>
      <c r="D998" s="491"/>
    </row>
    <row r="999" spans="1:4" x14ac:dyDescent="0.2">
      <c r="A999" s="514">
        <v>43763</v>
      </c>
      <c r="B999" s="491">
        <v>166766.24</v>
      </c>
      <c r="C999" s="514"/>
      <c r="D999" s="491"/>
    </row>
    <row r="1000" spans="1:4" x14ac:dyDescent="0.2">
      <c r="A1000" s="514">
        <v>43766</v>
      </c>
      <c r="B1000" s="549">
        <v>129051.26</v>
      </c>
      <c r="C1000" s="514"/>
      <c r="D1000" s="491"/>
    </row>
    <row r="1001" spans="1:4" x14ac:dyDescent="0.2">
      <c r="A1001" s="514">
        <v>43767</v>
      </c>
      <c r="B1001" s="491">
        <v>132306.64000000001</v>
      </c>
      <c r="C1001" s="514"/>
      <c r="D1001" s="491"/>
    </row>
    <row r="1002" spans="1:4" x14ac:dyDescent="0.2">
      <c r="A1002" s="514">
        <v>43768</v>
      </c>
      <c r="B1002" s="491">
        <v>181475.08</v>
      </c>
      <c r="C1002" s="514"/>
      <c r="D1002" s="491"/>
    </row>
    <row r="1003" spans="1:4" x14ac:dyDescent="0.2">
      <c r="A1003" s="514">
        <v>43769</v>
      </c>
      <c r="B1003" s="491">
        <v>169335.94</v>
      </c>
      <c r="C1003" s="514"/>
      <c r="D1003" s="491"/>
    </row>
    <row r="1004" spans="1:4" x14ac:dyDescent="0.2">
      <c r="A1004" s="514">
        <v>43770</v>
      </c>
      <c r="B1004" s="491">
        <v>171521.13</v>
      </c>
      <c r="C1004" s="514"/>
      <c r="D1004" s="491"/>
    </row>
    <row r="1005" spans="1:4" x14ac:dyDescent="0.2">
      <c r="A1005" s="514">
        <v>43773</v>
      </c>
      <c r="B1005" s="491">
        <v>171521</v>
      </c>
      <c r="C1005" s="514"/>
      <c r="D1005" s="491"/>
    </row>
    <row r="1006" spans="1:4" x14ac:dyDescent="0.2">
      <c r="A1006" s="514">
        <v>43774</v>
      </c>
      <c r="B1006" s="491">
        <v>171521</v>
      </c>
      <c r="C1006" s="514"/>
      <c r="D1006" s="491"/>
    </row>
    <row r="1007" spans="1:4" x14ac:dyDescent="0.2">
      <c r="A1007" s="514">
        <v>43775</v>
      </c>
      <c r="B1007" s="491">
        <v>201934.13</v>
      </c>
      <c r="C1007" s="514"/>
      <c r="D1007" s="491"/>
    </row>
    <row r="1008" spans="1:4" x14ac:dyDescent="0.2">
      <c r="A1008" s="514">
        <v>43776</v>
      </c>
      <c r="B1008" s="491">
        <v>198457.3</v>
      </c>
      <c r="C1008" s="514"/>
      <c r="D1008" s="491"/>
    </row>
    <row r="1009" spans="1:4" x14ac:dyDescent="0.2">
      <c r="A1009" s="514">
        <v>43777</v>
      </c>
      <c r="B1009" s="491">
        <v>198457</v>
      </c>
      <c r="C1009" s="514"/>
      <c r="D1009" s="491"/>
    </row>
    <row r="1010" spans="1:4" x14ac:dyDescent="0.2">
      <c r="A1010" s="514">
        <v>43780</v>
      </c>
      <c r="B1010" s="491">
        <v>164046.53</v>
      </c>
      <c r="C1010" s="514"/>
      <c r="D1010" s="491"/>
    </row>
    <row r="1011" spans="1:4" x14ac:dyDescent="0.2">
      <c r="A1011" s="514">
        <v>43781</v>
      </c>
      <c r="B1011" s="491">
        <v>164047</v>
      </c>
      <c r="C1011" s="514"/>
      <c r="D1011" s="491"/>
    </row>
    <row r="1012" spans="1:4" x14ac:dyDescent="0.2">
      <c r="A1012" s="514">
        <v>43782</v>
      </c>
      <c r="B1012" s="491">
        <v>198779.19</v>
      </c>
      <c r="C1012" s="514"/>
      <c r="D1012" s="491"/>
    </row>
    <row r="1013" spans="1:4" x14ac:dyDescent="0.2">
      <c r="A1013" s="514">
        <v>43783</v>
      </c>
      <c r="B1013" s="491">
        <v>188221.13</v>
      </c>
      <c r="C1013" s="514"/>
      <c r="D1013" s="491"/>
    </row>
    <row r="1014" spans="1:4" x14ac:dyDescent="0.2">
      <c r="A1014" s="514">
        <v>43784</v>
      </c>
      <c r="B1014" s="491">
        <v>190279.89</v>
      </c>
      <c r="C1014" s="514"/>
      <c r="D1014" s="491"/>
    </row>
    <row r="1015" spans="1:4" x14ac:dyDescent="0.2">
      <c r="A1015" s="514">
        <v>43787</v>
      </c>
      <c r="B1015" s="491">
        <v>190179.89</v>
      </c>
      <c r="C1015" s="514"/>
      <c r="D1015" s="491"/>
    </row>
    <row r="1016" spans="1:4" x14ac:dyDescent="0.2">
      <c r="A1016" s="514">
        <v>43788</v>
      </c>
      <c r="B1016" s="491">
        <v>190180</v>
      </c>
      <c r="C1016" s="514"/>
      <c r="D1016" s="491"/>
    </row>
    <row r="1017" spans="1:4" x14ac:dyDescent="0.2">
      <c r="A1017" s="514">
        <v>43789</v>
      </c>
      <c r="B1017" s="491">
        <v>190180</v>
      </c>
      <c r="C1017" s="514"/>
      <c r="D1017" s="491"/>
    </row>
    <row r="1018" spans="1:4" x14ac:dyDescent="0.2">
      <c r="A1018" s="514">
        <v>43790</v>
      </c>
      <c r="B1018" s="491">
        <v>188919.3</v>
      </c>
      <c r="C1018" s="514"/>
      <c r="D1018" s="491"/>
    </row>
    <row r="1019" spans="1:4" x14ac:dyDescent="0.2">
      <c r="A1019" s="514">
        <v>43791</v>
      </c>
      <c r="B1019" s="491">
        <v>188919</v>
      </c>
      <c r="C1019" s="514"/>
      <c r="D1019" s="491"/>
    </row>
    <row r="1020" spans="1:4" x14ac:dyDescent="0.2">
      <c r="A1020" s="514">
        <v>43794</v>
      </c>
      <c r="B1020" s="491">
        <v>153349.64000000001</v>
      </c>
      <c r="C1020" s="514"/>
      <c r="D1020" s="491"/>
    </row>
    <row r="1021" spans="1:4" x14ac:dyDescent="0.2">
      <c r="A1021" s="514">
        <v>43795</v>
      </c>
      <c r="B1021" s="491">
        <v>153226.64000000001</v>
      </c>
      <c r="C1021" s="514"/>
      <c r="D1021" s="491"/>
    </row>
    <row r="1022" spans="1:4" x14ac:dyDescent="0.2">
      <c r="A1022" s="514">
        <v>43796</v>
      </c>
      <c r="B1022" s="491">
        <v>154369.64000000001</v>
      </c>
      <c r="C1022" s="514"/>
      <c r="D1022" s="491"/>
    </row>
    <row r="1023" spans="1:4" x14ac:dyDescent="0.2">
      <c r="A1023" s="514">
        <v>43797</v>
      </c>
      <c r="B1023" s="491">
        <v>154370</v>
      </c>
      <c r="C1023" s="514"/>
      <c r="D1023" s="491"/>
    </row>
    <row r="1024" spans="1:4" x14ac:dyDescent="0.2">
      <c r="A1024" s="514">
        <v>43798</v>
      </c>
      <c r="B1024" s="491">
        <v>237011.17</v>
      </c>
      <c r="C1024" s="514"/>
      <c r="D1024" s="491"/>
    </row>
    <row r="1025" spans="1:4" x14ac:dyDescent="0.2">
      <c r="A1025" s="514">
        <v>43801</v>
      </c>
      <c r="B1025" s="491">
        <v>237011</v>
      </c>
      <c r="C1025" s="514"/>
      <c r="D1025" s="491"/>
    </row>
    <row r="1026" spans="1:4" x14ac:dyDescent="0.2">
      <c r="A1026" s="514">
        <v>43802</v>
      </c>
      <c r="B1026" s="491">
        <v>237011</v>
      </c>
      <c r="C1026" s="514"/>
      <c r="D1026" s="491"/>
    </row>
    <row r="1027" spans="1:4" x14ac:dyDescent="0.2">
      <c r="A1027" s="514">
        <v>43803</v>
      </c>
      <c r="B1027" s="491">
        <v>237011</v>
      </c>
      <c r="C1027" s="514"/>
      <c r="D1027" s="491"/>
    </row>
    <row r="1028" spans="1:4" x14ac:dyDescent="0.2">
      <c r="A1028" s="514">
        <v>43804</v>
      </c>
      <c r="B1028" s="491">
        <v>229967.75</v>
      </c>
      <c r="C1028" s="514"/>
      <c r="D1028" s="491"/>
    </row>
    <row r="1029" spans="1:4" x14ac:dyDescent="0.2">
      <c r="A1029" s="514">
        <v>43805</v>
      </c>
      <c r="B1029" s="491">
        <v>229968</v>
      </c>
      <c r="C1029" s="514"/>
      <c r="D1029" s="491"/>
    </row>
    <row r="1030" spans="1:4" x14ac:dyDescent="0.2">
      <c r="A1030" s="514">
        <v>43808</v>
      </c>
      <c r="B1030" s="491">
        <v>193352.99</v>
      </c>
      <c r="C1030" s="514"/>
      <c r="D1030" s="491"/>
    </row>
    <row r="1031" spans="1:4" x14ac:dyDescent="0.2">
      <c r="A1031" s="514">
        <v>43809</v>
      </c>
      <c r="B1031" s="491">
        <v>193629.99</v>
      </c>
      <c r="C1031" s="514"/>
      <c r="D1031" s="491"/>
    </row>
    <row r="1032" spans="1:4" x14ac:dyDescent="0.2">
      <c r="A1032" s="514">
        <v>43810</v>
      </c>
      <c r="B1032" s="491">
        <v>193630</v>
      </c>
      <c r="C1032" s="514"/>
      <c r="D1032" s="491"/>
    </row>
    <row r="1033" spans="1:4" x14ac:dyDescent="0.2">
      <c r="A1033" s="514">
        <v>43811</v>
      </c>
      <c r="B1033" s="491">
        <v>193945</v>
      </c>
      <c r="C1033" s="514"/>
      <c r="D1033" s="491"/>
    </row>
    <row r="1034" spans="1:4" x14ac:dyDescent="0.2">
      <c r="A1034" s="514">
        <v>43812</v>
      </c>
      <c r="B1034" s="491">
        <v>196370.92</v>
      </c>
      <c r="C1034" s="514"/>
      <c r="D1034" s="491"/>
    </row>
    <row r="1035" spans="1:4" x14ac:dyDescent="0.2">
      <c r="A1035" s="514">
        <v>43815</v>
      </c>
      <c r="B1035" s="491">
        <v>196370.92</v>
      </c>
      <c r="C1035" s="514"/>
      <c r="D1035" s="491"/>
    </row>
    <row r="1036" spans="1:4" x14ac:dyDescent="0.2">
      <c r="A1036" s="514">
        <v>43816</v>
      </c>
      <c r="B1036" s="491">
        <v>196370.92</v>
      </c>
      <c r="C1036" s="514"/>
      <c r="D1036" s="491"/>
    </row>
    <row r="1037" spans="1:4" x14ac:dyDescent="0.2">
      <c r="A1037" s="514">
        <v>43817</v>
      </c>
      <c r="B1037" s="491">
        <v>196370.92</v>
      </c>
      <c r="C1037" s="514"/>
      <c r="D1037" s="491"/>
    </row>
    <row r="1038" spans="1:4" x14ac:dyDescent="0.2">
      <c r="A1038" s="514">
        <v>43818</v>
      </c>
      <c r="B1038" s="491">
        <v>194997.56</v>
      </c>
      <c r="C1038" s="514"/>
      <c r="D1038" s="491"/>
    </row>
    <row r="1039" spans="1:4" x14ac:dyDescent="0.2">
      <c r="A1039" s="514">
        <v>43819</v>
      </c>
      <c r="B1039" s="491">
        <v>194998</v>
      </c>
      <c r="C1039" s="514"/>
      <c r="D1039" s="491"/>
    </row>
    <row r="1040" spans="1:4" x14ac:dyDescent="0.2">
      <c r="A1040" s="514">
        <v>43822</v>
      </c>
      <c r="B1040" s="491">
        <v>158280.26999999999</v>
      </c>
      <c r="C1040" s="514"/>
      <c r="D1040" s="491"/>
    </row>
    <row r="1041" spans="1:4" x14ac:dyDescent="0.2">
      <c r="A1041" s="514">
        <v>43823</v>
      </c>
      <c r="B1041" s="491">
        <v>163840.26999999999</v>
      </c>
      <c r="C1041" s="514"/>
      <c r="D1041" s="491"/>
    </row>
    <row r="1042" spans="1:4" x14ac:dyDescent="0.2">
      <c r="A1042" s="514">
        <v>43824</v>
      </c>
      <c r="B1042" s="491">
        <v>163840</v>
      </c>
      <c r="C1042" s="514"/>
      <c r="D1042" s="491"/>
    </row>
    <row r="1043" spans="1:4" x14ac:dyDescent="0.2">
      <c r="A1043" s="514">
        <v>43825</v>
      </c>
      <c r="B1043" s="491">
        <v>213174.46</v>
      </c>
      <c r="C1043" s="514"/>
      <c r="D1043" s="491"/>
    </row>
    <row r="1044" spans="1:4" x14ac:dyDescent="0.2">
      <c r="A1044" s="514">
        <v>43826</v>
      </c>
      <c r="B1044" s="491">
        <v>212851.46</v>
      </c>
      <c r="C1044" s="514"/>
      <c r="D1044" s="491"/>
    </row>
    <row r="1045" spans="1:4" x14ac:dyDescent="0.2">
      <c r="A1045" s="514">
        <v>43829</v>
      </c>
      <c r="B1045" s="491">
        <v>212221.74</v>
      </c>
      <c r="C1045" s="514"/>
      <c r="D1045" s="491"/>
    </row>
    <row r="1046" spans="1:4" x14ac:dyDescent="0.2">
      <c r="A1046" s="514">
        <v>43830</v>
      </c>
      <c r="B1046" s="491">
        <v>189055.83</v>
      </c>
      <c r="C1046" s="514"/>
      <c r="D1046" s="491"/>
    </row>
    <row r="1047" spans="1:4" ht="15" x14ac:dyDescent="0.25">
      <c r="A1047" s="742">
        <v>43831</v>
      </c>
      <c r="B1047" s="491">
        <v>189056</v>
      </c>
      <c r="C1047" s="514"/>
      <c r="D1047" s="491"/>
    </row>
    <row r="1048" spans="1:4" ht="15" x14ac:dyDescent="0.25">
      <c r="A1048" s="742">
        <v>43832</v>
      </c>
      <c r="B1048" s="491">
        <v>206403.28</v>
      </c>
      <c r="C1048" s="514"/>
      <c r="D1048" s="491"/>
    </row>
    <row r="1049" spans="1:4" ht="15" x14ac:dyDescent="0.25">
      <c r="A1049" s="742">
        <v>43833</v>
      </c>
      <c r="B1049" s="491">
        <v>206217.28</v>
      </c>
      <c r="C1049" s="514"/>
      <c r="D1049" s="491"/>
    </row>
    <row r="1050" spans="1:4" ht="15" x14ac:dyDescent="0.25">
      <c r="A1050" s="742">
        <v>43836</v>
      </c>
      <c r="B1050" s="491">
        <v>206129.28</v>
      </c>
      <c r="C1050" s="514"/>
      <c r="D1050" s="491"/>
    </row>
    <row r="1051" spans="1:4" ht="15" x14ac:dyDescent="0.25">
      <c r="A1051" s="742">
        <v>43837</v>
      </c>
      <c r="B1051" s="491">
        <v>172858.39</v>
      </c>
      <c r="C1051" s="514"/>
      <c r="D1051" s="491"/>
    </row>
    <row r="1052" spans="1:4" ht="15" x14ac:dyDescent="0.25">
      <c r="A1052" s="742">
        <v>43838</v>
      </c>
      <c r="B1052" s="491">
        <v>172585</v>
      </c>
      <c r="C1052" s="514"/>
      <c r="D1052" s="491"/>
    </row>
    <row r="1053" spans="1:4" ht="15" x14ac:dyDescent="0.25">
      <c r="A1053" s="742">
        <v>43839</v>
      </c>
      <c r="B1053" s="491">
        <v>184752.38</v>
      </c>
      <c r="C1053" s="514"/>
      <c r="D1053" s="491"/>
    </row>
    <row r="1054" spans="1:4" ht="15" x14ac:dyDescent="0.25">
      <c r="A1054" s="742">
        <v>43840</v>
      </c>
      <c r="B1054" s="491">
        <v>199849.93</v>
      </c>
      <c r="C1054" s="514"/>
      <c r="D1054" s="491"/>
    </row>
    <row r="1055" spans="1:4" ht="15" x14ac:dyDescent="0.25">
      <c r="A1055" s="742">
        <v>43843</v>
      </c>
      <c r="B1055" s="491">
        <v>199850</v>
      </c>
      <c r="C1055" s="514"/>
      <c r="D1055" s="491"/>
    </row>
    <row r="1056" spans="1:4" ht="15" x14ac:dyDescent="0.25">
      <c r="A1056" s="742">
        <v>43844</v>
      </c>
      <c r="B1056" s="491">
        <v>199850</v>
      </c>
      <c r="C1056" s="514"/>
      <c r="D1056" s="491"/>
    </row>
    <row r="1057" spans="1:4" ht="15" x14ac:dyDescent="0.25">
      <c r="A1057" s="742">
        <v>43845</v>
      </c>
      <c r="B1057" s="491">
        <v>199942.09</v>
      </c>
      <c r="C1057" s="514"/>
      <c r="D1057" s="491"/>
    </row>
    <row r="1058" spans="1:4" ht="15" x14ac:dyDescent="0.25">
      <c r="A1058" s="742">
        <v>43846</v>
      </c>
      <c r="B1058" s="491">
        <v>197586.14</v>
      </c>
      <c r="C1058" s="514"/>
      <c r="D1058" s="491"/>
    </row>
    <row r="1059" spans="1:4" ht="15" x14ac:dyDescent="0.25">
      <c r="A1059" s="742">
        <v>43847</v>
      </c>
      <c r="B1059" s="491">
        <v>197586</v>
      </c>
      <c r="C1059" s="514"/>
      <c r="D1059" s="491"/>
    </row>
    <row r="1060" spans="1:4" ht="15" x14ac:dyDescent="0.25">
      <c r="A1060" s="742">
        <v>43850</v>
      </c>
      <c r="B1060" s="491">
        <v>197586</v>
      </c>
      <c r="C1060" s="514"/>
      <c r="D1060" s="491"/>
    </row>
    <row r="1061" spans="1:4" ht="15" x14ac:dyDescent="0.25">
      <c r="A1061" s="742">
        <v>43851</v>
      </c>
      <c r="B1061" s="491">
        <v>160213.23000000001</v>
      </c>
      <c r="C1061" s="514"/>
      <c r="D1061" s="695"/>
    </row>
    <row r="1062" spans="1:4" ht="15" x14ac:dyDescent="0.25">
      <c r="A1062" s="742">
        <v>43852</v>
      </c>
      <c r="B1062" s="491">
        <v>160213</v>
      </c>
      <c r="C1062" s="514"/>
      <c r="D1062" s="491"/>
    </row>
    <row r="1063" spans="1:4" ht="15" x14ac:dyDescent="0.25">
      <c r="A1063" s="742">
        <v>43853</v>
      </c>
      <c r="B1063" s="491">
        <v>178835.97</v>
      </c>
      <c r="C1063" s="514"/>
      <c r="D1063" s="491"/>
    </row>
    <row r="1064" spans="1:4" ht="15" x14ac:dyDescent="0.25">
      <c r="A1064" s="742">
        <v>43854</v>
      </c>
      <c r="B1064" s="491">
        <v>177774.06</v>
      </c>
      <c r="C1064" s="514"/>
      <c r="D1064" s="491"/>
    </row>
    <row r="1065" spans="1:4" ht="15" x14ac:dyDescent="0.25">
      <c r="A1065" s="742">
        <v>43857</v>
      </c>
      <c r="B1065" s="491">
        <v>177774</v>
      </c>
      <c r="C1065" s="514"/>
      <c r="D1065" s="491"/>
    </row>
    <row r="1066" spans="1:4" ht="15" x14ac:dyDescent="0.25">
      <c r="A1066" s="742">
        <v>43858</v>
      </c>
      <c r="B1066" s="491">
        <v>177774</v>
      </c>
      <c r="C1066" s="514"/>
      <c r="D1066" s="491"/>
    </row>
    <row r="1067" spans="1:4" ht="15" x14ac:dyDescent="0.25">
      <c r="A1067" s="742">
        <v>43859</v>
      </c>
      <c r="B1067" s="491">
        <v>253459.84</v>
      </c>
      <c r="C1067" s="514"/>
      <c r="D1067" s="491"/>
    </row>
    <row r="1068" spans="1:4" ht="15" x14ac:dyDescent="0.25">
      <c r="A1068" s="742">
        <v>43860</v>
      </c>
      <c r="B1068" s="491">
        <v>235320.22</v>
      </c>
      <c r="C1068" s="514"/>
      <c r="D1068" s="491"/>
    </row>
    <row r="1069" spans="1:4" ht="15" x14ac:dyDescent="0.25">
      <c r="A1069" s="742">
        <v>43861</v>
      </c>
      <c r="B1069" s="491">
        <v>235320</v>
      </c>
      <c r="C1069" s="514"/>
      <c r="D1069" s="491"/>
    </row>
    <row r="1070" spans="1:4" ht="15" x14ac:dyDescent="0.25">
      <c r="A1070" s="742">
        <v>43864</v>
      </c>
      <c r="B1070" s="491">
        <v>198483.96</v>
      </c>
      <c r="C1070" s="514"/>
      <c r="D1070" s="491"/>
    </row>
    <row r="1071" spans="1:4" ht="15" x14ac:dyDescent="0.25">
      <c r="A1071" s="742">
        <v>43865</v>
      </c>
      <c r="B1071" s="491">
        <v>212819.68</v>
      </c>
      <c r="C1071" s="514"/>
      <c r="D1071" s="491"/>
    </row>
    <row r="1072" spans="1:4" ht="15" x14ac:dyDescent="0.25">
      <c r="A1072" s="742">
        <v>43866</v>
      </c>
      <c r="B1072" s="491">
        <v>212820</v>
      </c>
      <c r="C1072" s="514"/>
      <c r="D1072" s="491"/>
    </row>
    <row r="1073" spans="1:4" ht="15" x14ac:dyDescent="0.25">
      <c r="A1073" s="742">
        <v>43867</v>
      </c>
      <c r="B1073" s="491">
        <v>212584.24</v>
      </c>
      <c r="C1073" s="514"/>
      <c r="D1073" s="491"/>
    </row>
    <row r="1074" spans="1:4" ht="15" x14ac:dyDescent="0.25">
      <c r="A1074" s="742">
        <v>43868</v>
      </c>
      <c r="B1074" s="491">
        <v>270092.23</v>
      </c>
      <c r="C1074" s="514"/>
      <c r="D1074" s="491"/>
    </row>
    <row r="1075" spans="1:4" ht="15" x14ac:dyDescent="0.25">
      <c r="A1075" s="742">
        <v>43871</v>
      </c>
      <c r="B1075" s="491">
        <v>270092</v>
      </c>
      <c r="C1075" s="514"/>
      <c r="D1075" s="491"/>
    </row>
    <row r="1076" spans="1:4" ht="15" x14ac:dyDescent="0.25">
      <c r="A1076" s="742">
        <v>43872</v>
      </c>
      <c r="B1076" s="491">
        <v>273133.13</v>
      </c>
      <c r="C1076" s="514"/>
      <c r="D1076" s="491"/>
    </row>
    <row r="1077" spans="1:4" ht="15" x14ac:dyDescent="0.25">
      <c r="A1077" s="742">
        <v>43873</v>
      </c>
      <c r="B1077" s="491">
        <v>273133</v>
      </c>
      <c r="C1077" s="514"/>
      <c r="D1077" s="491"/>
    </row>
    <row r="1078" spans="1:4" ht="15" x14ac:dyDescent="0.25">
      <c r="A1078" s="742">
        <v>43874</v>
      </c>
      <c r="B1078" s="491">
        <v>280484.09000000003</v>
      </c>
      <c r="C1078" s="514"/>
      <c r="D1078" s="491"/>
    </row>
    <row r="1079" spans="1:4" ht="15" x14ac:dyDescent="0.25">
      <c r="A1079" s="742">
        <v>43875</v>
      </c>
      <c r="B1079" s="491">
        <v>279225.67</v>
      </c>
      <c r="C1079" s="514"/>
      <c r="D1079" s="491"/>
    </row>
    <row r="1080" spans="1:4" ht="15" x14ac:dyDescent="0.25">
      <c r="A1080" s="742">
        <v>43878</v>
      </c>
      <c r="B1080" s="491">
        <v>279226</v>
      </c>
      <c r="C1080" s="514"/>
      <c r="D1080" s="491"/>
    </row>
    <row r="1081" spans="1:4" ht="15" x14ac:dyDescent="0.25">
      <c r="A1081" s="742">
        <v>43879</v>
      </c>
      <c r="B1081" s="491">
        <v>241740.68</v>
      </c>
      <c r="C1081" s="514"/>
      <c r="D1081" s="491"/>
    </row>
    <row r="1082" spans="1:4" ht="15" x14ac:dyDescent="0.25">
      <c r="A1082" s="742">
        <v>43880</v>
      </c>
      <c r="B1082" s="491">
        <v>268478</v>
      </c>
      <c r="C1082" s="514"/>
      <c r="D1082" s="491"/>
    </row>
    <row r="1083" spans="1:4" ht="15" x14ac:dyDescent="0.25">
      <c r="A1083" s="742">
        <v>43881</v>
      </c>
      <c r="B1083" s="491">
        <v>258524.93</v>
      </c>
      <c r="C1083" s="514"/>
      <c r="D1083" s="491"/>
    </row>
    <row r="1084" spans="1:4" ht="15" x14ac:dyDescent="0.25">
      <c r="A1084" s="742">
        <v>43882</v>
      </c>
      <c r="B1084" s="491">
        <v>277316.53000000003</v>
      </c>
      <c r="C1084" s="514"/>
      <c r="D1084" s="491"/>
    </row>
    <row r="1085" spans="1:4" ht="15" x14ac:dyDescent="0.25">
      <c r="A1085" s="742">
        <v>43885</v>
      </c>
      <c r="B1085" s="491">
        <v>277317</v>
      </c>
      <c r="C1085" s="514"/>
      <c r="D1085" s="491"/>
    </row>
    <row r="1086" spans="1:4" ht="15" x14ac:dyDescent="0.25">
      <c r="A1086" s="742">
        <v>43886</v>
      </c>
      <c r="B1086" s="491">
        <v>279881.78999999998</v>
      </c>
      <c r="C1086" s="514"/>
      <c r="D1086" s="491"/>
    </row>
    <row r="1087" spans="1:4" ht="15" x14ac:dyDescent="0.25">
      <c r="A1087" s="742">
        <v>43887</v>
      </c>
      <c r="B1087" s="491">
        <v>279882</v>
      </c>
      <c r="C1087" s="514"/>
      <c r="D1087" s="491"/>
    </row>
    <row r="1088" spans="1:4" ht="15" x14ac:dyDescent="0.25">
      <c r="A1088" s="742">
        <v>43888</v>
      </c>
      <c r="B1088" s="491">
        <v>270773.33</v>
      </c>
      <c r="C1088" s="514"/>
      <c r="D1088" s="491"/>
    </row>
    <row r="1089" spans="1:4" ht="15" x14ac:dyDescent="0.25">
      <c r="A1089" s="742">
        <v>43889</v>
      </c>
      <c r="B1089" s="491">
        <v>306133.57</v>
      </c>
      <c r="C1089" s="514"/>
      <c r="D1089" s="695"/>
    </row>
    <row r="1090" spans="1:4" ht="15" x14ac:dyDescent="0.25">
      <c r="A1090" s="742">
        <v>43892</v>
      </c>
      <c r="B1090" s="491">
        <v>267343.68</v>
      </c>
      <c r="C1090" s="514"/>
      <c r="D1090" s="695"/>
    </row>
    <row r="1091" spans="1:4" ht="15" x14ac:dyDescent="0.25">
      <c r="A1091" s="742">
        <v>43893</v>
      </c>
      <c r="B1091" s="491">
        <v>267157.68</v>
      </c>
      <c r="C1091" s="514"/>
      <c r="D1091" s="695"/>
    </row>
    <row r="1092" spans="1:4" ht="15" x14ac:dyDescent="0.25">
      <c r="A1092" s="742">
        <v>43894</v>
      </c>
      <c r="B1092" s="491">
        <v>267157.68</v>
      </c>
      <c r="C1092" s="514"/>
      <c r="D1092" s="695"/>
    </row>
    <row r="1093" spans="1:4" ht="15" x14ac:dyDescent="0.25">
      <c r="A1093" s="742">
        <v>43895</v>
      </c>
      <c r="B1093" s="491">
        <v>264690.95</v>
      </c>
      <c r="C1093" s="514"/>
      <c r="D1093" s="695"/>
    </row>
    <row r="1094" spans="1:4" ht="15" x14ac:dyDescent="0.25">
      <c r="A1094" s="742">
        <v>43896</v>
      </c>
      <c r="B1094" s="491">
        <v>264495.03999999998</v>
      </c>
      <c r="C1094" s="514"/>
      <c r="D1094" s="695"/>
    </row>
    <row r="1095" spans="1:4" ht="15" x14ac:dyDescent="0.25">
      <c r="A1095" s="742">
        <v>43899</v>
      </c>
      <c r="B1095" s="491">
        <v>264495.03999999998</v>
      </c>
      <c r="C1095" s="514"/>
      <c r="D1095" s="695"/>
    </row>
    <row r="1096" spans="1:4" ht="15" x14ac:dyDescent="0.25">
      <c r="A1096" s="742">
        <v>43900</v>
      </c>
      <c r="B1096" s="491">
        <v>267283.63</v>
      </c>
      <c r="C1096" s="514"/>
      <c r="D1096" s="695"/>
    </row>
    <row r="1097" spans="1:4" ht="15" x14ac:dyDescent="0.25">
      <c r="A1097" s="742">
        <v>43901</v>
      </c>
      <c r="B1097" s="491">
        <v>267283.63</v>
      </c>
      <c r="C1097" s="514"/>
      <c r="D1097" s="695"/>
    </row>
    <row r="1098" spans="1:4" ht="15" x14ac:dyDescent="0.25">
      <c r="A1098" s="742">
        <v>43902</v>
      </c>
      <c r="B1098" s="491">
        <v>259537.69</v>
      </c>
      <c r="C1098" s="514"/>
      <c r="D1098" s="695"/>
    </row>
    <row r="1099" spans="1:4" ht="15" x14ac:dyDescent="0.25">
      <c r="A1099" s="742">
        <v>43903</v>
      </c>
      <c r="B1099" s="491">
        <v>259645.65</v>
      </c>
      <c r="C1099" s="514"/>
      <c r="D1099" s="695"/>
    </row>
    <row r="1100" spans="1:4" ht="15" x14ac:dyDescent="0.25">
      <c r="A1100" s="742">
        <v>43906</v>
      </c>
      <c r="B1100" s="491">
        <v>279221.03000000003</v>
      </c>
      <c r="C1100" s="514"/>
      <c r="D1100" s="695"/>
    </row>
    <row r="1101" spans="1:4" ht="15" x14ac:dyDescent="0.25">
      <c r="A1101" s="742">
        <v>43907</v>
      </c>
      <c r="B1101" s="491">
        <v>232150.36</v>
      </c>
      <c r="C1101" s="514"/>
      <c r="D1101" s="695"/>
    </row>
    <row r="1102" spans="1:4" ht="15" x14ac:dyDescent="0.25">
      <c r="A1102" s="742">
        <v>43908</v>
      </c>
      <c r="B1102" s="491">
        <v>274274.51</v>
      </c>
      <c r="C1102" s="514"/>
      <c r="D1102" s="695"/>
    </row>
    <row r="1103" spans="1:4" ht="15" x14ac:dyDescent="0.25">
      <c r="A1103" s="742">
        <v>43909</v>
      </c>
      <c r="B1103" s="491">
        <v>276629.48</v>
      </c>
      <c r="C1103" s="514"/>
      <c r="D1103" s="695"/>
    </row>
    <row r="1104" spans="1:4" ht="15" x14ac:dyDescent="0.25">
      <c r="A1104" s="742">
        <v>43910</v>
      </c>
      <c r="B1104" s="491">
        <v>276629.48</v>
      </c>
      <c r="C1104" s="514"/>
      <c r="D1104" s="695"/>
    </row>
    <row r="1105" spans="1:4" ht="15" x14ac:dyDescent="0.25">
      <c r="A1105" s="742">
        <v>43913</v>
      </c>
      <c r="B1105" s="491">
        <v>292626.55</v>
      </c>
      <c r="C1105" s="514"/>
      <c r="D1105" s="695"/>
    </row>
    <row r="1106" spans="1:4" ht="15" x14ac:dyDescent="0.25">
      <c r="A1106" s="742">
        <v>43914</v>
      </c>
      <c r="B1106" s="491">
        <v>292626.55</v>
      </c>
      <c r="C1106" s="514"/>
      <c r="D1106" s="695"/>
    </row>
    <row r="1107" spans="1:4" ht="15" x14ac:dyDescent="0.25">
      <c r="A1107" s="742">
        <v>43915</v>
      </c>
      <c r="B1107" s="491">
        <v>292626.55</v>
      </c>
      <c r="C1107" s="514"/>
      <c r="D1107" s="695"/>
    </row>
    <row r="1108" spans="1:4" ht="15" x14ac:dyDescent="0.25">
      <c r="A1108" s="742">
        <v>43916</v>
      </c>
      <c r="B1108" s="491">
        <v>292626.55</v>
      </c>
      <c r="C1108" s="514"/>
      <c r="D1108" s="695"/>
    </row>
    <row r="1109" spans="1:4" ht="15" x14ac:dyDescent="0.25">
      <c r="A1109" s="742">
        <v>43917</v>
      </c>
      <c r="B1109" s="491">
        <v>292582.55</v>
      </c>
      <c r="C1109" s="514"/>
      <c r="D1109" s="695"/>
    </row>
    <row r="1110" spans="1:4" ht="15" x14ac:dyDescent="0.25">
      <c r="A1110" s="742">
        <v>43920</v>
      </c>
      <c r="B1110" s="491">
        <v>292582.55</v>
      </c>
      <c r="C1110" s="514"/>
      <c r="D1110" s="695"/>
    </row>
    <row r="1111" spans="1:4" ht="15" x14ac:dyDescent="0.25">
      <c r="A1111" s="742">
        <v>43921</v>
      </c>
      <c r="B1111" s="491">
        <v>292582.55</v>
      </c>
      <c r="C1111" s="514"/>
      <c r="D1111" s="695"/>
    </row>
    <row r="1112" spans="1:4" ht="15" x14ac:dyDescent="0.25">
      <c r="A1112" s="742">
        <v>43922</v>
      </c>
      <c r="B1112" s="491">
        <v>256343.91</v>
      </c>
      <c r="C1112" s="514"/>
      <c r="D1112" s="695"/>
    </row>
    <row r="1113" spans="1:4" ht="15" x14ac:dyDescent="0.25">
      <c r="A1113" s="742">
        <v>43923</v>
      </c>
      <c r="B1113" s="491">
        <v>260066.55</v>
      </c>
      <c r="C1113" s="514"/>
      <c r="D1113" s="695"/>
    </row>
    <row r="1114" spans="1:4" ht="15" x14ac:dyDescent="0.25">
      <c r="A1114" s="742">
        <v>43924</v>
      </c>
      <c r="B1114" s="491">
        <v>259418.64</v>
      </c>
      <c r="C1114" s="514"/>
      <c r="D1114" s="695"/>
    </row>
    <row r="1115" spans="1:4" ht="15" x14ac:dyDescent="0.25">
      <c r="A1115" s="742">
        <v>43927</v>
      </c>
      <c r="B1115" s="491">
        <v>259418.64</v>
      </c>
      <c r="C1115" s="514"/>
      <c r="D1115" s="695"/>
    </row>
    <row r="1116" spans="1:4" ht="15" x14ac:dyDescent="0.25">
      <c r="A1116" s="742">
        <v>43928</v>
      </c>
      <c r="B1116" s="491">
        <v>259418.64</v>
      </c>
      <c r="C1116" s="514"/>
      <c r="D1116" s="695"/>
    </row>
    <row r="1117" spans="1:4" ht="15" x14ac:dyDescent="0.25">
      <c r="A1117" s="742">
        <v>43929</v>
      </c>
      <c r="B1117" s="491">
        <v>259418.64</v>
      </c>
      <c r="C1117" s="514"/>
      <c r="D1117" s="695"/>
    </row>
    <row r="1118" spans="1:4" ht="15" x14ac:dyDescent="0.25">
      <c r="A1118" s="742">
        <v>43930</v>
      </c>
      <c r="B1118" s="491">
        <v>256056.32000000001</v>
      </c>
      <c r="C1118" s="514"/>
      <c r="D1118" s="695"/>
    </row>
    <row r="1119" spans="1:4" ht="15" x14ac:dyDescent="0.25">
      <c r="A1119" s="742">
        <v>43931</v>
      </c>
      <c r="B1119" s="491">
        <v>256056.32000000001</v>
      </c>
      <c r="C1119" s="514"/>
      <c r="D1119" s="695"/>
    </row>
    <row r="1120" spans="1:4" ht="15" x14ac:dyDescent="0.25">
      <c r="A1120" s="742">
        <v>43934</v>
      </c>
      <c r="B1120" s="491">
        <v>256056.32000000001</v>
      </c>
      <c r="C1120" s="514"/>
      <c r="D1120" s="695"/>
    </row>
    <row r="1121" spans="1:4" ht="15" x14ac:dyDescent="0.25">
      <c r="A1121" s="742">
        <v>43935</v>
      </c>
      <c r="B1121" s="491">
        <v>256056.32000000001</v>
      </c>
      <c r="C1121" s="514"/>
      <c r="D1121" s="695"/>
    </row>
    <row r="1122" spans="1:4" ht="15" x14ac:dyDescent="0.25">
      <c r="A1122" s="742">
        <v>43936</v>
      </c>
      <c r="B1122" s="491">
        <v>222877.12</v>
      </c>
      <c r="C1122" s="514"/>
      <c r="D1122" s="695"/>
    </row>
    <row r="1123" spans="1:4" ht="15" x14ac:dyDescent="0.25">
      <c r="A1123" s="742">
        <v>43937</v>
      </c>
      <c r="B1123" s="491">
        <v>222877.12</v>
      </c>
      <c r="C1123" s="514"/>
      <c r="D1123" s="695"/>
    </row>
    <row r="1124" spans="1:4" ht="15" x14ac:dyDescent="0.25">
      <c r="A1124" s="742">
        <v>43938</v>
      </c>
      <c r="B1124" s="491">
        <v>222415.21</v>
      </c>
      <c r="C1124" s="514"/>
      <c r="D1124" s="695"/>
    </row>
    <row r="1125" spans="1:4" ht="15" x14ac:dyDescent="0.25">
      <c r="A1125" s="742">
        <v>43941</v>
      </c>
      <c r="B1125" s="491">
        <v>222415.21</v>
      </c>
      <c r="C1125" s="514"/>
      <c r="D1125" s="695"/>
    </row>
    <row r="1126" spans="1:4" ht="15" x14ac:dyDescent="0.25">
      <c r="A1126" s="742">
        <v>43942</v>
      </c>
      <c r="B1126" s="491">
        <v>222415.21</v>
      </c>
      <c r="C1126" s="514"/>
      <c r="D1126" s="695"/>
    </row>
    <row r="1127" spans="1:4" ht="15" x14ac:dyDescent="0.25">
      <c r="A1127" s="742">
        <v>43943</v>
      </c>
      <c r="B1127" s="491">
        <v>222415.21</v>
      </c>
      <c r="C1127" s="514"/>
      <c r="D1127" s="695"/>
    </row>
    <row r="1128" spans="1:4" ht="15" x14ac:dyDescent="0.25">
      <c r="A1128" s="742">
        <v>43944</v>
      </c>
      <c r="B1128" s="491">
        <v>185658.71</v>
      </c>
      <c r="C1128" s="514"/>
      <c r="D1128" s="695"/>
    </row>
    <row r="1129" spans="1:4" ht="15" x14ac:dyDescent="0.25">
      <c r="A1129" s="742">
        <v>43945</v>
      </c>
      <c r="B1129" s="491">
        <v>185658.71</v>
      </c>
      <c r="C1129" s="514"/>
      <c r="D1129" s="695"/>
    </row>
    <row r="1130" spans="1:4" ht="15" x14ac:dyDescent="0.25">
      <c r="A1130" s="742">
        <v>43948</v>
      </c>
      <c r="B1130" s="491">
        <v>185614.71</v>
      </c>
      <c r="C1130" s="514"/>
      <c r="D1130" s="695"/>
    </row>
    <row r="1131" spans="1:4" ht="15" x14ac:dyDescent="0.25">
      <c r="A1131" s="742">
        <v>43949</v>
      </c>
      <c r="B1131" s="549">
        <v>152434.01999999999</v>
      </c>
      <c r="C1131" s="514"/>
      <c r="D1131" s="549"/>
    </row>
    <row r="1132" spans="1:4" ht="15" x14ac:dyDescent="0.25">
      <c r="A1132" s="742">
        <v>43950</v>
      </c>
      <c r="B1132" s="491">
        <v>152434.01999999999</v>
      </c>
      <c r="C1132" s="514"/>
      <c r="D1132" s="695"/>
    </row>
    <row r="1133" spans="1:4" ht="15" x14ac:dyDescent="0.25">
      <c r="A1133" s="742">
        <v>43951</v>
      </c>
      <c r="B1133" s="491">
        <v>173230.55</v>
      </c>
      <c r="C1133" s="514"/>
      <c r="D1133" s="695"/>
    </row>
    <row r="1134" spans="1:4" ht="15" x14ac:dyDescent="0.25">
      <c r="A1134" s="742">
        <v>43952</v>
      </c>
      <c r="B1134" s="491">
        <f>C1134+D1134</f>
        <v>173492.71000000002</v>
      </c>
      <c r="C1134" s="745">
        <v>172768.64000000001</v>
      </c>
      <c r="D1134" s="746">
        <v>724.07</v>
      </c>
    </row>
    <row r="1135" spans="1:4" ht="15" x14ac:dyDescent="0.25">
      <c r="A1135" s="742">
        <v>43955</v>
      </c>
      <c r="B1135" s="491">
        <f t="shared" ref="B1135:B1198" si="5">C1135+D1135</f>
        <v>173306.64</v>
      </c>
      <c r="C1135" s="745">
        <v>172582.64</v>
      </c>
      <c r="D1135" s="746">
        <v>724</v>
      </c>
    </row>
    <row r="1136" spans="1:4" ht="15" x14ac:dyDescent="0.25">
      <c r="A1136" s="742">
        <v>43956</v>
      </c>
      <c r="B1136" s="491">
        <f t="shared" si="5"/>
        <v>173307</v>
      </c>
      <c r="C1136" s="745">
        <v>172583</v>
      </c>
      <c r="D1136" s="746">
        <f>D1135</f>
        <v>724</v>
      </c>
    </row>
    <row r="1137" spans="1:4" ht="15" x14ac:dyDescent="0.25">
      <c r="A1137" s="742">
        <v>43957</v>
      </c>
      <c r="B1137" s="491">
        <f t="shared" si="5"/>
        <v>173307</v>
      </c>
      <c r="C1137" s="745">
        <v>172583</v>
      </c>
      <c r="D1137" s="746">
        <f t="shared" ref="D1137:D1179" si="6">D1136</f>
        <v>724</v>
      </c>
    </row>
    <row r="1138" spans="1:4" ht="15" x14ac:dyDescent="0.25">
      <c r="A1138" s="742">
        <v>43958</v>
      </c>
      <c r="B1138" s="491">
        <f t="shared" si="5"/>
        <v>173307</v>
      </c>
      <c r="C1138" s="745">
        <v>172583</v>
      </c>
      <c r="D1138" s="746">
        <f t="shared" si="6"/>
        <v>724</v>
      </c>
    </row>
    <row r="1139" spans="1:4" ht="15" x14ac:dyDescent="0.25">
      <c r="A1139" s="742">
        <v>43959</v>
      </c>
      <c r="B1139" s="491">
        <f t="shared" si="5"/>
        <v>385709.68000000005</v>
      </c>
      <c r="C1139" s="745">
        <v>187582.64</v>
      </c>
      <c r="D1139" s="746">
        <v>198127.04</v>
      </c>
    </row>
    <row r="1140" spans="1:4" ht="15" x14ac:dyDescent="0.25">
      <c r="A1140" s="742">
        <v>43962</v>
      </c>
      <c r="B1140" s="491">
        <f t="shared" si="5"/>
        <v>385710.04000000004</v>
      </c>
      <c r="C1140" s="745">
        <v>187583</v>
      </c>
      <c r="D1140" s="746">
        <f t="shared" si="6"/>
        <v>198127.04</v>
      </c>
    </row>
    <row r="1141" spans="1:4" ht="15" x14ac:dyDescent="0.25">
      <c r="A1141" s="742">
        <v>43963</v>
      </c>
      <c r="B1141" s="549">
        <f t="shared" si="5"/>
        <v>385904.98</v>
      </c>
      <c r="C1141" s="745">
        <v>187777.94</v>
      </c>
      <c r="D1141" s="746">
        <f t="shared" si="6"/>
        <v>198127.04</v>
      </c>
    </row>
    <row r="1142" spans="1:4" ht="15" x14ac:dyDescent="0.25">
      <c r="A1142" s="742">
        <v>43964</v>
      </c>
      <c r="B1142" s="491">
        <f t="shared" si="5"/>
        <v>362979.35</v>
      </c>
      <c r="C1142" s="745">
        <v>187778</v>
      </c>
      <c r="D1142" s="746">
        <v>175201.35</v>
      </c>
    </row>
    <row r="1143" spans="1:4" ht="15" x14ac:dyDescent="0.25">
      <c r="A1143" s="742">
        <v>43965</v>
      </c>
      <c r="B1143" s="491">
        <f t="shared" si="5"/>
        <v>362979.35</v>
      </c>
      <c r="C1143" s="745">
        <v>187778</v>
      </c>
      <c r="D1143" s="746">
        <f t="shared" si="6"/>
        <v>175201.35</v>
      </c>
    </row>
    <row r="1144" spans="1:4" ht="15" x14ac:dyDescent="0.25">
      <c r="A1144" s="742">
        <v>43966</v>
      </c>
      <c r="B1144" s="491">
        <f t="shared" si="5"/>
        <v>362624.73</v>
      </c>
      <c r="C1144" s="745">
        <v>187400</v>
      </c>
      <c r="D1144" s="746">
        <v>175224.73</v>
      </c>
    </row>
    <row r="1145" spans="1:4" ht="15" x14ac:dyDescent="0.25">
      <c r="A1145" s="742">
        <v>43969</v>
      </c>
      <c r="B1145" s="491">
        <f t="shared" si="5"/>
        <v>362070.03</v>
      </c>
      <c r="C1145" s="745">
        <v>187400</v>
      </c>
      <c r="D1145" s="746">
        <v>174670.03</v>
      </c>
    </row>
    <row r="1146" spans="1:4" ht="15" x14ac:dyDescent="0.25">
      <c r="A1146" s="742">
        <v>43970</v>
      </c>
      <c r="B1146" s="491">
        <f t="shared" si="5"/>
        <v>352214.86</v>
      </c>
      <c r="C1146" s="745">
        <v>187400</v>
      </c>
      <c r="D1146" s="746">
        <v>164814.85999999999</v>
      </c>
    </row>
    <row r="1147" spans="1:4" ht="15" x14ac:dyDescent="0.25">
      <c r="A1147" s="742">
        <v>43971</v>
      </c>
      <c r="B1147" s="491">
        <f t="shared" si="5"/>
        <v>352214.86</v>
      </c>
      <c r="C1147" s="745">
        <v>187400</v>
      </c>
      <c r="D1147" s="746">
        <f t="shared" si="6"/>
        <v>164814.85999999999</v>
      </c>
    </row>
    <row r="1148" spans="1:4" ht="15" x14ac:dyDescent="0.25">
      <c r="A1148" s="742">
        <v>43972</v>
      </c>
      <c r="B1148" s="491">
        <f t="shared" si="5"/>
        <v>337570.28</v>
      </c>
      <c r="C1148" s="745">
        <v>178152.54</v>
      </c>
      <c r="D1148" s="746">
        <v>159417.74</v>
      </c>
    </row>
    <row r="1149" spans="1:4" ht="15" x14ac:dyDescent="0.25">
      <c r="A1149" s="742">
        <v>43973</v>
      </c>
      <c r="B1149" s="491">
        <f t="shared" si="5"/>
        <v>337570.28</v>
      </c>
      <c r="C1149" s="745">
        <v>178152.54</v>
      </c>
      <c r="D1149" s="746">
        <f t="shared" si="6"/>
        <v>159417.74</v>
      </c>
    </row>
    <row r="1150" spans="1:4" x14ac:dyDescent="0.2">
      <c r="A1150" s="514">
        <v>43976</v>
      </c>
      <c r="B1150" s="491">
        <f t="shared" si="5"/>
        <v>337570.28</v>
      </c>
      <c r="C1150" s="745">
        <v>178152.54</v>
      </c>
      <c r="D1150" s="746">
        <f t="shared" si="6"/>
        <v>159417.74</v>
      </c>
    </row>
    <row r="1151" spans="1:4" x14ac:dyDescent="0.2">
      <c r="A1151" s="514">
        <v>43977</v>
      </c>
      <c r="B1151" s="491">
        <f t="shared" si="5"/>
        <v>337570.28</v>
      </c>
      <c r="C1151" s="745">
        <v>178152.54</v>
      </c>
      <c r="D1151" s="746">
        <f t="shared" si="6"/>
        <v>159417.74</v>
      </c>
    </row>
    <row r="1152" spans="1:4" x14ac:dyDescent="0.2">
      <c r="A1152" s="514">
        <v>43978</v>
      </c>
      <c r="B1152" s="491">
        <f t="shared" si="5"/>
        <v>314828.33999999997</v>
      </c>
      <c r="C1152" s="745">
        <v>178108.54</v>
      </c>
      <c r="D1152" s="746">
        <v>136719.79999999999</v>
      </c>
    </row>
    <row r="1153" spans="1:4" x14ac:dyDescent="0.2">
      <c r="A1153" s="514">
        <v>43979</v>
      </c>
      <c r="B1153" s="491">
        <f t="shared" si="5"/>
        <v>314642.31</v>
      </c>
      <c r="C1153" s="745">
        <v>177922.51</v>
      </c>
      <c r="D1153" s="746">
        <f t="shared" si="6"/>
        <v>136719.79999999999</v>
      </c>
    </row>
    <row r="1154" spans="1:4" x14ac:dyDescent="0.2">
      <c r="A1154" s="514">
        <v>43980</v>
      </c>
      <c r="B1154" s="491">
        <f t="shared" si="5"/>
        <v>314180.40000000002</v>
      </c>
      <c r="C1154" s="745">
        <v>177460.6</v>
      </c>
      <c r="D1154" s="746">
        <f t="shared" si="6"/>
        <v>136719.79999999999</v>
      </c>
    </row>
    <row r="1155" spans="1:4" x14ac:dyDescent="0.2">
      <c r="A1155" s="514">
        <v>43983</v>
      </c>
      <c r="B1155" s="491">
        <f t="shared" si="5"/>
        <v>336211.19</v>
      </c>
      <c r="C1155" s="745">
        <v>201698.93</v>
      </c>
      <c r="D1155" s="746">
        <v>134512.26</v>
      </c>
    </row>
    <row r="1156" spans="1:4" x14ac:dyDescent="0.2">
      <c r="A1156" s="514">
        <v>43984</v>
      </c>
      <c r="B1156" s="491">
        <f t="shared" si="5"/>
        <v>327639.93</v>
      </c>
      <c r="C1156" s="745">
        <v>201512.93</v>
      </c>
      <c r="D1156" s="746">
        <v>126127</v>
      </c>
    </row>
    <row r="1157" spans="1:4" x14ac:dyDescent="0.2">
      <c r="A1157" s="514">
        <v>43985</v>
      </c>
      <c r="B1157" s="491">
        <f t="shared" si="5"/>
        <v>327640</v>
      </c>
      <c r="C1157" s="745">
        <v>201513</v>
      </c>
      <c r="D1157" s="746">
        <f t="shared" si="6"/>
        <v>126127</v>
      </c>
    </row>
    <row r="1158" spans="1:4" x14ac:dyDescent="0.2">
      <c r="A1158" s="514">
        <v>43986</v>
      </c>
      <c r="B1158" s="491">
        <f t="shared" si="5"/>
        <v>332166.29000000004</v>
      </c>
      <c r="C1158" s="745">
        <v>206039.29</v>
      </c>
      <c r="D1158" s="746">
        <f t="shared" si="6"/>
        <v>126127</v>
      </c>
    </row>
    <row r="1159" spans="1:4" x14ac:dyDescent="0.2">
      <c r="A1159" s="514">
        <v>43987</v>
      </c>
      <c r="B1159" s="491">
        <f t="shared" si="5"/>
        <v>332166.29000000004</v>
      </c>
      <c r="C1159" s="745">
        <f>C1158</f>
        <v>206039.29</v>
      </c>
      <c r="D1159" s="746">
        <f t="shared" si="6"/>
        <v>126127</v>
      </c>
    </row>
    <row r="1160" spans="1:4" x14ac:dyDescent="0.2">
      <c r="A1160" s="514">
        <v>43990</v>
      </c>
      <c r="B1160" s="491">
        <f t="shared" si="5"/>
        <v>378580.41000000003</v>
      </c>
      <c r="C1160" s="745">
        <v>252453.41</v>
      </c>
      <c r="D1160" s="746">
        <f t="shared" si="6"/>
        <v>126127</v>
      </c>
    </row>
    <row r="1161" spans="1:4" x14ac:dyDescent="0.2">
      <c r="A1161" s="514">
        <v>43991</v>
      </c>
      <c r="B1161" s="491">
        <f t="shared" si="5"/>
        <v>378580.41000000003</v>
      </c>
      <c r="C1161" s="745">
        <f t="shared" ref="C1161:C1175" si="7">C1160</f>
        <v>252453.41</v>
      </c>
      <c r="D1161" s="746">
        <f t="shared" si="6"/>
        <v>126127</v>
      </c>
    </row>
    <row r="1162" spans="1:4" x14ac:dyDescent="0.2">
      <c r="A1162" s="514">
        <v>43992</v>
      </c>
      <c r="B1162" s="491">
        <f t="shared" si="5"/>
        <v>355599.42</v>
      </c>
      <c r="C1162" s="745">
        <f t="shared" si="7"/>
        <v>252453.41</v>
      </c>
      <c r="D1162" s="746">
        <v>103146.01</v>
      </c>
    </row>
    <row r="1163" spans="1:4" x14ac:dyDescent="0.2">
      <c r="A1163" s="514">
        <v>43993</v>
      </c>
      <c r="B1163" s="491">
        <f t="shared" si="5"/>
        <v>348512.49</v>
      </c>
      <c r="C1163" s="745">
        <v>255461.07</v>
      </c>
      <c r="D1163" s="746">
        <v>93051.42</v>
      </c>
    </row>
    <row r="1164" spans="1:4" x14ac:dyDescent="0.2">
      <c r="A1164" s="514">
        <v>43994</v>
      </c>
      <c r="B1164" s="491">
        <f t="shared" si="5"/>
        <v>351663.19</v>
      </c>
      <c r="C1164" s="745">
        <v>258611.77</v>
      </c>
      <c r="D1164" s="746">
        <f t="shared" si="6"/>
        <v>93051.42</v>
      </c>
    </row>
    <row r="1165" spans="1:4" x14ac:dyDescent="0.2">
      <c r="A1165" s="514">
        <v>43997</v>
      </c>
      <c r="B1165" s="491">
        <f t="shared" si="5"/>
        <v>351097.70999999996</v>
      </c>
      <c r="C1165" s="745">
        <f t="shared" si="7"/>
        <v>258611.77</v>
      </c>
      <c r="D1165" s="746">
        <v>92485.94</v>
      </c>
    </row>
    <row r="1166" spans="1:4" x14ac:dyDescent="0.2">
      <c r="A1166" s="514">
        <v>43998</v>
      </c>
      <c r="B1166" s="491">
        <f t="shared" si="5"/>
        <v>351097.70999999996</v>
      </c>
      <c r="C1166" s="745">
        <f t="shared" si="7"/>
        <v>258611.77</v>
      </c>
      <c r="D1166" s="746">
        <f t="shared" si="6"/>
        <v>92485.94</v>
      </c>
    </row>
    <row r="1167" spans="1:4" x14ac:dyDescent="0.2">
      <c r="A1167" s="514">
        <v>43999</v>
      </c>
      <c r="B1167" s="491">
        <f t="shared" si="5"/>
        <v>342735.58</v>
      </c>
      <c r="C1167" s="745">
        <v>250249.64</v>
      </c>
      <c r="D1167" s="746">
        <f t="shared" si="6"/>
        <v>92485.94</v>
      </c>
    </row>
    <row r="1168" spans="1:4" x14ac:dyDescent="0.2">
      <c r="A1168" s="514">
        <v>44000</v>
      </c>
      <c r="B1168" s="491">
        <f t="shared" si="5"/>
        <v>344495.52</v>
      </c>
      <c r="C1168" s="745">
        <v>252009.58</v>
      </c>
      <c r="D1168" s="746">
        <f t="shared" si="6"/>
        <v>92485.94</v>
      </c>
    </row>
    <row r="1169" spans="1:4" x14ac:dyDescent="0.2">
      <c r="A1169" s="514">
        <v>44001</v>
      </c>
      <c r="B1169" s="491">
        <f t="shared" si="5"/>
        <v>344495.52</v>
      </c>
      <c r="C1169" s="745">
        <f t="shared" si="7"/>
        <v>252009.58</v>
      </c>
      <c r="D1169" s="746">
        <f t="shared" si="6"/>
        <v>92485.94</v>
      </c>
    </row>
    <row r="1170" spans="1:4" x14ac:dyDescent="0.2">
      <c r="A1170" s="514">
        <v>44004</v>
      </c>
      <c r="B1170" s="491">
        <f t="shared" si="5"/>
        <v>344495.52</v>
      </c>
      <c r="C1170" s="745">
        <f t="shared" si="7"/>
        <v>252009.58</v>
      </c>
      <c r="D1170" s="746">
        <f t="shared" si="6"/>
        <v>92485.94</v>
      </c>
    </row>
    <row r="1171" spans="1:4" x14ac:dyDescent="0.2">
      <c r="A1171" s="514">
        <v>44005</v>
      </c>
      <c r="B1171" s="491">
        <f t="shared" si="5"/>
        <v>334324.15000000002</v>
      </c>
      <c r="C1171" s="745">
        <v>241838.21</v>
      </c>
      <c r="D1171" s="746">
        <f t="shared" si="6"/>
        <v>92485.94</v>
      </c>
    </row>
    <row r="1172" spans="1:4" x14ac:dyDescent="0.2">
      <c r="A1172" s="514">
        <v>44006</v>
      </c>
      <c r="B1172" s="491">
        <f t="shared" si="5"/>
        <v>342928.85</v>
      </c>
      <c r="C1172" s="745">
        <v>275398.59999999998</v>
      </c>
      <c r="D1172" s="746">
        <v>67530.25</v>
      </c>
    </row>
    <row r="1173" spans="1:4" x14ac:dyDescent="0.2">
      <c r="A1173" s="514">
        <v>44007</v>
      </c>
      <c r="B1173" s="491">
        <f t="shared" si="5"/>
        <v>325375.87</v>
      </c>
      <c r="C1173" s="745">
        <v>268709.96999999997</v>
      </c>
      <c r="D1173" s="746">
        <v>56665.9</v>
      </c>
    </row>
    <row r="1174" spans="1:4" x14ac:dyDescent="0.2">
      <c r="A1174" s="514">
        <v>44008</v>
      </c>
      <c r="B1174" s="491">
        <f t="shared" si="5"/>
        <v>324225.81</v>
      </c>
      <c r="C1174" s="745">
        <v>268257.68</v>
      </c>
      <c r="D1174" s="746">
        <v>55968.13</v>
      </c>
    </row>
    <row r="1175" spans="1:4" x14ac:dyDescent="0.2">
      <c r="A1175" s="514">
        <v>44011</v>
      </c>
      <c r="B1175" s="491">
        <f t="shared" si="5"/>
        <v>324225.81</v>
      </c>
      <c r="C1175" s="745">
        <f t="shared" si="7"/>
        <v>268257.68</v>
      </c>
      <c r="D1175" s="746">
        <f t="shared" si="6"/>
        <v>55968.13</v>
      </c>
    </row>
    <row r="1176" spans="1:4" x14ac:dyDescent="0.2">
      <c r="A1176" s="514">
        <v>44012</v>
      </c>
      <c r="B1176" s="491">
        <f t="shared" si="5"/>
        <v>332737.41000000003</v>
      </c>
      <c r="C1176" s="745">
        <v>276769.28000000003</v>
      </c>
      <c r="D1176" s="746">
        <f t="shared" si="6"/>
        <v>55968.13</v>
      </c>
    </row>
    <row r="1177" spans="1:4" x14ac:dyDescent="0.2">
      <c r="A1177" s="514">
        <v>44013</v>
      </c>
      <c r="B1177" s="491">
        <f t="shared" si="5"/>
        <v>348287.12</v>
      </c>
      <c r="C1177" s="745">
        <v>292318.99</v>
      </c>
      <c r="D1177" s="746">
        <f t="shared" si="6"/>
        <v>55968.13</v>
      </c>
    </row>
    <row r="1178" spans="1:4" x14ac:dyDescent="0.2">
      <c r="A1178" s="514">
        <v>44014</v>
      </c>
      <c r="B1178" s="491">
        <f t="shared" si="5"/>
        <v>351754.67</v>
      </c>
      <c r="C1178" s="745">
        <v>295786.53999999998</v>
      </c>
      <c r="D1178" s="746">
        <f t="shared" si="6"/>
        <v>55968.13</v>
      </c>
    </row>
    <row r="1179" spans="1:4" x14ac:dyDescent="0.2">
      <c r="A1179" s="514">
        <v>44015</v>
      </c>
      <c r="B1179" s="491">
        <f t="shared" si="5"/>
        <v>352041.67</v>
      </c>
      <c r="C1179" s="745">
        <v>296073.53999999998</v>
      </c>
      <c r="D1179" s="746">
        <f t="shared" si="6"/>
        <v>55968.13</v>
      </c>
    </row>
    <row r="1180" spans="1:4" x14ac:dyDescent="0.2">
      <c r="A1180" s="514">
        <v>44018</v>
      </c>
      <c r="B1180" s="491">
        <f t="shared" si="5"/>
        <v>352042</v>
      </c>
      <c r="C1180" s="745">
        <v>296074</v>
      </c>
      <c r="D1180" s="746">
        <v>55968</v>
      </c>
    </row>
    <row r="1181" spans="1:4" x14ac:dyDescent="0.2">
      <c r="A1181" s="514">
        <v>44019</v>
      </c>
      <c r="B1181" s="491">
        <f t="shared" si="5"/>
        <v>352042</v>
      </c>
      <c r="C1181" s="745">
        <v>296074</v>
      </c>
      <c r="D1181" s="746">
        <v>55968</v>
      </c>
    </row>
    <row r="1182" spans="1:4" x14ac:dyDescent="0.2">
      <c r="A1182" s="514">
        <v>44020</v>
      </c>
      <c r="B1182" s="491">
        <f t="shared" si="5"/>
        <v>326415.09999999998</v>
      </c>
      <c r="C1182" s="745">
        <v>296074</v>
      </c>
      <c r="D1182" s="746">
        <v>30341.1</v>
      </c>
    </row>
    <row r="1183" spans="1:4" x14ac:dyDescent="0.2">
      <c r="A1183" s="514">
        <v>44021</v>
      </c>
      <c r="B1183" s="491">
        <f t="shared" si="5"/>
        <v>312231.88999999996</v>
      </c>
      <c r="C1183" s="745">
        <v>293240.15999999997</v>
      </c>
      <c r="D1183" s="746">
        <v>18991.73</v>
      </c>
    </row>
    <row r="1184" spans="1:4" x14ac:dyDescent="0.2">
      <c r="A1184" s="514">
        <v>44022</v>
      </c>
      <c r="B1184" s="491">
        <f t="shared" si="5"/>
        <v>311779.87</v>
      </c>
      <c r="C1184" s="745">
        <v>292787.87</v>
      </c>
      <c r="D1184" s="746">
        <v>18992</v>
      </c>
    </row>
    <row r="1185" spans="1:4" x14ac:dyDescent="0.2">
      <c r="A1185" s="514">
        <v>44025</v>
      </c>
      <c r="B1185" s="491">
        <f t="shared" si="5"/>
        <v>311474.96999999997</v>
      </c>
      <c r="C1185" s="745">
        <v>293190.87</v>
      </c>
      <c r="D1185" s="746">
        <v>18284.099999999999</v>
      </c>
    </row>
    <row r="1186" spans="1:4" x14ac:dyDescent="0.2">
      <c r="A1186" s="514">
        <v>44026</v>
      </c>
      <c r="B1186" s="491">
        <f t="shared" si="5"/>
        <v>315477.69</v>
      </c>
      <c r="C1186" s="745">
        <v>297193.59000000003</v>
      </c>
      <c r="D1186" s="746">
        <v>18284.099999999999</v>
      </c>
    </row>
    <row r="1187" spans="1:4" x14ac:dyDescent="0.2">
      <c r="A1187" s="514">
        <v>44027</v>
      </c>
      <c r="B1187" s="491">
        <f t="shared" si="5"/>
        <v>315594.98</v>
      </c>
      <c r="C1187" s="745">
        <v>297310.88</v>
      </c>
      <c r="D1187" s="746">
        <v>18284.099999999999</v>
      </c>
    </row>
    <row r="1188" spans="1:4" x14ac:dyDescent="0.2">
      <c r="A1188" s="514">
        <v>44028</v>
      </c>
      <c r="B1188" s="491">
        <f t="shared" si="5"/>
        <v>318211.11</v>
      </c>
      <c r="C1188" s="745">
        <v>299927.01</v>
      </c>
      <c r="D1188" s="746">
        <v>18284.099999999999</v>
      </c>
    </row>
    <row r="1189" spans="1:4" x14ac:dyDescent="0.2">
      <c r="A1189" s="514">
        <v>44029</v>
      </c>
      <c r="B1189" s="491">
        <f t="shared" si="5"/>
        <v>318211.09999999998</v>
      </c>
      <c r="C1189" s="745">
        <v>299927</v>
      </c>
      <c r="D1189" s="746">
        <v>18284.099999999999</v>
      </c>
    </row>
    <row r="1190" spans="1:4" x14ac:dyDescent="0.2">
      <c r="A1190" s="514">
        <v>44032</v>
      </c>
      <c r="B1190" s="491">
        <f t="shared" si="5"/>
        <v>339655.69</v>
      </c>
      <c r="C1190" s="745">
        <v>304374.55</v>
      </c>
      <c r="D1190" s="746">
        <v>35281.14</v>
      </c>
    </row>
    <row r="1191" spans="1:4" x14ac:dyDescent="0.2">
      <c r="A1191" s="514">
        <v>44033</v>
      </c>
      <c r="B1191" s="491">
        <f t="shared" si="5"/>
        <v>328838.90999999997</v>
      </c>
      <c r="C1191" s="745">
        <v>293557.90999999997</v>
      </c>
      <c r="D1191" s="746">
        <v>35281</v>
      </c>
    </row>
    <row r="1192" spans="1:4" x14ac:dyDescent="0.2">
      <c r="A1192" s="514">
        <v>44034</v>
      </c>
      <c r="B1192" s="491">
        <f t="shared" si="5"/>
        <v>315049.81</v>
      </c>
      <c r="C1192" s="745">
        <v>305336.09999999998</v>
      </c>
      <c r="D1192" s="746">
        <v>9713.7099999999991</v>
      </c>
    </row>
    <row r="1193" spans="1:4" x14ac:dyDescent="0.2">
      <c r="A1193" s="514">
        <v>44035</v>
      </c>
      <c r="B1193" s="491">
        <f t="shared" si="5"/>
        <v>308750.14999999997</v>
      </c>
      <c r="C1193" s="745">
        <v>307782.98</v>
      </c>
      <c r="D1193" s="746">
        <v>967.17</v>
      </c>
    </row>
    <row r="1194" spans="1:4" x14ac:dyDescent="0.2">
      <c r="A1194" s="514">
        <v>44036</v>
      </c>
      <c r="B1194" s="491">
        <f t="shared" si="5"/>
        <v>309653.73</v>
      </c>
      <c r="C1194" s="745">
        <v>309453.73</v>
      </c>
      <c r="D1194" s="746">
        <v>200</v>
      </c>
    </row>
    <row r="1195" spans="1:4" x14ac:dyDescent="0.2">
      <c r="A1195" s="514">
        <v>44039</v>
      </c>
      <c r="B1195" s="491">
        <f t="shared" si="5"/>
        <v>300292.32</v>
      </c>
      <c r="C1195" s="745">
        <v>300092.32</v>
      </c>
      <c r="D1195" s="746">
        <v>200</v>
      </c>
    </row>
    <row r="1196" spans="1:4" x14ac:dyDescent="0.2">
      <c r="A1196" s="514">
        <v>44040</v>
      </c>
      <c r="B1196" s="491">
        <f t="shared" si="5"/>
        <v>300248.32000000001</v>
      </c>
      <c r="C1196" s="745">
        <v>300048.32</v>
      </c>
      <c r="D1196" s="746">
        <v>200</v>
      </c>
    </row>
    <row r="1197" spans="1:4" x14ac:dyDescent="0.2">
      <c r="A1197" s="514">
        <v>44041</v>
      </c>
      <c r="B1197" s="491">
        <f t="shared" si="5"/>
        <v>298885.23</v>
      </c>
      <c r="C1197" s="745">
        <v>298685.23</v>
      </c>
      <c r="D1197" s="746">
        <v>200</v>
      </c>
    </row>
    <row r="1198" spans="1:4" x14ac:dyDescent="0.2">
      <c r="A1198" s="514">
        <v>44042</v>
      </c>
      <c r="B1198" s="491">
        <f t="shared" si="5"/>
        <v>298918.89</v>
      </c>
      <c r="C1198" s="745">
        <v>298718.89</v>
      </c>
      <c r="D1198" s="746">
        <v>200</v>
      </c>
    </row>
    <row r="1199" spans="1:4" x14ac:dyDescent="0.2">
      <c r="A1199" s="514">
        <v>44043</v>
      </c>
      <c r="B1199" s="491">
        <f t="shared" ref="B1199:B1262" si="8">C1199+D1199</f>
        <v>298919</v>
      </c>
      <c r="C1199" s="745">
        <v>298719</v>
      </c>
      <c r="D1199" s="746">
        <v>200</v>
      </c>
    </row>
    <row r="1200" spans="1:4" x14ac:dyDescent="0.2">
      <c r="A1200" s="514">
        <v>44046</v>
      </c>
      <c r="B1200" s="491">
        <f t="shared" si="8"/>
        <v>262470.13</v>
      </c>
      <c r="C1200" s="745">
        <v>262270.13</v>
      </c>
      <c r="D1200" s="746">
        <v>200</v>
      </c>
    </row>
    <row r="1201" spans="1:4" x14ac:dyDescent="0.2">
      <c r="A1201" s="514">
        <v>44047</v>
      </c>
      <c r="B1201" s="491">
        <f t="shared" si="8"/>
        <v>254560.85</v>
      </c>
      <c r="C1201" s="745">
        <v>254360.85</v>
      </c>
      <c r="D1201" s="746">
        <v>200</v>
      </c>
    </row>
    <row r="1202" spans="1:4" x14ac:dyDescent="0.2">
      <c r="A1202" s="514">
        <v>44048</v>
      </c>
      <c r="B1202" s="491">
        <f t="shared" si="8"/>
        <v>254561</v>
      </c>
      <c r="C1202" s="745">
        <v>254361</v>
      </c>
      <c r="D1202" s="746">
        <v>200</v>
      </c>
    </row>
    <row r="1203" spans="1:4" x14ac:dyDescent="0.2">
      <c r="A1203" s="514">
        <v>44049</v>
      </c>
      <c r="B1203" s="491">
        <f t="shared" si="8"/>
        <v>256783.26</v>
      </c>
      <c r="C1203" s="745">
        <v>256583.26</v>
      </c>
      <c r="D1203" s="746">
        <v>200</v>
      </c>
    </row>
    <row r="1204" spans="1:4" x14ac:dyDescent="0.2">
      <c r="A1204" s="514">
        <v>44050</v>
      </c>
      <c r="B1204" s="491">
        <f t="shared" si="8"/>
        <v>256330.97</v>
      </c>
      <c r="C1204" s="745">
        <v>256130.97</v>
      </c>
      <c r="D1204" s="746">
        <v>200</v>
      </c>
    </row>
    <row r="1205" spans="1:4" x14ac:dyDescent="0.2">
      <c r="A1205" s="514">
        <v>44053</v>
      </c>
      <c r="B1205" s="491">
        <f t="shared" si="8"/>
        <v>256331</v>
      </c>
      <c r="C1205" s="745">
        <v>256131</v>
      </c>
      <c r="D1205" s="746">
        <v>200</v>
      </c>
    </row>
    <row r="1206" spans="1:4" x14ac:dyDescent="0.2">
      <c r="A1206" s="514">
        <v>44054</v>
      </c>
      <c r="B1206" s="491">
        <f t="shared" si="8"/>
        <v>256331</v>
      </c>
      <c r="C1206" s="745">
        <v>256131</v>
      </c>
      <c r="D1206" s="746">
        <v>200</v>
      </c>
    </row>
    <row r="1207" spans="1:4" x14ac:dyDescent="0.2">
      <c r="A1207" s="514">
        <v>44055</v>
      </c>
      <c r="B1207" s="491">
        <f t="shared" si="8"/>
        <v>256420.97</v>
      </c>
      <c r="C1207" s="745">
        <v>256220.97</v>
      </c>
      <c r="D1207" s="746">
        <v>200</v>
      </c>
    </row>
    <row r="1208" spans="1:4" x14ac:dyDescent="0.2">
      <c r="A1208" s="514">
        <v>44056</v>
      </c>
      <c r="B1208" s="491">
        <f t="shared" si="8"/>
        <v>256421</v>
      </c>
      <c r="C1208" s="745">
        <v>256221</v>
      </c>
      <c r="D1208" s="746">
        <v>200</v>
      </c>
    </row>
    <row r="1209" spans="1:4" x14ac:dyDescent="0.2">
      <c r="A1209" s="514">
        <v>44057</v>
      </c>
      <c r="B1209" s="491">
        <f t="shared" si="8"/>
        <v>296838.09999999998</v>
      </c>
      <c r="C1209" s="745">
        <v>296638.09999999998</v>
      </c>
      <c r="D1209" s="746">
        <v>200</v>
      </c>
    </row>
    <row r="1210" spans="1:4" x14ac:dyDescent="0.2">
      <c r="A1210" s="514">
        <v>44060</v>
      </c>
      <c r="B1210" s="491">
        <f t="shared" si="8"/>
        <v>261012.14</v>
      </c>
      <c r="C1210" s="745">
        <v>260812.14</v>
      </c>
      <c r="D1210" s="746">
        <v>200</v>
      </c>
    </row>
    <row r="1211" spans="1:4" x14ac:dyDescent="0.2">
      <c r="A1211" s="514">
        <v>44061</v>
      </c>
      <c r="B1211" s="491">
        <f t="shared" si="8"/>
        <v>345553.24</v>
      </c>
      <c r="C1211" s="745">
        <v>345353.24</v>
      </c>
      <c r="D1211" s="746">
        <v>200</v>
      </c>
    </row>
    <row r="1212" spans="1:4" x14ac:dyDescent="0.2">
      <c r="A1212" s="514">
        <v>44062</v>
      </c>
      <c r="B1212" s="491">
        <f t="shared" si="8"/>
        <v>345720.24</v>
      </c>
      <c r="C1212" s="745">
        <v>345520.24</v>
      </c>
      <c r="D1212" s="746">
        <v>200</v>
      </c>
    </row>
    <row r="1213" spans="1:4" x14ac:dyDescent="0.2">
      <c r="A1213" s="514">
        <v>44063</v>
      </c>
      <c r="B1213" s="491">
        <f t="shared" si="8"/>
        <v>343380.65</v>
      </c>
      <c r="C1213" s="745">
        <v>343180.65</v>
      </c>
      <c r="D1213" s="746">
        <v>200</v>
      </c>
    </row>
    <row r="1214" spans="1:4" x14ac:dyDescent="0.2">
      <c r="A1214" s="514">
        <v>44064</v>
      </c>
      <c r="B1214" s="491">
        <f t="shared" si="8"/>
        <v>342938.36</v>
      </c>
      <c r="C1214" s="745">
        <v>342738.36</v>
      </c>
      <c r="D1214" s="746">
        <v>200</v>
      </c>
    </row>
    <row r="1215" spans="1:4" x14ac:dyDescent="0.2">
      <c r="A1215" s="514">
        <v>44067</v>
      </c>
      <c r="B1215" s="491">
        <f t="shared" si="8"/>
        <v>342938</v>
      </c>
      <c r="C1215" s="745">
        <v>342738</v>
      </c>
      <c r="D1215" s="746">
        <v>200</v>
      </c>
    </row>
    <row r="1216" spans="1:4" x14ac:dyDescent="0.2">
      <c r="A1216" s="514">
        <v>44068</v>
      </c>
      <c r="B1216" s="491">
        <f t="shared" si="8"/>
        <v>340515.33</v>
      </c>
      <c r="C1216" s="745">
        <v>340315.33</v>
      </c>
      <c r="D1216" s="746">
        <v>200</v>
      </c>
    </row>
    <row r="1217" spans="1:4" x14ac:dyDescent="0.2">
      <c r="A1217" s="514">
        <v>44069</v>
      </c>
      <c r="B1217" s="491">
        <f t="shared" si="8"/>
        <v>359946.57</v>
      </c>
      <c r="C1217" s="745">
        <v>359746.57</v>
      </c>
      <c r="D1217" s="746">
        <v>200</v>
      </c>
    </row>
    <row r="1218" spans="1:4" x14ac:dyDescent="0.2">
      <c r="A1218" s="514">
        <v>44070</v>
      </c>
      <c r="B1218" s="491">
        <f t="shared" si="8"/>
        <v>359946.57</v>
      </c>
      <c r="C1218" s="745">
        <v>359746.57</v>
      </c>
      <c r="D1218" s="746">
        <v>200</v>
      </c>
    </row>
    <row r="1219" spans="1:4" x14ac:dyDescent="0.2">
      <c r="A1219" s="514">
        <v>44071</v>
      </c>
      <c r="B1219" s="491">
        <f t="shared" si="8"/>
        <v>359946.57</v>
      </c>
      <c r="C1219" s="745">
        <v>359746.57</v>
      </c>
      <c r="D1219" s="746">
        <v>200</v>
      </c>
    </row>
    <row r="1220" spans="1:4" x14ac:dyDescent="0.2">
      <c r="A1220" s="514">
        <v>44074</v>
      </c>
      <c r="B1220" s="491">
        <f t="shared" si="8"/>
        <v>359946.57</v>
      </c>
      <c r="C1220" s="745">
        <v>359746.57</v>
      </c>
      <c r="D1220" s="746">
        <v>200</v>
      </c>
    </row>
    <row r="1221" spans="1:4" x14ac:dyDescent="0.2">
      <c r="A1221" s="514">
        <v>44075</v>
      </c>
      <c r="B1221" s="491">
        <f t="shared" si="8"/>
        <v>347126.06</v>
      </c>
      <c r="C1221" s="745">
        <v>346926.06</v>
      </c>
      <c r="D1221" s="746">
        <v>200</v>
      </c>
    </row>
    <row r="1222" spans="1:4" x14ac:dyDescent="0.2">
      <c r="A1222" s="514">
        <v>44076</v>
      </c>
      <c r="B1222" s="491">
        <f t="shared" si="8"/>
        <v>347075.06</v>
      </c>
      <c r="C1222" s="745">
        <v>346875.06</v>
      </c>
      <c r="D1222" s="746">
        <v>200</v>
      </c>
    </row>
    <row r="1223" spans="1:4" x14ac:dyDescent="0.2">
      <c r="A1223" s="514">
        <v>44077</v>
      </c>
      <c r="B1223" s="491">
        <f t="shared" si="8"/>
        <v>350416.44</v>
      </c>
      <c r="C1223" s="745">
        <v>350216.44</v>
      </c>
      <c r="D1223" s="746">
        <v>200</v>
      </c>
    </row>
    <row r="1224" spans="1:4" x14ac:dyDescent="0.2">
      <c r="A1224" s="514">
        <v>44078</v>
      </c>
      <c r="B1224" s="491">
        <f t="shared" si="8"/>
        <v>343258.81</v>
      </c>
      <c r="C1224" s="745">
        <v>343058.81</v>
      </c>
      <c r="D1224" s="746">
        <v>200</v>
      </c>
    </row>
    <row r="1225" spans="1:4" x14ac:dyDescent="0.2">
      <c r="A1225" s="514">
        <v>44081</v>
      </c>
      <c r="B1225" s="491">
        <f t="shared" si="8"/>
        <v>343258.81</v>
      </c>
      <c r="C1225" s="745">
        <v>343058.81</v>
      </c>
      <c r="D1225" s="746">
        <v>200</v>
      </c>
    </row>
    <row r="1226" spans="1:4" x14ac:dyDescent="0.2">
      <c r="A1226" s="514">
        <v>44082</v>
      </c>
      <c r="B1226" s="491">
        <f t="shared" si="8"/>
        <v>343258.81</v>
      </c>
      <c r="C1226" s="745">
        <v>343058.81</v>
      </c>
      <c r="D1226" s="746">
        <v>200</v>
      </c>
    </row>
    <row r="1227" spans="1:4" x14ac:dyDescent="0.2">
      <c r="A1227" s="514">
        <v>44083</v>
      </c>
      <c r="B1227" s="491">
        <f t="shared" si="8"/>
        <v>343258.81</v>
      </c>
      <c r="C1227" s="745">
        <v>343058.81</v>
      </c>
      <c r="D1227" s="746">
        <v>200</v>
      </c>
    </row>
    <row r="1228" spans="1:4" x14ac:dyDescent="0.2">
      <c r="A1228" s="514">
        <v>44084</v>
      </c>
      <c r="B1228" s="491">
        <f t="shared" si="8"/>
        <v>351420.85</v>
      </c>
      <c r="C1228" s="745">
        <v>351220.85</v>
      </c>
      <c r="D1228" s="746">
        <v>200</v>
      </c>
    </row>
    <row r="1229" spans="1:4" x14ac:dyDescent="0.2">
      <c r="A1229" s="514">
        <v>44085</v>
      </c>
      <c r="B1229" s="491">
        <f t="shared" si="8"/>
        <v>351420.85</v>
      </c>
      <c r="C1229" s="745">
        <v>351220.85</v>
      </c>
      <c r="D1229" s="746">
        <v>200</v>
      </c>
    </row>
    <row r="1230" spans="1:4" x14ac:dyDescent="0.2">
      <c r="A1230" s="514">
        <v>44088</v>
      </c>
      <c r="B1230" s="491">
        <f t="shared" si="8"/>
        <v>319295.21000000002</v>
      </c>
      <c r="C1230" s="745">
        <v>319095.21000000002</v>
      </c>
      <c r="D1230" s="746">
        <v>200</v>
      </c>
    </row>
    <row r="1231" spans="1:4" x14ac:dyDescent="0.2">
      <c r="A1231" s="514">
        <v>44089</v>
      </c>
      <c r="B1231" s="491">
        <f t="shared" si="8"/>
        <v>319390.87</v>
      </c>
      <c r="C1231" s="745">
        <v>319190.87</v>
      </c>
      <c r="D1231" s="746">
        <v>200</v>
      </c>
    </row>
    <row r="1232" spans="1:4" x14ac:dyDescent="0.2">
      <c r="A1232" s="514">
        <v>44090</v>
      </c>
      <c r="B1232" s="491">
        <f t="shared" si="8"/>
        <v>318221.31</v>
      </c>
      <c r="C1232" s="745">
        <v>318021.31</v>
      </c>
      <c r="D1232" s="746">
        <v>200</v>
      </c>
    </row>
    <row r="1233" spans="1:4" x14ac:dyDescent="0.2">
      <c r="A1233" s="514">
        <v>44091</v>
      </c>
      <c r="B1233" s="491">
        <f t="shared" si="8"/>
        <v>321494.34000000003</v>
      </c>
      <c r="C1233" s="745">
        <v>321294.34000000003</v>
      </c>
      <c r="D1233" s="746">
        <v>200</v>
      </c>
    </row>
    <row r="1234" spans="1:4" x14ac:dyDescent="0.2">
      <c r="A1234" s="514">
        <v>44092</v>
      </c>
      <c r="B1234" s="491">
        <f t="shared" si="8"/>
        <v>321052.05</v>
      </c>
      <c r="C1234" s="745">
        <v>320852.05</v>
      </c>
      <c r="D1234" s="746">
        <v>200</v>
      </c>
    </row>
    <row r="1235" spans="1:4" x14ac:dyDescent="0.2">
      <c r="A1235" s="514">
        <v>44095</v>
      </c>
      <c r="B1235" s="491">
        <f t="shared" si="8"/>
        <v>321052</v>
      </c>
      <c r="C1235" s="745">
        <v>320852</v>
      </c>
      <c r="D1235" s="746">
        <v>200</v>
      </c>
    </row>
    <row r="1236" spans="1:4" x14ac:dyDescent="0.2">
      <c r="A1236" s="514">
        <v>44096</v>
      </c>
      <c r="B1236" s="491">
        <f t="shared" si="8"/>
        <v>347075.9</v>
      </c>
      <c r="C1236" s="745">
        <v>346875.9</v>
      </c>
      <c r="D1236" s="746">
        <v>200</v>
      </c>
    </row>
    <row r="1237" spans="1:4" x14ac:dyDescent="0.2">
      <c r="A1237" s="514">
        <v>44097</v>
      </c>
      <c r="B1237" s="491">
        <f t="shared" si="8"/>
        <v>348950.3</v>
      </c>
      <c r="C1237" s="745">
        <v>348750.3</v>
      </c>
      <c r="D1237" s="746">
        <v>200</v>
      </c>
    </row>
    <row r="1238" spans="1:4" x14ac:dyDescent="0.2">
      <c r="A1238" s="514">
        <v>44098</v>
      </c>
      <c r="B1238" s="491">
        <f t="shared" si="8"/>
        <v>354130.18</v>
      </c>
      <c r="C1238" s="745">
        <v>353930.18</v>
      </c>
      <c r="D1238" s="746">
        <v>200</v>
      </c>
    </row>
    <row r="1239" spans="1:4" x14ac:dyDescent="0.2">
      <c r="A1239" s="514">
        <v>44099</v>
      </c>
      <c r="B1239" s="491">
        <f t="shared" si="8"/>
        <v>354086.18</v>
      </c>
      <c r="C1239" s="745">
        <v>353886.18</v>
      </c>
      <c r="D1239" s="746">
        <v>200</v>
      </c>
    </row>
    <row r="1240" spans="1:4" x14ac:dyDescent="0.2">
      <c r="A1240" s="514">
        <v>44102</v>
      </c>
      <c r="B1240" s="491">
        <f t="shared" si="8"/>
        <v>348608</v>
      </c>
      <c r="C1240" s="745">
        <v>348408</v>
      </c>
      <c r="D1240" s="746">
        <v>200</v>
      </c>
    </row>
    <row r="1241" spans="1:4" x14ac:dyDescent="0.2">
      <c r="A1241" s="514">
        <v>44103</v>
      </c>
      <c r="B1241" s="491">
        <f t="shared" si="8"/>
        <v>313591.89</v>
      </c>
      <c r="C1241" s="745">
        <v>313391.89</v>
      </c>
      <c r="D1241" s="746">
        <v>200</v>
      </c>
    </row>
    <row r="1242" spans="1:4" x14ac:dyDescent="0.2">
      <c r="A1242" s="514">
        <v>44104</v>
      </c>
      <c r="B1242" s="491">
        <f t="shared" si="8"/>
        <v>348489.68</v>
      </c>
      <c r="C1242" s="745">
        <v>348289.68</v>
      </c>
      <c r="D1242" s="746">
        <v>200</v>
      </c>
    </row>
    <row r="1243" spans="1:4" x14ac:dyDescent="0.2">
      <c r="A1243" s="514">
        <v>44105</v>
      </c>
      <c r="B1243" s="491">
        <f t="shared" si="8"/>
        <v>346634.44</v>
      </c>
      <c r="C1243" s="745">
        <v>346434.44</v>
      </c>
      <c r="D1243" s="746">
        <v>200</v>
      </c>
    </row>
    <row r="1244" spans="1:4" x14ac:dyDescent="0.2">
      <c r="A1244" s="514">
        <v>44106</v>
      </c>
      <c r="B1244" s="491">
        <f t="shared" si="8"/>
        <v>346390.75</v>
      </c>
      <c r="C1244" s="745">
        <v>346190.75</v>
      </c>
      <c r="D1244" s="746">
        <v>200</v>
      </c>
    </row>
    <row r="1245" spans="1:4" x14ac:dyDescent="0.2">
      <c r="A1245" s="514">
        <v>44109</v>
      </c>
      <c r="B1245" s="491">
        <f t="shared" si="8"/>
        <v>346313.83</v>
      </c>
      <c r="C1245" s="745">
        <v>346113.83</v>
      </c>
      <c r="D1245" s="746">
        <v>200</v>
      </c>
    </row>
    <row r="1246" spans="1:4" x14ac:dyDescent="0.2">
      <c r="A1246" s="514">
        <v>44110</v>
      </c>
      <c r="B1246" s="491">
        <f t="shared" si="8"/>
        <v>346084.99</v>
      </c>
      <c r="C1246" s="745">
        <v>345884.99</v>
      </c>
      <c r="D1246" s="746">
        <v>200</v>
      </c>
    </row>
    <row r="1247" spans="1:4" x14ac:dyDescent="0.2">
      <c r="A1247" s="514">
        <v>44111</v>
      </c>
      <c r="B1247" s="491">
        <f t="shared" si="8"/>
        <v>346085</v>
      </c>
      <c r="C1247" s="745">
        <v>345885</v>
      </c>
      <c r="D1247" s="746">
        <v>200</v>
      </c>
    </row>
    <row r="1248" spans="1:4" x14ac:dyDescent="0.2">
      <c r="A1248" s="514">
        <v>44112</v>
      </c>
      <c r="B1248" s="491">
        <f t="shared" si="8"/>
        <v>380839.99</v>
      </c>
      <c r="C1248" s="745">
        <v>380639.99</v>
      </c>
      <c r="D1248" s="746">
        <v>200</v>
      </c>
    </row>
    <row r="1249" spans="1:4" x14ac:dyDescent="0.2">
      <c r="A1249" s="514">
        <v>44113</v>
      </c>
      <c r="B1249" s="491">
        <f t="shared" si="8"/>
        <v>380840</v>
      </c>
      <c r="C1249" s="745">
        <v>380640</v>
      </c>
      <c r="D1249" s="746">
        <v>200</v>
      </c>
    </row>
    <row r="1250" spans="1:4" x14ac:dyDescent="0.2">
      <c r="A1250" s="514">
        <v>44116</v>
      </c>
      <c r="B1250" s="491">
        <f t="shared" si="8"/>
        <v>380840</v>
      </c>
      <c r="C1250" s="745">
        <v>380640</v>
      </c>
      <c r="D1250" s="746">
        <v>200</v>
      </c>
    </row>
    <row r="1251" spans="1:4" x14ac:dyDescent="0.2">
      <c r="A1251" s="514">
        <v>44117</v>
      </c>
      <c r="B1251" s="491">
        <f t="shared" si="8"/>
        <v>346182.3</v>
      </c>
      <c r="C1251" s="745">
        <v>345982.3</v>
      </c>
      <c r="D1251" s="746">
        <v>200</v>
      </c>
    </row>
    <row r="1252" spans="1:4" x14ac:dyDescent="0.2">
      <c r="A1252" s="514">
        <v>44118</v>
      </c>
      <c r="B1252" s="491">
        <f t="shared" si="8"/>
        <v>346103.46</v>
      </c>
      <c r="C1252" s="745">
        <v>345903.46</v>
      </c>
      <c r="D1252" s="746">
        <v>200</v>
      </c>
    </row>
    <row r="1253" spans="1:4" x14ac:dyDescent="0.2">
      <c r="A1253" s="514">
        <v>44119</v>
      </c>
      <c r="B1253" s="491">
        <f t="shared" si="8"/>
        <v>339569.88</v>
      </c>
      <c r="C1253" s="745">
        <v>339369.88</v>
      </c>
      <c r="D1253" s="746">
        <v>200</v>
      </c>
    </row>
    <row r="1254" spans="1:4" x14ac:dyDescent="0.2">
      <c r="A1254" s="514">
        <v>44120</v>
      </c>
      <c r="B1254" s="491">
        <f t="shared" si="8"/>
        <v>364967.49</v>
      </c>
      <c r="C1254" s="745">
        <v>364767.49</v>
      </c>
      <c r="D1254" s="746">
        <v>200</v>
      </c>
    </row>
    <row r="1255" spans="1:4" x14ac:dyDescent="0.2">
      <c r="A1255" s="514">
        <v>44123</v>
      </c>
      <c r="B1255" s="491">
        <f t="shared" si="8"/>
        <v>343525.33</v>
      </c>
      <c r="C1255" s="745">
        <v>343325.33</v>
      </c>
      <c r="D1255" s="746">
        <v>200</v>
      </c>
    </row>
    <row r="1256" spans="1:4" x14ac:dyDescent="0.2">
      <c r="A1256" s="514">
        <v>44124</v>
      </c>
      <c r="B1256" s="491">
        <f t="shared" si="8"/>
        <v>343525</v>
      </c>
      <c r="C1256" s="745">
        <v>343325</v>
      </c>
      <c r="D1256" s="746">
        <v>200</v>
      </c>
    </row>
    <row r="1257" spans="1:4" x14ac:dyDescent="0.2">
      <c r="A1257" s="514">
        <v>44125</v>
      </c>
      <c r="B1257" s="491">
        <f t="shared" si="8"/>
        <v>340413.21</v>
      </c>
      <c r="C1257" s="745">
        <v>340213.21</v>
      </c>
      <c r="D1257" s="746">
        <v>200</v>
      </c>
    </row>
    <row r="1258" spans="1:4" x14ac:dyDescent="0.2">
      <c r="A1258" s="514">
        <v>44126</v>
      </c>
      <c r="B1258" s="491">
        <f t="shared" si="8"/>
        <v>354245.2</v>
      </c>
      <c r="C1258" s="745">
        <v>354045.2</v>
      </c>
      <c r="D1258" s="746">
        <v>200</v>
      </c>
    </row>
    <row r="1259" spans="1:4" x14ac:dyDescent="0.2">
      <c r="A1259" s="514">
        <v>44127</v>
      </c>
      <c r="B1259" s="491">
        <f t="shared" si="8"/>
        <v>354086.35</v>
      </c>
      <c r="C1259" s="745">
        <v>353886.35</v>
      </c>
      <c r="D1259" s="746">
        <v>200</v>
      </c>
    </row>
    <row r="1260" spans="1:4" x14ac:dyDescent="0.2">
      <c r="A1260" s="514">
        <v>44130</v>
      </c>
      <c r="B1260" s="491">
        <f t="shared" si="8"/>
        <v>354086</v>
      </c>
      <c r="C1260" s="745">
        <v>353886</v>
      </c>
      <c r="D1260" s="746">
        <v>200</v>
      </c>
    </row>
    <row r="1261" spans="1:4" x14ac:dyDescent="0.2">
      <c r="A1261" s="514">
        <v>44131</v>
      </c>
      <c r="B1261" s="491">
        <f t="shared" si="8"/>
        <v>312941.49</v>
      </c>
      <c r="C1261" s="745">
        <v>312741.49</v>
      </c>
      <c r="D1261" s="746">
        <v>200</v>
      </c>
    </row>
    <row r="1262" spans="1:4" x14ac:dyDescent="0.2">
      <c r="A1262" s="514">
        <v>44132</v>
      </c>
      <c r="B1262" s="491">
        <f t="shared" si="8"/>
        <v>312941</v>
      </c>
      <c r="C1262" s="745">
        <v>312741</v>
      </c>
      <c r="D1262" s="746">
        <v>200</v>
      </c>
    </row>
    <row r="1263" spans="1:4" x14ac:dyDescent="0.2">
      <c r="A1263" s="514">
        <v>44133</v>
      </c>
      <c r="B1263" s="491">
        <f t="shared" ref="B1263:B1326" si="9">C1263+D1263</f>
        <v>312941</v>
      </c>
      <c r="C1263" s="745">
        <v>312741</v>
      </c>
      <c r="D1263" s="746">
        <v>200</v>
      </c>
    </row>
    <row r="1264" spans="1:4" x14ac:dyDescent="0.2">
      <c r="A1264" s="514">
        <v>44134</v>
      </c>
      <c r="B1264" s="491">
        <f t="shared" si="9"/>
        <v>336359.66</v>
      </c>
      <c r="C1264" s="745">
        <v>336159.66</v>
      </c>
      <c r="D1264" s="746">
        <v>200</v>
      </c>
    </row>
    <row r="1265" spans="1:4" x14ac:dyDescent="0.2">
      <c r="A1265" s="514">
        <v>44137</v>
      </c>
      <c r="B1265" s="491">
        <f t="shared" si="9"/>
        <v>336077.1</v>
      </c>
      <c r="C1265" s="745">
        <v>335877.1</v>
      </c>
      <c r="D1265" s="746">
        <v>200</v>
      </c>
    </row>
    <row r="1266" spans="1:4" x14ac:dyDescent="0.2">
      <c r="A1266" s="514">
        <v>44138</v>
      </c>
      <c r="B1266" s="491">
        <f t="shared" si="9"/>
        <v>336077</v>
      </c>
      <c r="C1266" s="745">
        <v>335877</v>
      </c>
      <c r="D1266" s="746">
        <v>200</v>
      </c>
    </row>
    <row r="1267" spans="1:4" x14ac:dyDescent="0.2">
      <c r="A1267" s="514">
        <v>44139</v>
      </c>
      <c r="B1267" s="491">
        <f t="shared" si="9"/>
        <v>328153.34999999998</v>
      </c>
      <c r="C1267" s="745">
        <v>327953.34999999998</v>
      </c>
      <c r="D1267" s="746">
        <v>200</v>
      </c>
    </row>
    <row r="1268" spans="1:4" x14ac:dyDescent="0.2">
      <c r="A1268" s="514">
        <v>44140</v>
      </c>
      <c r="B1268" s="491">
        <f t="shared" si="9"/>
        <v>328497.34999999998</v>
      </c>
      <c r="C1268" s="745">
        <v>328297.34999999998</v>
      </c>
      <c r="D1268" s="746">
        <v>200</v>
      </c>
    </row>
    <row r="1269" spans="1:4" x14ac:dyDescent="0.2">
      <c r="A1269" s="514">
        <v>44141</v>
      </c>
      <c r="B1269" s="491">
        <f t="shared" si="9"/>
        <v>327078.57</v>
      </c>
      <c r="C1269" s="745">
        <v>326878.57</v>
      </c>
      <c r="D1269" s="746">
        <v>200</v>
      </c>
    </row>
    <row r="1270" spans="1:4" x14ac:dyDescent="0.2">
      <c r="A1270" s="514">
        <v>44144</v>
      </c>
      <c r="B1270" s="491">
        <f t="shared" si="9"/>
        <v>293224.96000000002</v>
      </c>
      <c r="C1270" s="745">
        <v>293024.96000000002</v>
      </c>
      <c r="D1270" s="746">
        <v>200</v>
      </c>
    </row>
    <row r="1271" spans="1:4" x14ac:dyDescent="0.2">
      <c r="A1271" s="514">
        <v>44145</v>
      </c>
      <c r="B1271" s="491">
        <f t="shared" si="9"/>
        <v>297955.08</v>
      </c>
      <c r="C1271" s="745">
        <v>297755.08</v>
      </c>
      <c r="D1271" s="746">
        <v>200</v>
      </c>
    </row>
    <row r="1272" spans="1:4" x14ac:dyDescent="0.2">
      <c r="A1272" s="514">
        <v>44146</v>
      </c>
      <c r="B1272" s="491">
        <f t="shared" si="9"/>
        <v>297955</v>
      </c>
      <c r="C1272" s="745">
        <v>297755</v>
      </c>
      <c r="D1272" s="746">
        <v>200</v>
      </c>
    </row>
    <row r="1273" spans="1:4" x14ac:dyDescent="0.2">
      <c r="A1273" s="514">
        <v>44147</v>
      </c>
      <c r="B1273" s="491">
        <f t="shared" si="9"/>
        <v>301097.59000000003</v>
      </c>
      <c r="C1273" s="745">
        <v>300897.59000000003</v>
      </c>
      <c r="D1273" s="746">
        <v>200</v>
      </c>
    </row>
    <row r="1274" spans="1:4" x14ac:dyDescent="0.2">
      <c r="A1274" s="514">
        <v>44148</v>
      </c>
      <c r="B1274" s="491">
        <f t="shared" si="9"/>
        <v>300720.71000000002</v>
      </c>
      <c r="C1274" s="745">
        <v>300520.71000000002</v>
      </c>
      <c r="D1274" s="746">
        <v>200</v>
      </c>
    </row>
    <row r="1275" spans="1:4" x14ac:dyDescent="0.2">
      <c r="A1275" s="514">
        <v>44151</v>
      </c>
      <c r="B1275" s="491">
        <f t="shared" si="9"/>
        <v>300721</v>
      </c>
      <c r="C1275" s="745">
        <v>300521</v>
      </c>
      <c r="D1275" s="746">
        <v>200</v>
      </c>
    </row>
    <row r="1276" spans="1:4" x14ac:dyDescent="0.2">
      <c r="A1276" s="514">
        <v>44152</v>
      </c>
      <c r="B1276" s="491">
        <f t="shared" si="9"/>
        <v>300721</v>
      </c>
      <c r="C1276" s="745">
        <v>300521</v>
      </c>
      <c r="D1276" s="746">
        <v>200</v>
      </c>
    </row>
    <row r="1277" spans="1:4" x14ac:dyDescent="0.2">
      <c r="A1277" s="514">
        <v>44153</v>
      </c>
      <c r="B1277" s="491">
        <f t="shared" si="9"/>
        <v>298371.37</v>
      </c>
      <c r="C1277" s="745">
        <v>298171.37</v>
      </c>
      <c r="D1277" s="746">
        <v>200</v>
      </c>
    </row>
    <row r="1278" spans="1:4" x14ac:dyDescent="0.2">
      <c r="A1278" s="514">
        <v>44154</v>
      </c>
      <c r="B1278" s="491">
        <f t="shared" si="9"/>
        <v>298371</v>
      </c>
      <c r="C1278" s="745">
        <v>298171</v>
      </c>
      <c r="D1278" s="746">
        <v>200</v>
      </c>
    </row>
    <row r="1279" spans="1:4" x14ac:dyDescent="0.2">
      <c r="A1279" s="514">
        <v>44155</v>
      </c>
      <c r="B1279" s="491">
        <f t="shared" si="9"/>
        <v>297912.75</v>
      </c>
      <c r="C1279" s="745">
        <v>297712.75</v>
      </c>
      <c r="D1279" s="746">
        <v>200</v>
      </c>
    </row>
    <row r="1280" spans="1:4" x14ac:dyDescent="0.2">
      <c r="A1280" s="514">
        <v>44158</v>
      </c>
      <c r="B1280" s="491">
        <f t="shared" si="9"/>
        <v>260100.75</v>
      </c>
      <c r="C1280" s="745">
        <v>259900.75</v>
      </c>
      <c r="D1280" s="746">
        <v>200</v>
      </c>
    </row>
    <row r="1281" spans="1:4" x14ac:dyDescent="0.2">
      <c r="A1281" s="514">
        <v>44159</v>
      </c>
      <c r="B1281" s="491">
        <f t="shared" si="9"/>
        <v>260101</v>
      </c>
      <c r="C1281" s="745">
        <v>259901</v>
      </c>
      <c r="D1281" s="746">
        <v>200</v>
      </c>
    </row>
    <row r="1282" spans="1:4" x14ac:dyDescent="0.2">
      <c r="A1282" s="514">
        <v>44160</v>
      </c>
      <c r="B1282" s="491">
        <f t="shared" si="9"/>
        <v>259952.43</v>
      </c>
      <c r="C1282" s="745">
        <v>259752.43</v>
      </c>
      <c r="D1282" s="746">
        <v>200</v>
      </c>
    </row>
    <row r="1283" spans="1:4" x14ac:dyDescent="0.2">
      <c r="A1283" s="514">
        <v>44161</v>
      </c>
      <c r="B1283" s="491">
        <f t="shared" si="9"/>
        <v>259952</v>
      </c>
      <c r="C1283" s="745">
        <v>259752</v>
      </c>
      <c r="D1283" s="746">
        <v>200</v>
      </c>
    </row>
    <row r="1284" spans="1:4" x14ac:dyDescent="0.2">
      <c r="A1284" s="514">
        <v>44162</v>
      </c>
      <c r="B1284" s="491">
        <f t="shared" si="9"/>
        <v>261011.41</v>
      </c>
      <c r="C1284" s="745">
        <v>260811.41</v>
      </c>
      <c r="D1284" s="746">
        <v>200</v>
      </c>
    </row>
    <row r="1285" spans="1:4" x14ac:dyDescent="0.2">
      <c r="A1285" s="514">
        <v>44165</v>
      </c>
      <c r="B1285" s="491">
        <f t="shared" si="9"/>
        <v>256570.76</v>
      </c>
      <c r="C1285" s="745">
        <v>256370.76</v>
      </c>
      <c r="D1285" s="746">
        <v>200</v>
      </c>
    </row>
    <row r="1286" spans="1:4" x14ac:dyDescent="0.2">
      <c r="A1286" s="514">
        <v>44166</v>
      </c>
      <c r="B1286" s="491">
        <f t="shared" si="9"/>
        <v>256571</v>
      </c>
      <c r="C1286" s="745">
        <v>256371</v>
      </c>
      <c r="D1286" s="746">
        <v>200</v>
      </c>
    </row>
    <row r="1287" spans="1:4" x14ac:dyDescent="0.2">
      <c r="A1287" s="514">
        <v>44167</v>
      </c>
      <c r="B1287" s="491">
        <f t="shared" si="9"/>
        <v>343824.57</v>
      </c>
      <c r="C1287" s="745">
        <v>343624.57</v>
      </c>
      <c r="D1287" s="746">
        <v>200</v>
      </c>
    </row>
    <row r="1288" spans="1:4" x14ac:dyDescent="0.2">
      <c r="A1288" s="514">
        <v>44168</v>
      </c>
      <c r="B1288" s="491">
        <f t="shared" si="9"/>
        <v>348428.77</v>
      </c>
      <c r="C1288" s="745">
        <v>348228.77</v>
      </c>
      <c r="D1288" s="746">
        <v>200</v>
      </c>
    </row>
    <row r="1289" spans="1:4" x14ac:dyDescent="0.2">
      <c r="A1289" s="514">
        <v>44169</v>
      </c>
      <c r="B1289" s="491">
        <f t="shared" si="9"/>
        <v>348429</v>
      </c>
      <c r="C1289" s="745">
        <v>348229</v>
      </c>
      <c r="D1289" s="746">
        <v>200</v>
      </c>
    </row>
    <row r="1290" spans="1:4" x14ac:dyDescent="0.2">
      <c r="A1290" s="514">
        <v>44172</v>
      </c>
      <c r="B1290" s="491">
        <f t="shared" si="9"/>
        <v>313593.81</v>
      </c>
      <c r="C1290" s="745">
        <v>313393.81</v>
      </c>
      <c r="D1290" s="746">
        <v>200</v>
      </c>
    </row>
    <row r="1291" spans="1:4" x14ac:dyDescent="0.2">
      <c r="A1291" s="514">
        <v>44173</v>
      </c>
      <c r="B1291" s="491">
        <f t="shared" si="9"/>
        <v>320775.28999999998</v>
      </c>
      <c r="C1291" s="745">
        <v>320575.28999999998</v>
      </c>
      <c r="D1291" s="746">
        <v>200</v>
      </c>
    </row>
    <row r="1292" spans="1:4" x14ac:dyDescent="0.2">
      <c r="A1292" s="514">
        <v>44174</v>
      </c>
      <c r="B1292" s="491">
        <f t="shared" si="9"/>
        <v>321115.28999999998</v>
      </c>
      <c r="C1292" s="745">
        <v>320915.28999999998</v>
      </c>
      <c r="D1292" s="746">
        <v>200</v>
      </c>
    </row>
    <row r="1293" spans="1:4" x14ac:dyDescent="0.2">
      <c r="A1293" s="514">
        <v>44175</v>
      </c>
      <c r="B1293" s="491">
        <f t="shared" si="9"/>
        <v>314719.49</v>
      </c>
      <c r="C1293" s="745">
        <v>314519.49</v>
      </c>
      <c r="D1293" s="746">
        <v>200</v>
      </c>
    </row>
    <row r="1294" spans="1:4" x14ac:dyDescent="0.2">
      <c r="A1294" s="514">
        <v>44176</v>
      </c>
      <c r="B1294" s="491">
        <f t="shared" si="9"/>
        <v>317009.81</v>
      </c>
      <c r="C1294" s="745">
        <v>316809.81</v>
      </c>
      <c r="D1294" s="746">
        <v>200</v>
      </c>
    </row>
    <row r="1295" spans="1:4" x14ac:dyDescent="0.2">
      <c r="A1295" s="514">
        <v>44179</v>
      </c>
      <c r="B1295" s="491">
        <f t="shared" si="9"/>
        <v>316409.81</v>
      </c>
      <c r="C1295" s="745">
        <v>316209.81</v>
      </c>
      <c r="D1295" s="746">
        <v>200</v>
      </c>
    </row>
    <row r="1296" spans="1:4" x14ac:dyDescent="0.2">
      <c r="A1296" s="514">
        <v>44180</v>
      </c>
      <c r="B1296" s="491">
        <f t="shared" si="9"/>
        <v>316462.65000000002</v>
      </c>
      <c r="C1296" s="745">
        <v>316262.65000000002</v>
      </c>
      <c r="D1296" s="746">
        <v>200</v>
      </c>
    </row>
    <row r="1297" spans="1:4" x14ac:dyDescent="0.2">
      <c r="A1297" s="514">
        <v>44181</v>
      </c>
      <c r="B1297" s="491">
        <f t="shared" si="9"/>
        <v>337790.61</v>
      </c>
      <c r="C1297" s="745">
        <v>337590.61</v>
      </c>
      <c r="D1297" s="746">
        <v>200</v>
      </c>
    </row>
    <row r="1298" spans="1:4" x14ac:dyDescent="0.2">
      <c r="A1298" s="514">
        <v>44182</v>
      </c>
      <c r="B1298" s="491">
        <f t="shared" si="9"/>
        <v>337791</v>
      </c>
      <c r="C1298" s="745">
        <v>337591</v>
      </c>
      <c r="D1298" s="746">
        <v>200</v>
      </c>
    </row>
    <row r="1299" spans="1:4" x14ac:dyDescent="0.2">
      <c r="A1299" s="514">
        <v>44183</v>
      </c>
      <c r="B1299" s="491">
        <f t="shared" si="9"/>
        <v>337791</v>
      </c>
      <c r="C1299" s="745">
        <v>337591</v>
      </c>
      <c r="D1299" s="746">
        <v>200</v>
      </c>
    </row>
    <row r="1300" spans="1:4" x14ac:dyDescent="0.2">
      <c r="A1300" s="514">
        <v>44186</v>
      </c>
      <c r="B1300" s="491">
        <f t="shared" si="9"/>
        <v>304627.44</v>
      </c>
      <c r="C1300" s="745">
        <v>304427.44</v>
      </c>
      <c r="D1300" s="746">
        <v>200</v>
      </c>
    </row>
    <row r="1301" spans="1:4" x14ac:dyDescent="0.2">
      <c r="A1301" s="514">
        <v>44187</v>
      </c>
      <c r="B1301" s="491">
        <f t="shared" si="9"/>
        <v>304802.88</v>
      </c>
      <c r="C1301" s="745">
        <v>304602.88</v>
      </c>
      <c r="D1301" s="746">
        <v>200</v>
      </c>
    </row>
    <row r="1302" spans="1:4" x14ac:dyDescent="0.2">
      <c r="A1302" s="514">
        <v>44188</v>
      </c>
      <c r="B1302" s="491">
        <f t="shared" si="9"/>
        <v>304803</v>
      </c>
      <c r="C1302" s="745">
        <v>304603</v>
      </c>
      <c r="D1302" s="746">
        <v>200</v>
      </c>
    </row>
    <row r="1303" spans="1:4" x14ac:dyDescent="0.2">
      <c r="A1303" s="514">
        <v>44189</v>
      </c>
      <c r="B1303" s="491">
        <f t="shared" si="9"/>
        <v>338461.96</v>
      </c>
      <c r="C1303" s="745">
        <v>338261.96</v>
      </c>
      <c r="D1303" s="746">
        <v>200</v>
      </c>
    </row>
    <row r="1304" spans="1:4" x14ac:dyDescent="0.2">
      <c r="A1304" s="514">
        <v>44190</v>
      </c>
      <c r="B1304" s="491">
        <f t="shared" si="9"/>
        <v>338462</v>
      </c>
      <c r="C1304" s="745">
        <v>338262</v>
      </c>
      <c r="D1304" s="746">
        <v>200</v>
      </c>
    </row>
    <row r="1305" spans="1:4" x14ac:dyDescent="0.2">
      <c r="A1305" s="514">
        <v>44193</v>
      </c>
      <c r="B1305" s="491">
        <f t="shared" si="9"/>
        <v>373533.96</v>
      </c>
      <c r="C1305" s="745">
        <v>373333.96</v>
      </c>
      <c r="D1305" s="746">
        <v>200</v>
      </c>
    </row>
    <row r="1306" spans="1:4" x14ac:dyDescent="0.2">
      <c r="A1306" s="514">
        <v>44194</v>
      </c>
      <c r="B1306" s="491">
        <f t="shared" si="9"/>
        <v>373168.21</v>
      </c>
      <c r="C1306" s="745">
        <v>372968.21</v>
      </c>
      <c r="D1306" s="746">
        <v>200</v>
      </c>
    </row>
    <row r="1307" spans="1:4" x14ac:dyDescent="0.2">
      <c r="A1307" s="514">
        <v>44195</v>
      </c>
      <c r="B1307" s="491">
        <f t="shared" si="9"/>
        <v>375552.7</v>
      </c>
      <c r="C1307" s="745">
        <v>375352.7</v>
      </c>
      <c r="D1307" s="746">
        <v>200</v>
      </c>
    </row>
    <row r="1308" spans="1:4" x14ac:dyDescent="0.2">
      <c r="A1308" s="514">
        <v>44196</v>
      </c>
      <c r="B1308" s="491">
        <f t="shared" si="9"/>
        <v>397543.49</v>
      </c>
      <c r="C1308" s="745">
        <v>397343.49</v>
      </c>
      <c r="D1308" s="746">
        <v>200</v>
      </c>
    </row>
    <row r="1309" spans="1:4" x14ac:dyDescent="0.2">
      <c r="A1309" s="514">
        <v>44197</v>
      </c>
      <c r="B1309" s="491">
        <f t="shared" si="9"/>
        <v>397543</v>
      </c>
      <c r="C1309" s="745">
        <v>397343</v>
      </c>
      <c r="D1309" s="746">
        <v>200</v>
      </c>
    </row>
    <row r="1310" spans="1:4" x14ac:dyDescent="0.2">
      <c r="A1310" s="514">
        <v>44200</v>
      </c>
      <c r="B1310" s="491">
        <f t="shared" si="9"/>
        <v>380539.51</v>
      </c>
      <c r="C1310" s="745">
        <v>380339.51</v>
      </c>
      <c r="D1310" s="746">
        <v>200</v>
      </c>
    </row>
    <row r="1311" spans="1:4" x14ac:dyDescent="0.2">
      <c r="A1311" s="514">
        <v>44201</v>
      </c>
      <c r="B1311" s="491">
        <f t="shared" si="9"/>
        <v>349091.91</v>
      </c>
      <c r="C1311" s="745">
        <v>348891.91</v>
      </c>
      <c r="D1311" s="746">
        <v>200</v>
      </c>
    </row>
    <row r="1312" spans="1:4" x14ac:dyDescent="0.2">
      <c r="A1312" s="514">
        <v>44202</v>
      </c>
      <c r="B1312" s="491">
        <f t="shared" si="9"/>
        <v>349092</v>
      </c>
      <c r="C1312" s="745">
        <v>348892</v>
      </c>
      <c r="D1312" s="746">
        <v>200</v>
      </c>
    </row>
    <row r="1313" spans="1:4" x14ac:dyDescent="0.2">
      <c r="A1313" s="514">
        <v>44203</v>
      </c>
      <c r="B1313" s="491">
        <f t="shared" si="9"/>
        <v>409281.75</v>
      </c>
      <c r="C1313" s="745">
        <v>409081.75</v>
      </c>
      <c r="D1313" s="746">
        <v>200</v>
      </c>
    </row>
    <row r="1314" spans="1:4" x14ac:dyDescent="0.2">
      <c r="A1314" s="514">
        <v>44204</v>
      </c>
      <c r="B1314" s="491">
        <f t="shared" si="9"/>
        <v>408971.69</v>
      </c>
      <c r="C1314" s="745">
        <v>408771.69</v>
      </c>
      <c r="D1314" s="746">
        <v>200</v>
      </c>
    </row>
    <row r="1315" spans="1:4" x14ac:dyDescent="0.2">
      <c r="A1315" s="514">
        <v>44207</v>
      </c>
      <c r="B1315" s="491">
        <f t="shared" si="9"/>
        <v>408739.83</v>
      </c>
      <c r="C1315" s="745">
        <v>408539.83</v>
      </c>
      <c r="D1315" s="746">
        <v>200</v>
      </c>
    </row>
    <row r="1316" spans="1:4" x14ac:dyDescent="0.2">
      <c r="A1316" s="514">
        <v>44208</v>
      </c>
      <c r="B1316" s="491">
        <f t="shared" si="9"/>
        <v>401650.97</v>
      </c>
      <c r="C1316" s="745">
        <v>401450.97</v>
      </c>
      <c r="D1316" s="746">
        <v>200</v>
      </c>
    </row>
    <row r="1317" spans="1:4" x14ac:dyDescent="0.2">
      <c r="A1317" s="514">
        <v>44209</v>
      </c>
      <c r="B1317" s="491">
        <f t="shared" si="9"/>
        <v>413709.67</v>
      </c>
      <c r="C1317" s="745">
        <v>413509.67</v>
      </c>
      <c r="D1317" s="746">
        <v>200</v>
      </c>
    </row>
    <row r="1318" spans="1:4" x14ac:dyDescent="0.2">
      <c r="A1318" s="514">
        <v>44210</v>
      </c>
      <c r="B1318" s="491">
        <f t="shared" si="9"/>
        <v>412321.56</v>
      </c>
      <c r="C1318" s="745">
        <v>412121.56</v>
      </c>
      <c r="D1318" s="746">
        <v>200</v>
      </c>
    </row>
    <row r="1319" spans="1:4" x14ac:dyDescent="0.2">
      <c r="A1319" s="514">
        <v>44211</v>
      </c>
      <c r="B1319" s="491">
        <f t="shared" si="9"/>
        <v>412384.91</v>
      </c>
      <c r="C1319" s="745">
        <v>412184.91</v>
      </c>
      <c r="D1319" s="746">
        <v>200</v>
      </c>
    </row>
    <row r="1320" spans="1:4" x14ac:dyDescent="0.2">
      <c r="A1320" s="514">
        <v>44214</v>
      </c>
      <c r="B1320" s="491">
        <f t="shared" si="9"/>
        <v>412385</v>
      </c>
      <c r="C1320" s="745">
        <v>412185</v>
      </c>
      <c r="D1320" s="746">
        <v>200</v>
      </c>
    </row>
    <row r="1321" spans="1:4" x14ac:dyDescent="0.2">
      <c r="A1321" s="514">
        <v>44215</v>
      </c>
      <c r="B1321" s="491">
        <f t="shared" si="9"/>
        <v>417699.08</v>
      </c>
      <c r="C1321" s="745">
        <v>417499.08</v>
      </c>
      <c r="D1321" s="746">
        <v>200</v>
      </c>
    </row>
    <row r="1322" spans="1:4" x14ac:dyDescent="0.2">
      <c r="A1322" s="514">
        <v>44216</v>
      </c>
      <c r="B1322" s="549">
        <f t="shared" si="9"/>
        <v>417952.08</v>
      </c>
      <c r="C1322" s="745">
        <v>417752.08</v>
      </c>
      <c r="D1322" s="746">
        <v>200</v>
      </c>
    </row>
    <row r="1323" spans="1:4" x14ac:dyDescent="0.2">
      <c r="A1323" s="514">
        <v>44217</v>
      </c>
      <c r="B1323" s="491">
        <f t="shared" si="9"/>
        <v>402996.41</v>
      </c>
      <c r="C1323" s="745">
        <v>402796.41</v>
      </c>
      <c r="D1323" s="746">
        <v>200</v>
      </c>
    </row>
    <row r="1324" spans="1:4" x14ac:dyDescent="0.2">
      <c r="A1324" s="514">
        <v>44218</v>
      </c>
      <c r="B1324" s="491">
        <f t="shared" si="9"/>
        <v>402527.5</v>
      </c>
      <c r="C1324" s="745">
        <v>402327.5</v>
      </c>
      <c r="D1324" s="746">
        <v>200</v>
      </c>
    </row>
    <row r="1325" spans="1:4" x14ac:dyDescent="0.2">
      <c r="A1325" s="514">
        <v>44221</v>
      </c>
      <c r="B1325" s="491">
        <f t="shared" si="9"/>
        <v>402528</v>
      </c>
      <c r="C1325" s="745">
        <v>402328</v>
      </c>
      <c r="D1325" s="746">
        <v>200</v>
      </c>
    </row>
    <row r="1326" spans="1:4" x14ac:dyDescent="0.2">
      <c r="A1326" s="514">
        <v>44222</v>
      </c>
      <c r="B1326" s="491">
        <f t="shared" si="9"/>
        <v>399742.18</v>
      </c>
      <c r="C1326" s="745">
        <v>399542.18</v>
      </c>
      <c r="D1326" s="746">
        <v>200</v>
      </c>
    </row>
    <row r="1327" spans="1:4" x14ac:dyDescent="0.2">
      <c r="A1327" s="514">
        <v>44223</v>
      </c>
      <c r="B1327" s="491">
        <f t="shared" ref="B1327:B1390" si="10">C1327+D1327</f>
        <v>399886.18</v>
      </c>
      <c r="C1327" s="745">
        <v>399686.18</v>
      </c>
      <c r="D1327" s="746">
        <v>200</v>
      </c>
    </row>
    <row r="1328" spans="1:4" x14ac:dyDescent="0.2">
      <c r="A1328" s="514">
        <v>44224</v>
      </c>
      <c r="B1328" s="491">
        <f t="shared" si="10"/>
        <v>393628.47</v>
      </c>
      <c r="C1328" s="745">
        <v>393428.47</v>
      </c>
      <c r="D1328" s="746">
        <v>200</v>
      </c>
    </row>
    <row r="1329" spans="1:4" x14ac:dyDescent="0.2">
      <c r="A1329" s="514">
        <v>44225</v>
      </c>
      <c r="B1329" s="491">
        <f t="shared" si="10"/>
        <v>393628</v>
      </c>
      <c r="C1329" s="745">
        <v>393428</v>
      </c>
      <c r="D1329" s="746">
        <v>200</v>
      </c>
    </row>
    <row r="1330" spans="1:4" x14ac:dyDescent="0.2">
      <c r="A1330" s="514">
        <v>44228</v>
      </c>
      <c r="B1330" s="491">
        <f t="shared" si="10"/>
        <v>393628</v>
      </c>
      <c r="C1330" s="745">
        <v>393428</v>
      </c>
      <c r="D1330" s="746">
        <v>200</v>
      </c>
    </row>
    <row r="1331" spans="1:4" x14ac:dyDescent="0.2">
      <c r="A1331" s="514">
        <v>44229</v>
      </c>
      <c r="B1331" s="491">
        <f t="shared" si="10"/>
        <v>359326.4</v>
      </c>
      <c r="C1331" s="745">
        <v>359126.4</v>
      </c>
      <c r="D1331" s="746">
        <v>200</v>
      </c>
    </row>
    <row r="1332" spans="1:4" x14ac:dyDescent="0.2">
      <c r="A1332" s="514">
        <v>44230</v>
      </c>
      <c r="B1332" s="491">
        <f t="shared" si="10"/>
        <v>359521.7</v>
      </c>
      <c r="C1332" s="745">
        <v>359321.7</v>
      </c>
      <c r="D1332" s="746">
        <v>200</v>
      </c>
    </row>
    <row r="1333" spans="1:4" x14ac:dyDescent="0.2">
      <c r="A1333" s="514">
        <v>44231</v>
      </c>
      <c r="B1333" s="491">
        <f t="shared" si="10"/>
        <v>359522</v>
      </c>
      <c r="C1333" s="745">
        <v>359322</v>
      </c>
      <c r="D1333" s="746">
        <v>200</v>
      </c>
    </row>
    <row r="1334" spans="1:4" x14ac:dyDescent="0.2">
      <c r="A1334" s="514">
        <v>44232</v>
      </c>
      <c r="B1334" s="491">
        <f t="shared" si="10"/>
        <v>347055.28</v>
      </c>
      <c r="C1334" s="745">
        <v>346855.28</v>
      </c>
      <c r="D1334" s="746">
        <v>200</v>
      </c>
    </row>
    <row r="1335" spans="1:4" x14ac:dyDescent="0.2">
      <c r="A1335" s="514">
        <v>44235</v>
      </c>
      <c r="B1335" s="491">
        <f t="shared" si="10"/>
        <v>369629.13</v>
      </c>
      <c r="C1335" s="745">
        <v>369429.13</v>
      </c>
      <c r="D1335" s="746">
        <v>200</v>
      </c>
    </row>
    <row r="1336" spans="1:4" x14ac:dyDescent="0.2">
      <c r="A1336" s="514">
        <v>44236</v>
      </c>
      <c r="B1336" s="491">
        <f t="shared" si="10"/>
        <v>382278.77</v>
      </c>
      <c r="C1336" s="745">
        <v>382078.77</v>
      </c>
      <c r="D1336" s="746">
        <v>200</v>
      </c>
    </row>
    <row r="1337" spans="1:4" x14ac:dyDescent="0.2">
      <c r="A1337" s="514">
        <v>44237</v>
      </c>
      <c r="B1337" s="491">
        <f t="shared" si="10"/>
        <v>382279</v>
      </c>
      <c r="C1337" s="745">
        <v>382079</v>
      </c>
      <c r="D1337" s="746">
        <v>200</v>
      </c>
    </row>
    <row r="1338" spans="1:4" x14ac:dyDescent="0.2">
      <c r="A1338" s="514">
        <v>44238</v>
      </c>
      <c r="B1338" s="491">
        <f t="shared" si="10"/>
        <v>378310.6</v>
      </c>
      <c r="C1338" s="745">
        <v>378110.6</v>
      </c>
      <c r="D1338" s="746">
        <v>200</v>
      </c>
    </row>
    <row r="1339" spans="1:4" x14ac:dyDescent="0.2">
      <c r="A1339" s="514">
        <v>44239</v>
      </c>
      <c r="B1339" s="491">
        <f t="shared" si="10"/>
        <v>378369.91</v>
      </c>
      <c r="C1339" s="745">
        <v>378169.91</v>
      </c>
      <c r="D1339" s="746">
        <v>200</v>
      </c>
    </row>
    <row r="1340" spans="1:4" x14ac:dyDescent="0.2">
      <c r="A1340" s="514">
        <v>44242</v>
      </c>
      <c r="B1340" s="491">
        <f t="shared" si="10"/>
        <v>378370</v>
      </c>
      <c r="C1340" s="745">
        <v>378170</v>
      </c>
      <c r="D1340" s="746">
        <v>200</v>
      </c>
    </row>
    <row r="1341" spans="1:4" x14ac:dyDescent="0.2">
      <c r="A1341" s="514">
        <v>44243</v>
      </c>
      <c r="B1341" s="549">
        <f t="shared" si="10"/>
        <v>345442.81</v>
      </c>
      <c r="C1341" s="745">
        <v>345242.81</v>
      </c>
      <c r="D1341" s="746">
        <v>200</v>
      </c>
    </row>
    <row r="1342" spans="1:4" x14ac:dyDescent="0.2">
      <c r="A1342" s="514">
        <v>44244</v>
      </c>
      <c r="B1342" s="491">
        <f t="shared" si="10"/>
        <v>345443</v>
      </c>
      <c r="C1342" s="745">
        <v>345243</v>
      </c>
      <c r="D1342" s="746">
        <v>200</v>
      </c>
    </row>
    <row r="1343" spans="1:4" x14ac:dyDescent="0.2">
      <c r="A1343" s="514">
        <v>44245</v>
      </c>
      <c r="B1343" s="491">
        <f t="shared" si="10"/>
        <v>345443</v>
      </c>
      <c r="C1343" s="745">
        <v>345243</v>
      </c>
      <c r="D1343" s="746">
        <v>200</v>
      </c>
    </row>
    <row r="1344" spans="1:4" x14ac:dyDescent="0.2">
      <c r="A1344" s="514">
        <v>44246</v>
      </c>
      <c r="B1344" s="491">
        <f t="shared" si="10"/>
        <v>364859.97</v>
      </c>
      <c r="C1344" s="745">
        <v>364659.97</v>
      </c>
      <c r="D1344" s="746">
        <v>200</v>
      </c>
    </row>
    <row r="1345" spans="1:4" x14ac:dyDescent="0.2">
      <c r="A1345" s="514">
        <v>44249</v>
      </c>
      <c r="B1345" s="491">
        <f t="shared" si="10"/>
        <v>368452.97</v>
      </c>
      <c r="C1345" s="745">
        <v>368252.97</v>
      </c>
      <c r="D1345" s="746">
        <v>200</v>
      </c>
    </row>
    <row r="1346" spans="1:4" x14ac:dyDescent="0.2">
      <c r="A1346" s="514">
        <v>44250</v>
      </c>
      <c r="B1346" s="491">
        <f t="shared" si="10"/>
        <v>368407.65</v>
      </c>
      <c r="C1346" s="745">
        <v>368207.65</v>
      </c>
      <c r="D1346" s="746">
        <v>200</v>
      </c>
    </row>
    <row r="1347" spans="1:4" x14ac:dyDescent="0.2">
      <c r="A1347" s="514">
        <v>44251</v>
      </c>
      <c r="B1347" s="491">
        <f t="shared" si="10"/>
        <v>373249.01</v>
      </c>
      <c r="C1347" s="745">
        <v>373049.01</v>
      </c>
      <c r="D1347" s="746">
        <v>200</v>
      </c>
    </row>
    <row r="1348" spans="1:4" x14ac:dyDescent="0.2">
      <c r="A1348" s="514">
        <v>44252</v>
      </c>
      <c r="B1348" s="491">
        <f t="shared" si="10"/>
        <v>373249.01</v>
      </c>
      <c r="C1348" s="745">
        <v>373049.01</v>
      </c>
      <c r="D1348" s="746">
        <v>200</v>
      </c>
    </row>
    <row r="1349" spans="1:4" x14ac:dyDescent="0.2">
      <c r="A1349" s="514">
        <v>44253</v>
      </c>
      <c r="B1349" s="491">
        <f t="shared" si="10"/>
        <v>404359.4</v>
      </c>
      <c r="C1349" s="745">
        <v>404159.4</v>
      </c>
      <c r="D1349" s="746">
        <v>200</v>
      </c>
    </row>
    <row r="1350" spans="1:4" x14ac:dyDescent="0.2">
      <c r="A1350" s="514">
        <v>44256</v>
      </c>
      <c r="B1350" s="491">
        <f t="shared" si="10"/>
        <v>398860.85</v>
      </c>
      <c r="C1350" s="745">
        <v>398660.85</v>
      </c>
      <c r="D1350" s="746">
        <v>200</v>
      </c>
    </row>
    <row r="1351" spans="1:4" x14ac:dyDescent="0.2">
      <c r="A1351" s="514">
        <v>44257</v>
      </c>
      <c r="B1351" s="491">
        <f t="shared" si="10"/>
        <v>365079.52</v>
      </c>
      <c r="C1351" s="745">
        <v>364879.52</v>
      </c>
      <c r="D1351" s="746">
        <v>200</v>
      </c>
    </row>
    <row r="1352" spans="1:4" x14ac:dyDescent="0.2">
      <c r="A1352" s="514">
        <v>44258</v>
      </c>
      <c r="B1352" s="491">
        <f t="shared" si="10"/>
        <v>406124.9</v>
      </c>
      <c r="C1352" s="745">
        <v>405924.9</v>
      </c>
      <c r="D1352" s="746">
        <v>200</v>
      </c>
    </row>
    <row r="1353" spans="1:4" x14ac:dyDescent="0.2">
      <c r="A1353" s="514">
        <v>44259</v>
      </c>
      <c r="B1353" s="491">
        <f t="shared" si="10"/>
        <v>409953.76</v>
      </c>
      <c r="C1353" s="745">
        <v>409753.76</v>
      </c>
      <c r="D1353" s="746">
        <v>200</v>
      </c>
    </row>
    <row r="1354" spans="1:4" x14ac:dyDescent="0.2">
      <c r="A1354" s="514">
        <v>44260</v>
      </c>
      <c r="B1354" s="491">
        <f t="shared" si="10"/>
        <v>400983.29</v>
      </c>
      <c r="C1354" s="745">
        <v>400783.29</v>
      </c>
      <c r="D1354" s="746">
        <v>200</v>
      </c>
    </row>
    <row r="1355" spans="1:4" x14ac:dyDescent="0.2">
      <c r="A1355" s="514">
        <v>44263</v>
      </c>
      <c r="B1355" s="491">
        <f t="shared" si="10"/>
        <v>400983</v>
      </c>
      <c r="C1355" s="745">
        <v>400783</v>
      </c>
      <c r="D1355" s="746">
        <v>200</v>
      </c>
    </row>
    <row r="1356" spans="1:4" x14ac:dyDescent="0.2">
      <c r="A1356" s="514">
        <v>44264</v>
      </c>
      <c r="B1356" s="491">
        <f t="shared" si="10"/>
        <v>399908.16</v>
      </c>
      <c r="C1356" s="745">
        <v>399708.15999999997</v>
      </c>
      <c r="D1356" s="746">
        <v>200</v>
      </c>
    </row>
    <row r="1357" spans="1:4" x14ac:dyDescent="0.2">
      <c r="A1357" s="514">
        <v>44265</v>
      </c>
      <c r="B1357" s="491">
        <f t="shared" si="10"/>
        <v>399908</v>
      </c>
      <c r="C1357" s="745">
        <v>399708</v>
      </c>
      <c r="D1357" s="746">
        <v>200</v>
      </c>
    </row>
    <row r="1358" spans="1:4" x14ac:dyDescent="0.2">
      <c r="A1358" s="514">
        <v>44266</v>
      </c>
      <c r="B1358" s="491">
        <f t="shared" si="10"/>
        <v>399908</v>
      </c>
      <c r="C1358" s="745">
        <v>399708</v>
      </c>
      <c r="D1358" s="746">
        <v>200</v>
      </c>
    </row>
    <row r="1359" spans="1:4" x14ac:dyDescent="0.2">
      <c r="A1359" s="514">
        <v>44267</v>
      </c>
      <c r="B1359" s="491">
        <f t="shared" si="10"/>
        <v>399766.22</v>
      </c>
      <c r="C1359" s="745">
        <v>399566.22</v>
      </c>
      <c r="D1359" s="746">
        <v>200</v>
      </c>
    </row>
    <row r="1360" spans="1:4" x14ac:dyDescent="0.2">
      <c r="A1360" s="514">
        <v>44270</v>
      </c>
      <c r="B1360" s="491">
        <f t="shared" si="10"/>
        <v>366689.23</v>
      </c>
      <c r="C1360" s="745">
        <v>366489.23</v>
      </c>
      <c r="D1360" s="746">
        <v>200</v>
      </c>
    </row>
    <row r="1361" spans="1:4" x14ac:dyDescent="0.2">
      <c r="A1361" s="514">
        <v>44271</v>
      </c>
      <c r="B1361" s="491">
        <f t="shared" si="10"/>
        <v>392136.38</v>
      </c>
      <c r="C1361" s="745">
        <v>391936.38</v>
      </c>
      <c r="D1361" s="746">
        <v>200</v>
      </c>
    </row>
    <row r="1362" spans="1:4" x14ac:dyDescent="0.2">
      <c r="A1362" s="514">
        <v>44272</v>
      </c>
      <c r="B1362" s="491">
        <f t="shared" si="10"/>
        <v>414771.89</v>
      </c>
      <c r="C1362" s="745">
        <v>414571.89</v>
      </c>
      <c r="D1362" s="746">
        <v>200</v>
      </c>
    </row>
    <row r="1363" spans="1:4" x14ac:dyDescent="0.2">
      <c r="A1363" s="514">
        <v>44273</v>
      </c>
      <c r="B1363" s="491">
        <f t="shared" si="10"/>
        <v>442093.39</v>
      </c>
      <c r="C1363" s="745">
        <v>441893.39</v>
      </c>
      <c r="D1363" s="746">
        <v>200</v>
      </c>
    </row>
    <row r="1364" spans="1:4" x14ac:dyDescent="0.2">
      <c r="A1364" s="514">
        <v>44274</v>
      </c>
      <c r="B1364" s="491">
        <f t="shared" si="10"/>
        <v>439966.74</v>
      </c>
      <c r="C1364" s="745">
        <v>439766.74</v>
      </c>
      <c r="D1364" s="746">
        <v>200</v>
      </c>
    </row>
    <row r="1365" spans="1:4" x14ac:dyDescent="0.2">
      <c r="A1365" s="514">
        <v>44277</v>
      </c>
      <c r="B1365" s="491">
        <f t="shared" si="10"/>
        <v>439966.74</v>
      </c>
      <c r="C1365" s="745">
        <v>439766.74</v>
      </c>
      <c r="D1365" s="746">
        <v>200</v>
      </c>
    </row>
    <row r="1366" spans="1:4" x14ac:dyDescent="0.2">
      <c r="A1366" s="514">
        <v>44278</v>
      </c>
      <c r="B1366" s="491">
        <f t="shared" si="10"/>
        <v>439966.74</v>
      </c>
      <c r="C1366" s="745">
        <v>439766.74</v>
      </c>
      <c r="D1366" s="746">
        <v>200</v>
      </c>
    </row>
    <row r="1367" spans="1:4" x14ac:dyDescent="0.2">
      <c r="A1367" s="514">
        <v>44279</v>
      </c>
      <c r="B1367" s="491">
        <f t="shared" si="10"/>
        <v>440251.74</v>
      </c>
      <c r="C1367" s="745">
        <v>440051.74</v>
      </c>
      <c r="D1367" s="746">
        <v>200</v>
      </c>
    </row>
    <row r="1368" spans="1:4" x14ac:dyDescent="0.2">
      <c r="A1368" s="514">
        <v>44280</v>
      </c>
      <c r="B1368" s="491">
        <f t="shared" si="10"/>
        <v>440252</v>
      </c>
      <c r="C1368" s="745">
        <v>440052</v>
      </c>
      <c r="D1368" s="746">
        <v>200</v>
      </c>
    </row>
    <row r="1369" spans="1:4" x14ac:dyDescent="0.2">
      <c r="A1369" s="514">
        <v>44281</v>
      </c>
      <c r="B1369" s="491">
        <f t="shared" si="10"/>
        <v>424641.64</v>
      </c>
      <c r="C1369" s="745">
        <v>424441.64</v>
      </c>
      <c r="D1369" s="746">
        <v>200</v>
      </c>
    </row>
    <row r="1370" spans="1:4" x14ac:dyDescent="0.2">
      <c r="A1370" s="514">
        <v>44284</v>
      </c>
      <c r="B1370" s="491">
        <f t="shared" si="10"/>
        <v>527059.86</v>
      </c>
      <c r="C1370" s="745">
        <v>526859.86</v>
      </c>
      <c r="D1370" s="746">
        <v>200</v>
      </c>
    </row>
    <row r="1371" spans="1:4" x14ac:dyDescent="0.2">
      <c r="A1371" s="514">
        <v>44285</v>
      </c>
      <c r="B1371" s="491">
        <f t="shared" si="10"/>
        <v>552226.89</v>
      </c>
      <c r="C1371" s="745">
        <v>552026.89</v>
      </c>
      <c r="D1371" s="746">
        <v>200</v>
      </c>
    </row>
    <row r="1372" spans="1:4" x14ac:dyDescent="0.2">
      <c r="A1372" s="514">
        <v>44286</v>
      </c>
      <c r="B1372" s="491">
        <f t="shared" si="10"/>
        <v>552439.89</v>
      </c>
      <c r="C1372" s="745">
        <v>552239.89</v>
      </c>
      <c r="D1372" s="746">
        <v>200</v>
      </c>
    </row>
    <row r="1373" spans="1:4" x14ac:dyDescent="0.2">
      <c r="A1373" s="514">
        <v>44287</v>
      </c>
      <c r="B1373" s="491">
        <f t="shared" si="10"/>
        <v>552439.89</v>
      </c>
      <c r="C1373" s="745">
        <v>552239.89</v>
      </c>
      <c r="D1373" s="746">
        <v>200</v>
      </c>
    </row>
    <row r="1374" spans="1:4" x14ac:dyDescent="0.2">
      <c r="A1374" s="514">
        <v>44288</v>
      </c>
      <c r="B1374" s="491">
        <f t="shared" si="10"/>
        <v>552129.82999999996</v>
      </c>
      <c r="C1374" s="745">
        <v>551929.82999999996</v>
      </c>
      <c r="D1374" s="746">
        <v>200</v>
      </c>
    </row>
    <row r="1375" spans="1:4" x14ac:dyDescent="0.2">
      <c r="A1375" s="514">
        <v>44291</v>
      </c>
      <c r="B1375" s="491">
        <f t="shared" si="10"/>
        <v>552130</v>
      </c>
      <c r="C1375" s="745">
        <v>551930</v>
      </c>
      <c r="D1375" s="746">
        <v>200</v>
      </c>
    </row>
    <row r="1376" spans="1:4" x14ac:dyDescent="0.2">
      <c r="A1376" s="514">
        <v>44292</v>
      </c>
      <c r="B1376" s="491">
        <f t="shared" si="10"/>
        <v>552377.82999999996</v>
      </c>
      <c r="C1376" s="745">
        <v>552177.82999999996</v>
      </c>
      <c r="D1376" s="746">
        <v>200</v>
      </c>
    </row>
    <row r="1377" spans="1:4" x14ac:dyDescent="0.2">
      <c r="A1377" s="514">
        <v>44293</v>
      </c>
      <c r="B1377" s="491">
        <f t="shared" si="10"/>
        <v>552378</v>
      </c>
      <c r="C1377" s="745">
        <v>552178</v>
      </c>
      <c r="D1377" s="746">
        <v>200</v>
      </c>
    </row>
    <row r="1378" spans="1:4" x14ac:dyDescent="0.2">
      <c r="A1378" s="514">
        <v>44294</v>
      </c>
      <c r="B1378" s="549">
        <f t="shared" si="10"/>
        <v>553005.37</v>
      </c>
      <c r="C1378" s="745">
        <v>552805.37</v>
      </c>
      <c r="D1378" s="746">
        <v>200</v>
      </c>
    </row>
    <row r="1379" spans="1:4" x14ac:dyDescent="0.2">
      <c r="A1379" s="514">
        <v>44295</v>
      </c>
      <c r="B1379" s="491">
        <f t="shared" si="10"/>
        <v>553005</v>
      </c>
      <c r="C1379" s="745">
        <v>552805</v>
      </c>
      <c r="D1379" s="746">
        <v>200</v>
      </c>
    </row>
    <row r="1380" spans="1:4" x14ac:dyDescent="0.2">
      <c r="A1380" s="514">
        <v>44298</v>
      </c>
      <c r="B1380" s="491">
        <f t="shared" si="10"/>
        <v>536104.62</v>
      </c>
      <c r="C1380" s="745">
        <v>535904.62</v>
      </c>
      <c r="D1380" s="746">
        <v>200</v>
      </c>
    </row>
    <row r="1381" spans="1:4" x14ac:dyDescent="0.2">
      <c r="A1381" s="514">
        <v>44299</v>
      </c>
      <c r="B1381" s="491">
        <f t="shared" si="10"/>
        <v>503475.62</v>
      </c>
      <c r="C1381" s="745">
        <v>503275.62</v>
      </c>
      <c r="D1381" s="746">
        <v>200</v>
      </c>
    </row>
    <row r="1382" spans="1:4" x14ac:dyDescent="0.2">
      <c r="A1382" s="514">
        <v>44300</v>
      </c>
      <c r="B1382" s="491">
        <f t="shared" si="10"/>
        <v>515272.72</v>
      </c>
      <c r="C1382" s="745">
        <v>515072.72</v>
      </c>
      <c r="D1382" s="746">
        <v>200</v>
      </c>
    </row>
    <row r="1383" spans="1:4" x14ac:dyDescent="0.2">
      <c r="A1383" s="514">
        <v>44301</v>
      </c>
      <c r="B1383" s="491">
        <f t="shared" si="10"/>
        <v>519939.48</v>
      </c>
      <c r="C1383" s="745">
        <v>519739.48</v>
      </c>
      <c r="D1383" s="746">
        <v>200</v>
      </c>
    </row>
    <row r="1384" spans="1:4" x14ac:dyDescent="0.2">
      <c r="A1384" s="514">
        <v>44302</v>
      </c>
      <c r="B1384" s="491">
        <f t="shared" si="10"/>
        <v>518569.61</v>
      </c>
      <c r="C1384" s="745">
        <v>518369.61</v>
      </c>
      <c r="D1384" s="746">
        <v>200</v>
      </c>
    </row>
    <row r="1385" spans="1:4" x14ac:dyDescent="0.2">
      <c r="A1385" s="514">
        <v>44305</v>
      </c>
      <c r="B1385" s="491">
        <f t="shared" si="10"/>
        <v>518755.61</v>
      </c>
      <c r="C1385" s="745">
        <v>518555.61</v>
      </c>
      <c r="D1385" s="746">
        <v>200</v>
      </c>
    </row>
    <row r="1386" spans="1:4" x14ac:dyDescent="0.2">
      <c r="A1386" s="514">
        <v>44306</v>
      </c>
      <c r="B1386" s="491">
        <f t="shared" si="10"/>
        <v>518755.61</v>
      </c>
      <c r="C1386" s="745">
        <v>518555.61</v>
      </c>
      <c r="D1386" s="746">
        <v>200</v>
      </c>
    </row>
    <row r="1387" spans="1:4" x14ac:dyDescent="0.2">
      <c r="A1387" s="514">
        <v>44307</v>
      </c>
      <c r="B1387" s="491">
        <f t="shared" si="10"/>
        <v>518755.61</v>
      </c>
      <c r="C1387" s="745">
        <v>518555.61</v>
      </c>
      <c r="D1387" s="746">
        <v>200</v>
      </c>
    </row>
    <row r="1388" spans="1:4" x14ac:dyDescent="0.2">
      <c r="A1388" s="514">
        <v>44308</v>
      </c>
      <c r="B1388" s="491">
        <f t="shared" si="10"/>
        <v>507528.36</v>
      </c>
      <c r="C1388" s="745">
        <v>507328.36</v>
      </c>
      <c r="D1388" s="746">
        <v>200</v>
      </c>
    </row>
    <row r="1389" spans="1:4" x14ac:dyDescent="0.2">
      <c r="A1389" s="514">
        <v>44309</v>
      </c>
      <c r="B1389" s="491">
        <f t="shared" si="10"/>
        <v>506769.51</v>
      </c>
      <c r="C1389" s="745">
        <v>506569.51</v>
      </c>
      <c r="D1389" s="746">
        <v>200</v>
      </c>
    </row>
    <row r="1390" spans="1:4" x14ac:dyDescent="0.2">
      <c r="A1390" s="514">
        <v>44312</v>
      </c>
      <c r="B1390" s="491">
        <f t="shared" si="10"/>
        <v>506770</v>
      </c>
      <c r="C1390" s="745">
        <v>506570</v>
      </c>
      <c r="D1390" s="746">
        <v>200</v>
      </c>
    </row>
    <row r="1391" spans="1:4" x14ac:dyDescent="0.2">
      <c r="A1391" s="514">
        <v>44313</v>
      </c>
      <c r="B1391" s="491">
        <f t="shared" ref="B1391:B1454" si="11">C1391+D1391</f>
        <v>473061.43</v>
      </c>
      <c r="C1391" s="745">
        <v>472861.43</v>
      </c>
      <c r="D1391" s="746">
        <v>200</v>
      </c>
    </row>
    <row r="1392" spans="1:4" x14ac:dyDescent="0.2">
      <c r="A1392" s="514">
        <v>44314</v>
      </c>
      <c r="B1392" s="491">
        <f t="shared" si="11"/>
        <v>479261.62</v>
      </c>
      <c r="C1392" s="745">
        <v>479061.62</v>
      </c>
      <c r="D1392" s="746">
        <v>200</v>
      </c>
    </row>
    <row r="1393" spans="1:4" x14ac:dyDescent="0.2">
      <c r="A1393" s="514">
        <v>44315</v>
      </c>
      <c r="B1393" s="491">
        <f t="shared" si="11"/>
        <v>478222.46</v>
      </c>
      <c r="C1393" s="745">
        <v>478022.46</v>
      </c>
      <c r="D1393" s="746">
        <v>200</v>
      </c>
    </row>
    <row r="1394" spans="1:4" x14ac:dyDescent="0.2">
      <c r="A1394" s="514">
        <v>44316</v>
      </c>
      <c r="B1394" s="491">
        <f t="shared" si="11"/>
        <v>477922.01</v>
      </c>
      <c r="C1394" s="745">
        <v>477722.01</v>
      </c>
      <c r="D1394" s="746">
        <v>200</v>
      </c>
    </row>
    <row r="1395" spans="1:4" x14ac:dyDescent="0.2">
      <c r="A1395" s="514">
        <v>44319</v>
      </c>
      <c r="B1395" s="491">
        <f t="shared" si="11"/>
        <v>477922.01</v>
      </c>
      <c r="C1395" s="745">
        <v>477722.01</v>
      </c>
      <c r="D1395" s="746">
        <v>200</v>
      </c>
    </row>
    <row r="1396" spans="1:4" x14ac:dyDescent="0.2">
      <c r="A1396" s="514">
        <v>44320</v>
      </c>
      <c r="B1396" s="491">
        <f t="shared" si="11"/>
        <v>477922.01</v>
      </c>
      <c r="C1396" s="745">
        <v>477722.01</v>
      </c>
      <c r="D1396" s="746">
        <v>200</v>
      </c>
    </row>
    <row r="1397" spans="1:4" x14ac:dyDescent="0.2">
      <c r="A1397" s="514">
        <v>44321</v>
      </c>
      <c r="B1397" s="491">
        <f t="shared" si="11"/>
        <v>477922.01</v>
      </c>
      <c r="C1397" s="745">
        <v>477722.01</v>
      </c>
      <c r="D1397" s="746">
        <v>200</v>
      </c>
    </row>
    <row r="1398" spans="1:4" x14ac:dyDescent="0.2">
      <c r="A1398" s="514">
        <v>44322</v>
      </c>
      <c r="B1398" s="491">
        <f t="shared" si="11"/>
        <v>477922.01</v>
      </c>
      <c r="C1398" s="745">
        <v>477722.01</v>
      </c>
      <c r="D1398" s="746">
        <v>200</v>
      </c>
    </row>
    <row r="1399" spans="1:4" x14ac:dyDescent="0.2">
      <c r="A1399" s="514">
        <v>44323</v>
      </c>
      <c r="B1399" s="491">
        <f t="shared" si="11"/>
        <v>463576.89</v>
      </c>
      <c r="C1399" s="745">
        <v>463376.89</v>
      </c>
      <c r="D1399" s="746">
        <v>200</v>
      </c>
    </row>
    <row r="1400" spans="1:4" x14ac:dyDescent="0.2">
      <c r="A1400" s="514">
        <v>44326</v>
      </c>
      <c r="B1400" s="491">
        <f t="shared" si="11"/>
        <v>473954.09</v>
      </c>
      <c r="C1400" s="745">
        <v>473754.09</v>
      </c>
      <c r="D1400" s="746">
        <v>200</v>
      </c>
    </row>
    <row r="1401" spans="1:4" x14ac:dyDescent="0.2">
      <c r="A1401" s="514">
        <v>44327</v>
      </c>
      <c r="B1401" s="491">
        <f t="shared" si="11"/>
        <v>520561.7</v>
      </c>
      <c r="C1401" s="745">
        <v>520361.7</v>
      </c>
      <c r="D1401" s="746">
        <v>200</v>
      </c>
    </row>
    <row r="1402" spans="1:4" x14ac:dyDescent="0.2">
      <c r="A1402" s="514">
        <v>44328</v>
      </c>
      <c r="B1402" s="491">
        <f t="shared" si="11"/>
        <v>520562</v>
      </c>
      <c r="C1402" s="745">
        <v>520362</v>
      </c>
      <c r="D1402" s="746">
        <v>200</v>
      </c>
    </row>
    <row r="1403" spans="1:4" x14ac:dyDescent="0.2">
      <c r="A1403" s="514">
        <v>44329</v>
      </c>
      <c r="B1403" s="491">
        <f t="shared" si="11"/>
        <v>525995.02</v>
      </c>
      <c r="C1403" s="745">
        <v>525795.02</v>
      </c>
      <c r="D1403" s="746">
        <v>200</v>
      </c>
    </row>
    <row r="1404" spans="1:4" x14ac:dyDescent="0.2">
      <c r="A1404" s="514">
        <v>44330</v>
      </c>
      <c r="B1404" s="491">
        <f t="shared" si="11"/>
        <v>521947.98</v>
      </c>
      <c r="C1404" s="745">
        <v>521747.98</v>
      </c>
      <c r="D1404" s="746">
        <v>200</v>
      </c>
    </row>
    <row r="1405" spans="1:4" x14ac:dyDescent="0.2">
      <c r="A1405" s="514">
        <v>44333</v>
      </c>
      <c r="B1405" s="491">
        <f t="shared" si="11"/>
        <v>521948</v>
      </c>
      <c r="C1405" s="745">
        <v>521748</v>
      </c>
      <c r="D1405" s="746">
        <v>200</v>
      </c>
    </row>
    <row r="1406" spans="1:4" x14ac:dyDescent="0.2">
      <c r="A1406" s="514">
        <v>44334</v>
      </c>
      <c r="B1406" s="491">
        <f t="shared" si="11"/>
        <v>521948</v>
      </c>
      <c r="C1406" s="745">
        <v>521748</v>
      </c>
      <c r="D1406" s="746">
        <v>200</v>
      </c>
    </row>
    <row r="1407" spans="1:4" x14ac:dyDescent="0.2">
      <c r="A1407" s="514">
        <v>44335</v>
      </c>
      <c r="B1407" s="491">
        <f t="shared" si="11"/>
        <v>522186.98</v>
      </c>
      <c r="C1407" s="745">
        <v>521986.98</v>
      </c>
      <c r="D1407" s="746">
        <v>200</v>
      </c>
    </row>
    <row r="1408" spans="1:4" x14ac:dyDescent="0.2">
      <c r="A1408" s="514">
        <v>44336</v>
      </c>
      <c r="B1408" s="491">
        <f t="shared" si="11"/>
        <v>518466.54</v>
      </c>
      <c r="C1408" s="745">
        <v>518266.54</v>
      </c>
      <c r="D1408" s="746">
        <v>200</v>
      </c>
    </row>
    <row r="1409" spans="1:4" x14ac:dyDescent="0.2">
      <c r="A1409" s="514">
        <v>44337</v>
      </c>
      <c r="B1409" s="491">
        <f t="shared" si="11"/>
        <v>518467</v>
      </c>
      <c r="C1409" s="745">
        <v>518267</v>
      </c>
      <c r="D1409" s="746">
        <v>200</v>
      </c>
    </row>
    <row r="1410" spans="1:4" x14ac:dyDescent="0.2">
      <c r="A1410" s="514">
        <v>44340</v>
      </c>
      <c r="B1410" s="491">
        <f t="shared" si="11"/>
        <v>486541.35</v>
      </c>
      <c r="C1410" s="745">
        <v>486341.35</v>
      </c>
      <c r="D1410" s="746">
        <v>200</v>
      </c>
    </row>
    <row r="1411" spans="1:4" x14ac:dyDescent="0.2">
      <c r="A1411" s="514">
        <v>44341</v>
      </c>
      <c r="B1411" s="491">
        <f t="shared" si="11"/>
        <v>486541</v>
      </c>
      <c r="C1411" s="745">
        <v>486341</v>
      </c>
      <c r="D1411" s="746">
        <v>200</v>
      </c>
    </row>
    <row r="1412" spans="1:4" x14ac:dyDescent="0.2">
      <c r="A1412" s="514">
        <v>44342</v>
      </c>
      <c r="B1412" s="491">
        <f t="shared" si="11"/>
        <v>512462.15</v>
      </c>
      <c r="C1412" s="745">
        <v>512262.15</v>
      </c>
      <c r="D1412" s="746">
        <v>200</v>
      </c>
    </row>
    <row r="1413" spans="1:4" x14ac:dyDescent="0.2">
      <c r="A1413" s="514">
        <v>44343</v>
      </c>
      <c r="B1413" s="491">
        <f t="shared" si="11"/>
        <v>512462</v>
      </c>
      <c r="C1413" s="745">
        <v>512262</v>
      </c>
      <c r="D1413" s="746">
        <v>200</v>
      </c>
    </row>
    <row r="1414" spans="1:4" x14ac:dyDescent="0.2">
      <c r="A1414" s="514">
        <v>44344</v>
      </c>
      <c r="B1414" s="491">
        <f t="shared" si="11"/>
        <v>513609.04</v>
      </c>
      <c r="C1414" s="745">
        <v>513409.04</v>
      </c>
      <c r="D1414" s="746">
        <v>200</v>
      </c>
    </row>
    <row r="1415" spans="1:4" x14ac:dyDescent="0.2">
      <c r="A1415" s="514">
        <v>44347</v>
      </c>
      <c r="B1415" s="491">
        <f t="shared" si="11"/>
        <v>513609</v>
      </c>
      <c r="C1415" s="745">
        <v>513409</v>
      </c>
      <c r="D1415" s="746">
        <v>200</v>
      </c>
    </row>
    <row r="1416" spans="1:4" x14ac:dyDescent="0.2">
      <c r="A1416" s="514">
        <v>44348</v>
      </c>
      <c r="B1416" s="491">
        <f t="shared" si="11"/>
        <v>513579.05</v>
      </c>
      <c r="C1416" s="745">
        <v>513379.05</v>
      </c>
      <c r="D1416" s="746">
        <v>200</v>
      </c>
    </row>
    <row r="1417" spans="1:4" x14ac:dyDescent="0.2">
      <c r="A1417" s="514">
        <v>44349</v>
      </c>
      <c r="B1417" s="491">
        <f t="shared" si="11"/>
        <v>514399.44</v>
      </c>
      <c r="C1417" s="745">
        <v>514199.44</v>
      </c>
      <c r="D1417" s="746">
        <v>200</v>
      </c>
    </row>
    <row r="1418" spans="1:4" x14ac:dyDescent="0.2">
      <c r="A1418" s="514">
        <v>44350</v>
      </c>
      <c r="B1418" s="491">
        <f t="shared" si="11"/>
        <v>501741.57</v>
      </c>
      <c r="C1418" s="745">
        <v>501541.57</v>
      </c>
      <c r="D1418" s="746">
        <v>200</v>
      </c>
    </row>
    <row r="1419" spans="1:4" x14ac:dyDescent="0.2">
      <c r="A1419" s="514">
        <v>44351</v>
      </c>
      <c r="B1419" s="491">
        <f t="shared" si="11"/>
        <v>501742</v>
      </c>
      <c r="C1419" s="745">
        <v>501542</v>
      </c>
      <c r="D1419" s="746">
        <v>200</v>
      </c>
    </row>
    <row r="1420" spans="1:4" x14ac:dyDescent="0.2">
      <c r="A1420" s="514">
        <v>44354</v>
      </c>
      <c r="B1420" s="491">
        <f t="shared" si="11"/>
        <v>502500.51</v>
      </c>
      <c r="C1420" s="745">
        <v>502300.51</v>
      </c>
      <c r="D1420" s="746">
        <v>200</v>
      </c>
    </row>
    <row r="1421" spans="1:4" x14ac:dyDescent="0.2">
      <c r="A1421" s="514">
        <v>44355</v>
      </c>
      <c r="B1421" s="491">
        <f t="shared" si="11"/>
        <v>502953.51</v>
      </c>
      <c r="C1421" s="745">
        <v>502753.51</v>
      </c>
      <c r="D1421" s="746">
        <v>200</v>
      </c>
    </row>
    <row r="1422" spans="1:4" x14ac:dyDescent="0.2">
      <c r="A1422" s="514">
        <v>44356</v>
      </c>
      <c r="B1422" s="491">
        <f t="shared" si="11"/>
        <v>502954</v>
      </c>
      <c r="C1422" s="745">
        <v>502754</v>
      </c>
      <c r="D1422" s="746">
        <v>200</v>
      </c>
    </row>
    <row r="1423" spans="1:4" x14ac:dyDescent="0.2">
      <c r="A1423" s="514">
        <v>44357</v>
      </c>
      <c r="B1423" s="491">
        <f t="shared" si="11"/>
        <v>483592.4</v>
      </c>
      <c r="C1423" s="745">
        <v>483392.4</v>
      </c>
      <c r="D1423" s="746">
        <v>200</v>
      </c>
    </row>
    <row r="1424" spans="1:4" x14ac:dyDescent="0.2">
      <c r="A1424" s="514">
        <v>44358</v>
      </c>
      <c r="B1424" s="491">
        <f t="shared" si="11"/>
        <v>483291.95</v>
      </c>
      <c r="C1424" s="745">
        <v>483091.95</v>
      </c>
      <c r="D1424" s="746">
        <v>200</v>
      </c>
    </row>
    <row r="1425" spans="1:4" x14ac:dyDescent="0.2">
      <c r="A1425" s="514">
        <v>44361</v>
      </c>
      <c r="B1425" s="491">
        <f t="shared" si="11"/>
        <v>495768.59</v>
      </c>
      <c r="C1425" s="745">
        <v>495568.59</v>
      </c>
      <c r="D1425" s="746">
        <v>200</v>
      </c>
    </row>
    <row r="1426" spans="1:4" x14ac:dyDescent="0.2">
      <c r="A1426" s="514">
        <v>44362</v>
      </c>
      <c r="B1426" s="491">
        <f t="shared" si="11"/>
        <v>495822.72</v>
      </c>
      <c r="C1426" s="745">
        <v>495622.72</v>
      </c>
      <c r="D1426" s="746">
        <v>200</v>
      </c>
    </row>
    <row r="1427" spans="1:4" x14ac:dyDescent="0.2">
      <c r="A1427" s="514">
        <v>44363</v>
      </c>
      <c r="B1427" s="491">
        <f t="shared" si="11"/>
        <v>520028.1</v>
      </c>
      <c r="C1427" s="745">
        <v>519828.1</v>
      </c>
      <c r="D1427" s="746">
        <v>200</v>
      </c>
    </row>
    <row r="1428" spans="1:4" x14ac:dyDescent="0.2">
      <c r="A1428" s="514">
        <v>44364</v>
      </c>
      <c r="B1428" s="491">
        <f t="shared" si="11"/>
        <v>517161.8</v>
      </c>
      <c r="C1428" s="745">
        <v>516961.8</v>
      </c>
      <c r="D1428" s="746">
        <v>200</v>
      </c>
    </row>
    <row r="1429" spans="1:4" x14ac:dyDescent="0.2">
      <c r="A1429" s="514">
        <v>44365</v>
      </c>
      <c r="B1429" s="491">
        <f t="shared" si="11"/>
        <v>518094.91</v>
      </c>
      <c r="C1429" s="745">
        <v>517894.91</v>
      </c>
      <c r="D1429" s="746">
        <v>200</v>
      </c>
    </row>
    <row r="1430" spans="1:4" x14ac:dyDescent="0.2">
      <c r="A1430" s="514">
        <v>44368</v>
      </c>
      <c r="B1430" s="491">
        <f t="shared" si="11"/>
        <v>484042.38</v>
      </c>
      <c r="C1430" s="745">
        <v>483842.38</v>
      </c>
      <c r="D1430" s="746">
        <v>200</v>
      </c>
    </row>
    <row r="1431" spans="1:4" x14ac:dyDescent="0.2">
      <c r="A1431" s="514">
        <v>44369</v>
      </c>
      <c r="B1431" s="491">
        <f t="shared" si="11"/>
        <v>497746.99</v>
      </c>
      <c r="C1431" s="745">
        <v>497546.99</v>
      </c>
      <c r="D1431" s="746">
        <v>200</v>
      </c>
    </row>
    <row r="1432" spans="1:4" x14ac:dyDescent="0.2">
      <c r="A1432" s="514">
        <v>44370</v>
      </c>
      <c r="B1432" s="491">
        <f t="shared" si="11"/>
        <v>497747</v>
      </c>
      <c r="C1432" s="745">
        <v>497547</v>
      </c>
      <c r="D1432" s="746">
        <v>200</v>
      </c>
    </row>
    <row r="1433" spans="1:4" x14ac:dyDescent="0.2">
      <c r="A1433" s="514">
        <v>44371</v>
      </c>
      <c r="B1433" s="491">
        <f t="shared" si="11"/>
        <v>495381.8</v>
      </c>
      <c r="C1433" s="745">
        <v>495181.8</v>
      </c>
      <c r="D1433" s="746">
        <v>200</v>
      </c>
    </row>
    <row r="1434" spans="1:4" x14ac:dyDescent="0.2">
      <c r="A1434" s="514">
        <v>44372</v>
      </c>
      <c r="B1434" s="491">
        <f t="shared" si="11"/>
        <v>495081.35</v>
      </c>
      <c r="C1434" s="745">
        <v>494881.35</v>
      </c>
      <c r="D1434" s="746">
        <v>200</v>
      </c>
    </row>
    <row r="1435" spans="1:4" x14ac:dyDescent="0.2">
      <c r="A1435" s="514">
        <v>44375</v>
      </c>
      <c r="B1435" s="491">
        <f t="shared" si="11"/>
        <v>495055.65</v>
      </c>
      <c r="C1435" s="745">
        <v>494855.65</v>
      </c>
      <c r="D1435" s="746">
        <v>200</v>
      </c>
    </row>
    <row r="1436" spans="1:4" x14ac:dyDescent="0.2">
      <c r="A1436" s="514">
        <v>44376</v>
      </c>
      <c r="B1436" s="491">
        <f t="shared" si="11"/>
        <v>495056</v>
      </c>
      <c r="C1436" s="745">
        <v>494856</v>
      </c>
      <c r="D1436" s="746">
        <v>200</v>
      </c>
    </row>
    <row r="1437" spans="1:4" x14ac:dyDescent="0.2">
      <c r="A1437" s="514">
        <v>44377</v>
      </c>
      <c r="B1437" s="491">
        <f t="shared" si="11"/>
        <v>497588.94</v>
      </c>
      <c r="C1437" s="745">
        <v>497388.94</v>
      </c>
      <c r="D1437" s="746">
        <v>200</v>
      </c>
    </row>
    <row r="1438" spans="1:4" x14ac:dyDescent="0.2">
      <c r="A1438" s="514">
        <v>44378</v>
      </c>
      <c r="B1438" s="491">
        <f t="shared" si="11"/>
        <v>488300.76</v>
      </c>
      <c r="C1438" s="745">
        <v>488100.76</v>
      </c>
      <c r="D1438" s="746">
        <v>200</v>
      </c>
    </row>
    <row r="1439" spans="1:4" x14ac:dyDescent="0.2">
      <c r="A1439" s="514">
        <v>44379</v>
      </c>
      <c r="B1439" s="491">
        <f t="shared" si="11"/>
        <v>488301</v>
      </c>
      <c r="C1439" s="745">
        <v>488101</v>
      </c>
      <c r="D1439" s="746">
        <v>200</v>
      </c>
    </row>
    <row r="1440" spans="1:4" x14ac:dyDescent="0.2">
      <c r="A1440" s="514">
        <v>44382</v>
      </c>
      <c r="B1440" s="491">
        <f t="shared" si="11"/>
        <v>488301</v>
      </c>
      <c r="C1440" s="745">
        <v>488101</v>
      </c>
      <c r="D1440" s="746">
        <v>200</v>
      </c>
    </row>
    <row r="1441" spans="1:4" x14ac:dyDescent="0.2">
      <c r="A1441" s="514">
        <v>44383</v>
      </c>
      <c r="B1441" s="491">
        <f t="shared" si="11"/>
        <v>453460.75</v>
      </c>
      <c r="C1441" s="745">
        <v>453260.75</v>
      </c>
      <c r="D1441" s="746">
        <v>200</v>
      </c>
    </row>
    <row r="1442" spans="1:4" x14ac:dyDescent="0.2">
      <c r="A1442" s="514">
        <v>44384</v>
      </c>
      <c r="B1442" s="491">
        <f t="shared" si="11"/>
        <v>453461</v>
      </c>
      <c r="C1442" s="745">
        <v>453261</v>
      </c>
      <c r="D1442" s="746">
        <v>200</v>
      </c>
    </row>
    <row r="1443" spans="1:4" x14ac:dyDescent="0.2">
      <c r="A1443" s="514">
        <v>44385</v>
      </c>
      <c r="B1443" s="491">
        <f t="shared" si="11"/>
        <v>453914.75</v>
      </c>
      <c r="C1443" s="745">
        <v>453714.75</v>
      </c>
      <c r="D1443" s="746">
        <v>200</v>
      </c>
    </row>
    <row r="1444" spans="1:4" x14ac:dyDescent="0.2">
      <c r="A1444" s="514">
        <v>44386</v>
      </c>
      <c r="B1444" s="491">
        <f t="shared" si="11"/>
        <v>451808.36</v>
      </c>
      <c r="C1444" s="745">
        <v>451608.36</v>
      </c>
      <c r="D1444" s="746">
        <v>200</v>
      </c>
    </row>
    <row r="1445" spans="1:4" x14ac:dyDescent="0.2">
      <c r="A1445" s="514">
        <v>44389</v>
      </c>
      <c r="B1445" s="491">
        <f t="shared" si="11"/>
        <v>451808</v>
      </c>
      <c r="C1445" s="745">
        <v>451608</v>
      </c>
      <c r="D1445" s="746">
        <v>200</v>
      </c>
    </row>
    <row r="1446" spans="1:4" x14ac:dyDescent="0.2">
      <c r="A1446" s="514">
        <v>44390</v>
      </c>
      <c r="B1446" s="491">
        <f t="shared" si="11"/>
        <v>452941.65</v>
      </c>
      <c r="C1446" s="745">
        <v>452741.65</v>
      </c>
      <c r="D1446" s="746">
        <v>200</v>
      </c>
    </row>
    <row r="1447" spans="1:4" x14ac:dyDescent="0.2">
      <c r="A1447" s="514">
        <v>44391</v>
      </c>
      <c r="B1447" s="491">
        <f t="shared" si="11"/>
        <v>453131.97</v>
      </c>
      <c r="C1447" s="745">
        <v>452931.97</v>
      </c>
      <c r="D1447" s="746">
        <v>200</v>
      </c>
    </row>
    <row r="1448" spans="1:4" x14ac:dyDescent="0.2">
      <c r="A1448" s="514">
        <v>44392</v>
      </c>
      <c r="B1448" s="491">
        <f t="shared" si="11"/>
        <v>453180.49</v>
      </c>
      <c r="C1448" s="745">
        <v>452980.49</v>
      </c>
      <c r="D1448" s="746">
        <v>200</v>
      </c>
    </row>
    <row r="1449" spans="1:4" x14ac:dyDescent="0.2">
      <c r="A1449" s="514">
        <v>44393</v>
      </c>
      <c r="B1449" s="491">
        <f t="shared" si="11"/>
        <v>453180</v>
      </c>
      <c r="C1449" s="745">
        <v>452980</v>
      </c>
      <c r="D1449" s="746">
        <v>200</v>
      </c>
    </row>
    <row r="1450" spans="1:4" x14ac:dyDescent="0.2">
      <c r="A1450" s="514">
        <v>44396</v>
      </c>
      <c r="B1450" s="491">
        <f t="shared" si="11"/>
        <v>436299.85</v>
      </c>
      <c r="C1450" s="745">
        <v>436099.85</v>
      </c>
      <c r="D1450" s="746">
        <v>200</v>
      </c>
    </row>
    <row r="1451" spans="1:4" x14ac:dyDescent="0.2">
      <c r="A1451" s="514">
        <v>44397</v>
      </c>
      <c r="B1451" s="491">
        <f t="shared" si="11"/>
        <v>400936.9</v>
      </c>
      <c r="C1451" s="745">
        <v>400736.9</v>
      </c>
      <c r="D1451" s="746">
        <v>200</v>
      </c>
    </row>
    <row r="1452" spans="1:4" x14ac:dyDescent="0.2">
      <c r="A1452" s="514">
        <v>44398</v>
      </c>
      <c r="B1452" s="491">
        <f t="shared" si="11"/>
        <v>400937</v>
      </c>
      <c r="C1452" s="745">
        <v>400737</v>
      </c>
      <c r="D1452" s="746">
        <v>200</v>
      </c>
    </row>
    <row r="1453" spans="1:4" x14ac:dyDescent="0.2">
      <c r="A1453" s="514">
        <v>44399</v>
      </c>
      <c r="B1453" s="491">
        <f t="shared" si="11"/>
        <v>298716.2</v>
      </c>
      <c r="C1453" s="745">
        <v>298516.2</v>
      </c>
      <c r="D1453" s="746">
        <v>200</v>
      </c>
    </row>
    <row r="1454" spans="1:4" x14ac:dyDescent="0.2">
      <c r="A1454" s="514">
        <v>44400</v>
      </c>
      <c r="B1454" s="491">
        <f t="shared" si="11"/>
        <v>298557.34999999998</v>
      </c>
      <c r="C1454" s="745">
        <v>298357.34999999998</v>
      </c>
      <c r="D1454" s="746">
        <v>200</v>
      </c>
    </row>
    <row r="1455" spans="1:4" x14ac:dyDescent="0.2">
      <c r="A1455" s="514">
        <v>44403</v>
      </c>
      <c r="B1455" s="491">
        <f t="shared" ref="B1455" si="12">C1455+D1455</f>
        <v>298557</v>
      </c>
      <c r="C1455" s="745">
        <v>298357</v>
      </c>
      <c r="D1455" s="746">
        <v>200</v>
      </c>
    </row>
    <row r="1456" spans="1:4" x14ac:dyDescent="0.2">
      <c r="A1456" s="514">
        <v>44404</v>
      </c>
      <c r="B1456" s="491">
        <v>298047.28999999998</v>
      </c>
      <c r="C1456" s="745">
        <v>298357</v>
      </c>
      <c r="D1456" s="746">
        <v>200</v>
      </c>
    </row>
    <row r="1457" spans="1:4" x14ac:dyDescent="0.2">
      <c r="A1457" s="514">
        <v>44405</v>
      </c>
      <c r="B1457" s="491">
        <f t="shared" ref="B1457:B1520" si="13">C1457+D1457</f>
        <v>298221.59000000003</v>
      </c>
      <c r="C1457" s="491">
        <v>298021.59000000003</v>
      </c>
      <c r="D1457" s="746">
        <v>200</v>
      </c>
    </row>
    <row r="1458" spans="1:4" x14ac:dyDescent="0.2">
      <c r="A1458" s="514">
        <v>44406</v>
      </c>
      <c r="B1458" s="491">
        <f t="shared" si="13"/>
        <v>298222</v>
      </c>
      <c r="C1458" s="491">
        <v>298022</v>
      </c>
      <c r="D1458" s="746">
        <v>200</v>
      </c>
    </row>
    <row r="1459" spans="1:4" x14ac:dyDescent="0.2">
      <c r="A1459" s="514">
        <v>44407</v>
      </c>
      <c r="B1459" s="491">
        <f t="shared" si="13"/>
        <v>286090</v>
      </c>
      <c r="C1459" s="491">
        <v>285890</v>
      </c>
      <c r="D1459" s="746">
        <v>200</v>
      </c>
    </row>
    <row r="1460" spans="1:4" x14ac:dyDescent="0.2">
      <c r="A1460" s="514">
        <v>44410</v>
      </c>
      <c r="B1460" s="491">
        <f t="shared" si="13"/>
        <v>285690.83</v>
      </c>
      <c r="C1460" s="491">
        <v>285490.83</v>
      </c>
      <c r="D1460" s="746">
        <v>200</v>
      </c>
    </row>
    <row r="1461" spans="1:4" x14ac:dyDescent="0.2">
      <c r="A1461" s="514">
        <v>44411</v>
      </c>
      <c r="B1461" s="491">
        <f t="shared" si="13"/>
        <v>250196.9</v>
      </c>
      <c r="C1461" s="491">
        <v>249996.9</v>
      </c>
      <c r="D1461" s="746">
        <v>200</v>
      </c>
    </row>
    <row r="1462" spans="1:4" x14ac:dyDescent="0.2">
      <c r="A1462" s="514">
        <v>44412</v>
      </c>
      <c r="B1462" s="491">
        <f t="shared" si="13"/>
        <v>250197</v>
      </c>
      <c r="C1462" s="491">
        <v>249997</v>
      </c>
      <c r="D1462" s="746">
        <v>200</v>
      </c>
    </row>
    <row r="1463" spans="1:4" x14ac:dyDescent="0.2">
      <c r="A1463" s="514">
        <v>44413</v>
      </c>
      <c r="B1463" s="491">
        <f t="shared" si="13"/>
        <v>242217.24</v>
      </c>
      <c r="C1463" s="491">
        <v>242017.24</v>
      </c>
      <c r="D1463" s="746">
        <v>200</v>
      </c>
    </row>
    <row r="1464" spans="1:4" x14ac:dyDescent="0.2">
      <c r="A1464" s="514">
        <v>44414</v>
      </c>
      <c r="B1464" s="491">
        <f t="shared" si="13"/>
        <v>241916.79</v>
      </c>
      <c r="C1464" s="491">
        <v>241716.79</v>
      </c>
      <c r="D1464" s="746">
        <v>200</v>
      </c>
    </row>
    <row r="1465" spans="1:4" x14ac:dyDescent="0.2">
      <c r="A1465" s="514">
        <v>44417</v>
      </c>
      <c r="B1465" s="491">
        <f t="shared" si="13"/>
        <v>242014.29</v>
      </c>
      <c r="C1465" s="491">
        <v>241814.29</v>
      </c>
      <c r="D1465" s="746">
        <v>200</v>
      </c>
    </row>
    <row r="1466" spans="1:4" x14ac:dyDescent="0.2">
      <c r="A1466" s="514">
        <v>44418</v>
      </c>
      <c r="B1466" s="491">
        <f t="shared" si="13"/>
        <v>260028.48</v>
      </c>
      <c r="C1466" s="491">
        <v>259828.48000000001</v>
      </c>
      <c r="D1466" s="746">
        <v>200</v>
      </c>
    </row>
    <row r="1467" spans="1:4" x14ac:dyDescent="0.2">
      <c r="A1467" s="514">
        <v>44419</v>
      </c>
      <c r="B1467" s="491">
        <f t="shared" si="13"/>
        <v>261085.42</v>
      </c>
      <c r="C1467" s="491">
        <v>260885.42</v>
      </c>
      <c r="D1467" s="746">
        <v>200</v>
      </c>
    </row>
    <row r="1468" spans="1:4" x14ac:dyDescent="0.2">
      <c r="A1468" s="514">
        <v>44420</v>
      </c>
      <c r="B1468" s="491">
        <f t="shared" si="13"/>
        <v>261983.68</v>
      </c>
      <c r="C1468" s="491">
        <v>261783.67999999999</v>
      </c>
      <c r="D1468" s="746">
        <v>200</v>
      </c>
    </row>
    <row r="1469" spans="1:4" x14ac:dyDescent="0.2">
      <c r="A1469" s="514">
        <v>44421</v>
      </c>
      <c r="B1469" s="491">
        <f t="shared" si="13"/>
        <v>262016.54</v>
      </c>
      <c r="C1469" s="491">
        <v>261816.54</v>
      </c>
      <c r="D1469" s="746">
        <v>200</v>
      </c>
    </row>
    <row r="1470" spans="1:4" x14ac:dyDescent="0.2">
      <c r="A1470" s="514">
        <v>44424</v>
      </c>
      <c r="B1470" s="491">
        <f t="shared" si="13"/>
        <v>262016.54</v>
      </c>
      <c r="C1470" s="491">
        <f t="shared" ref="C1470:C1522" si="14">C1469</f>
        <v>261816.54</v>
      </c>
      <c r="D1470" s="746">
        <v>200</v>
      </c>
    </row>
    <row r="1471" spans="1:4" x14ac:dyDescent="0.2">
      <c r="A1471" s="514">
        <v>44425</v>
      </c>
      <c r="B1471" s="491">
        <f t="shared" si="13"/>
        <v>226196.56</v>
      </c>
      <c r="C1471" s="491">
        <v>225996.56</v>
      </c>
      <c r="D1471" s="746">
        <v>200</v>
      </c>
    </row>
    <row r="1472" spans="1:4" x14ac:dyDescent="0.2">
      <c r="A1472" s="514">
        <v>44426</v>
      </c>
      <c r="B1472" s="491">
        <f t="shared" si="13"/>
        <v>245030.16</v>
      </c>
      <c r="C1472" s="491">
        <v>244830.16</v>
      </c>
      <c r="D1472" s="746">
        <v>200</v>
      </c>
    </row>
    <row r="1473" spans="1:4" x14ac:dyDescent="0.2">
      <c r="A1473" s="514">
        <v>44427</v>
      </c>
      <c r="B1473" s="491">
        <f t="shared" si="13"/>
        <v>229633.33</v>
      </c>
      <c r="C1473" s="491">
        <v>229433.33</v>
      </c>
      <c r="D1473" s="746">
        <v>200</v>
      </c>
    </row>
    <row r="1474" spans="1:4" x14ac:dyDescent="0.2">
      <c r="A1474" s="514">
        <v>44428</v>
      </c>
      <c r="B1474" s="491">
        <f t="shared" si="13"/>
        <v>247195.12</v>
      </c>
      <c r="C1474" s="491">
        <v>246995.12</v>
      </c>
      <c r="D1474" s="746">
        <v>200</v>
      </c>
    </row>
    <row r="1475" spans="1:4" x14ac:dyDescent="0.2">
      <c r="A1475" s="514">
        <v>44431</v>
      </c>
      <c r="B1475" s="491">
        <f t="shared" si="13"/>
        <v>247195.12</v>
      </c>
      <c r="C1475" s="491">
        <f t="shared" si="14"/>
        <v>246995.12</v>
      </c>
      <c r="D1475" s="746">
        <v>200</v>
      </c>
    </row>
    <row r="1476" spans="1:4" x14ac:dyDescent="0.2">
      <c r="A1476" s="514">
        <v>44432</v>
      </c>
      <c r="B1476" s="491">
        <f t="shared" si="13"/>
        <v>347649.83</v>
      </c>
      <c r="C1476" s="491">
        <v>347449.83</v>
      </c>
      <c r="D1476" s="746">
        <v>200</v>
      </c>
    </row>
    <row r="1477" spans="1:4" x14ac:dyDescent="0.2">
      <c r="A1477" s="514">
        <v>44433</v>
      </c>
      <c r="B1477" s="491">
        <f t="shared" si="13"/>
        <v>347649.83</v>
      </c>
      <c r="C1477" s="491">
        <f t="shared" si="14"/>
        <v>347449.83</v>
      </c>
      <c r="D1477" s="746">
        <v>200</v>
      </c>
    </row>
    <row r="1478" spans="1:4" x14ac:dyDescent="0.2">
      <c r="A1478" s="514">
        <v>44434</v>
      </c>
      <c r="B1478" s="491">
        <f t="shared" si="13"/>
        <v>341237.68</v>
      </c>
      <c r="C1478" s="491">
        <v>341037.68</v>
      </c>
      <c r="D1478" s="746">
        <v>200</v>
      </c>
    </row>
    <row r="1479" spans="1:4" x14ac:dyDescent="0.2">
      <c r="A1479" s="514">
        <v>44435</v>
      </c>
      <c r="B1479" s="491">
        <f t="shared" si="13"/>
        <v>373525.01</v>
      </c>
      <c r="C1479" s="491">
        <v>373325.01</v>
      </c>
      <c r="D1479" s="746">
        <v>200</v>
      </c>
    </row>
    <row r="1480" spans="1:4" x14ac:dyDescent="0.2">
      <c r="A1480" s="514">
        <v>44438</v>
      </c>
      <c r="B1480" s="491">
        <f t="shared" si="13"/>
        <v>373525.01</v>
      </c>
      <c r="C1480" s="491">
        <f t="shared" si="14"/>
        <v>373325.01</v>
      </c>
      <c r="D1480" s="746">
        <v>200</v>
      </c>
    </row>
    <row r="1481" spans="1:4" x14ac:dyDescent="0.2">
      <c r="A1481" s="514">
        <v>44439</v>
      </c>
      <c r="B1481" s="491">
        <f t="shared" si="13"/>
        <v>336851.39</v>
      </c>
      <c r="C1481" s="491">
        <v>336651.39</v>
      </c>
      <c r="D1481" s="746">
        <v>200</v>
      </c>
    </row>
    <row r="1482" spans="1:4" x14ac:dyDescent="0.2">
      <c r="A1482" s="514">
        <v>44440</v>
      </c>
      <c r="B1482" s="491">
        <f t="shared" si="13"/>
        <v>336851.39</v>
      </c>
      <c r="C1482" s="491">
        <f t="shared" si="14"/>
        <v>336651.39</v>
      </c>
      <c r="D1482" s="746">
        <v>200</v>
      </c>
    </row>
    <row r="1483" spans="1:4" x14ac:dyDescent="0.2">
      <c r="A1483" s="514">
        <v>44441</v>
      </c>
      <c r="B1483" s="491">
        <f t="shared" si="13"/>
        <v>336851.39</v>
      </c>
      <c r="C1483" s="491">
        <f t="shared" si="14"/>
        <v>336651.39</v>
      </c>
      <c r="D1483" s="746">
        <v>200</v>
      </c>
    </row>
    <row r="1484" spans="1:4" x14ac:dyDescent="0.2">
      <c r="A1484" s="514">
        <v>44442</v>
      </c>
      <c r="B1484" s="491">
        <f t="shared" si="13"/>
        <v>360197.14</v>
      </c>
      <c r="C1484" s="491">
        <v>359997.14</v>
      </c>
      <c r="D1484" s="746">
        <v>200</v>
      </c>
    </row>
    <row r="1485" spans="1:4" x14ac:dyDescent="0.2">
      <c r="A1485" s="514">
        <v>44445</v>
      </c>
      <c r="B1485" s="491">
        <f t="shared" si="13"/>
        <v>360197.14</v>
      </c>
      <c r="C1485" s="491">
        <f t="shared" si="14"/>
        <v>359997.14</v>
      </c>
      <c r="D1485" s="746">
        <v>200</v>
      </c>
    </row>
    <row r="1486" spans="1:4" x14ac:dyDescent="0.2">
      <c r="A1486" s="514">
        <v>44446</v>
      </c>
      <c r="B1486" s="491">
        <f t="shared" si="13"/>
        <v>354806.36</v>
      </c>
      <c r="C1486" s="491">
        <v>354606.36</v>
      </c>
      <c r="D1486" s="746">
        <v>200</v>
      </c>
    </row>
    <row r="1487" spans="1:4" x14ac:dyDescent="0.2">
      <c r="A1487" s="514">
        <v>44447</v>
      </c>
      <c r="B1487" s="491">
        <f t="shared" si="13"/>
        <v>354806.36</v>
      </c>
      <c r="C1487" s="491">
        <f t="shared" si="14"/>
        <v>354606.36</v>
      </c>
      <c r="D1487" s="746">
        <v>200</v>
      </c>
    </row>
    <row r="1488" spans="1:4" x14ac:dyDescent="0.2">
      <c r="A1488" s="514">
        <v>44448</v>
      </c>
      <c r="B1488" s="491">
        <f t="shared" si="13"/>
        <v>354806.36</v>
      </c>
      <c r="C1488" s="491">
        <f t="shared" si="14"/>
        <v>354606.36</v>
      </c>
      <c r="D1488" s="746">
        <v>200</v>
      </c>
    </row>
    <row r="1489" spans="1:4" x14ac:dyDescent="0.2">
      <c r="A1489" s="514">
        <v>44449</v>
      </c>
      <c r="B1489" s="491">
        <f t="shared" si="13"/>
        <v>354806.36</v>
      </c>
      <c r="C1489" s="491">
        <f t="shared" si="14"/>
        <v>354606.36</v>
      </c>
      <c r="D1489" s="746">
        <v>200</v>
      </c>
    </row>
    <row r="1490" spans="1:4" x14ac:dyDescent="0.2">
      <c r="A1490" s="514">
        <v>44452</v>
      </c>
      <c r="B1490" s="491">
        <f t="shared" si="13"/>
        <v>317290.98</v>
      </c>
      <c r="C1490" s="491">
        <v>317090.98</v>
      </c>
      <c r="D1490" s="746">
        <v>200</v>
      </c>
    </row>
    <row r="1491" spans="1:4" x14ac:dyDescent="0.2">
      <c r="A1491" s="514">
        <v>44453</v>
      </c>
      <c r="B1491" s="491">
        <f t="shared" si="13"/>
        <v>365898.08</v>
      </c>
      <c r="C1491" s="491">
        <v>365698.08</v>
      </c>
      <c r="D1491" s="746">
        <v>200</v>
      </c>
    </row>
    <row r="1492" spans="1:4" x14ac:dyDescent="0.2">
      <c r="A1492" s="514">
        <v>44454</v>
      </c>
      <c r="B1492" s="491">
        <f t="shared" si="13"/>
        <v>365935.11</v>
      </c>
      <c r="C1492" s="491">
        <v>365735.11</v>
      </c>
      <c r="D1492" s="746">
        <v>200</v>
      </c>
    </row>
    <row r="1493" spans="1:4" x14ac:dyDescent="0.2">
      <c r="A1493" s="514">
        <v>44455</v>
      </c>
      <c r="B1493" s="491">
        <f t="shared" si="13"/>
        <v>365935.11</v>
      </c>
      <c r="C1493" s="491">
        <f t="shared" si="14"/>
        <v>365735.11</v>
      </c>
      <c r="D1493" s="746">
        <v>200</v>
      </c>
    </row>
    <row r="1494" spans="1:4" x14ac:dyDescent="0.2">
      <c r="A1494" s="514">
        <v>44456</v>
      </c>
      <c r="B1494" s="491">
        <f t="shared" si="13"/>
        <v>357664.5</v>
      </c>
      <c r="C1494" s="491">
        <v>357464.5</v>
      </c>
      <c r="D1494" s="746">
        <v>200</v>
      </c>
    </row>
    <row r="1495" spans="1:4" x14ac:dyDescent="0.2">
      <c r="A1495" s="514">
        <v>44459</v>
      </c>
      <c r="B1495" s="491">
        <f t="shared" si="13"/>
        <v>357664.5</v>
      </c>
      <c r="C1495" s="491">
        <f t="shared" si="14"/>
        <v>357464.5</v>
      </c>
      <c r="D1495" s="746">
        <v>200</v>
      </c>
    </row>
    <row r="1496" spans="1:4" x14ac:dyDescent="0.2">
      <c r="A1496" s="514">
        <v>44460</v>
      </c>
      <c r="B1496" s="491">
        <f t="shared" si="13"/>
        <v>357664.5</v>
      </c>
      <c r="C1496" s="491">
        <f t="shared" si="14"/>
        <v>357464.5</v>
      </c>
      <c r="D1496" s="746">
        <v>200</v>
      </c>
    </row>
    <row r="1497" spans="1:4" x14ac:dyDescent="0.2">
      <c r="A1497" s="514">
        <v>44461</v>
      </c>
      <c r="B1497" s="491">
        <f t="shared" si="13"/>
        <v>364108.39</v>
      </c>
      <c r="C1497" s="491">
        <v>363908.39</v>
      </c>
      <c r="D1497" s="746">
        <v>200</v>
      </c>
    </row>
    <row r="1498" spans="1:4" x14ac:dyDescent="0.2">
      <c r="A1498" s="514">
        <v>44462</v>
      </c>
      <c r="B1498" s="491">
        <f t="shared" si="13"/>
        <v>372557.83</v>
      </c>
      <c r="C1498" s="491">
        <v>372357.83</v>
      </c>
      <c r="D1498" s="746">
        <v>200</v>
      </c>
    </row>
    <row r="1499" spans="1:4" x14ac:dyDescent="0.2">
      <c r="A1499" s="514">
        <v>44463</v>
      </c>
      <c r="B1499" s="491">
        <f t="shared" si="13"/>
        <v>372557.83</v>
      </c>
      <c r="C1499" s="491">
        <f t="shared" si="14"/>
        <v>372357.83</v>
      </c>
      <c r="D1499" s="746">
        <v>200</v>
      </c>
    </row>
    <row r="1500" spans="1:4" x14ac:dyDescent="0.2">
      <c r="A1500" s="514">
        <v>44466</v>
      </c>
      <c r="B1500" s="491">
        <f t="shared" si="13"/>
        <v>393073.43</v>
      </c>
      <c r="C1500" s="491">
        <v>392873.43</v>
      </c>
      <c r="D1500" s="746">
        <v>200</v>
      </c>
    </row>
    <row r="1501" spans="1:4" x14ac:dyDescent="0.2">
      <c r="A1501" s="514">
        <v>44467</v>
      </c>
      <c r="B1501" s="491">
        <f t="shared" si="13"/>
        <v>354832.22</v>
      </c>
      <c r="C1501" s="491">
        <v>354632.22</v>
      </c>
      <c r="D1501" s="746">
        <v>200</v>
      </c>
    </row>
    <row r="1502" spans="1:4" x14ac:dyDescent="0.2">
      <c r="A1502" s="514">
        <v>44468</v>
      </c>
      <c r="B1502" s="491">
        <f t="shared" si="13"/>
        <v>354832.22</v>
      </c>
      <c r="C1502" s="491">
        <f t="shared" si="14"/>
        <v>354632.22</v>
      </c>
      <c r="D1502" s="746">
        <v>200</v>
      </c>
    </row>
    <row r="1503" spans="1:4" x14ac:dyDescent="0.2">
      <c r="A1503" s="514">
        <v>44469</v>
      </c>
      <c r="B1503" s="491">
        <f t="shared" si="13"/>
        <v>354832.22</v>
      </c>
      <c r="C1503" s="491">
        <f t="shared" si="14"/>
        <v>354632.22</v>
      </c>
      <c r="D1503" s="746">
        <v>200</v>
      </c>
    </row>
    <row r="1504" spans="1:4" x14ac:dyDescent="0.2">
      <c r="A1504" s="514">
        <v>44470</v>
      </c>
      <c r="B1504" s="491">
        <f t="shared" si="13"/>
        <v>343420.25</v>
      </c>
      <c r="C1504" s="491">
        <v>343220.25</v>
      </c>
      <c r="D1504" s="746">
        <v>200</v>
      </c>
    </row>
    <row r="1505" spans="1:4" x14ac:dyDescent="0.2">
      <c r="A1505" s="514">
        <v>44473</v>
      </c>
      <c r="B1505" s="491">
        <f t="shared" si="13"/>
        <v>343420.25</v>
      </c>
      <c r="C1505" s="491">
        <f t="shared" si="14"/>
        <v>343220.25</v>
      </c>
      <c r="D1505" s="746">
        <v>200</v>
      </c>
    </row>
    <row r="1506" spans="1:4" x14ac:dyDescent="0.2">
      <c r="A1506" s="514">
        <v>44474</v>
      </c>
      <c r="B1506" s="491">
        <f t="shared" si="13"/>
        <v>343582.25</v>
      </c>
      <c r="C1506" s="491">
        <v>343382.25</v>
      </c>
      <c r="D1506" s="746">
        <v>200</v>
      </c>
    </row>
    <row r="1507" spans="1:4" x14ac:dyDescent="0.2">
      <c r="A1507" s="514">
        <v>44475</v>
      </c>
      <c r="B1507" s="491">
        <f t="shared" si="13"/>
        <v>343582.25</v>
      </c>
      <c r="C1507" s="491">
        <f t="shared" si="14"/>
        <v>343382.25</v>
      </c>
      <c r="D1507" s="746">
        <v>200</v>
      </c>
    </row>
    <row r="1508" spans="1:4" x14ac:dyDescent="0.2">
      <c r="A1508" s="514">
        <v>44476</v>
      </c>
      <c r="B1508" s="491">
        <f t="shared" si="13"/>
        <v>343606.26</v>
      </c>
      <c r="C1508" s="491">
        <v>343406.26</v>
      </c>
      <c r="D1508" s="746">
        <v>200</v>
      </c>
    </row>
    <row r="1509" spans="1:4" x14ac:dyDescent="0.2">
      <c r="A1509" s="514">
        <v>44477</v>
      </c>
      <c r="B1509" s="491">
        <f t="shared" si="13"/>
        <v>329221.56</v>
      </c>
      <c r="C1509" s="491">
        <v>329021.56</v>
      </c>
      <c r="D1509" s="746">
        <v>200</v>
      </c>
    </row>
    <row r="1510" spans="1:4" x14ac:dyDescent="0.2">
      <c r="A1510" s="514">
        <v>44480</v>
      </c>
      <c r="B1510" s="491">
        <f t="shared" si="13"/>
        <v>329221.56</v>
      </c>
      <c r="C1510" s="491">
        <f t="shared" si="14"/>
        <v>329021.56</v>
      </c>
      <c r="D1510" s="746">
        <v>200</v>
      </c>
    </row>
    <row r="1511" spans="1:4" x14ac:dyDescent="0.2">
      <c r="A1511" s="514">
        <v>44481</v>
      </c>
      <c r="B1511" s="491">
        <f t="shared" si="13"/>
        <v>288818.46999999997</v>
      </c>
      <c r="C1511" s="491">
        <v>288618.46999999997</v>
      </c>
      <c r="D1511" s="746">
        <v>200</v>
      </c>
    </row>
    <row r="1512" spans="1:4" x14ac:dyDescent="0.2">
      <c r="A1512" s="514">
        <v>44482</v>
      </c>
      <c r="B1512" s="491">
        <f t="shared" si="13"/>
        <v>288818.46999999997</v>
      </c>
      <c r="C1512" s="491">
        <f t="shared" si="14"/>
        <v>288618.46999999997</v>
      </c>
      <c r="D1512" s="746">
        <v>200</v>
      </c>
    </row>
    <row r="1513" spans="1:4" x14ac:dyDescent="0.2">
      <c r="A1513" s="514">
        <v>44483</v>
      </c>
      <c r="B1513" s="491">
        <f t="shared" si="13"/>
        <v>295077.74</v>
      </c>
      <c r="C1513" s="491">
        <v>294877.74</v>
      </c>
      <c r="D1513" s="746">
        <v>200</v>
      </c>
    </row>
    <row r="1514" spans="1:4" x14ac:dyDescent="0.2">
      <c r="A1514" s="514">
        <v>44484</v>
      </c>
      <c r="B1514" s="491">
        <f t="shared" si="13"/>
        <v>313755.08</v>
      </c>
      <c r="C1514" s="491">
        <v>313555.08</v>
      </c>
      <c r="D1514" s="746">
        <v>200</v>
      </c>
    </row>
    <row r="1515" spans="1:4" x14ac:dyDescent="0.2">
      <c r="A1515" s="514">
        <v>44487</v>
      </c>
      <c r="B1515" s="491">
        <f t="shared" si="13"/>
        <v>314129.08</v>
      </c>
      <c r="C1515" s="491">
        <v>313929.08</v>
      </c>
      <c r="D1515" s="746">
        <v>200</v>
      </c>
    </row>
    <row r="1516" spans="1:4" x14ac:dyDescent="0.2">
      <c r="A1516" s="514">
        <v>44488</v>
      </c>
      <c r="B1516" s="491">
        <f t="shared" si="13"/>
        <v>314618.64</v>
      </c>
      <c r="C1516" s="491">
        <v>314418.64</v>
      </c>
      <c r="D1516" s="746">
        <v>200</v>
      </c>
    </row>
    <row r="1517" spans="1:4" x14ac:dyDescent="0.2">
      <c r="A1517" s="514">
        <v>44489</v>
      </c>
      <c r="B1517" s="491">
        <f t="shared" si="13"/>
        <v>312798.90999999997</v>
      </c>
      <c r="C1517" s="491">
        <v>312598.90999999997</v>
      </c>
      <c r="D1517" s="746">
        <v>200</v>
      </c>
    </row>
    <row r="1518" spans="1:4" x14ac:dyDescent="0.2">
      <c r="A1518" s="514">
        <v>44490</v>
      </c>
      <c r="B1518" s="491">
        <f t="shared" si="13"/>
        <v>312798.90999999997</v>
      </c>
      <c r="C1518" s="491">
        <f t="shared" si="14"/>
        <v>312598.90999999997</v>
      </c>
      <c r="D1518" s="746">
        <v>200</v>
      </c>
    </row>
    <row r="1519" spans="1:4" x14ac:dyDescent="0.2">
      <c r="A1519" s="514">
        <v>44491</v>
      </c>
      <c r="B1519" s="491">
        <f t="shared" si="13"/>
        <v>312852.06</v>
      </c>
      <c r="C1519" s="491">
        <v>312652.06</v>
      </c>
      <c r="D1519" s="746">
        <v>200</v>
      </c>
    </row>
    <row r="1520" spans="1:4" x14ac:dyDescent="0.2">
      <c r="A1520" s="514">
        <v>44494</v>
      </c>
      <c r="B1520" s="491">
        <f t="shared" si="13"/>
        <v>276164.93</v>
      </c>
      <c r="C1520" s="491">
        <v>275964.93</v>
      </c>
      <c r="D1520" s="746">
        <v>200</v>
      </c>
    </row>
    <row r="1521" spans="1:4" x14ac:dyDescent="0.2">
      <c r="A1521" s="514">
        <v>44495</v>
      </c>
      <c r="B1521" s="491">
        <f t="shared" ref="B1521:B1584" si="15">C1521+D1521</f>
        <v>272175.64</v>
      </c>
      <c r="C1521" s="491">
        <v>271975.64</v>
      </c>
      <c r="D1521" s="746">
        <v>200</v>
      </c>
    </row>
    <row r="1522" spans="1:4" x14ac:dyDescent="0.2">
      <c r="A1522" s="514">
        <v>44496</v>
      </c>
      <c r="B1522" s="491">
        <f t="shared" si="15"/>
        <v>272175.64</v>
      </c>
      <c r="C1522" s="491">
        <f t="shared" si="14"/>
        <v>271975.64</v>
      </c>
      <c r="D1522" s="746">
        <v>200</v>
      </c>
    </row>
    <row r="1523" spans="1:4" x14ac:dyDescent="0.2">
      <c r="A1523" s="514">
        <v>44497</v>
      </c>
      <c r="B1523" s="491">
        <f t="shared" si="15"/>
        <v>272474.64</v>
      </c>
      <c r="C1523" s="491">
        <v>272274.64</v>
      </c>
      <c r="D1523" s="746">
        <v>200</v>
      </c>
    </row>
    <row r="1524" spans="1:4" x14ac:dyDescent="0.2">
      <c r="A1524" s="514">
        <v>44498</v>
      </c>
      <c r="B1524" s="491">
        <f t="shared" si="15"/>
        <v>272174.19</v>
      </c>
      <c r="C1524" s="491">
        <v>271974.19</v>
      </c>
      <c r="D1524" s="746">
        <v>200</v>
      </c>
    </row>
    <row r="1525" spans="1:4" x14ac:dyDescent="0.2">
      <c r="A1525" s="514">
        <v>44501</v>
      </c>
      <c r="B1525" s="491">
        <f t="shared" si="15"/>
        <v>272174.19</v>
      </c>
      <c r="C1525" s="491">
        <f>C1524</f>
        <v>271974.19</v>
      </c>
      <c r="D1525" s="746">
        <v>200</v>
      </c>
    </row>
    <row r="1526" spans="1:4" x14ac:dyDescent="0.2">
      <c r="A1526" s="514">
        <v>44502</v>
      </c>
      <c r="B1526" s="491">
        <f t="shared" si="15"/>
        <v>272174.19</v>
      </c>
      <c r="C1526" s="491">
        <f t="shared" ref="C1526:C1564" si="16">C1525</f>
        <v>271974.19</v>
      </c>
      <c r="D1526" s="746">
        <v>200</v>
      </c>
    </row>
    <row r="1527" spans="1:4" x14ac:dyDescent="0.2">
      <c r="A1527" s="514">
        <v>44503</v>
      </c>
      <c r="B1527" s="491">
        <f t="shared" si="15"/>
        <v>260821.81</v>
      </c>
      <c r="C1527" s="491">
        <v>260621.81</v>
      </c>
      <c r="D1527" s="746">
        <v>200</v>
      </c>
    </row>
    <row r="1528" spans="1:4" x14ac:dyDescent="0.2">
      <c r="A1528" s="514">
        <v>44504</v>
      </c>
      <c r="B1528" s="491">
        <f t="shared" si="15"/>
        <v>260821.81</v>
      </c>
      <c r="C1528" s="491">
        <f t="shared" si="16"/>
        <v>260621.81</v>
      </c>
      <c r="D1528" s="746">
        <v>200</v>
      </c>
    </row>
    <row r="1529" spans="1:4" x14ac:dyDescent="0.2">
      <c r="A1529" s="514">
        <v>44505</v>
      </c>
      <c r="B1529" s="491">
        <f t="shared" si="15"/>
        <v>260821.81</v>
      </c>
      <c r="C1529" s="491">
        <f t="shared" si="16"/>
        <v>260621.81</v>
      </c>
      <c r="D1529" s="746">
        <v>200</v>
      </c>
    </row>
    <row r="1530" spans="1:4" x14ac:dyDescent="0.2">
      <c r="A1530" s="514">
        <v>44508</v>
      </c>
      <c r="B1530" s="549">
        <f t="shared" si="15"/>
        <v>224274.32</v>
      </c>
      <c r="C1530" s="491">
        <v>224074.32</v>
      </c>
      <c r="D1530" s="746">
        <v>200</v>
      </c>
    </row>
    <row r="1531" spans="1:4" x14ac:dyDescent="0.2">
      <c r="A1531" s="514">
        <v>44509</v>
      </c>
      <c r="B1531" s="491">
        <f t="shared" si="15"/>
        <v>239871.56</v>
      </c>
      <c r="C1531" s="491">
        <v>239671.56</v>
      </c>
      <c r="D1531" s="746">
        <v>200</v>
      </c>
    </row>
    <row r="1532" spans="1:4" x14ac:dyDescent="0.2">
      <c r="A1532" s="514">
        <v>44510</v>
      </c>
      <c r="B1532" s="491">
        <f t="shared" si="15"/>
        <v>260426.56</v>
      </c>
      <c r="C1532" s="491">
        <v>260226.56</v>
      </c>
      <c r="D1532" s="746">
        <v>200</v>
      </c>
    </row>
    <row r="1533" spans="1:4" x14ac:dyDescent="0.2">
      <c r="A1533" s="514">
        <v>44511</v>
      </c>
      <c r="B1533" s="491">
        <f t="shared" si="15"/>
        <v>260426.56</v>
      </c>
      <c r="C1533" s="491">
        <f t="shared" si="16"/>
        <v>260226.56</v>
      </c>
      <c r="D1533" s="746">
        <v>200</v>
      </c>
    </row>
    <row r="1534" spans="1:4" x14ac:dyDescent="0.2">
      <c r="A1534" s="514">
        <v>44512</v>
      </c>
      <c r="B1534" s="491">
        <f t="shared" si="15"/>
        <v>260450.57</v>
      </c>
      <c r="C1534" s="491">
        <v>260250.57</v>
      </c>
      <c r="D1534" s="746">
        <v>200</v>
      </c>
    </row>
    <row r="1535" spans="1:4" x14ac:dyDescent="0.2">
      <c r="A1535" s="514">
        <v>44515</v>
      </c>
      <c r="B1535" s="491">
        <f t="shared" si="15"/>
        <v>260178.68</v>
      </c>
      <c r="C1535" s="491">
        <v>259978.68</v>
      </c>
      <c r="D1535" s="746">
        <v>200</v>
      </c>
    </row>
    <row r="1536" spans="1:4" x14ac:dyDescent="0.2">
      <c r="A1536" s="514">
        <v>44516</v>
      </c>
      <c r="B1536" s="491">
        <f t="shared" si="15"/>
        <v>260178.68</v>
      </c>
      <c r="C1536" s="491">
        <f t="shared" si="16"/>
        <v>259978.68</v>
      </c>
      <c r="D1536" s="746">
        <v>200</v>
      </c>
    </row>
    <row r="1537" spans="1:4" x14ac:dyDescent="0.2">
      <c r="A1537" s="514">
        <v>44517</v>
      </c>
      <c r="B1537" s="491">
        <f t="shared" si="15"/>
        <v>260178.68</v>
      </c>
      <c r="C1537" s="491">
        <f t="shared" si="16"/>
        <v>259978.68</v>
      </c>
      <c r="D1537" s="746">
        <v>200</v>
      </c>
    </row>
    <row r="1538" spans="1:4" x14ac:dyDescent="0.2">
      <c r="A1538" s="514">
        <v>44518</v>
      </c>
      <c r="B1538" s="491">
        <f t="shared" si="15"/>
        <v>298441.25</v>
      </c>
      <c r="C1538" s="491">
        <v>298241.25</v>
      </c>
      <c r="D1538" s="746">
        <v>200</v>
      </c>
    </row>
    <row r="1539" spans="1:4" x14ac:dyDescent="0.2">
      <c r="A1539" s="514">
        <v>44519</v>
      </c>
      <c r="B1539" s="491">
        <f t="shared" si="15"/>
        <v>302391.25</v>
      </c>
      <c r="C1539" s="491">
        <v>302191.25</v>
      </c>
      <c r="D1539" s="746">
        <v>200</v>
      </c>
    </row>
    <row r="1540" spans="1:4" x14ac:dyDescent="0.2">
      <c r="A1540" s="514">
        <v>44522</v>
      </c>
      <c r="B1540" s="491">
        <f t="shared" si="15"/>
        <v>261860.06</v>
      </c>
      <c r="C1540" s="491">
        <v>261660.06</v>
      </c>
      <c r="D1540" s="746">
        <v>200</v>
      </c>
    </row>
    <row r="1541" spans="1:4" x14ac:dyDescent="0.2">
      <c r="A1541" s="514">
        <v>44523</v>
      </c>
      <c r="B1541" s="491">
        <f t="shared" si="15"/>
        <v>261860.06</v>
      </c>
      <c r="C1541" s="491">
        <f t="shared" si="16"/>
        <v>261660.06</v>
      </c>
      <c r="D1541" s="746">
        <v>200</v>
      </c>
    </row>
    <row r="1542" spans="1:4" x14ac:dyDescent="0.2">
      <c r="A1542" s="514">
        <v>44524</v>
      </c>
      <c r="B1542" s="491">
        <f t="shared" si="15"/>
        <v>336740.96</v>
      </c>
      <c r="C1542" s="491">
        <v>336540.96</v>
      </c>
      <c r="D1542" s="746">
        <v>200</v>
      </c>
    </row>
    <row r="1543" spans="1:4" x14ac:dyDescent="0.2">
      <c r="A1543" s="514">
        <v>44525</v>
      </c>
      <c r="B1543" s="491">
        <f t="shared" si="15"/>
        <v>336740.96</v>
      </c>
      <c r="C1543" s="491">
        <f t="shared" si="16"/>
        <v>336540.96</v>
      </c>
      <c r="D1543" s="746">
        <v>200</v>
      </c>
    </row>
    <row r="1544" spans="1:4" x14ac:dyDescent="0.2">
      <c r="A1544" s="514">
        <v>44526</v>
      </c>
      <c r="B1544" s="491">
        <f t="shared" si="15"/>
        <v>396383.57</v>
      </c>
      <c r="C1544" s="491">
        <v>396183.57</v>
      </c>
      <c r="D1544" s="746">
        <v>200</v>
      </c>
    </row>
    <row r="1545" spans="1:4" x14ac:dyDescent="0.2">
      <c r="A1545" s="514">
        <v>44529</v>
      </c>
      <c r="B1545" s="491">
        <f t="shared" si="15"/>
        <v>396383.57</v>
      </c>
      <c r="C1545" s="491">
        <f t="shared" si="16"/>
        <v>396183.57</v>
      </c>
      <c r="D1545" s="746">
        <v>200</v>
      </c>
    </row>
    <row r="1546" spans="1:4" x14ac:dyDescent="0.2">
      <c r="A1546" s="514">
        <v>44530</v>
      </c>
      <c r="B1546" s="491">
        <f t="shared" si="15"/>
        <v>396383.57</v>
      </c>
      <c r="C1546" s="491">
        <f t="shared" si="16"/>
        <v>396183.57</v>
      </c>
      <c r="D1546" s="746">
        <v>200</v>
      </c>
    </row>
    <row r="1547" spans="1:4" x14ac:dyDescent="0.2">
      <c r="A1547" s="514">
        <v>44531</v>
      </c>
      <c r="B1547" s="491">
        <f t="shared" si="15"/>
        <v>406646.33</v>
      </c>
      <c r="C1547" s="491">
        <v>406446.33</v>
      </c>
      <c r="D1547" s="746">
        <v>200</v>
      </c>
    </row>
    <row r="1548" spans="1:4" x14ac:dyDescent="0.2">
      <c r="A1548" s="514">
        <v>44532</v>
      </c>
      <c r="B1548" s="491">
        <f t="shared" si="15"/>
        <v>406646.33</v>
      </c>
      <c r="C1548" s="491">
        <f t="shared" si="16"/>
        <v>406446.33</v>
      </c>
      <c r="D1548" s="746">
        <v>200</v>
      </c>
    </row>
    <row r="1549" spans="1:4" x14ac:dyDescent="0.2">
      <c r="A1549" s="514">
        <v>44533</v>
      </c>
      <c r="B1549" s="491">
        <f t="shared" si="15"/>
        <v>402705.53</v>
      </c>
      <c r="C1549" s="491">
        <v>402505.53</v>
      </c>
      <c r="D1549" s="746">
        <v>200</v>
      </c>
    </row>
    <row r="1550" spans="1:4" x14ac:dyDescent="0.2">
      <c r="A1550" s="514">
        <v>44536</v>
      </c>
      <c r="B1550" s="491">
        <f t="shared" si="15"/>
        <v>402705.53</v>
      </c>
      <c r="C1550" s="491">
        <f t="shared" si="16"/>
        <v>402505.53</v>
      </c>
      <c r="D1550" s="746">
        <v>200</v>
      </c>
    </row>
    <row r="1551" spans="1:4" x14ac:dyDescent="0.2">
      <c r="A1551" s="514">
        <v>44537</v>
      </c>
      <c r="B1551" s="491">
        <f t="shared" si="15"/>
        <v>367227.88</v>
      </c>
      <c r="C1551" s="491">
        <v>367027.88</v>
      </c>
      <c r="D1551" s="746">
        <v>200</v>
      </c>
    </row>
    <row r="1552" spans="1:4" x14ac:dyDescent="0.2">
      <c r="A1552" s="514">
        <v>44538</v>
      </c>
      <c r="B1552" s="491">
        <f t="shared" si="15"/>
        <v>367227.88</v>
      </c>
      <c r="C1552" s="491">
        <f t="shared" si="16"/>
        <v>367027.88</v>
      </c>
      <c r="D1552" s="746">
        <v>200</v>
      </c>
    </row>
    <row r="1553" spans="1:4" x14ac:dyDescent="0.2">
      <c r="A1553" s="514">
        <v>44539</v>
      </c>
      <c r="B1553" s="491">
        <f t="shared" si="15"/>
        <v>361816.56</v>
      </c>
      <c r="C1553" s="491">
        <v>361616.56</v>
      </c>
      <c r="D1553" s="746">
        <v>200</v>
      </c>
    </row>
    <row r="1554" spans="1:4" x14ac:dyDescent="0.2">
      <c r="A1554" s="514">
        <v>44540</v>
      </c>
      <c r="B1554" s="491">
        <f t="shared" si="15"/>
        <v>363428.01</v>
      </c>
      <c r="C1554" s="491">
        <v>363228.01</v>
      </c>
      <c r="D1554" s="746">
        <v>200</v>
      </c>
    </row>
    <row r="1555" spans="1:4" x14ac:dyDescent="0.2">
      <c r="A1555" s="514">
        <v>44543</v>
      </c>
      <c r="B1555" s="491">
        <f t="shared" si="15"/>
        <v>363428.01</v>
      </c>
      <c r="C1555" s="491">
        <f t="shared" si="16"/>
        <v>363228.01</v>
      </c>
      <c r="D1555" s="746">
        <v>200</v>
      </c>
    </row>
    <row r="1556" spans="1:4" x14ac:dyDescent="0.2">
      <c r="A1556" s="514">
        <v>44544</v>
      </c>
      <c r="B1556" s="491">
        <f t="shared" si="15"/>
        <v>388311.01</v>
      </c>
      <c r="C1556" s="491">
        <v>388111.01</v>
      </c>
      <c r="D1556" s="746">
        <v>200</v>
      </c>
    </row>
    <row r="1557" spans="1:4" x14ac:dyDescent="0.2">
      <c r="A1557" s="514">
        <v>44545</v>
      </c>
      <c r="B1557" s="491">
        <f t="shared" si="15"/>
        <v>388648.09</v>
      </c>
      <c r="C1557" s="491">
        <v>388448.09</v>
      </c>
      <c r="D1557" s="746">
        <v>200</v>
      </c>
    </row>
    <row r="1558" spans="1:4" x14ac:dyDescent="0.2">
      <c r="A1558" s="514">
        <v>44546</v>
      </c>
      <c r="B1558" s="491">
        <f t="shared" si="15"/>
        <v>388648.09</v>
      </c>
      <c r="C1558" s="491">
        <f t="shared" si="16"/>
        <v>388448.09</v>
      </c>
      <c r="D1558" s="746">
        <v>200</v>
      </c>
    </row>
    <row r="1559" spans="1:4" x14ac:dyDescent="0.2">
      <c r="A1559" s="514">
        <v>44547</v>
      </c>
      <c r="B1559" s="491">
        <f t="shared" si="15"/>
        <v>388648.09</v>
      </c>
      <c r="C1559" s="491">
        <f t="shared" si="16"/>
        <v>388448.09</v>
      </c>
      <c r="D1559" s="746">
        <v>200</v>
      </c>
    </row>
    <row r="1560" spans="1:4" x14ac:dyDescent="0.2">
      <c r="A1560" s="514">
        <v>44550</v>
      </c>
      <c r="B1560" s="491">
        <f t="shared" si="15"/>
        <v>402388.44</v>
      </c>
      <c r="C1560" s="491">
        <v>402188.44</v>
      </c>
      <c r="D1560" s="746">
        <v>200</v>
      </c>
    </row>
    <row r="1561" spans="1:4" x14ac:dyDescent="0.2">
      <c r="A1561" s="514">
        <v>44551</v>
      </c>
      <c r="B1561" s="491">
        <f t="shared" si="15"/>
        <v>364870.61</v>
      </c>
      <c r="C1561" s="491">
        <v>364670.61</v>
      </c>
      <c r="D1561" s="746">
        <v>200</v>
      </c>
    </row>
    <row r="1562" spans="1:4" x14ac:dyDescent="0.2">
      <c r="A1562" s="514">
        <v>44552</v>
      </c>
      <c r="B1562" s="491">
        <f t="shared" si="15"/>
        <v>364870.61</v>
      </c>
      <c r="C1562" s="491">
        <f t="shared" si="16"/>
        <v>364670.61</v>
      </c>
      <c r="D1562" s="746">
        <v>200</v>
      </c>
    </row>
    <row r="1563" spans="1:4" x14ac:dyDescent="0.2">
      <c r="A1563" s="514">
        <v>44553</v>
      </c>
      <c r="B1563" s="491">
        <f t="shared" si="15"/>
        <v>364270.61</v>
      </c>
      <c r="C1563" s="491">
        <v>364070.61</v>
      </c>
      <c r="D1563" s="746">
        <v>200</v>
      </c>
    </row>
    <row r="1564" spans="1:4" x14ac:dyDescent="0.2">
      <c r="A1564" s="514">
        <v>44554</v>
      </c>
      <c r="B1564" s="491">
        <f t="shared" si="15"/>
        <v>364270.61</v>
      </c>
      <c r="C1564" s="491">
        <f t="shared" si="16"/>
        <v>364070.61</v>
      </c>
      <c r="D1564" s="746">
        <v>200</v>
      </c>
    </row>
    <row r="1565" spans="1:4" x14ac:dyDescent="0.2">
      <c r="A1565" s="514">
        <v>44557</v>
      </c>
      <c r="B1565" s="491">
        <f t="shared" si="15"/>
        <v>364511.61</v>
      </c>
      <c r="C1565" s="491">
        <v>364311.61</v>
      </c>
      <c r="D1565" s="746">
        <v>200</v>
      </c>
    </row>
    <row r="1566" spans="1:4" x14ac:dyDescent="0.2">
      <c r="A1566" s="514">
        <v>44558</v>
      </c>
      <c r="B1566" s="491">
        <f t="shared" si="15"/>
        <v>366287.78</v>
      </c>
      <c r="C1566" s="491">
        <v>366087.78</v>
      </c>
      <c r="D1566" s="746">
        <v>200</v>
      </c>
    </row>
    <row r="1567" spans="1:4" x14ac:dyDescent="0.2">
      <c r="A1567" s="514">
        <v>44559</v>
      </c>
      <c r="B1567" s="491">
        <f t="shared" si="15"/>
        <v>406505.93</v>
      </c>
      <c r="C1567" s="491">
        <v>406305.93</v>
      </c>
      <c r="D1567" s="746">
        <v>200</v>
      </c>
    </row>
    <row r="1568" spans="1:4" x14ac:dyDescent="0.2">
      <c r="A1568" s="514">
        <v>44560</v>
      </c>
      <c r="B1568" s="491">
        <f>C1568+D1568</f>
        <v>406602.93</v>
      </c>
      <c r="C1568" s="491">
        <v>406402.93</v>
      </c>
      <c r="D1568" s="746">
        <v>200</v>
      </c>
    </row>
    <row r="1569" spans="1:4" x14ac:dyDescent="0.2">
      <c r="A1569" s="514">
        <v>44561</v>
      </c>
      <c r="B1569" s="491">
        <f t="shared" si="15"/>
        <v>406700.45</v>
      </c>
      <c r="C1569" s="491">
        <v>406500.45</v>
      </c>
      <c r="D1569" s="746">
        <v>200</v>
      </c>
    </row>
    <row r="1570" spans="1:4" x14ac:dyDescent="0.2">
      <c r="A1570" s="514">
        <v>44564</v>
      </c>
      <c r="B1570" s="491">
        <f t="shared" si="15"/>
        <v>406650.45</v>
      </c>
      <c r="C1570" s="491">
        <v>406450.45</v>
      </c>
      <c r="D1570" s="746">
        <v>200</v>
      </c>
    </row>
    <row r="1571" spans="1:4" x14ac:dyDescent="0.2">
      <c r="A1571" s="514">
        <v>44565</v>
      </c>
      <c r="B1571" s="491">
        <f t="shared" si="15"/>
        <v>372842.39</v>
      </c>
      <c r="C1571" s="491">
        <v>372642.39</v>
      </c>
      <c r="D1571" s="746">
        <v>200</v>
      </c>
    </row>
    <row r="1572" spans="1:4" x14ac:dyDescent="0.2">
      <c r="A1572" s="514">
        <v>44566</v>
      </c>
      <c r="B1572" s="491">
        <f t="shared" si="15"/>
        <v>370078.36</v>
      </c>
      <c r="C1572" s="491">
        <v>369878.36</v>
      </c>
      <c r="D1572" s="746">
        <v>200</v>
      </c>
    </row>
    <row r="1573" spans="1:4" x14ac:dyDescent="0.2">
      <c r="A1573" s="514">
        <v>44567</v>
      </c>
      <c r="B1573" s="491">
        <f t="shared" si="15"/>
        <v>368257.32</v>
      </c>
      <c r="C1573" s="491">
        <v>368057.32</v>
      </c>
      <c r="D1573" s="746">
        <v>200</v>
      </c>
    </row>
    <row r="1574" spans="1:4" x14ac:dyDescent="0.2">
      <c r="A1574" s="514">
        <v>44568</v>
      </c>
      <c r="B1574" s="491">
        <f t="shared" si="15"/>
        <v>369146.3</v>
      </c>
      <c r="C1574" s="491">
        <v>368946.3</v>
      </c>
      <c r="D1574" s="746">
        <v>200</v>
      </c>
    </row>
    <row r="1575" spans="1:4" x14ac:dyDescent="0.2">
      <c r="A1575" s="514">
        <v>44571</v>
      </c>
      <c r="B1575" s="491">
        <f t="shared" si="15"/>
        <v>369146.3</v>
      </c>
      <c r="C1575" s="491">
        <f t="shared" ref="C1575:C1637" si="17">C1574</f>
        <v>368946.3</v>
      </c>
      <c r="D1575" s="746">
        <v>200</v>
      </c>
    </row>
    <row r="1576" spans="1:4" x14ac:dyDescent="0.2">
      <c r="A1576" s="514">
        <v>44572</v>
      </c>
      <c r="B1576" s="491">
        <f t="shared" si="15"/>
        <v>369146.3</v>
      </c>
      <c r="C1576" s="491">
        <f t="shared" si="17"/>
        <v>368946.3</v>
      </c>
      <c r="D1576" s="746">
        <v>200</v>
      </c>
    </row>
    <row r="1577" spans="1:4" x14ac:dyDescent="0.2">
      <c r="A1577" s="514">
        <v>44573</v>
      </c>
      <c r="B1577" s="491">
        <f t="shared" si="15"/>
        <v>369146.3</v>
      </c>
      <c r="C1577" s="491">
        <f t="shared" si="17"/>
        <v>368946.3</v>
      </c>
      <c r="D1577" s="746">
        <v>200</v>
      </c>
    </row>
    <row r="1578" spans="1:4" x14ac:dyDescent="0.2">
      <c r="A1578" s="514">
        <v>44574</v>
      </c>
      <c r="B1578" s="491">
        <f t="shared" si="15"/>
        <v>369318.3</v>
      </c>
      <c r="C1578" s="491">
        <v>369118.3</v>
      </c>
      <c r="D1578" s="746">
        <v>200</v>
      </c>
    </row>
    <row r="1579" spans="1:4" x14ac:dyDescent="0.2">
      <c r="A1579" s="514">
        <v>44575</v>
      </c>
      <c r="B1579" s="491">
        <f t="shared" si="15"/>
        <v>369357.16</v>
      </c>
      <c r="C1579" s="491">
        <v>369157.16</v>
      </c>
      <c r="D1579" s="746">
        <v>200</v>
      </c>
    </row>
    <row r="1580" spans="1:4" x14ac:dyDescent="0.2">
      <c r="A1580" s="514">
        <v>44578</v>
      </c>
      <c r="B1580" s="491">
        <f t="shared" si="15"/>
        <v>369357.16</v>
      </c>
      <c r="C1580" s="491">
        <f t="shared" si="17"/>
        <v>369157.16</v>
      </c>
      <c r="D1580" s="746">
        <v>200</v>
      </c>
    </row>
    <row r="1581" spans="1:4" x14ac:dyDescent="0.2">
      <c r="A1581" s="514">
        <v>44579</v>
      </c>
      <c r="B1581" s="491">
        <f t="shared" si="15"/>
        <v>328912.42</v>
      </c>
      <c r="C1581" s="491">
        <v>328712.42</v>
      </c>
      <c r="D1581" s="746">
        <v>200</v>
      </c>
    </row>
    <row r="1582" spans="1:4" x14ac:dyDescent="0.2">
      <c r="A1582" s="514">
        <v>44580</v>
      </c>
      <c r="B1582" s="491">
        <f t="shared" si="15"/>
        <v>324854.01</v>
      </c>
      <c r="C1582" s="491">
        <v>324654.01</v>
      </c>
      <c r="D1582" s="746">
        <v>200</v>
      </c>
    </row>
    <row r="1583" spans="1:4" x14ac:dyDescent="0.2">
      <c r="A1583" s="514">
        <v>44581</v>
      </c>
      <c r="B1583" s="491">
        <f t="shared" si="15"/>
        <v>373026.22</v>
      </c>
      <c r="C1583" s="491">
        <v>372826.22</v>
      </c>
      <c r="D1583" s="746">
        <v>200</v>
      </c>
    </row>
    <row r="1584" spans="1:4" ht="12.75" customHeight="1" x14ac:dyDescent="0.2">
      <c r="A1584" s="514">
        <v>44582</v>
      </c>
      <c r="B1584" s="491">
        <f t="shared" si="15"/>
        <v>372715.39</v>
      </c>
      <c r="C1584" s="491">
        <v>372515.39</v>
      </c>
      <c r="D1584" s="746">
        <v>200</v>
      </c>
    </row>
    <row r="1585" spans="1:4" x14ac:dyDescent="0.2">
      <c r="A1585" s="514">
        <v>44585</v>
      </c>
      <c r="B1585" s="491">
        <f t="shared" ref="B1585:B1648" si="18">C1585+D1585</f>
        <v>352413.78</v>
      </c>
      <c r="C1585" s="491">
        <v>352213.78</v>
      </c>
      <c r="D1585" s="746">
        <v>200</v>
      </c>
    </row>
    <row r="1586" spans="1:4" x14ac:dyDescent="0.2">
      <c r="A1586" s="514">
        <v>44586</v>
      </c>
      <c r="B1586" s="491">
        <f t="shared" si="18"/>
        <v>324543.71999999997</v>
      </c>
      <c r="C1586" s="491">
        <v>324343.71999999997</v>
      </c>
      <c r="D1586" s="746">
        <v>200</v>
      </c>
    </row>
    <row r="1587" spans="1:4" x14ac:dyDescent="0.2">
      <c r="A1587" s="514">
        <v>44587</v>
      </c>
      <c r="B1587" s="491">
        <f t="shared" si="18"/>
        <v>324510.76</v>
      </c>
      <c r="C1587" s="491">
        <v>324310.76</v>
      </c>
      <c r="D1587" s="746">
        <v>200</v>
      </c>
    </row>
    <row r="1588" spans="1:4" x14ac:dyDescent="0.2">
      <c r="A1588" s="514">
        <v>44588</v>
      </c>
      <c r="B1588" s="491">
        <f t="shared" si="18"/>
        <v>290902.11</v>
      </c>
      <c r="C1588" s="491">
        <v>290702.11</v>
      </c>
      <c r="D1588" s="746">
        <v>200</v>
      </c>
    </row>
    <row r="1589" spans="1:4" x14ac:dyDescent="0.2">
      <c r="A1589" s="514">
        <v>44589</v>
      </c>
      <c r="B1589" s="491">
        <f t="shared" si="18"/>
        <v>290902.11</v>
      </c>
      <c r="C1589" s="491">
        <f t="shared" si="17"/>
        <v>290702.11</v>
      </c>
      <c r="D1589" s="746">
        <v>200</v>
      </c>
    </row>
    <row r="1590" spans="1:4" x14ac:dyDescent="0.2">
      <c r="A1590" s="514">
        <v>44592</v>
      </c>
      <c r="B1590" s="491">
        <f t="shared" si="18"/>
        <v>309578.59999999998</v>
      </c>
      <c r="C1590" s="491">
        <v>309378.59999999998</v>
      </c>
      <c r="D1590" s="746">
        <v>200</v>
      </c>
    </row>
    <row r="1591" spans="1:4" x14ac:dyDescent="0.2">
      <c r="A1591" s="514">
        <v>44593</v>
      </c>
      <c r="B1591" s="491">
        <f t="shared" si="18"/>
        <v>292963.95</v>
      </c>
      <c r="C1591" s="491">
        <v>292763.95</v>
      </c>
      <c r="D1591" s="746">
        <v>200</v>
      </c>
    </row>
    <row r="1592" spans="1:4" x14ac:dyDescent="0.2">
      <c r="A1592" s="514">
        <v>44594</v>
      </c>
      <c r="B1592" s="491">
        <f t="shared" si="18"/>
        <v>345714.5</v>
      </c>
      <c r="C1592" s="491">
        <v>345514.5</v>
      </c>
      <c r="D1592" s="746">
        <v>200</v>
      </c>
    </row>
    <row r="1593" spans="1:4" x14ac:dyDescent="0.2">
      <c r="A1593" s="514">
        <v>44595</v>
      </c>
      <c r="B1593" s="491">
        <f t="shared" si="18"/>
        <v>344030.58</v>
      </c>
      <c r="C1593" s="491">
        <v>343830.58</v>
      </c>
      <c r="D1593" s="746">
        <v>200</v>
      </c>
    </row>
    <row r="1594" spans="1:4" x14ac:dyDescent="0.2">
      <c r="A1594" s="514">
        <v>44596</v>
      </c>
      <c r="B1594" s="491">
        <f t="shared" si="18"/>
        <v>387503.42</v>
      </c>
      <c r="C1594" s="491">
        <v>387303.42</v>
      </c>
      <c r="D1594" s="746">
        <v>200</v>
      </c>
    </row>
    <row r="1595" spans="1:4" x14ac:dyDescent="0.2">
      <c r="A1595" s="514">
        <v>44599</v>
      </c>
      <c r="B1595" s="491">
        <f t="shared" si="18"/>
        <v>387503.42</v>
      </c>
      <c r="C1595" s="491">
        <f t="shared" si="17"/>
        <v>387303.42</v>
      </c>
      <c r="D1595" s="746">
        <v>200</v>
      </c>
    </row>
    <row r="1596" spans="1:4" x14ac:dyDescent="0.2">
      <c r="A1596" s="514">
        <v>44600</v>
      </c>
      <c r="B1596" s="491">
        <f t="shared" si="18"/>
        <v>387503.42</v>
      </c>
      <c r="C1596" s="491">
        <f t="shared" si="17"/>
        <v>387303.42</v>
      </c>
      <c r="D1596" s="746">
        <v>200</v>
      </c>
    </row>
    <row r="1597" spans="1:4" x14ac:dyDescent="0.2">
      <c r="A1597" s="514">
        <v>44601</v>
      </c>
      <c r="B1597" s="491">
        <f t="shared" si="18"/>
        <v>387503.42</v>
      </c>
      <c r="C1597" s="491">
        <f t="shared" si="17"/>
        <v>387303.42</v>
      </c>
      <c r="D1597" s="746">
        <v>200</v>
      </c>
    </row>
    <row r="1598" spans="1:4" x14ac:dyDescent="0.2">
      <c r="A1598" s="514">
        <v>44602</v>
      </c>
      <c r="B1598" s="549">
        <f t="shared" si="18"/>
        <v>411517.59</v>
      </c>
      <c r="C1598" s="491">
        <v>411317.59</v>
      </c>
      <c r="D1598" s="746">
        <v>200</v>
      </c>
    </row>
    <row r="1599" spans="1:4" x14ac:dyDescent="0.2">
      <c r="A1599" s="514">
        <v>44603</v>
      </c>
      <c r="B1599" s="491">
        <f t="shared" si="18"/>
        <v>388476.71</v>
      </c>
      <c r="C1599" s="491">
        <v>388276.71</v>
      </c>
      <c r="D1599" s="746">
        <v>200</v>
      </c>
    </row>
    <row r="1600" spans="1:4" x14ac:dyDescent="0.2">
      <c r="A1600" s="514">
        <v>44606</v>
      </c>
      <c r="B1600" s="491">
        <f t="shared" si="18"/>
        <v>388476.71</v>
      </c>
      <c r="C1600" s="491">
        <f t="shared" si="17"/>
        <v>388276.71</v>
      </c>
      <c r="D1600" s="746">
        <v>200</v>
      </c>
    </row>
    <row r="1601" spans="1:4" x14ac:dyDescent="0.2">
      <c r="A1601" s="514">
        <v>44607</v>
      </c>
      <c r="B1601" s="491">
        <f t="shared" si="18"/>
        <v>350398.25</v>
      </c>
      <c r="C1601" s="491">
        <v>350198.25</v>
      </c>
      <c r="D1601" s="746">
        <v>200</v>
      </c>
    </row>
    <row r="1602" spans="1:4" x14ac:dyDescent="0.2">
      <c r="A1602" s="514">
        <v>44608</v>
      </c>
      <c r="B1602" s="491">
        <f t="shared" si="18"/>
        <v>350398.25</v>
      </c>
      <c r="C1602" s="491">
        <f t="shared" si="17"/>
        <v>350198.25</v>
      </c>
      <c r="D1602" s="746">
        <v>200</v>
      </c>
    </row>
    <row r="1603" spans="1:4" x14ac:dyDescent="0.2">
      <c r="A1603" s="514">
        <v>44609</v>
      </c>
      <c r="B1603" s="491">
        <f t="shared" si="18"/>
        <v>329726.17</v>
      </c>
      <c r="C1603" s="491">
        <v>329526.17</v>
      </c>
      <c r="D1603" s="746">
        <v>200</v>
      </c>
    </row>
    <row r="1604" spans="1:4" x14ac:dyDescent="0.2">
      <c r="A1604" s="514">
        <v>44610</v>
      </c>
      <c r="B1604" s="491">
        <f t="shared" si="18"/>
        <v>329566.19</v>
      </c>
      <c r="C1604" s="491">
        <v>329366.19</v>
      </c>
      <c r="D1604" s="746">
        <v>200</v>
      </c>
    </row>
    <row r="1605" spans="1:4" x14ac:dyDescent="0.2">
      <c r="A1605" s="514">
        <v>44613</v>
      </c>
      <c r="B1605" s="491">
        <f t="shared" si="18"/>
        <v>329566.19</v>
      </c>
      <c r="C1605" s="491">
        <f t="shared" si="17"/>
        <v>329366.19</v>
      </c>
      <c r="D1605" s="746">
        <v>200</v>
      </c>
    </row>
    <row r="1606" spans="1:4" x14ac:dyDescent="0.2">
      <c r="A1606" s="514">
        <v>44614</v>
      </c>
      <c r="B1606" s="491">
        <f t="shared" si="18"/>
        <v>329566.19</v>
      </c>
      <c r="C1606" s="491">
        <f t="shared" si="17"/>
        <v>329366.19</v>
      </c>
      <c r="D1606" s="746">
        <v>200</v>
      </c>
    </row>
    <row r="1607" spans="1:4" x14ac:dyDescent="0.2">
      <c r="A1607" s="514">
        <v>44615</v>
      </c>
      <c r="B1607" s="491">
        <f t="shared" si="18"/>
        <v>330827.17</v>
      </c>
      <c r="C1607" s="491">
        <v>330627.17</v>
      </c>
      <c r="D1607" s="746">
        <v>200</v>
      </c>
    </row>
    <row r="1608" spans="1:4" x14ac:dyDescent="0.2">
      <c r="A1608" s="514">
        <v>44616</v>
      </c>
      <c r="B1608" s="491">
        <f t="shared" si="18"/>
        <v>331382.17</v>
      </c>
      <c r="C1608" s="491">
        <v>331182.17</v>
      </c>
      <c r="D1608" s="746">
        <v>200</v>
      </c>
    </row>
    <row r="1609" spans="1:4" x14ac:dyDescent="0.2">
      <c r="A1609" s="514">
        <v>44617</v>
      </c>
      <c r="B1609" s="491">
        <f t="shared" si="18"/>
        <v>331382.17</v>
      </c>
      <c r="C1609" s="491">
        <f t="shared" si="17"/>
        <v>331182.17</v>
      </c>
      <c r="D1609" s="746">
        <v>200</v>
      </c>
    </row>
    <row r="1610" spans="1:4" x14ac:dyDescent="0.2">
      <c r="A1610" s="514">
        <v>44620</v>
      </c>
      <c r="B1610" s="491">
        <f t="shared" si="18"/>
        <v>331382.17</v>
      </c>
      <c r="C1610" s="491">
        <f t="shared" si="17"/>
        <v>331182.17</v>
      </c>
      <c r="D1610" s="746">
        <v>200</v>
      </c>
    </row>
    <row r="1611" spans="1:4" x14ac:dyDescent="0.2">
      <c r="A1611" s="514">
        <v>44621</v>
      </c>
      <c r="B1611" s="491">
        <f t="shared" si="18"/>
        <v>293888.99</v>
      </c>
      <c r="C1611" s="491">
        <v>293688.99</v>
      </c>
      <c r="D1611" s="746">
        <v>200</v>
      </c>
    </row>
    <row r="1612" spans="1:4" x14ac:dyDescent="0.2">
      <c r="A1612" s="514">
        <v>44622</v>
      </c>
      <c r="B1612" s="491">
        <f t="shared" si="18"/>
        <v>321342.32</v>
      </c>
      <c r="C1612" s="491">
        <v>321142.32</v>
      </c>
      <c r="D1612" s="746">
        <v>200</v>
      </c>
    </row>
    <row r="1613" spans="1:4" x14ac:dyDescent="0.2">
      <c r="A1613" s="514">
        <v>44623</v>
      </c>
      <c r="B1613" s="491">
        <f t="shared" si="18"/>
        <v>328875.55</v>
      </c>
      <c r="C1613" s="491">
        <v>328675.55</v>
      </c>
      <c r="D1613" s="746">
        <v>200</v>
      </c>
    </row>
    <row r="1614" spans="1:4" x14ac:dyDescent="0.2">
      <c r="A1614" s="514">
        <v>44624</v>
      </c>
      <c r="B1614" s="491">
        <f t="shared" si="18"/>
        <v>311978.17</v>
      </c>
      <c r="C1614" s="491">
        <v>311778.17</v>
      </c>
      <c r="D1614" s="746">
        <v>200</v>
      </c>
    </row>
    <row r="1615" spans="1:4" x14ac:dyDescent="0.2">
      <c r="A1615" s="514">
        <v>44627</v>
      </c>
      <c r="B1615" s="491">
        <f t="shared" si="18"/>
        <v>311978.17</v>
      </c>
      <c r="C1615" s="491">
        <f t="shared" si="17"/>
        <v>311778.17</v>
      </c>
      <c r="D1615" s="746">
        <v>200</v>
      </c>
    </row>
    <row r="1616" spans="1:4" x14ac:dyDescent="0.2">
      <c r="A1616" s="514">
        <v>44628</v>
      </c>
      <c r="B1616" s="491">
        <f t="shared" si="18"/>
        <v>323791.65000000002</v>
      </c>
      <c r="C1616" s="491">
        <v>323591.65000000002</v>
      </c>
      <c r="D1616" s="746">
        <v>200</v>
      </c>
    </row>
    <row r="1617" spans="1:4" x14ac:dyDescent="0.2">
      <c r="A1617" s="514">
        <v>44629</v>
      </c>
      <c r="B1617" s="491">
        <f t="shared" si="18"/>
        <v>323791.65000000002</v>
      </c>
      <c r="C1617" s="491">
        <f t="shared" si="17"/>
        <v>323591.65000000002</v>
      </c>
      <c r="D1617" s="746">
        <v>200</v>
      </c>
    </row>
    <row r="1618" spans="1:4" x14ac:dyDescent="0.2">
      <c r="A1618" s="514">
        <v>44630</v>
      </c>
      <c r="B1618" s="491">
        <f t="shared" si="18"/>
        <v>304395.95</v>
      </c>
      <c r="C1618" s="491">
        <v>304195.95</v>
      </c>
      <c r="D1618" s="746">
        <v>200</v>
      </c>
    </row>
    <row r="1619" spans="1:4" x14ac:dyDescent="0.2">
      <c r="A1619" s="514">
        <v>44631</v>
      </c>
      <c r="B1619" s="491">
        <f t="shared" si="18"/>
        <v>304395.95</v>
      </c>
      <c r="C1619" s="491">
        <f t="shared" si="17"/>
        <v>304195.95</v>
      </c>
      <c r="D1619" s="746">
        <v>200</v>
      </c>
    </row>
    <row r="1620" spans="1:4" x14ac:dyDescent="0.2">
      <c r="A1620" s="514">
        <v>44634</v>
      </c>
      <c r="B1620" s="491">
        <f t="shared" si="18"/>
        <v>304395.95</v>
      </c>
      <c r="C1620" s="491">
        <f t="shared" si="17"/>
        <v>304195.95</v>
      </c>
      <c r="D1620" s="746">
        <v>200</v>
      </c>
    </row>
    <row r="1621" spans="1:4" x14ac:dyDescent="0.2">
      <c r="A1621" s="514">
        <v>44635</v>
      </c>
      <c r="B1621" s="491">
        <f t="shared" si="18"/>
        <v>354177.58</v>
      </c>
      <c r="C1621" s="491">
        <v>353977.58</v>
      </c>
      <c r="D1621" s="746">
        <v>200</v>
      </c>
    </row>
    <row r="1622" spans="1:4" x14ac:dyDescent="0.2">
      <c r="A1622" s="514">
        <v>44636</v>
      </c>
      <c r="B1622" s="491">
        <f t="shared" si="18"/>
        <v>354177.58</v>
      </c>
      <c r="C1622" s="491">
        <f t="shared" si="17"/>
        <v>353977.58</v>
      </c>
      <c r="D1622" s="746">
        <v>200</v>
      </c>
    </row>
    <row r="1623" spans="1:4" x14ac:dyDescent="0.2">
      <c r="A1623" s="514">
        <v>44637</v>
      </c>
      <c r="B1623" s="491">
        <f t="shared" si="18"/>
        <v>272443</v>
      </c>
      <c r="C1623" s="491">
        <v>272243</v>
      </c>
      <c r="D1623" s="746">
        <v>200</v>
      </c>
    </row>
    <row r="1624" spans="1:4" x14ac:dyDescent="0.2">
      <c r="A1624" s="514">
        <v>44638</v>
      </c>
      <c r="B1624" s="491">
        <f t="shared" si="18"/>
        <v>271968.02</v>
      </c>
      <c r="C1624" s="491">
        <v>271768.02</v>
      </c>
      <c r="D1624" s="746">
        <v>200</v>
      </c>
    </row>
    <row r="1625" spans="1:4" x14ac:dyDescent="0.2">
      <c r="A1625" s="514">
        <v>44641</v>
      </c>
      <c r="B1625" s="491">
        <f t="shared" si="18"/>
        <v>287143.02</v>
      </c>
      <c r="C1625" s="491">
        <v>286943.02</v>
      </c>
      <c r="D1625" s="746">
        <v>200</v>
      </c>
    </row>
    <row r="1626" spans="1:4" x14ac:dyDescent="0.2">
      <c r="A1626" s="514">
        <v>44642</v>
      </c>
      <c r="B1626" s="491">
        <f t="shared" si="18"/>
        <v>287143.02</v>
      </c>
      <c r="C1626" s="491">
        <f t="shared" si="17"/>
        <v>286943.02</v>
      </c>
      <c r="D1626" s="746">
        <v>200</v>
      </c>
    </row>
    <row r="1627" spans="1:4" x14ac:dyDescent="0.2">
      <c r="A1627" s="514">
        <v>44643</v>
      </c>
      <c r="B1627" s="491">
        <f t="shared" si="18"/>
        <v>171561.3</v>
      </c>
      <c r="C1627" s="491">
        <v>171361.3</v>
      </c>
      <c r="D1627" s="746">
        <v>200</v>
      </c>
    </row>
    <row r="1628" spans="1:4" x14ac:dyDescent="0.2">
      <c r="A1628" s="514">
        <v>44644</v>
      </c>
      <c r="B1628" s="491">
        <f t="shared" si="18"/>
        <v>171561.3</v>
      </c>
      <c r="C1628" s="491">
        <f t="shared" si="17"/>
        <v>171361.3</v>
      </c>
      <c r="D1628" s="746">
        <v>200</v>
      </c>
    </row>
    <row r="1629" spans="1:4" x14ac:dyDescent="0.2">
      <c r="A1629" s="514">
        <v>44645</v>
      </c>
      <c r="B1629" s="491">
        <f t="shared" si="18"/>
        <v>194069.16</v>
      </c>
      <c r="C1629" s="491">
        <v>193869.16</v>
      </c>
      <c r="D1629" s="746">
        <v>200</v>
      </c>
    </row>
    <row r="1630" spans="1:4" x14ac:dyDescent="0.2">
      <c r="A1630" s="514">
        <v>44648</v>
      </c>
      <c r="B1630" s="491">
        <f t="shared" si="18"/>
        <v>184965.34</v>
      </c>
      <c r="C1630" s="491">
        <v>184765.34</v>
      </c>
      <c r="D1630" s="746">
        <v>200</v>
      </c>
    </row>
    <row r="1631" spans="1:4" x14ac:dyDescent="0.2">
      <c r="A1631" s="514">
        <v>44649</v>
      </c>
      <c r="B1631" s="491">
        <f t="shared" si="18"/>
        <v>140741.59</v>
      </c>
      <c r="C1631" s="491">
        <v>140541.59</v>
      </c>
      <c r="D1631" s="746">
        <v>200</v>
      </c>
    </row>
    <row r="1632" spans="1:4" x14ac:dyDescent="0.2">
      <c r="A1632" s="514">
        <v>44650</v>
      </c>
      <c r="B1632" s="549">
        <f t="shared" si="18"/>
        <v>140708.63</v>
      </c>
      <c r="C1632" s="491">
        <v>140508.63</v>
      </c>
      <c r="D1632" s="746">
        <v>200</v>
      </c>
    </row>
    <row r="1633" spans="1:4" x14ac:dyDescent="0.2">
      <c r="A1633" s="514">
        <v>44651</v>
      </c>
      <c r="B1633" s="491">
        <f t="shared" si="18"/>
        <v>281239.25</v>
      </c>
      <c r="C1633" s="491">
        <v>281039.25</v>
      </c>
      <c r="D1633" s="746">
        <v>200</v>
      </c>
    </row>
    <row r="1634" spans="1:4" x14ac:dyDescent="0.2">
      <c r="A1634" s="514">
        <v>44652</v>
      </c>
      <c r="B1634" s="491">
        <f t="shared" si="18"/>
        <v>283716.02</v>
      </c>
      <c r="C1634" s="491">
        <v>283516.02</v>
      </c>
      <c r="D1634" s="746">
        <v>200</v>
      </c>
    </row>
    <row r="1635" spans="1:4" x14ac:dyDescent="0.2">
      <c r="A1635" s="514">
        <v>44655</v>
      </c>
      <c r="B1635" s="491">
        <f t="shared" si="18"/>
        <v>283716.02</v>
      </c>
      <c r="C1635" s="491">
        <f t="shared" si="17"/>
        <v>283516.02</v>
      </c>
      <c r="D1635" s="746">
        <v>200</v>
      </c>
    </row>
    <row r="1636" spans="1:4" x14ac:dyDescent="0.2">
      <c r="A1636" s="514">
        <v>44656</v>
      </c>
      <c r="B1636" s="491">
        <f t="shared" si="18"/>
        <v>300477.89</v>
      </c>
      <c r="C1636" s="491">
        <v>300277.89</v>
      </c>
      <c r="D1636" s="746">
        <v>200</v>
      </c>
    </row>
    <row r="1637" spans="1:4" x14ac:dyDescent="0.2">
      <c r="A1637" s="514">
        <v>44657</v>
      </c>
      <c r="B1637" s="491">
        <f t="shared" si="18"/>
        <v>300477.89</v>
      </c>
      <c r="C1637" s="491">
        <f t="shared" si="17"/>
        <v>300277.89</v>
      </c>
      <c r="D1637" s="746">
        <v>200</v>
      </c>
    </row>
    <row r="1638" spans="1:4" x14ac:dyDescent="0.2">
      <c r="A1638" s="514">
        <v>44658</v>
      </c>
      <c r="B1638" s="491">
        <f t="shared" si="18"/>
        <v>301029.09000000003</v>
      </c>
      <c r="C1638" s="491">
        <v>300829.09000000003</v>
      </c>
      <c r="D1638" s="746">
        <v>200</v>
      </c>
    </row>
    <row r="1639" spans="1:4" x14ac:dyDescent="0.2">
      <c r="A1639" s="514">
        <v>44659</v>
      </c>
      <c r="B1639" s="491">
        <f t="shared" si="18"/>
        <v>296794.44</v>
      </c>
      <c r="C1639" s="491">
        <v>296594.44</v>
      </c>
      <c r="D1639" s="746">
        <v>200</v>
      </c>
    </row>
    <row r="1640" spans="1:4" x14ac:dyDescent="0.2">
      <c r="A1640" s="514">
        <v>44662</v>
      </c>
      <c r="B1640" s="491">
        <f t="shared" si="18"/>
        <v>296989.44</v>
      </c>
      <c r="C1640" s="491">
        <v>296789.44</v>
      </c>
      <c r="D1640" s="746">
        <v>200</v>
      </c>
    </row>
    <row r="1641" spans="1:4" x14ac:dyDescent="0.2">
      <c r="A1641" s="514">
        <v>44663</v>
      </c>
      <c r="B1641" s="491">
        <f t="shared" si="18"/>
        <v>274755.46000000002</v>
      </c>
      <c r="C1641" s="491">
        <v>274555.46000000002</v>
      </c>
      <c r="D1641" s="746">
        <v>200</v>
      </c>
    </row>
    <row r="1642" spans="1:4" x14ac:dyDescent="0.2">
      <c r="A1642" s="514">
        <v>44664</v>
      </c>
      <c r="B1642" s="491">
        <f t="shared" si="18"/>
        <v>274755.46000000002</v>
      </c>
      <c r="C1642" s="491">
        <f t="shared" ref="C1642:C1656" si="19">C1641</f>
        <v>274555.46000000002</v>
      </c>
      <c r="D1642" s="746">
        <v>200</v>
      </c>
    </row>
    <row r="1643" spans="1:4" x14ac:dyDescent="0.2">
      <c r="A1643" s="514">
        <v>44665</v>
      </c>
      <c r="B1643" s="491">
        <f t="shared" si="18"/>
        <v>273817.88</v>
      </c>
      <c r="C1643" s="491">
        <v>273617.88</v>
      </c>
      <c r="D1643" s="746">
        <v>200</v>
      </c>
    </row>
    <row r="1644" spans="1:4" x14ac:dyDescent="0.2">
      <c r="A1644" s="514">
        <v>44666</v>
      </c>
      <c r="B1644" s="491">
        <f t="shared" si="18"/>
        <v>273375.03999999998</v>
      </c>
      <c r="C1644" s="491">
        <v>273175.03999999998</v>
      </c>
      <c r="D1644" s="746">
        <v>200</v>
      </c>
    </row>
    <row r="1645" spans="1:4" x14ac:dyDescent="0.2">
      <c r="A1645" s="514">
        <v>44669</v>
      </c>
      <c r="B1645" s="491">
        <f t="shared" si="18"/>
        <v>306978.36</v>
      </c>
      <c r="C1645" s="491">
        <v>306778.36</v>
      </c>
      <c r="D1645" s="746">
        <v>200</v>
      </c>
    </row>
    <row r="1646" spans="1:4" x14ac:dyDescent="0.2">
      <c r="A1646" s="514">
        <v>44670</v>
      </c>
      <c r="B1646" s="491">
        <f t="shared" si="18"/>
        <v>306978.36</v>
      </c>
      <c r="C1646" s="491">
        <f t="shared" si="19"/>
        <v>306778.36</v>
      </c>
      <c r="D1646" s="746">
        <v>200</v>
      </c>
    </row>
    <row r="1647" spans="1:4" x14ac:dyDescent="0.2">
      <c r="A1647" s="514">
        <v>44671</v>
      </c>
      <c r="B1647" s="491">
        <f t="shared" si="18"/>
        <v>266613.8</v>
      </c>
      <c r="C1647" s="491">
        <v>266413.8</v>
      </c>
      <c r="D1647" s="746">
        <v>200</v>
      </c>
    </row>
    <row r="1648" spans="1:4" x14ac:dyDescent="0.2">
      <c r="A1648" s="514">
        <v>44672</v>
      </c>
      <c r="B1648" s="491">
        <f t="shared" si="18"/>
        <v>271958.33</v>
      </c>
      <c r="C1648" s="491">
        <v>271758.33</v>
      </c>
      <c r="D1648" s="746">
        <v>200</v>
      </c>
    </row>
    <row r="1649" spans="1:4" x14ac:dyDescent="0.2">
      <c r="A1649" s="514">
        <v>44673</v>
      </c>
      <c r="B1649" s="491">
        <f t="shared" ref="B1649:B1655" si="20">C1649+D1649</f>
        <v>271799.48</v>
      </c>
      <c r="C1649" s="491">
        <v>271599.48</v>
      </c>
      <c r="D1649" s="746">
        <v>200</v>
      </c>
    </row>
    <row r="1650" spans="1:4" x14ac:dyDescent="0.2">
      <c r="A1650" s="514">
        <v>44676</v>
      </c>
      <c r="B1650" s="491">
        <f t="shared" si="20"/>
        <v>271799.48</v>
      </c>
      <c r="C1650" s="491">
        <f t="shared" si="19"/>
        <v>271599.48</v>
      </c>
      <c r="D1650" s="746">
        <v>200</v>
      </c>
    </row>
    <row r="1651" spans="1:4" x14ac:dyDescent="0.2">
      <c r="A1651" s="514">
        <v>44677</v>
      </c>
      <c r="B1651" s="491">
        <f t="shared" si="20"/>
        <v>231449.55</v>
      </c>
      <c r="C1651" s="491">
        <v>231249.55</v>
      </c>
      <c r="D1651" s="746">
        <v>200</v>
      </c>
    </row>
    <row r="1652" spans="1:4" x14ac:dyDescent="0.2">
      <c r="A1652" s="514">
        <v>44678</v>
      </c>
      <c r="B1652" s="491">
        <f t="shared" si="20"/>
        <v>255926.54</v>
      </c>
      <c r="C1652" s="491">
        <v>255726.54</v>
      </c>
      <c r="D1652" s="746">
        <v>200</v>
      </c>
    </row>
    <row r="1653" spans="1:4" x14ac:dyDescent="0.2">
      <c r="A1653" s="514">
        <v>44679</v>
      </c>
      <c r="B1653" s="491">
        <f t="shared" si="20"/>
        <v>256457.54</v>
      </c>
      <c r="C1653" s="491">
        <v>256257.54</v>
      </c>
      <c r="D1653" s="746">
        <v>200</v>
      </c>
    </row>
    <row r="1654" spans="1:4" x14ac:dyDescent="0.2">
      <c r="A1654" s="514">
        <v>44680</v>
      </c>
      <c r="B1654" s="491">
        <f t="shared" si="20"/>
        <v>255982.56</v>
      </c>
      <c r="C1654" s="491">
        <v>255782.56</v>
      </c>
      <c r="D1654" s="746">
        <v>200</v>
      </c>
    </row>
    <row r="1655" spans="1:4" x14ac:dyDescent="0.2">
      <c r="A1655" s="514">
        <v>44683</v>
      </c>
      <c r="B1655" s="491">
        <f t="shared" si="20"/>
        <v>255982.56</v>
      </c>
      <c r="C1655" s="491">
        <f t="shared" si="19"/>
        <v>255782.56</v>
      </c>
      <c r="D1655" s="746">
        <v>200</v>
      </c>
    </row>
    <row r="1656" spans="1:4" x14ac:dyDescent="0.2">
      <c r="A1656" s="514">
        <v>44684</v>
      </c>
      <c r="B1656" s="491">
        <f t="shared" ref="B1656:B1659" si="21">C1656+D1656</f>
        <v>255982.56</v>
      </c>
      <c r="C1656" s="491">
        <f t="shared" si="19"/>
        <v>255782.56</v>
      </c>
      <c r="D1656" s="746">
        <v>200</v>
      </c>
    </row>
    <row r="1657" spans="1:4" x14ac:dyDescent="0.2">
      <c r="A1657" s="514">
        <v>44685</v>
      </c>
      <c r="B1657" s="491">
        <f t="shared" si="21"/>
        <v>237408.49</v>
      </c>
      <c r="C1657" s="491">
        <v>237208.49</v>
      </c>
      <c r="D1657" s="746">
        <v>200</v>
      </c>
    </row>
    <row r="1658" spans="1:4" x14ac:dyDescent="0.2">
      <c r="A1658" s="514">
        <v>44686</v>
      </c>
      <c r="B1658" s="491">
        <f t="shared" si="21"/>
        <v>237595.16</v>
      </c>
      <c r="C1658" s="491">
        <v>237395.16</v>
      </c>
      <c r="D1658" s="746">
        <v>200</v>
      </c>
    </row>
    <row r="1659" spans="1:4" x14ac:dyDescent="0.2">
      <c r="A1659" s="514">
        <v>44687</v>
      </c>
      <c r="B1659" s="491">
        <f t="shared" si="21"/>
        <v>237595.16</v>
      </c>
      <c r="C1659" s="491">
        <f>C1658</f>
        <v>237395.16</v>
      </c>
      <c r="D1659" s="746">
        <v>200</v>
      </c>
    </row>
    <row r="1660" spans="1:4" x14ac:dyDescent="0.2">
      <c r="A1660" s="514">
        <v>44690</v>
      </c>
      <c r="B1660" s="491">
        <f t="shared" ref="B1660:B1664" si="22">C1660+D1660</f>
        <v>237595.16</v>
      </c>
      <c r="C1660" s="491">
        <f>C1659</f>
        <v>237395.16</v>
      </c>
      <c r="D1660" s="746">
        <v>200</v>
      </c>
    </row>
    <row r="1661" spans="1:4" x14ac:dyDescent="0.2">
      <c r="A1661" s="514">
        <v>44691</v>
      </c>
      <c r="B1661" s="491">
        <f t="shared" si="22"/>
        <v>198176.08</v>
      </c>
      <c r="C1661" s="491">
        <v>197976.08</v>
      </c>
      <c r="D1661" s="746">
        <v>200</v>
      </c>
    </row>
    <row r="1662" spans="1:4" x14ac:dyDescent="0.2">
      <c r="A1662" s="514">
        <v>44692</v>
      </c>
      <c r="B1662" s="491">
        <f t="shared" si="22"/>
        <v>206509.41</v>
      </c>
      <c r="C1662" s="491">
        <v>206309.41</v>
      </c>
      <c r="D1662" s="746">
        <v>200</v>
      </c>
    </row>
    <row r="1663" spans="1:4" x14ac:dyDescent="0.2">
      <c r="A1663" s="514">
        <v>44693</v>
      </c>
      <c r="B1663" s="491">
        <f t="shared" si="22"/>
        <v>196309.39</v>
      </c>
      <c r="C1663" s="491">
        <v>196109.39</v>
      </c>
      <c r="D1663" s="746">
        <v>200</v>
      </c>
    </row>
    <row r="1664" spans="1:4" x14ac:dyDescent="0.2">
      <c r="A1664" s="514">
        <v>44694</v>
      </c>
      <c r="B1664" s="491">
        <f t="shared" si="22"/>
        <v>217592.12</v>
      </c>
      <c r="C1664" s="491">
        <v>217392.12</v>
      </c>
      <c r="D1664" s="746">
        <v>200</v>
      </c>
    </row>
    <row r="1665" spans="1:4" x14ac:dyDescent="0.2">
      <c r="A1665" s="514">
        <v>44697</v>
      </c>
      <c r="B1665" s="491">
        <f t="shared" ref="B1665:B1801" si="23">C1665+D1665</f>
        <v>217592.12</v>
      </c>
      <c r="C1665" s="491">
        <f t="shared" ref="C1665:C1707" si="24">C1664</f>
        <v>217392.12</v>
      </c>
      <c r="D1665" s="746">
        <v>200</v>
      </c>
    </row>
    <row r="1666" spans="1:4" x14ac:dyDescent="0.2">
      <c r="A1666" s="514">
        <v>44698</v>
      </c>
      <c r="B1666" s="491">
        <f t="shared" si="23"/>
        <v>217592.12</v>
      </c>
      <c r="C1666" s="491">
        <f t="shared" si="24"/>
        <v>217392.12</v>
      </c>
      <c r="D1666" s="746">
        <v>200</v>
      </c>
    </row>
    <row r="1667" spans="1:4" x14ac:dyDescent="0.2">
      <c r="A1667" s="514">
        <v>44699</v>
      </c>
      <c r="B1667" s="491">
        <f t="shared" si="23"/>
        <v>217592.12</v>
      </c>
      <c r="C1667" s="491">
        <f t="shared" si="24"/>
        <v>217392.12</v>
      </c>
      <c r="D1667" s="746">
        <v>200</v>
      </c>
    </row>
    <row r="1668" spans="1:4" x14ac:dyDescent="0.2">
      <c r="A1668" s="514">
        <v>44700</v>
      </c>
      <c r="B1668" s="491">
        <f t="shared" si="23"/>
        <v>221731.08</v>
      </c>
      <c r="C1668" s="491">
        <v>221531.08</v>
      </c>
      <c r="D1668" s="746">
        <v>200</v>
      </c>
    </row>
    <row r="1669" spans="1:4" x14ac:dyDescent="0.2">
      <c r="A1669" s="514">
        <v>44701</v>
      </c>
      <c r="B1669" s="491">
        <f t="shared" si="23"/>
        <v>217798.74</v>
      </c>
      <c r="C1669" s="491">
        <v>217598.74</v>
      </c>
      <c r="D1669" s="746">
        <v>200</v>
      </c>
    </row>
    <row r="1670" spans="1:4" x14ac:dyDescent="0.2">
      <c r="A1670" s="514">
        <v>44704</v>
      </c>
      <c r="B1670" s="491">
        <f t="shared" si="23"/>
        <v>176485.8</v>
      </c>
      <c r="C1670" s="491">
        <v>176285.8</v>
      </c>
      <c r="D1670" s="746">
        <v>200</v>
      </c>
    </row>
    <row r="1671" spans="1:4" x14ac:dyDescent="0.2">
      <c r="A1671" s="514">
        <v>44705</v>
      </c>
      <c r="B1671" s="491">
        <f t="shared" si="23"/>
        <v>176485.8</v>
      </c>
      <c r="C1671" s="491">
        <f t="shared" si="24"/>
        <v>176285.8</v>
      </c>
      <c r="D1671" s="746">
        <v>200</v>
      </c>
    </row>
    <row r="1672" spans="1:4" x14ac:dyDescent="0.2">
      <c r="A1672" s="514">
        <v>44706</v>
      </c>
      <c r="B1672" s="491">
        <f t="shared" si="23"/>
        <v>176485.8</v>
      </c>
      <c r="C1672" s="491">
        <f t="shared" si="24"/>
        <v>176285.8</v>
      </c>
      <c r="D1672" s="746">
        <v>200</v>
      </c>
    </row>
    <row r="1673" spans="1:4" x14ac:dyDescent="0.2">
      <c r="A1673" s="514">
        <v>44707</v>
      </c>
      <c r="B1673" s="491">
        <f t="shared" si="23"/>
        <v>317719.40999999997</v>
      </c>
      <c r="C1673" s="491">
        <v>317519.40999999997</v>
      </c>
      <c r="D1673" s="746">
        <v>200</v>
      </c>
    </row>
    <row r="1674" spans="1:4" x14ac:dyDescent="0.2">
      <c r="A1674" s="514">
        <v>44708</v>
      </c>
      <c r="B1674" s="491">
        <f t="shared" si="23"/>
        <v>317244.43</v>
      </c>
      <c r="C1674" s="491">
        <v>317044.43</v>
      </c>
      <c r="D1674" s="746">
        <v>200</v>
      </c>
    </row>
    <row r="1675" spans="1:4" x14ac:dyDescent="0.2">
      <c r="A1675" s="514">
        <v>44711</v>
      </c>
      <c r="B1675" s="491">
        <f t="shared" si="23"/>
        <v>317244.43</v>
      </c>
      <c r="C1675" s="491">
        <f t="shared" si="24"/>
        <v>317044.43</v>
      </c>
      <c r="D1675" s="746">
        <v>200</v>
      </c>
    </row>
    <row r="1676" spans="1:4" x14ac:dyDescent="0.2">
      <c r="A1676" s="514">
        <v>44712</v>
      </c>
      <c r="B1676" s="491">
        <f t="shared" si="23"/>
        <v>317244.43</v>
      </c>
      <c r="C1676" s="491">
        <f t="shared" si="24"/>
        <v>317044.43</v>
      </c>
      <c r="D1676" s="746">
        <v>200</v>
      </c>
    </row>
    <row r="1677" spans="1:4" x14ac:dyDescent="0.2">
      <c r="A1677" s="514">
        <v>44713</v>
      </c>
      <c r="B1677" s="491">
        <f t="shared" si="23"/>
        <v>317244.43</v>
      </c>
      <c r="C1677" s="491">
        <f t="shared" si="24"/>
        <v>317044.43</v>
      </c>
      <c r="D1677" s="746">
        <v>200</v>
      </c>
    </row>
    <row r="1678" spans="1:4" x14ac:dyDescent="0.2">
      <c r="A1678" s="514">
        <v>44714</v>
      </c>
      <c r="B1678" s="491">
        <f t="shared" si="23"/>
        <v>317244.43</v>
      </c>
      <c r="C1678" s="491">
        <f t="shared" si="24"/>
        <v>317044.43</v>
      </c>
      <c r="D1678" s="746">
        <v>200</v>
      </c>
    </row>
    <row r="1679" spans="1:4" x14ac:dyDescent="0.2">
      <c r="A1679" s="514">
        <v>44715</v>
      </c>
      <c r="B1679" s="491">
        <f t="shared" si="23"/>
        <v>311632.77</v>
      </c>
      <c r="C1679" s="491">
        <v>311432.77</v>
      </c>
      <c r="D1679" s="746">
        <v>200</v>
      </c>
    </row>
    <row r="1680" spans="1:4" x14ac:dyDescent="0.2">
      <c r="A1680" s="514">
        <v>44718</v>
      </c>
      <c r="B1680" s="491">
        <f t="shared" si="23"/>
        <v>311632.77</v>
      </c>
      <c r="C1680" s="491">
        <f t="shared" si="24"/>
        <v>311432.77</v>
      </c>
      <c r="D1680" s="746">
        <v>200</v>
      </c>
    </row>
    <row r="1681" spans="1:4" x14ac:dyDescent="0.2">
      <c r="A1681" s="514">
        <v>44719</v>
      </c>
      <c r="B1681" s="491">
        <f t="shared" si="23"/>
        <v>272576.3</v>
      </c>
      <c r="C1681" s="491">
        <v>272376.3</v>
      </c>
      <c r="D1681" s="746">
        <v>200</v>
      </c>
    </row>
    <row r="1682" spans="1:4" x14ac:dyDescent="0.2">
      <c r="A1682" s="514">
        <v>44720</v>
      </c>
      <c r="B1682" s="491">
        <f t="shared" si="23"/>
        <v>272576.3</v>
      </c>
      <c r="C1682" s="491">
        <f t="shared" si="24"/>
        <v>272376.3</v>
      </c>
      <c r="D1682" s="746">
        <v>200</v>
      </c>
    </row>
    <row r="1683" spans="1:4" x14ac:dyDescent="0.2">
      <c r="A1683" s="514">
        <v>44721</v>
      </c>
      <c r="B1683" s="491">
        <f t="shared" si="23"/>
        <v>262789.33</v>
      </c>
      <c r="C1683" s="491">
        <v>262589.33</v>
      </c>
      <c r="D1683" s="746">
        <v>200</v>
      </c>
    </row>
    <row r="1684" spans="1:4" x14ac:dyDescent="0.2">
      <c r="A1684" s="514">
        <v>44722</v>
      </c>
      <c r="B1684" s="491">
        <f t="shared" si="23"/>
        <v>262314.34999999998</v>
      </c>
      <c r="C1684" s="491">
        <v>262114.35</v>
      </c>
      <c r="D1684" s="746">
        <v>200</v>
      </c>
    </row>
    <row r="1685" spans="1:4" x14ac:dyDescent="0.2">
      <c r="A1685" s="514">
        <v>44725</v>
      </c>
      <c r="B1685" s="491">
        <f t="shared" si="23"/>
        <v>262577.34999999998</v>
      </c>
      <c r="C1685" s="491">
        <v>262377.34999999998</v>
      </c>
      <c r="D1685" s="746">
        <v>200</v>
      </c>
    </row>
    <row r="1686" spans="1:4" x14ac:dyDescent="0.2">
      <c r="A1686" s="514">
        <v>44726</v>
      </c>
      <c r="B1686" s="491">
        <f t="shared" si="23"/>
        <v>262577.34999999998</v>
      </c>
      <c r="C1686" s="491">
        <f t="shared" si="24"/>
        <v>262377.34999999998</v>
      </c>
      <c r="D1686" s="746">
        <v>200</v>
      </c>
    </row>
    <row r="1687" spans="1:4" x14ac:dyDescent="0.2">
      <c r="A1687" s="514">
        <v>44727</v>
      </c>
      <c r="B1687" s="491">
        <f t="shared" si="23"/>
        <v>359115.13</v>
      </c>
      <c r="C1687" s="491">
        <v>358915.13</v>
      </c>
      <c r="D1687" s="746">
        <v>200</v>
      </c>
    </row>
    <row r="1688" spans="1:4" x14ac:dyDescent="0.2">
      <c r="A1688" s="514">
        <v>44728</v>
      </c>
      <c r="B1688" s="491">
        <f t="shared" si="23"/>
        <v>359115.13</v>
      </c>
      <c r="C1688" s="491">
        <f t="shared" si="24"/>
        <v>358915.13</v>
      </c>
      <c r="D1688" s="746">
        <v>200</v>
      </c>
    </row>
    <row r="1689" spans="1:4" x14ac:dyDescent="0.2">
      <c r="A1689" s="514">
        <v>44729</v>
      </c>
      <c r="B1689" s="491">
        <f t="shared" si="23"/>
        <v>359115.13</v>
      </c>
      <c r="C1689" s="491">
        <f t="shared" si="24"/>
        <v>358915.13</v>
      </c>
      <c r="D1689" s="746">
        <v>200</v>
      </c>
    </row>
    <row r="1690" spans="1:4" x14ac:dyDescent="0.2">
      <c r="A1690" s="514">
        <v>44732</v>
      </c>
      <c r="B1690" s="491">
        <f t="shared" si="23"/>
        <v>317912.34000000003</v>
      </c>
      <c r="C1690" s="491">
        <v>317712.34000000003</v>
      </c>
      <c r="D1690" s="746">
        <v>200</v>
      </c>
    </row>
    <row r="1691" spans="1:4" x14ac:dyDescent="0.2">
      <c r="A1691" s="514">
        <v>44733</v>
      </c>
      <c r="B1691" s="491">
        <f t="shared" si="23"/>
        <v>318373.34000000003</v>
      </c>
      <c r="C1691" s="491">
        <v>318173.34000000003</v>
      </c>
      <c r="D1691" s="746">
        <v>200</v>
      </c>
    </row>
    <row r="1692" spans="1:4" x14ac:dyDescent="0.2">
      <c r="A1692" s="514">
        <v>44734</v>
      </c>
      <c r="B1692" s="491">
        <f t="shared" si="23"/>
        <v>319350.08</v>
      </c>
      <c r="C1692" s="491">
        <v>319150.08000000002</v>
      </c>
      <c r="D1692" s="746">
        <v>200</v>
      </c>
    </row>
    <row r="1693" spans="1:4" x14ac:dyDescent="0.2">
      <c r="A1693" s="514">
        <v>44735</v>
      </c>
      <c r="B1693" s="491">
        <f t="shared" si="23"/>
        <v>329131.38</v>
      </c>
      <c r="C1693" s="491">
        <v>328931.38</v>
      </c>
      <c r="D1693" s="746">
        <v>200</v>
      </c>
    </row>
    <row r="1694" spans="1:4" x14ac:dyDescent="0.2">
      <c r="A1694" s="514">
        <v>44736</v>
      </c>
      <c r="B1694" s="491">
        <f t="shared" si="23"/>
        <v>329131.38</v>
      </c>
      <c r="C1694" s="491">
        <f t="shared" si="24"/>
        <v>328931.38</v>
      </c>
      <c r="D1694" s="746">
        <v>200</v>
      </c>
    </row>
    <row r="1695" spans="1:4" x14ac:dyDescent="0.2">
      <c r="A1695" s="514">
        <v>44739</v>
      </c>
      <c r="B1695" s="491">
        <f t="shared" si="23"/>
        <v>329131.38</v>
      </c>
      <c r="C1695" s="491">
        <f t="shared" si="24"/>
        <v>328931.38</v>
      </c>
      <c r="D1695" s="746">
        <v>200</v>
      </c>
    </row>
    <row r="1696" spans="1:4" x14ac:dyDescent="0.2">
      <c r="A1696" s="514">
        <v>44740</v>
      </c>
      <c r="B1696" s="491">
        <f t="shared" si="23"/>
        <v>329131.38</v>
      </c>
      <c r="C1696" s="491">
        <f t="shared" si="24"/>
        <v>328931.38</v>
      </c>
      <c r="D1696" s="746">
        <v>200</v>
      </c>
    </row>
    <row r="1697" spans="1:4" x14ac:dyDescent="0.2">
      <c r="A1697" s="514">
        <v>44741</v>
      </c>
      <c r="B1697" s="491">
        <f t="shared" si="23"/>
        <v>358518.98</v>
      </c>
      <c r="C1697" s="491">
        <v>358318.98</v>
      </c>
      <c r="D1697" s="746">
        <v>200</v>
      </c>
    </row>
    <row r="1698" spans="1:4" x14ac:dyDescent="0.2">
      <c r="A1698" s="514">
        <v>44742</v>
      </c>
      <c r="B1698" s="491">
        <f t="shared" si="23"/>
        <v>388026.98</v>
      </c>
      <c r="C1698" s="491">
        <v>387826.98</v>
      </c>
      <c r="D1698" s="746">
        <v>200</v>
      </c>
    </row>
    <row r="1699" spans="1:4" x14ac:dyDescent="0.2">
      <c r="A1699" s="514">
        <v>44743</v>
      </c>
      <c r="B1699" s="491">
        <f t="shared" si="23"/>
        <v>388026.98</v>
      </c>
      <c r="C1699" s="491">
        <f t="shared" si="24"/>
        <v>387826.98</v>
      </c>
      <c r="D1699" s="746">
        <v>200</v>
      </c>
    </row>
    <row r="1700" spans="1:4" x14ac:dyDescent="0.2">
      <c r="A1700" s="514">
        <v>44746</v>
      </c>
      <c r="B1700" s="491">
        <f t="shared" si="23"/>
        <v>388026.98</v>
      </c>
      <c r="C1700" s="491">
        <f t="shared" si="24"/>
        <v>387826.98</v>
      </c>
      <c r="D1700" s="746">
        <v>200</v>
      </c>
    </row>
    <row r="1701" spans="1:4" x14ac:dyDescent="0.2">
      <c r="A1701" s="514">
        <v>44747</v>
      </c>
      <c r="B1701" s="491">
        <f t="shared" si="23"/>
        <v>347383.35</v>
      </c>
      <c r="C1701" s="491">
        <v>347183.35</v>
      </c>
      <c r="D1701" s="746">
        <v>200</v>
      </c>
    </row>
    <row r="1702" spans="1:4" x14ac:dyDescent="0.2">
      <c r="A1702" s="514">
        <v>44748</v>
      </c>
      <c r="B1702" s="491">
        <f t="shared" si="23"/>
        <v>347507.35</v>
      </c>
      <c r="C1702" s="491">
        <v>347307.35</v>
      </c>
      <c r="D1702" s="746">
        <v>200</v>
      </c>
    </row>
    <row r="1703" spans="1:4" x14ac:dyDescent="0.2">
      <c r="A1703" s="514">
        <v>44749</v>
      </c>
      <c r="B1703" s="491">
        <f t="shared" si="23"/>
        <v>347648.35</v>
      </c>
      <c r="C1703" s="491">
        <v>347448.35</v>
      </c>
      <c r="D1703" s="746">
        <v>200</v>
      </c>
    </row>
    <row r="1704" spans="1:4" x14ac:dyDescent="0.2">
      <c r="A1704" s="514">
        <v>44750</v>
      </c>
      <c r="B1704" s="491">
        <f t="shared" si="23"/>
        <v>347173.37</v>
      </c>
      <c r="C1704" s="491">
        <v>346973.37</v>
      </c>
      <c r="D1704" s="746">
        <v>200</v>
      </c>
    </row>
    <row r="1705" spans="1:4" x14ac:dyDescent="0.2">
      <c r="A1705" s="514">
        <v>44753</v>
      </c>
      <c r="B1705" s="491">
        <f t="shared" si="23"/>
        <v>347173.37</v>
      </c>
      <c r="C1705" s="491">
        <f t="shared" si="24"/>
        <v>346973.37</v>
      </c>
      <c r="D1705" s="746">
        <v>200</v>
      </c>
    </row>
    <row r="1706" spans="1:4" x14ac:dyDescent="0.2">
      <c r="A1706" s="514">
        <v>44754</v>
      </c>
      <c r="B1706" s="491">
        <f t="shared" si="23"/>
        <v>347422.37</v>
      </c>
      <c r="C1706" s="491">
        <v>347222.37</v>
      </c>
      <c r="D1706" s="746">
        <v>200</v>
      </c>
    </row>
    <row r="1707" spans="1:4" x14ac:dyDescent="0.2">
      <c r="A1707" s="514">
        <v>44755</v>
      </c>
      <c r="B1707" s="491">
        <f t="shared" si="23"/>
        <v>347422.37</v>
      </c>
      <c r="C1707" s="491">
        <f t="shared" si="24"/>
        <v>347222.37</v>
      </c>
      <c r="D1707" s="746">
        <v>200</v>
      </c>
    </row>
    <row r="1708" spans="1:4" x14ac:dyDescent="0.2">
      <c r="A1708" s="514">
        <v>44756</v>
      </c>
      <c r="B1708" s="491">
        <f t="shared" si="23"/>
        <v>353674.1</v>
      </c>
      <c r="C1708" s="491">
        <v>353474.1</v>
      </c>
      <c r="D1708" s="746">
        <v>200</v>
      </c>
    </row>
    <row r="1709" spans="1:4" x14ac:dyDescent="0.2">
      <c r="A1709" s="514">
        <v>44757</v>
      </c>
      <c r="B1709" s="491">
        <f t="shared" si="23"/>
        <v>355815.56</v>
      </c>
      <c r="C1709" s="491">
        <v>355615.56</v>
      </c>
      <c r="D1709" s="746">
        <v>200</v>
      </c>
    </row>
    <row r="1710" spans="1:4" x14ac:dyDescent="0.2">
      <c r="A1710" s="514">
        <v>44760</v>
      </c>
      <c r="B1710" s="491">
        <f t="shared" si="23"/>
        <v>319836.78000000003</v>
      </c>
      <c r="C1710" s="491">
        <v>319636.78000000003</v>
      </c>
      <c r="D1710" s="746">
        <v>200</v>
      </c>
    </row>
    <row r="1711" spans="1:4" x14ac:dyDescent="0.2">
      <c r="A1711" s="514">
        <v>44761</v>
      </c>
      <c r="B1711" s="491">
        <f t="shared" si="23"/>
        <v>296807.06</v>
      </c>
      <c r="C1711" s="491">
        <v>296607.06</v>
      </c>
      <c r="D1711" s="746">
        <v>200</v>
      </c>
    </row>
    <row r="1712" spans="1:4" x14ac:dyDescent="0.2">
      <c r="A1712" s="514">
        <v>44762</v>
      </c>
      <c r="B1712" s="491">
        <f t="shared" si="23"/>
        <v>296807.06</v>
      </c>
      <c r="C1712" s="491">
        <f t="shared" ref="C1712:C1774" si="25">C1711</f>
        <v>296607.06</v>
      </c>
      <c r="D1712" s="746">
        <v>200</v>
      </c>
    </row>
    <row r="1713" spans="1:4" x14ac:dyDescent="0.2">
      <c r="A1713" s="514">
        <v>44763</v>
      </c>
      <c r="B1713" s="491">
        <f t="shared" si="23"/>
        <v>291257.96000000002</v>
      </c>
      <c r="C1713" s="491">
        <v>291057.96000000002</v>
      </c>
      <c r="D1713" s="746">
        <v>200</v>
      </c>
    </row>
    <row r="1714" spans="1:4" x14ac:dyDescent="0.2">
      <c r="A1714" s="514">
        <v>44764</v>
      </c>
      <c r="B1714" s="491">
        <f t="shared" si="23"/>
        <v>290782.98</v>
      </c>
      <c r="C1714" s="491">
        <v>290582.98</v>
      </c>
      <c r="D1714" s="746">
        <v>200</v>
      </c>
    </row>
    <row r="1715" spans="1:4" x14ac:dyDescent="0.2">
      <c r="A1715" s="514">
        <v>44767</v>
      </c>
      <c r="B1715" s="491">
        <f t="shared" si="23"/>
        <v>290782.98</v>
      </c>
      <c r="C1715" s="491">
        <f t="shared" si="25"/>
        <v>290582.98</v>
      </c>
      <c r="D1715" s="746">
        <v>200</v>
      </c>
    </row>
    <row r="1716" spans="1:4" x14ac:dyDescent="0.2">
      <c r="A1716" s="514">
        <v>44768</v>
      </c>
      <c r="B1716" s="491">
        <f t="shared" si="23"/>
        <v>290754.14</v>
      </c>
      <c r="C1716" s="491">
        <v>290554.14</v>
      </c>
      <c r="D1716" s="746">
        <v>200</v>
      </c>
    </row>
    <row r="1717" spans="1:4" x14ac:dyDescent="0.2">
      <c r="A1717" s="514">
        <v>44769</v>
      </c>
      <c r="B1717" s="491">
        <f t="shared" si="23"/>
        <v>290450.96000000002</v>
      </c>
      <c r="C1717" s="491">
        <v>290250.96000000002</v>
      </c>
      <c r="D1717" s="746">
        <v>200</v>
      </c>
    </row>
    <row r="1718" spans="1:4" x14ac:dyDescent="0.2">
      <c r="A1718" s="514">
        <v>44770</v>
      </c>
      <c r="B1718" s="491">
        <f t="shared" si="23"/>
        <v>282840.40000000002</v>
      </c>
      <c r="C1718" s="491">
        <v>282640.40000000002</v>
      </c>
      <c r="D1718" s="746">
        <v>200</v>
      </c>
    </row>
    <row r="1719" spans="1:4" x14ac:dyDescent="0.2">
      <c r="A1719" s="514">
        <v>44771</v>
      </c>
      <c r="B1719" s="491">
        <f t="shared" si="23"/>
        <v>318945.52</v>
      </c>
      <c r="C1719" s="491">
        <v>318745.52</v>
      </c>
      <c r="D1719" s="746">
        <v>200</v>
      </c>
    </row>
    <row r="1720" spans="1:4" x14ac:dyDescent="0.2">
      <c r="A1720" s="514">
        <v>44774</v>
      </c>
      <c r="B1720" s="491">
        <f t="shared" si="23"/>
        <v>318945.52</v>
      </c>
      <c r="C1720" s="491">
        <f t="shared" si="25"/>
        <v>318745.52</v>
      </c>
      <c r="D1720" s="746">
        <v>200</v>
      </c>
    </row>
    <row r="1721" spans="1:4" x14ac:dyDescent="0.2">
      <c r="A1721" s="514">
        <v>44775</v>
      </c>
      <c r="B1721" s="491">
        <f t="shared" si="23"/>
        <v>278401.03999999998</v>
      </c>
      <c r="C1721" s="491">
        <v>278201.03999999998</v>
      </c>
      <c r="D1721" s="746">
        <v>200</v>
      </c>
    </row>
    <row r="1722" spans="1:4" x14ac:dyDescent="0.2">
      <c r="A1722" s="514">
        <v>44776</v>
      </c>
      <c r="B1722" s="491">
        <f t="shared" si="23"/>
        <v>277801.03999999998</v>
      </c>
      <c r="C1722" s="491">
        <v>277601.03999999998</v>
      </c>
      <c r="D1722" s="746">
        <v>200</v>
      </c>
    </row>
    <row r="1723" spans="1:4" x14ac:dyDescent="0.2">
      <c r="A1723" s="514">
        <v>44777</v>
      </c>
      <c r="B1723" s="491">
        <f t="shared" si="23"/>
        <v>277801.03999999998</v>
      </c>
      <c r="C1723" s="491">
        <f t="shared" si="25"/>
        <v>277601.03999999998</v>
      </c>
      <c r="D1723" s="746">
        <v>200</v>
      </c>
    </row>
    <row r="1724" spans="1:4" x14ac:dyDescent="0.2">
      <c r="A1724" s="514">
        <v>44778</v>
      </c>
      <c r="B1724" s="491">
        <f t="shared" si="23"/>
        <v>277326.06</v>
      </c>
      <c r="C1724" s="491">
        <v>277126.06</v>
      </c>
      <c r="D1724" s="746">
        <v>200</v>
      </c>
    </row>
    <row r="1725" spans="1:4" x14ac:dyDescent="0.2">
      <c r="A1725" s="514">
        <v>44781</v>
      </c>
      <c r="B1725" s="491">
        <f t="shared" si="23"/>
        <v>277326.06</v>
      </c>
      <c r="C1725" s="491">
        <f t="shared" si="25"/>
        <v>277126.06</v>
      </c>
      <c r="D1725" s="746">
        <v>200</v>
      </c>
    </row>
    <row r="1726" spans="1:4" x14ac:dyDescent="0.2">
      <c r="A1726" s="514">
        <v>44782</v>
      </c>
      <c r="B1726" s="491">
        <f t="shared" si="23"/>
        <v>254730.8</v>
      </c>
      <c r="C1726" s="491">
        <v>254530.8</v>
      </c>
      <c r="D1726" s="746">
        <v>200</v>
      </c>
    </row>
    <row r="1727" spans="1:4" x14ac:dyDescent="0.2">
      <c r="A1727" s="514">
        <v>44783</v>
      </c>
      <c r="B1727" s="491">
        <f t="shared" si="23"/>
        <v>254730.8</v>
      </c>
      <c r="C1727" s="491">
        <f t="shared" si="25"/>
        <v>254530.8</v>
      </c>
      <c r="D1727" s="746">
        <v>200</v>
      </c>
    </row>
    <row r="1728" spans="1:4" x14ac:dyDescent="0.2">
      <c r="A1728" s="514">
        <v>44784</v>
      </c>
      <c r="B1728" s="491">
        <f t="shared" si="23"/>
        <v>277867.62</v>
      </c>
      <c r="C1728" s="491">
        <v>277667.62</v>
      </c>
      <c r="D1728" s="746">
        <v>200</v>
      </c>
    </row>
    <row r="1729" spans="1:4" x14ac:dyDescent="0.2">
      <c r="A1729" s="514">
        <v>44785</v>
      </c>
      <c r="B1729" s="491">
        <f t="shared" si="23"/>
        <v>278679.81</v>
      </c>
      <c r="C1729" s="491">
        <v>278479.81</v>
      </c>
      <c r="D1729" s="746">
        <v>200</v>
      </c>
    </row>
    <row r="1730" spans="1:4" x14ac:dyDescent="0.2">
      <c r="A1730" s="514">
        <v>44788</v>
      </c>
      <c r="B1730" s="491">
        <f t="shared" si="23"/>
        <v>278711.32</v>
      </c>
      <c r="C1730" s="491">
        <v>278511.32</v>
      </c>
      <c r="D1730" s="746">
        <v>200</v>
      </c>
    </row>
    <row r="1731" spans="1:4" x14ac:dyDescent="0.2">
      <c r="A1731" s="514">
        <v>44789</v>
      </c>
      <c r="B1731" s="491">
        <f t="shared" si="23"/>
        <v>238555.14</v>
      </c>
      <c r="C1731" s="491">
        <v>238355.14</v>
      </c>
      <c r="D1731" s="746">
        <v>200</v>
      </c>
    </row>
    <row r="1732" spans="1:4" x14ac:dyDescent="0.2">
      <c r="A1732" s="514">
        <v>44790</v>
      </c>
      <c r="B1732" s="491">
        <f t="shared" si="23"/>
        <v>238555.14</v>
      </c>
      <c r="C1732" s="491">
        <f t="shared" si="25"/>
        <v>238355.14</v>
      </c>
      <c r="D1732" s="746">
        <v>200</v>
      </c>
    </row>
    <row r="1733" spans="1:4" x14ac:dyDescent="0.2">
      <c r="A1733" s="514">
        <v>44791</v>
      </c>
      <c r="B1733" s="491">
        <f t="shared" si="23"/>
        <v>238555.14</v>
      </c>
      <c r="C1733" s="491">
        <f t="shared" si="25"/>
        <v>238355.14</v>
      </c>
      <c r="D1733" s="746">
        <v>200</v>
      </c>
    </row>
    <row r="1734" spans="1:4" x14ac:dyDescent="0.2">
      <c r="A1734" s="514">
        <v>44792</v>
      </c>
      <c r="B1734" s="491">
        <f t="shared" si="23"/>
        <v>227371.3</v>
      </c>
      <c r="C1734" s="491">
        <v>227171.3</v>
      </c>
      <c r="D1734" s="746">
        <v>200</v>
      </c>
    </row>
    <row r="1735" spans="1:4" x14ac:dyDescent="0.2">
      <c r="A1735" s="514">
        <v>44795</v>
      </c>
      <c r="B1735" s="491">
        <f t="shared" si="23"/>
        <v>227907.61</v>
      </c>
      <c r="C1735" s="491">
        <v>227707.61</v>
      </c>
      <c r="D1735" s="746">
        <v>200</v>
      </c>
    </row>
    <row r="1736" spans="1:4" x14ac:dyDescent="0.2">
      <c r="A1736" s="514">
        <v>44796</v>
      </c>
      <c r="B1736" s="491">
        <f t="shared" si="23"/>
        <v>227907.61</v>
      </c>
      <c r="C1736" s="491">
        <f t="shared" si="25"/>
        <v>227707.61</v>
      </c>
      <c r="D1736" s="746">
        <v>200</v>
      </c>
    </row>
    <row r="1737" spans="1:4" x14ac:dyDescent="0.2">
      <c r="A1737" s="514">
        <v>44797</v>
      </c>
      <c r="B1737" s="491">
        <f t="shared" si="23"/>
        <v>250036.67</v>
      </c>
      <c r="C1737" s="491">
        <v>249836.67</v>
      </c>
      <c r="D1737" s="746">
        <v>200</v>
      </c>
    </row>
    <row r="1738" spans="1:4" x14ac:dyDescent="0.2">
      <c r="A1738" s="514">
        <v>44798</v>
      </c>
      <c r="B1738" s="491">
        <f t="shared" si="23"/>
        <v>255964.71</v>
      </c>
      <c r="C1738" s="491">
        <v>255764.71</v>
      </c>
      <c r="D1738" s="746">
        <v>200</v>
      </c>
    </row>
    <row r="1739" spans="1:4" x14ac:dyDescent="0.2">
      <c r="A1739" s="514">
        <v>44799</v>
      </c>
      <c r="B1739" s="491">
        <f t="shared" si="23"/>
        <v>315493.2</v>
      </c>
      <c r="C1739" s="491">
        <v>315293.2</v>
      </c>
      <c r="D1739" s="746">
        <v>200</v>
      </c>
    </row>
    <row r="1740" spans="1:4" x14ac:dyDescent="0.2">
      <c r="A1740" s="514">
        <v>44802</v>
      </c>
      <c r="B1740" s="491">
        <f t="shared" si="23"/>
        <v>315493.2</v>
      </c>
      <c r="C1740" s="491">
        <f t="shared" si="25"/>
        <v>315293.2</v>
      </c>
      <c r="D1740" s="746">
        <v>200</v>
      </c>
    </row>
    <row r="1741" spans="1:4" x14ac:dyDescent="0.2">
      <c r="A1741" s="514">
        <v>44803</v>
      </c>
      <c r="B1741" s="491">
        <f t="shared" si="23"/>
        <v>332334.94</v>
      </c>
      <c r="C1741" s="491">
        <v>332134.94</v>
      </c>
      <c r="D1741" s="746">
        <v>200</v>
      </c>
    </row>
    <row r="1742" spans="1:4" x14ac:dyDescent="0.2">
      <c r="A1742" s="514">
        <v>44804</v>
      </c>
      <c r="B1742" s="491">
        <f t="shared" si="23"/>
        <v>332334.94</v>
      </c>
      <c r="C1742" s="491">
        <f t="shared" si="25"/>
        <v>332134.94</v>
      </c>
      <c r="D1742" s="746">
        <v>200</v>
      </c>
    </row>
    <row r="1743" spans="1:4" x14ac:dyDescent="0.2">
      <c r="A1743" s="514">
        <v>44805</v>
      </c>
      <c r="B1743" s="491">
        <f t="shared" si="23"/>
        <v>370869.56</v>
      </c>
      <c r="C1743" s="491">
        <v>370669.56</v>
      </c>
      <c r="D1743" s="746">
        <v>200</v>
      </c>
    </row>
    <row r="1744" spans="1:4" x14ac:dyDescent="0.2">
      <c r="A1744" s="514">
        <v>44806</v>
      </c>
      <c r="B1744" s="491">
        <f t="shared" si="23"/>
        <v>370394.58</v>
      </c>
      <c r="C1744" s="491">
        <v>370194.58</v>
      </c>
      <c r="D1744" s="746">
        <v>200</v>
      </c>
    </row>
    <row r="1745" spans="1:4" x14ac:dyDescent="0.2">
      <c r="A1745" s="514">
        <v>44809</v>
      </c>
      <c r="B1745" s="491">
        <f t="shared" si="23"/>
        <v>370394.58</v>
      </c>
      <c r="C1745" s="491">
        <f t="shared" si="25"/>
        <v>370194.58</v>
      </c>
      <c r="D1745" s="746">
        <v>200</v>
      </c>
    </row>
    <row r="1746" spans="1:4" x14ac:dyDescent="0.2">
      <c r="A1746" s="514">
        <v>44810</v>
      </c>
      <c r="B1746" s="491">
        <f t="shared" si="23"/>
        <v>346842.59</v>
      </c>
      <c r="C1746" s="491">
        <v>346642.59</v>
      </c>
      <c r="D1746" s="746">
        <v>200</v>
      </c>
    </row>
    <row r="1747" spans="1:4" x14ac:dyDescent="0.2">
      <c r="A1747" s="514">
        <v>44811</v>
      </c>
      <c r="B1747" s="491">
        <f t="shared" si="23"/>
        <v>346842.59</v>
      </c>
      <c r="C1747" s="491">
        <f t="shared" si="25"/>
        <v>346642.59</v>
      </c>
      <c r="D1747" s="746">
        <v>200</v>
      </c>
    </row>
    <row r="1748" spans="1:4" x14ac:dyDescent="0.2">
      <c r="A1748" s="514">
        <v>44812</v>
      </c>
      <c r="B1748" s="491">
        <f t="shared" si="23"/>
        <v>346842.59</v>
      </c>
      <c r="C1748" s="491">
        <f t="shared" si="25"/>
        <v>346642.59</v>
      </c>
      <c r="D1748" s="746">
        <v>200</v>
      </c>
    </row>
    <row r="1749" spans="1:4" x14ac:dyDescent="0.2">
      <c r="A1749" s="514">
        <v>44813</v>
      </c>
      <c r="B1749" s="491">
        <f t="shared" si="23"/>
        <v>347076.59</v>
      </c>
      <c r="C1749" s="491">
        <v>346876.59</v>
      </c>
      <c r="D1749" s="746">
        <v>200</v>
      </c>
    </row>
    <row r="1750" spans="1:4" x14ac:dyDescent="0.2">
      <c r="A1750" s="514">
        <v>44816</v>
      </c>
      <c r="B1750" s="491">
        <f t="shared" si="23"/>
        <v>308665.48</v>
      </c>
      <c r="C1750" s="491">
        <v>308465.48</v>
      </c>
      <c r="D1750" s="746">
        <v>200</v>
      </c>
    </row>
    <row r="1751" spans="1:4" x14ac:dyDescent="0.2">
      <c r="A1751" s="514">
        <v>44817</v>
      </c>
      <c r="B1751" s="491">
        <f t="shared" si="23"/>
        <v>308665.48</v>
      </c>
      <c r="C1751" s="491">
        <f t="shared" si="25"/>
        <v>308465.48</v>
      </c>
      <c r="D1751" s="746">
        <v>200</v>
      </c>
    </row>
    <row r="1752" spans="1:4" x14ac:dyDescent="0.2">
      <c r="A1752" s="514">
        <v>44818</v>
      </c>
      <c r="B1752" s="491">
        <f t="shared" si="23"/>
        <v>320782.46999999997</v>
      </c>
      <c r="C1752" s="491">
        <v>320582.46999999997</v>
      </c>
      <c r="D1752" s="746">
        <v>200</v>
      </c>
    </row>
    <row r="1753" spans="1:4" x14ac:dyDescent="0.2">
      <c r="A1753" s="514">
        <v>44819</v>
      </c>
      <c r="B1753" s="491">
        <f t="shared" si="23"/>
        <v>317911.17</v>
      </c>
      <c r="C1753" s="491">
        <v>317711.17</v>
      </c>
      <c r="D1753" s="746">
        <v>200</v>
      </c>
    </row>
    <row r="1754" spans="1:4" x14ac:dyDescent="0.2">
      <c r="A1754" s="514">
        <v>44820</v>
      </c>
      <c r="B1754" s="491">
        <f t="shared" si="23"/>
        <v>317436.19</v>
      </c>
      <c r="C1754" s="491">
        <v>317236.19</v>
      </c>
      <c r="D1754" s="746">
        <v>200</v>
      </c>
    </row>
    <row r="1755" spans="1:4" x14ac:dyDescent="0.2">
      <c r="A1755" s="514">
        <v>44823</v>
      </c>
      <c r="B1755" s="491">
        <f t="shared" si="23"/>
        <v>317436.19</v>
      </c>
      <c r="C1755" s="491">
        <f t="shared" si="25"/>
        <v>317236.19</v>
      </c>
      <c r="D1755" s="746">
        <v>200</v>
      </c>
    </row>
    <row r="1756" spans="1:4" x14ac:dyDescent="0.2">
      <c r="A1756" s="514">
        <v>44824</v>
      </c>
      <c r="B1756" s="491">
        <f t="shared" si="23"/>
        <v>428386.24</v>
      </c>
      <c r="C1756" s="491">
        <v>428186.24</v>
      </c>
      <c r="D1756" s="746">
        <v>200</v>
      </c>
    </row>
    <row r="1757" spans="1:4" x14ac:dyDescent="0.2">
      <c r="A1757" s="514">
        <v>44825</v>
      </c>
      <c r="B1757" s="491">
        <f t="shared" si="23"/>
        <v>428386.24</v>
      </c>
      <c r="C1757" s="491">
        <f t="shared" si="25"/>
        <v>428186.24</v>
      </c>
      <c r="D1757" s="746">
        <v>200</v>
      </c>
    </row>
    <row r="1758" spans="1:4" x14ac:dyDescent="0.2">
      <c r="A1758" s="514">
        <v>44826</v>
      </c>
      <c r="B1758" s="491">
        <f t="shared" si="23"/>
        <v>425851.86</v>
      </c>
      <c r="C1758" s="491">
        <v>425651.86</v>
      </c>
      <c r="D1758" s="746">
        <v>200</v>
      </c>
    </row>
    <row r="1759" spans="1:4" x14ac:dyDescent="0.2">
      <c r="A1759" s="514">
        <v>44827</v>
      </c>
      <c r="B1759" s="491">
        <f t="shared" si="23"/>
        <v>453679.91</v>
      </c>
      <c r="C1759" s="491">
        <v>453479.91</v>
      </c>
      <c r="D1759" s="746">
        <v>200</v>
      </c>
    </row>
    <row r="1760" spans="1:4" x14ac:dyDescent="0.2">
      <c r="A1760" s="514">
        <v>44830</v>
      </c>
      <c r="B1760" s="491">
        <f t="shared" si="23"/>
        <v>412431.05</v>
      </c>
      <c r="C1760" s="491">
        <v>412231.05</v>
      </c>
      <c r="D1760" s="746">
        <v>200</v>
      </c>
    </row>
    <row r="1761" spans="1:4" x14ac:dyDescent="0.2">
      <c r="A1761" s="514">
        <v>44831</v>
      </c>
      <c r="B1761" s="491">
        <f t="shared" si="23"/>
        <v>412402.21</v>
      </c>
      <c r="C1761" s="491">
        <v>412202.21</v>
      </c>
      <c r="D1761" s="746">
        <v>200</v>
      </c>
    </row>
    <row r="1762" spans="1:4" x14ac:dyDescent="0.2">
      <c r="A1762" s="514">
        <v>44832</v>
      </c>
      <c r="B1762" s="491">
        <f t="shared" si="23"/>
        <v>417372.63</v>
      </c>
      <c r="C1762" s="491">
        <v>417172.63</v>
      </c>
      <c r="D1762" s="746">
        <v>200</v>
      </c>
    </row>
    <row r="1763" spans="1:4" x14ac:dyDescent="0.2">
      <c r="A1763" s="514">
        <v>44833</v>
      </c>
      <c r="B1763" s="491">
        <f t="shared" si="23"/>
        <v>415449.23</v>
      </c>
      <c r="C1763" s="491">
        <v>415249.23</v>
      </c>
      <c r="D1763" s="746">
        <v>200</v>
      </c>
    </row>
    <row r="1764" spans="1:4" x14ac:dyDescent="0.2">
      <c r="A1764" s="514">
        <v>44834</v>
      </c>
      <c r="B1764" s="491">
        <f t="shared" si="23"/>
        <v>435708</v>
      </c>
      <c r="C1764" s="491">
        <v>435508</v>
      </c>
      <c r="D1764" s="746">
        <v>200</v>
      </c>
    </row>
    <row r="1765" spans="1:4" x14ac:dyDescent="0.2">
      <c r="A1765" s="514">
        <v>44835</v>
      </c>
      <c r="B1765" s="491">
        <f t="shared" si="23"/>
        <v>435708</v>
      </c>
      <c r="C1765" s="491">
        <f t="shared" si="25"/>
        <v>435508</v>
      </c>
      <c r="D1765" s="746">
        <v>200</v>
      </c>
    </row>
    <row r="1766" spans="1:4" x14ac:dyDescent="0.2">
      <c r="A1766" s="514">
        <v>44836</v>
      </c>
      <c r="B1766" s="491">
        <f t="shared" si="23"/>
        <v>435708</v>
      </c>
      <c r="C1766" s="491">
        <f t="shared" si="25"/>
        <v>435508</v>
      </c>
      <c r="D1766" s="746">
        <v>200</v>
      </c>
    </row>
    <row r="1767" spans="1:4" x14ac:dyDescent="0.2">
      <c r="A1767" s="514">
        <v>44837</v>
      </c>
      <c r="B1767" s="491">
        <f t="shared" si="23"/>
        <v>435708</v>
      </c>
      <c r="C1767" s="491">
        <f t="shared" si="25"/>
        <v>435508</v>
      </c>
      <c r="D1767" s="746">
        <v>200</v>
      </c>
    </row>
    <row r="1768" spans="1:4" x14ac:dyDescent="0.2">
      <c r="A1768" s="514">
        <v>44838</v>
      </c>
      <c r="B1768" s="491">
        <f t="shared" si="23"/>
        <v>435708</v>
      </c>
      <c r="C1768" s="491">
        <f t="shared" si="25"/>
        <v>435508</v>
      </c>
      <c r="D1768" s="746">
        <v>200</v>
      </c>
    </row>
    <row r="1769" spans="1:4" x14ac:dyDescent="0.2">
      <c r="A1769" s="514">
        <v>44839</v>
      </c>
      <c r="B1769" s="491">
        <f t="shared" si="23"/>
        <v>436040</v>
      </c>
      <c r="C1769" s="491">
        <v>435840</v>
      </c>
      <c r="D1769" s="746">
        <v>200</v>
      </c>
    </row>
    <row r="1770" spans="1:4" x14ac:dyDescent="0.2">
      <c r="A1770" s="514">
        <v>44840</v>
      </c>
      <c r="B1770" s="491">
        <f t="shared" si="23"/>
        <v>427559.36</v>
      </c>
      <c r="C1770" s="491">
        <v>427359.36</v>
      </c>
      <c r="D1770" s="746">
        <v>200</v>
      </c>
    </row>
    <row r="1771" spans="1:4" x14ac:dyDescent="0.2">
      <c r="A1771" s="514">
        <v>44841</v>
      </c>
      <c r="B1771" s="491">
        <f t="shared" si="23"/>
        <v>427559.36</v>
      </c>
      <c r="C1771" s="491">
        <f t="shared" si="25"/>
        <v>427359.36</v>
      </c>
      <c r="D1771" s="746">
        <v>200</v>
      </c>
    </row>
    <row r="1772" spans="1:4" x14ac:dyDescent="0.2">
      <c r="A1772" s="514">
        <v>44844</v>
      </c>
      <c r="B1772" s="491">
        <f t="shared" si="23"/>
        <v>427559.36</v>
      </c>
      <c r="C1772" s="491">
        <f t="shared" si="25"/>
        <v>427359.36</v>
      </c>
      <c r="D1772" s="746">
        <v>200</v>
      </c>
    </row>
    <row r="1773" spans="1:4" x14ac:dyDescent="0.2">
      <c r="A1773" s="514">
        <v>44845</v>
      </c>
      <c r="B1773" s="491">
        <f t="shared" si="23"/>
        <v>388161.54</v>
      </c>
      <c r="C1773" s="491">
        <v>387961.54</v>
      </c>
      <c r="D1773" s="746">
        <v>200</v>
      </c>
    </row>
    <row r="1774" spans="1:4" x14ac:dyDescent="0.2">
      <c r="A1774" s="514">
        <v>44846</v>
      </c>
      <c r="B1774" s="491">
        <f t="shared" si="23"/>
        <v>388161.54</v>
      </c>
      <c r="C1774" s="491">
        <f t="shared" si="25"/>
        <v>387961.54</v>
      </c>
      <c r="D1774" s="746">
        <v>200</v>
      </c>
    </row>
    <row r="1775" spans="1:4" x14ac:dyDescent="0.2">
      <c r="A1775" s="514">
        <v>44847</v>
      </c>
      <c r="B1775" s="491">
        <f t="shared" si="23"/>
        <v>381514.53</v>
      </c>
      <c r="C1775" s="491">
        <v>381314.53</v>
      </c>
      <c r="D1775" s="746">
        <v>200</v>
      </c>
    </row>
    <row r="1776" spans="1:4" x14ac:dyDescent="0.2">
      <c r="A1776" s="514">
        <v>44848</v>
      </c>
      <c r="B1776" s="491">
        <f t="shared" si="23"/>
        <v>389507.01</v>
      </c>
      <c r="C1776" s="491">
        <v>389307.01</v>
      </c>
      <c r="D1776" s="746">
        <v>200</v>
      </c>
    </row>
    <row r="1777" spans="1:4" x14ac:dyDescent="0.2">
      <c r="A1777" s="514">
        <v>44849</v>
      </c>
      <c r="B1777" s="491">
        <f t="shared" si="23"/>
        <v>389507.01</v>
      </c>
      <c r="C1777" s="491">
        <f t="shared" ref="C1777:C1840" si="26">C1776</f>
        <v>389307.01</v>
      </c>
      <c r="D1777" s="746">
        <v>200</v>
      </c>
    </row>
    <row r="1778" spans="1:4" x14ac:dyDescent="0.2">
      <c r="A1778" s="514">
        <v>44850</v>
      </c>
      <c r="B1778" s="491">
        <f t="shared" si="23"/>
        <v>389507.01</v>
      </c>
      <c r="C1778" s="491">
        <f t="shared" si="26"/>
        <v>389307.01</v>
      </c>
      <c r="D1778" s="746">
        <v>200</v>
      </c>
    </row>
    <row r="1779" spans="1:4" x14ac:dyDescent="0.2">
      <c r="A1779" s="514">
        <v>44851</v>
      </c>
      <c r="B1779" s="491">
        <f t="shared" si="23"/>
        <v>414035.71</v>
      </c>
      <c r="C1779" s="491">
        <v>413835.71</v>
      </c>
      <c r="D1779" s="746">
        <v>200</v>
      </c>
    </row>
    <row r="1780" spans="1:4" x14ac:dyDescent="0.2">
      <c r="A1780" s="514">
        <v>44852</v>
      </c>
      <c r="B1780" s="491">
        <f t="shared" si="23"/>
        <v>413985.71</v>
      </c>
      <c r="C1780" s="491">
        <v>413785.71</v>
      </c>
      <c r="D1780" s="746">
        <v>200</v>
      </c>
    </row>
    <row r="1781" spans="1:4" x14ac:dyDescent="0.2">
      <c r="A1781" s="514">
        <v>44853</v>
      </c>
      <c r="B1781" s="491">
        <f t="shared" si="23"/>
        <v>413985.71</v>
      </c>
      <c r="C1781" s="491">
        <f t="shared" si="26"/>
        <v>413785.71</v>
      </c>
      <c r="D1781" s="746">
        <v>200</v>
      </c>
    </row>
    <row r="1782" spans="1:4" x14ac:dyDescent="0.2">
      <c r="A1782" s="514">
        <v>44854</v>
      </c>
      <c r="B1782" s="491">
        <f t="shared" si="23"/>
        <v>411319.14</v>
      </c>
      <c r="C1782" s="491">
        <v>411119.14</v>
      </c>
      <c r="D1782" s="746">
        <v>200</v>
      </c>
    </row>
    <row r="1783" spans="1:4" x14ac:dyDescent="0.2">
      <c r="A1783" s="514">
        <v>44855</v>
      </c>
      <c r="B1783" s="491">
        <f t="shared" si="23"/>
        <v>411160.29</v>
      </c>
      <c r="C1783" s="491">
        <v>410960.29</v>
      </c>
      <c r="D1783" s="746">
        <v>200</v>
      </c>
    </row>
    <row r="1784" spans="1:4" x14ac:dyDescent="0.2">
      <c r="A1784" s="514">
        <v>44856</v>
      </c>
      <c r="B1784" s="491">
        <f t="shared" si="23"/>
        <v>411160.29</v>
      </c>
      <c r="C1784" s="491">
        <f t="shared" si="26"/>
        <v>410960.29</v>
      </c>
      <c r="D1784" s="746">
        <v>200</v>
      </c>
    </row>
    <row r="1785" spans="1:4" x14ac:dyDescent="0.2">
      <c r="A1785" s="514">
        <v>44857</v>
      </c>
      <c r="B1785" s="491">
        <f t="shared" si="23"/>
        <v>411160.29</v>
      </c>
      <c r="C1785" s="491">
        <f t="shared" si="26"/>
        <v>410960.29</v>
      </c>
      <c r="D1785" s="746">
        <v>200</v>
      </c>
    </row>
    <row r="1786" spans="1:4" x14ac:dyDescent="0.2">
      <c r="A1786" s="514">
        <v>44858</v>
      </c>
      <c r="B1786" s="491">
        <f t="shared" si="23"/>
        <v>372476.51</v>
      </c>
      <c r="C1786" s="491">
        <v>372276.51</v>
      </c>
      <c r="D1786" s="746">
        <v>200</v>
      </c>
    </row>
    <row r="1787" spans="1:4" x14ac:dyDescent="0.2">
      <c r="A1787" s="514">
        <v>44859</v>
      </c>
      <c r="B1787" s="491">
        <f t="shared" si="23"/>
        <v>376660.01</v>
      </c>
      <c r="C1787" s="491">
        <v>376460.01</v>
      </c>
      <c r="D1787" s="746">
        <v>200</v>
      </c>
    </row>
    <row r="1788" spans="1:4" x14ac:dyDescent="0.2">
      <c r="A1788" s="514">
        <v>44860</v>
      </c>
      <c r="B1788" s="491">
        <f t="shared" si="23"/>
        <v>397613.66</v>
      </c>
      <c r="C1788" s="491">
        <v>397413.66</v>
      </c>
      <c r="D1788" s="746">
        <v>200</v>
      </c>
    </row>
    <row r="1789" spans="1:4" x14ac:dyDescent="0.2">
      <c r="A1789" s="514">
        <v>44861</v>
      </c>
      <c r="B1789" s="491">
        <f t="shared" si="23"/>
        <v>387878.55</v>
      </c>
      <c r="C1789" s="491">
        <v>387678.55</v>
      </c>
      <c r="D1789" s="746">
        <v>200</v>
      </c>
    </row>
    <row r="1790" spans="1:4" x14ac:dyDescent="0.2">
      <c r="A1790" s="514">
        <v>44862</v>
      </c>
      <c r="B1790" s="491">
        <f t="shared" si="23"/>
        <v>387403.57</v>
      </c>
      <c r="C1790" s="491">
        <v>387203.57</v>
      </c>
      <c r="D1790" s="746">
        <v>200</v>
      </c>
    </row>
    <row r="1791" spans="1:4" x14ac:dyDescent="0.2">
      <c r="A1791" s="514">
        <v>44863</v>
      </c>
      <c r="B1791" s="491">
        <f t="shared" si="23"/>
        <v>387403.57</v>
      </c>
      <c r="C1791" s="491">
        <f t="shared" si="26"/>
        <v>387203.57</v>
      </c>
      <c r="D1791" s="746">
        <v>200</v>
      </c>
    </row>
    <row r="1792" spans="1:4" x14ac:dyDescent="0.2">
      <c r="A1792" s="514">
        <v>44864</v>
      </c>
      <c r="B1792" s="491">
        <f t="shared" si="23"/>
        <v>387403.57</v>
      </c>
      <c r="C1792" s="491">
        <f t="shared" si="26"/>
        <v>387203.57</v>
      </c>
      <c r="D1792" s="746">
        <v>200</v>
      </c>
    </row>
    <row r="1793" spans="1:4" x14ac:dyDescent="0.2">
      <c r="A1793" s="514">
        <v>44865</v>
      </c>
      <c r="B1793" s="491">
        <f t="shared" si="23"/>
        <v>417270.82</v>
      </c>
      <c r="C1793" s="491">
        <v>417070.82</v>
      </c>
      <c r="D1793" s="746">
        <v>200</v>
      </c>
    </row>
    <row r="1794" spans="1:4" x14ac:dyDescent="0.2">
      <c r="A1794" s="514">
        <v>44866</v>
      </c>
      <c r="B1794" s="491">
        <f t="shared" si="23"/>
        <v>417270.82</v>
      </c>
      <c r="C1794" s="491">
        <f t="shared" si="26"/>
        <v>417070.82</v>
      </c>
      <c r="D1794" s="746">
        <v>200</v>
      </c>
    </row>
    <row r="1795" spans="1:4" x14ac:dyDescent="0.2">
      <c r="A1795" s="514">
        <v>44867</v>
      </c>
      <c r="B1795" s="491">
        <f t="shared" si="23"/>
        <v>417270.82</v>
      </c>
      <c r="C1795" s="491">
        <f t="shared" si="26"/>
        <v>417070.82</v>
      </c>
      <c r="D1795" s="746">
        <v>200</v>
      </c>
    </row>
    <row r="1796" spans="1:4" x14ac:dyDescent="0.2">
      <c r="A1796" s="514">
        <v>44868</v>
      </c>
      <c r="B1796" s="491">
        <f t="shared" si="23"/>
        <v>411865.95</v>
      </c>
      <c r="C1796" s="491">
        <v>411665.95</v>
      </c>
      <c r="D1796" s="746">
        <v>200</v>
      </c>
    </row>
    <row r="1797" spans="1:4" x14ac:dyDescent="0.2">
      <c r="A1797" s="514">
        <v>44869</v>
      </c>
      <c r="B1797" s="491">
        <f t="shared" si="23"/>
        <v>411865.95</v>
      </c>
      <c r="C1797" s="491">
        <f t="shared" si="26"/>
        <v>411665.95</v>
      </c>
      <c r="D1797" s="746">
        <v>200</v>
      </c>
    </row>
    <row r="1798" spans="1:4" x14ac:dyDescent="0.2">
      <c r="A1798" s="514">
        <v>44870</v>
      </c>
      <c r="B1798" s="491">
        <f t="shared" si="23"/>
        <v>411865.95</v>
      </c>
      <c r="C1798" s="491">
        <f t="shared" si="26"/>
        <v>411665.95</v>
      </c>
      <c r="D1798" s="746">
        <v>200</v>
      </c>
    </row>
    <row r="1799" spans="1:4" x14ac:dyDescent="0.2">
      <c r="A1799" s="514">
        <v>44871</v>
      </c>
      <c r="B1799" s="491">
        <f t="shared" si="23"/>
        <v>411865.95</v>
      </c>
      <c r="C1799" s="491">
        <f t="shared" si="26"/>
        <v>411665.95</v>
      </c>
      <c r="D1799" s="746">
        <v>200</v>
      </c>
    </row>
    <row r="1800" spans="1:4" x14ac:dyDescent="0.2">
      <c r="A1800" s="514">
        <v>44872</v>
      </c>
      <c r="B1800" s="491">
        <f t="shared" si="23"/>
        <v>368529.24</v>
      </c>
      <c r="C1800" s="491">
        <v>368329.24</v>
      </c>
      <c r="D1800" s="746">
        <v>200</v>
      </c>
    </row>
    <row r="1801" spans="1:4" x14ac:dyDescent="0.2">
      <c r="A1801" s="514">
        <v>44873</v>
      </c>
      <c r="B1801" s="491">
        <f t="shared" si="23"/>
        <v>369146.24</v>
      </c>
      <c r="C1801" s="491">
        <v>368946.24</v>
      </c>
      <c r="D1801" s="746">
        <v>200</v>
      </c>
    </row>
    <row r="1802" spans="1:4" x14ac:dyDescent="0.2">
      <c r="A1802" s="514">
        <v>44874</v>
      </c>
      <c r="B1802" s="491">
        <f t="shared" ref="B1802:B1865" si="27">C1802+D1802</f>
        <v>369146.24</v>
      </c>
      <c r="C1802" s="491">
        <f t="shared" si="26"/>
        <v>368946.24</v>
      </c>
      <c r="D1802" s="746">
        <v>200</v>
      </c>
    </row>
    <row r="1803" spans="1:4" x14ac:dyDescent="0.2">
      <c r="A1803" s="514">
        <v>44875</v>
      </c>
      <c r="B1803" s="491">
        <f t="shared" si="27"/>
        <v>423875.79</v>
      </c>
      <c r="C1803" s="491">
        <v>423675.79</v>
      </c>
      <c r="D1803" s="746">
        <v>200</v>
      </c>
    </row>
    <row r="1804" spans="1:4" x14ac:dyDescent="0.2">
      <c r="A1804" s="514">
        <v>44876</v>
      </c>
      <c r="B1804" s="491">
        <f t="shared" si="27"/>
        <v>423875.79</v>
      </c>
      <c r="C1804" s="491">
        <f t="shared" si="26"/>
        <v>423675.79</v>
      </c>
      <c r="D1804" s="746">
        <v>200</v>
      </c>
    </row>
    <row r="1805" spans="1:4" x14ac:dyDescent="0.2">
      <c r="A1805" s="514">
        <v>44879</v>
      </c>
      <c r="B1805" s="491">
        <f t="shared" si="27"/>
        <v>423400.81</v>
      </c>
      <c r="C1805" s="491">
        <v>423200.81</v>
      </c>
      <c r="D1805" s="746">
        <v>200</v>
      </c>
    </row>
    <row r="1806" spans="1:4" x14ac:dyDescent="0.2">
      <c r="A1806" s="514">
        <v>44880</v>
      </c>
      <c r="B1806" s="491">
        <f t="shared" si="27"/>
        <v>423210.99</v>
      </c>
      <c r="C1806" s="491">
        <v>423010.99</v>
      </c>
      <c r="D1806" s="746">
        <v>200</v>
      </c>
    </row>
    <row r="1807" spans="1:4" x14ac:dyDescent="0.2">
      <c r="A1807" s="514">
        <v>44881</v>
      </c>
      <c r="B1807" s="491">
        <f t="shared" si="27"/>
        <v>473210.99</v>
      </c>
      <c r="C1807" s="491">
        <v>473010.99</v>
      </c>
      <c r="D1807" s="746">
        <v>200</v>
      </c>
    </row>
    <row r="1808" spans="1:4" x14ac:dyDescent="0.2">
      <c r="A1808" s="514">
        <v>44882</v>
      </c>
      <c r="B1808" s="491">
        <f t="shared" si="27"/>
        <v>470084.64</v>
      </c>
      <c r="C1808" s="491">
        <v>469884.64</v>
      </c>
      <c r="D1808" s="746">
        <v>200</v>
      </c>
    </row>
    <row r="1809" spans="1:4" x14ac:dyDescent="0.2">
      <c r="A1809" s="514">
        <v>44883</v>
      </c>
      <c r="B1809" s="491">
        <f t="shared" si="27"/>
        <v>470084.64</v>
      </c>
      <c r="C1809" s="491">
        <f t="shared" si="26"/>
        <v>469884.64</v>
      </c>
      <c r="D1809" s="746">
        <v>200</v>
      </c>
    </row>
    <row r="1810" spans="1:4" x14ac:dyDescent="0.2">
      <c r="A1810" s="514">
        <v>44886</v>
      </c>
      <c r="B1810" s="491">
        <f t="shared" si="27"/>
        <v>424767.46</v>
      </c>
      <c r="C1810" s="491">
        <v>424567.46</v>
      </c>
      <c r="D1810" s="746">
        <v>200</v>
      </c>
    </row>
    <row r="1811" spans="1:4" x14ac:dyDescent="0.2">
      <c r="A1811" s="514">
        <v>44887</v>
      </c>
      <c r="B1811" s="491">
        <f t="shared" si="27"/>
        <v>424767.46</v>
      </c>
      <c r="C1811" s="491">
        <f t="shared" si="26"/>
        <v>424567.46</v>
      </c>
      <c r="D1811" s="746">
        <v>200</v>
      </c>
    </row>
    <row r="1812" spans="1:4" x14ac:dyDescent="0.2">
      <c r="A1812" s="514">
        <v>44888</v>
      </c>
      <c r="B1812" s="491">
        <f t="shared" si="27"/>
        <v>424767.46</v>
      </c>
      <c r="C1812" s="491">
        <f t="shared" si="26"/>
        <v>424567.46</v>
      </c>
      <c r="D1812" s="746">
        <v>200</v>
      </c>
    </row>
    <row r="1813" spans="1:4" x14ac:dyDescent="0.2">
      <c r="A1813" s="514">
        <v>44889</v>
      </c>
      <c r="B1813" s="491">
        <f t="shared" si="27"/>
        <v>424767.46</v>
      </c>
      <c r="C1813" s="491">
        <f t="shared" si="26"/>
        <v>424567.46</v>
      </c>
      <c r="D1813" s="746">
        <v>200</v>
      </c>
    </row>
    <row r="1814" spans="1:4" x14ac:dyDescent="0.2">
      <c r="A1814" s="514">
        <v>44890</v>
      </c>
      <c r="B1814" s="491">
        <f t="shared" si="27"/>
        <v>442650.11</v>
      </c>
      <c r="C1814" s="491">
        <v>442450.11</v>
      </c>
      <c r="D1814" s="746">
        <v>200</v>
      </c>
    </row>
    <row r="1815" spans="1:4" x14ac:dyDescent="0.2">
      <c r="A1815" s="514">
        <v>44893</v>
      </c>
      <c r="B1815" s="491">
        <f t="shared" si="27"/>
        <v>442518.27</v>
      </c>
      <c r="C1815" s="491">
        <v>442318.27</v>
      </c>
      <c r="D1815" s="746">
        <v>200</v>
      </c>
    </row>
    <row r="1816" spans="1:4" x14ac:dyDescent="0.2">
      <c r="A1816" s="514">
        <v>44894</v>
      </c>
      <c r="B1816" s="491">
        <f t="shared" si="27"/>
        <v>442518.27</v>
      </c>
      <c r="C1816" s="491">
        <f t="shared" si="26"/>
        <v>442318.27</v>
      </c>
      <c r="D1816" s="746">
        <v>200</v>
      </c>
    </row>
    <row r="1817" spans="1:4" x14ac:dyDescent="0.2">
      <c r="A1817" s="514">
        <v>44895</v>
      </c>
      <c r="B1817" s="491">
        <f t="shared" si="27"/>
        <v>442518.27</v>
      </c>
      <c r="C1817" s="491">
        <f t="shared" si="26"/>
        <v>442318.27</v>
      </c>
      <c r="D1817" s="746">
        <v>200</v>
      </c>
    </row>
    <row r="1818" spans="1:4" x14ac:dyDescent="0.2">
      <c r="A1818" s="514">
        <v>44896</v>
      </c>
      <c r="B1818" s="491">
        <f t="shared" si="27"/>
        <v>442518.27</v>
      </c>
      <c r="C1818" s="491">
        <f t="shared" si="26"/>
        <v>442318.27</v>
      </c>
      <c r="D1818" s="746">
        <v>200</v>
      </c>
    </row>
    <row r="1819" spans="1:4" x14ac:dyDescent="0.2">
      <c r="A1819" s="514">
        <v>44897</v>
      </c>
      <c r="B1819" s="491">
        <f t="shared" si="27"/>
        <v>420942.38</v>
      </c>
      <c r="C1819" s="491">
        <v>420742.38</v>
      </c>
      <c r="D1819" s="746">
        <v>200</v>
      </c>
    </row>
    <row r="1820" spans="1:4" x14ac:dyDescent="0.2">
      <c r="A1820" s="514">
        <v>44900</v>
      </c>
      <c r="B1820" s="491">
        <f t="shared" si="27"/>
        <v>379216.39</v>
      </c>
      <c r="C1820" s="491">
        <v>379016.39</v>
      </c>
      <c r="D1820" s="746">
        <v>200</v>
      </c>
    </row>
    <row r="1821" spans="1:4" x14ac:dyDescent="0.2">
      <c r="A1821" s="514">
        <v>44901</v>
      </c>
      <c r="B1821" s="491">
        <f t="shared" si="27"/>
        <v>379216.39</v>
      </c>
      <c r="C1821" s="491">
        <f t="shared" si="26"/>
        <v>379016.39</v>
      </c>
      <c r="D1821" s="746">
        <v>200</v>
      </c>
    </row>
    <row r="1822" spans="1:4" x14ac:dyDescent="0.2">
      <c r="A1822" s="514">
        <v>44902</v>
      </c>
      <c r="B1822" s="491">
        <f t="shared" si="27"/>
        <v>379216.39</v>
      </c>
      <c r="C1822" s="491">
        <f t="shared" si="26"/>
        <v>379016.39</v>
      </c>
      <c r="D1822" s="746">
        <v>200</v>
      </c>
    </row>
    <row r="1823" spans="1:4" x14ac:dyDescent="0.2">
      <c r="A1823" s="514">
        <v>44903</v>
      </c>
      <c r="B1823" s="491">
        <f t="shared" si="27"/>
        <v>379216.39</v>
      </c>
      <c r="C1823" s="491">
        <f t="shared" si="26"/>
        <v>379016.39</v>
      </c>
      <c r="D1823" s="746">
        <v>200</v>
      </c>
    </row>
    <row r="1824" spans="1:4" x14ac:dyDescent="0.2">
      <c r="A1824" s="514">
        <v>44904</v>
      </c>
      <c r="B1824" s="491">
        <f t="shared" si="27"/>
        <v>383318.34</v>
      </c>
      <c r="C1824" s="491">
        <v>383118.34</v>
      </c>
      <c r="D1824" s="746">
        <v>200</v>
      </c>
    </row>
    <row r="1825" spans="1:4" x14ac:dyDescent="0.2">
      <c r="A1825" s="514">
        <v>44907</v>
      </c>
      <c r="B1825" s="491">
        <f t="shared" si="27"/>
        <v>383318.34</v>
      </c>
      <c r="C1825" s="491">
        <f t="shared" si="26"/>
        <v>383118.34</v>
      </c>
      <c r="D1825" s="746">
        <v>200</v>
      </c>
    </row>
    <row r="1826" spans="1:4" x14ac:dyDescent="0.2">
      <c r="A1826" s="514">
        <v>44908</v>
      </c>
      <c r="B1826" s="491">
        <f t="shared" si="27"/>
        <v>383318.34</v>
      </c>
      <c r="C1826" s="491">
        <f t="shared" si="26"/>
        <v>383118.34</v>
      </c>
      <c r="D1826" s="746">
        <v>200</v>
      </c>
    </row>
    <row r="1827" spans="1:4" x14ac:dyDescent="0.2">
      <c r="A1827" s="514">
        <v>44909</v>
      </c>
      <c r="B1827" s="491">
        <f t="shared" si="27"/>
        <v>378306.47</v>
      </c>
      <c r="C1827" s="491">
        <v>378106.47</v>
      </c>
      <c r="D1827" s="746">
        <v>200</v>
      </c>
    </row>
    <row r="1828" spans="1:4" x14ac:dyDescent="0.2">
      <c r="A1828" s="514">
        <v>44910</v>
      </c>
      <c r="B1828" s="491">
        <f t="shared" si="27"/>
        <v>385097.98</v>
      </c>
      <c r="C1828" s="491">
        <v>384897.98</v>
      </c>
      <c r="D1828" s="746">
        <v>200</v>
      </c>
    </row>
    <row r="1829" spans="1:4" x14ac:dyDescent="0.2">
      <c r="A1829" s="514">
        <v>44911</v>
      </c>
      <c r="B1829" s="491">
        <f t="shared" si="27"/>
        <v>385399.2</v>
      </c>
      <c r="C1829" s="491">
        <v>385199.2</v>
      </c>
      <c r="D1829" s="746">
        <v>200</v>
      </c>
    </row>
    <row r="1830" spans="1:4" x14ac:dyDescent="0.2">
      <c r="A1830" s="514">
        <v>44914</v>
      </c>
      <c r="B1830" s="491">
        <f t="shared" si="27"/>
        <v>385399.2</v>
      </c>
      <c r="C1830" s="491">
        <f t="shared" si="26"/>
        <v>385199.2</v>
      </c>
      <c r="D1830" s="746">
        <v>200</v>
      </c>
    </row>
    <row r="1831" spans="1:4" x14ac:dyDescent="0.2">
      <c r="A1831" s="514">
        <v>44915</v>
      </c>
      <c r="B1831" s="491">
        <f t="shared" si="27"/>
        <v>343338.22</v>
      </c>
      <c r="C1831" s="491">
        <v>343138.22</v>
      </c>
      <c r="D1831" s="746">
        <v>200</v>
      </c>
    </row>
    <row r="1832" spans="1:4" x14ac:dyDescent="0.2">
      <c r="A1832" s="514">
        <v>44916</v>
      </c>
      <c r="B1832" s="491">
        <f t="shared" si="27"/>
        <v>339355.16</v>
      </c>
      <c r="C1832" s="491">
        <v>339155.16</v>
      </c>
      <c r="D1832" s="746">
        <v>200</v>
      </c>
    </row>
    <row r="1833" spans="1:4" x14ac:dyDescent="0.2">
      <c r="A1833" s="514">
        <v>44917</v>
      </c>
      <c r="B1833" s="491">
        <f t="shared" si="27"/>
        <v>346945.63</v>
      </c>
      <c r="C1833" s="491">
        <v>346745.63</v>
      </c>
      <c r="D1833" s="746">
        <v>200</v>
      </c>
    </row>
    <row r="1834" spans="1:4" x14ac:dyDescent="0.2">
      <c r="A1834" s="514">
        <v>44918</v>
      </c>
      <c r="B1834" s="491">
        <f t="shared" si="27"/>
        <v>346470.13</v>
      </c>
      <c r="C1834" s="491">
        <v>346270.13</v>
      </c>
      <c r="D1834" s="746">
        <v>200</v>
      </c>
    </row>
    <row r="1835" spans="1:4" x14ac:dyDescent="0.2">
      <c r="A1835" s="514">
        <v>44921</v>
      </c>
      <c r="B1835" s="491">
        <f t="shared" si="27"/>
        <v>346470.13</v>
      </c>
      <c r="C1835" s="491">
        <f t="shared" si="26"/>
        <v>346270.13</v>
      </c>
      <c r="D1835" s="746">
        <v>200</v>
      </c>
    </row>
    <row r="1836" spans="1:4" x14ac:dyDescent="0.2">
      <c r="A1836" s="514">
        <v>44922</v>
      </c>
      <c r="B1836" s="491">
        <f t="shared" si="27"/>
        <v>346470.13</v>
      </c>
      <c r="C1836" s="491">
        <f t="shared" si="26"/>
        <v>346270.13</v>
      </c>
      <c r="D1836" s="746">
        <v>200</v>
      </c>
    </row>
    <row r="1837" spans="1:4" x14ac:dyDescent="0.2">
      <c r="A1837" s="514">
        <v>44923</v>
      </c>
      <c r="B1837" s="491">
        <f t="shared" si="27"/>
        <v>432503.36</v>
      </c>
      <c r="C1837" s="491">
        <v>432303.35999999999</v>
      </c>
      <c r="D1837" s="746">
        <v>200</v>
      </c>
    </row>
    <row r="1838" spans="1:4" x14ac:dyDescent="0.2">
      <c r="A1838" s="514">
        <v>44924</v>
      </c>
      <c r="B1838" s="491">
        <f t="shared" si="27"/>
        <v>432600.88</v>
      </c>
      <c r="C1838" s="491">
        <v>432400.88</v>
      </c>
      <c r="D1838" s="746">
        <v>200</v>
      </c>
    </row>
    <row r="1839" spans="1:4" x14ac:dyDescent="0.2">
      <c r="A1839" s="514">
        <v>44925</v>
      </c>
      <c r="B1839" s="549">
        <f t="shared" si="27"/>
        <v>432698.4</v>
      </c>
      <c r="C1839" s="491">
        <v>432498.4</v>
      </c>
      <c r="D1839" s="746">
        <v>200</v>
      </c>
    </row>
    <row r="1840" spans="1:4" x14ac:dyDescent="0.2">
      <c r="A1840" s="514">
        <v>44928</v>
      </c>
      <c r="B1840" s="491">
        <f t="shared" si="27"/>
        <v>432698.4</v>
      </c>
      <c r="C1840" s="491">
        <f t="shared" si="26"/>
        <v>432498.4</v>
      </c>
      <c r="D1840" s="746">
        <v>200</v>
      </c>
    </row>
    <row r="1841" spans="1:4" x14ac:dyDescent="0.2">
      <c r="A1841" s="514">
        <v>44929</v>
      </c>
      <c r="B1841" s="491">
        <f t="shared" si="27"/>
        <v>432648.4</v>
      </c>
      <c r="C1841" s="491">
        <v>432448.4</v>
      </c>
      <c r="D1841" s="746">
        <v>200</v>
      </c>
    </row>
    <row r="1842" spans="1:4" x14ac:dyDescent="0.2">
      <c r="A1842" s="514">
        <v>44930</v>
      </c>
      <c r="B1842" s="491">
        <f t="shared" si="27"/>
        <v>432648.4</v>
      </c>
      <c r="C1842" s="491">
        <f t="shared" ref="C1842:C1877" si="28">C1841</f>
        <v>432448.4</v>
      </c>
      <c r="D1842" s="746">
        <v>200</v>
      </c>
    </row>
    <row r="1843" spans="1:4" x14ac:dyDescent="0.2">
      <c r="A1843" s="514">
        <v>44931</v>
      </c>
      <c r="B1843" s="491">
        <f t="shared" si="27"/>
        <v>376288.8</v>
      </c>
      <c r="C1843" s="491">
        <v>376088.8</v>
      </c>
      <c r="D1843" s="746">
        <v>200</v>
      </c>
    </row>
    <row r="1844" spans="1:4" x14ac:dyDescent="0.2">
      <c r="A1844" s="514">
        <v>44932</v>
      </c>
      <c r="B1844" s="491">
        <f t="shared" si="27"/>
        <v>375846.51</v>
      </c>
      <c r="C1844" s="491">
        <v>375646.51</v>
      </c>
      <c r="D1844" s="746">
        <v>200</v>
      </c>
    </row>
    <row r="1845" spans="1:4" x14ac:dyDescent="0.2">
      <c r="A1845" s="514">
        <v>44935</v>
      </c>
      <c r="B1845" s="491">
        <f t="shared" si="27"/>
        <v>375246.51</v>
      </c>
      <c r="C1845" s="491">
        <v>375046.51</v>
      </c>
      <c r="D1845" s="746">
        <v>200</v>
      </c>
    </row>
    <row r="1846" spans="1:4" x14ac:dyDescent="0.2">
      <c r="A1846" s="514">
        <v>44936</v>
      </c>
      <c r="B1846" s="491">
        <f t="shared" si="27"/>
        <v>375703.51</v>
      </c>
      <c r="C1846" s="491">
        <v>375503.51</v>
      </c>
      <c r="D1846" s="746">
        <v>200</v>
      </c>
    </row>
    <row r="1847" spans="1:4" x14ac:dyDescent="0.2">
      <c r="A1847" s="514">
        <v>44937</v>
      </c>
      <c r="B1847" s="491">
        <f t="shared" si="27"/>
        <v>375837.32</v>
      </c>
      <c r="C1847" s="491">
        <v>375637.32</v>
      </c>
      <c r="D1847" s="746">
        <v>200</v>
      </c>
    </row>
    <row r="1848" spans="1:4" x14ac:dyDescent="0.2">
      <c r="A1848" s="514">
        <v>44938</v>
      </c>
      <c r="B1848" s="491">
        <f t="shared" si="27"/>
        <v>358313.37</v>
      </c>
      <c r="C1848" s="491">
        <v>358113.37</v>
      </c>
      <c r="D1848" s="746">
        <v>200</v>
      </c>
    </row>
    <row r="1849" spans="1:4" x14ac:dyDescent="0.2">
      <c r="A1849" s="514">
        <v>44939</v>
      </c>
      <c r="B1849" s="491">
        <f t="shared" si="27"/>
        <v>362655.36</v>
      </c>
      <c r="C1849" s="491">
        <v>362455.36</v>
      </c>
      <c r="D1849" s="746">
        <v>200</v>
      </c>
    </row>
    <row r="1850" spans="1:4" x14ac:dyDescent="0.2">
      <c r="A1850" s="514">
        <v>44942</v>
      </c>
      <c r="B1850" s="491">
        <f t="shared" si="27"/>
        <v>362655.36</v>
      </c>
      <c r="C1850" s="491">
        <f t="shared" si="28"/>
        <v>362455.36</v>
      </c>
      <c r="D1850" s="746">
        <v>200</v>
      </c>
    </row>
    <row r="1851" spans="1:4" x14ac:dyDescent="0.2">
      <c r="A1851" s="514">
        <v>44943</v>
      </c>
      <c r="B1851" s="491">
        <f t="shared" si="27"/>
        <v>296234.34999999998</v>
      </c>
      <c r="C1851" s="491">
        <v>296034.34999999998</v>
      </c>
      <c r="D1851" s="746">
        <v>200</v>
      </c>
    </row>
    <row r="1852" spans="1:4" x14ac:dyDescent="0.2">
      <c r="A1852" s="514">
        <v>44944</v>
      </c>
      <c r="B1852" s="491">
        <f t="shared" si="27"/>
        <v>309641.15000000002</v>
      </c>
      <c r="C1852" s="491">
        <v>309441.15000000002</v>
      </c>
      <c r="D1852" s="746">
        <v>200</v>
      </c>
    </row>
    <row r="1853" spans="1:4" x14ac:dyDescent="0.2">
      <c r="A1853" s="514">
        <v>44945</v>
      </c>
      <c r="B1853" s="491">
        <f t="shared" si="27"/>
        <v>316446.05</v>
      </c>
      <c r="C1853" s="491">
        <v>316246.05</v>
      </c>
      <c r="D1853" s="746">
        <v>200</v>
      </c>
    </row>
    <row r="1854" spans="1:4" x14ac:dyDescent="0.2">
      <c r="A1854" s="514">
        <v>44946</v>
      </c>
      <c r="B1854" s="491">
        <f t="shared" si="27"/>
        <v>315066.78000000003</v>
      </c>
      <c r="C1854" s="491">
        <v>314866.78000000003</v>
      </c>
      <c r="D1854" s="746">
        <v>200</v>
      </c>
    </row>
    <row r="1855" spans="1:4" x14ac:dyDescent="0.2">
      <c r="A1855" s="514">
        <v>44949</v>
      </c>
      <c r="B1855" s="491">
        <f t="shared" si="27"/>
        <v>314907.93</v>
      </c>
      <c r="C1855" s="491">
        <v>314707.93</v>
      </c>
      <c r="D1855" s="746">
        <v>200</v>
      </c>
    </row>
    <row r="1856" spans="1:4" x14ac:dyDescent="0.2">
      <c r="A1856" s="514">
        <v>44950</v>
      </c>
      <c r="B1856" s="491">
        <f t="shared" si="27"/>
        <v>314907.93</v>
      </c>
      <c r="C1856" s="491">
        <f t="shared" si="28"/>
        <v>314707.93</v>
      </c>
      <c r="D1856" s="746">
        <v>200</v>
      </c>
    </row>
    <row r="1857" spans="1:4" x14ac:dyDescent="0.2">
      <c r="A1857" s="514">
        <v>44951</v>
      </c>
      <c r="B1857" s="491">
        <f t="shared" si="27"/>
        <v>314907.93</v>
      </c>
      <c r="C1857" s="491">
        <f t="shared" si="28"/>
        <v>314707.93</v>
      </c>
      <c r="D1857" s="746">
        <v>200</v>
      </c>
    </row>
    <row r="1858" spans="1:4" x14ac:dyDescent="0.2">
      <c r="A1858" s="514">
        <v>44952</v>
      </c>
      <c r="B1858" s="491">
        <f t="shared" si="27"/>
        <v>315650.68</v>
      </c>
      <c r="C1858" s="491">
        <v>315450.68</v>
      </c>
      <c r="D1858" s="746">
        <v>200</v>
      </c>
    </row>
    <row r="1859" spans="1:4" x14ac:dyDescent="0.2">
      <c r="A1859" s="514">
        <v>44953</v>
      </c>
      <c r="B1859" s="491">
        <f t="shared" si="27"/>
        <v>291355.65000000002</v>
      </c>
      <c r="C1859" s="491">
        <v>291155.65000000002</v>
      </c>
      <c r="D1859" s="746">
        <v>200</v>
      </c>
    </row>
    <row r="1860" spans="1:4" x14ac:dyDescent="0.2">
      <c r="A1860" s="514">
        <v>44956</v>
      </c>
      <c r="B1860" s="491">
        <f t="shared" si="27"/>
        <v>270294.52</v>
      </c>
      <c r="C1860" s="491">
        <v>270094.52</v>
      </c>
      <c r="D1860" s="746">
        <v>200</v>
      </c>
    </row>
    <row r="1861" spans="1:4" x14ac:dyDescent="0.2">
      <c r="A1861" s="514">
        <v>44957</v>
      </c>
      <c r="B1861" s="491">
        <f t="shared" si="27"/>
        <v>269684.28999999998</v>
      </c>
      <c r="C1861" s="491">
        <v>269484.28999999998</v>
      </c>
      <c r="D1861" s="746">
        <v>200</v>
      </c>
    </row>
    <row r="1862" spans="1:4" x14ac:dyDescent="0.2">
      <c r="A1862" s="514">
        <v>44958</v>
      </c>
      <c r="B1862" s="491">
        <f t="shared" si="27"/>
        <v>269684.28999999998</v>
      </c>
      <c r="C1862" s="491">
        <f t="shared" si="28"/>
        <v>269484.28999999998</v>
      </c>
      <c r="D1862" s="746">
        <v>200</v>
      </c>
    </row>
    <row r="1863" spans="1:4" x14ac:dyDescent="0.2">
      <c r="A1863" s="514">
        <v>44959</v>
      </c>
      <c r="B1863" s="549">
        <f t="shared" si="27"/>
        <v>259972.42</v>
      </c>
      <c r="C1863" s="491">
        <v>259772.42</v>
      </c>
      <c r="D1863" s="746">
        <v>200</v>
      </c>
    </row>
    <row r="1864" spans="1:4" x14ac:dyDescent="0.2">
      <c r="A1864" s="514">
        <v>44960</v>
      </c>
      <c r="B1864" s="491">
        <f t="shared" si="27"/>
        <v>282694.13</v>
      </c>
      <c r="C1864" s="491">
        <v>282494.13</v>
      </c>
      <c r="D1864" s="746">
        <v>200</v>
      </c>
    </row>
    <row r="1865" spans="1:4" x14ac:dyDescent="0.2">
      <c r="A1865" s="514">
        <v>44963</v>
      </c>
      <c r="B1865" s="491">
        <f t="shared" si="27"/>
        <v>282636.44</v>
      </c>
      <c r="C1865" s="491">
        <v>282436.44</v>
      </c>
      <c r="D1865" s="746">
        <v>200</v>
      </c>
    </row>
    <row r="1866" spans="1:4" x14ac:dyDescent="0.2">
      <c r="A1866" s="514">
        <v>44964</v>
      </c>
      <c r="B1866" s="491">
        <f t="shared" ref="B1866:B1924" si="29">C1866+D1866</f>
        <v>298296.44</v>
      </c>
      <c r="C1866" s="491">
        <v>298096.44</v>
      </c>
      <c r="D1866" s="746">
        <v>200</v>
      </c>
    </row>
    <row r="1867" spans="1:4" x14ac:dyDescent="0.2">
      <c r="A1867" s="514">
        <v>44965</v>
      </c>
      <c r="B1867" s="491">
        <f t="shared" si="29"/>
        <v>298259.44</v>
      </c>
      <c r="C1867" s="491">
        <v>298059.44</v>
      </c>
      <c r="D1867" s="746">
        <v>200</v>
      </c>
    </row>
    <row r="1868" spans="1:4" x14ac:dyDescent="0.2">
      <c r="A1868" s="514">
        <v>44966</v>
      </c>
      <c r="B1868" s="491">
        <f t="shared" si="29"/>
        <v>286670.99</v>
      </c>
      <c r="C1868" s="491">
        <v>286470.99</v>
      </c>
      <c r="D1868" s="746">
        <v>200</v>
      </c>
    </row>
    <row r="1869" spans="1:4" x14ac:dyDescent="0.2">
      <c r="A1869" s="514">
        <v>44967</v>
      </c>
      <c r="B1869" s="491">
        <f t="shared" si="29"/>
        <v>329121.65000000002</v>
      </c>
      <c r="C1869" s="491">
        <v>328921.65000000002</v>
      </c>
      <c r="D1869" s="746">
        <v>200</v>
      </c>
    </row>
    <row r="1870" spans="1:4" x14ac:dyDescent="0.2">
      <c r="A1870" s="514">
        <v>44970</v>
      </c>
      <c r="B1870" s="491">
        <f t="shared" si="29"/>
        <v>287265.95</v>
      </c>
      <c r="C1870" s="491">
        <v>287065.95</v>
      </c>
      <c r="D1870" s="746">
        <v>200</v>
      </c>
    </row>
    <row r="1871" spans="1:4" x14ac:dyDescent="0.2">
      <c r="A1871" s="514">
        <v>44971</v>
      </c>
      <c r="B1871" s="491">
        <f t="shared" si="29"/>
        <v>291765.95</v>
      </c>
      <c r="C1871" s="491">
        <v>291565.95</v>
      </c>
      <c r="D1871" s="746">
        <v>200</v>
      </c>
    </row>
    <row r="1872" spans="1:4" x14ac:dyDescent="0.2">
      <c r="A1872" s="514">
        <v>44972</v>
      </c>
      <c r="B1872" s="491">
        <f t="shared" si="29"/>
        <v>291800.28000000003</v>
      </c>
      <c r="C1872" s="491">
        <v>291600.28000000003</v>
      </c>
      <c r="D1872" s="746">
        <v>200</v>
      </c>
    </row>
    <row r="1873" spans="1:4" x14ac:dyDescent="0.2">
      <c r="A1873" s="514">
        <v>44973</v>
      </c>
      <c r="B1873" s="491">
        <f t="shared" si="29"/>
        <v>298342.23</v>
      </c>
      <c r="C1873" s="491">
        <v>298142.23</v>
      </c>
      <c r="D1873" s="746">
        <v>200</v>
      </c>
    </row>
    <row r="1874" spans="1:4" x14ac:dyDescent="0.2">
      <c r="A1874" s="514">
        <v>44974</v>
      </c>
      <c r="B1874" s="491">
        <f t="shared" si="29"/>
        <v>292633.62</v>
      </c>
      <c r="C1874" s="491">
        <v>292433.62</v>
      </c>
      <c r="D1874" s="746">
        <v>200</v>
      </c>
    </row>
    <row r="1875" spans="1:4" x14ac:dyDescent="0.2">
      <c r="A1875" s="514">
        <v>44977</v>
      </c>
      <c r="B1875" s="491">
        <f t="shared" si="29"/>
        <v>292633.62</v>
      </c>
      <c r="C1875" s="491">
        <f t="shared" si="28"/>
        <v>292433.62</v>
      </c>
      <c r="D1875" s="746">
        <v>200</v>
      </c>
    </row>
    <row r="1876" spans="1:4" x14ac:dyDescent="0.2">
      <c r="A1876" s="514">
        <v>44978</v>
      </c>
      <c r="B1876" s="491">
        <f t="shared" si="29"/>
        <v>320810.26</v>
      </c>
      <c r="C1876" s="491">
        <v>320610.26</v>
      </c>
      <c r="D1876" s="746">
        <v>200</v>
      </c>
    </row>
    <row r="1877" spans="1:4" x14ac:dyDescent="0.2">
      <c r="A1877" s="514">
        <v>44979</v>
      </c>
      <c r="B1877" s="491">
        <f t="shared" si="29"/>
        <v>320810.26</v>
      </c>
      <c r="C1877" s="491">
        <f t="shared" si="28"/>
        <v>320610.26</v>
      </c>
      <c r="D1877" s="746">
        <v>200</v>
      </c>
    </row>
    <row r="1878" spans="1:4" x14ac:dyDescent="0.2">
      <c r="A1878" s="514">
        <v>44980</v>
      </c>
      <c r="B1878" s="491">
        <f t="shared" si="29"/>
        <v>341705.89</v>
      </c>
      <c r="C1878" s="491">
        <v>341505.89</v>
      </c>
      <c r="D1878" s="746">
        <v>200</v>
      </c>
    </row>
    <row r="1879" spans="1:4" x14ac:dyDescent="0.2">
      <c r="A1879" s="514">
        <v>44981</v>
      </c>
      <c r="B1879" s="491">
        <f t="shared" si="29"/>
        <v>341754.4</v>
      </c>
      <c r="C1879" s="491">
        <v>341554.4</v>
      </c>
      <c r="D1879" s="746">
        <v>200</v>
      </c>
    </row>
    <row r="1880" spans="1:4" x14ac:dyDescent="0.2">
      <c r="A1880" s="514">
        <v>44984</v>
      </c>
      <c r="B1880" s="491">
        <f t="shared" si="29"/>
        <v>330670.37</v>
      </c>
      <c r="C1880" s="491">
        <v>330470.37</v>
      </c>
      <c r="D1880" s="746">
        <v>200</v>
      </c>
    </row>
    <row r="1881" spans="1:4" x14ac:dyDescent="0.2">
      <c r="A1881" s="514">
        <v>44985</v>
      </c>
      <c r="B1881" s="491">
        <f t="shared" si="29"/>
        <v>338045.7</v>
      </c>
      <c r="C1881" s="491">
        <v>337845.7</v>
      </c>
      <c r="D1881" s="746">
        <v>200</v>
      </c>
    </row>
    <row r="1882" spans="1:4" x14ac:dyDescent="0.2">
      <c r="A1882" s="514">
        <v>44986</v>
      </c>
      <c r="B1882" s="491">
        <f t="shared" si="29"/>
        <v>338604.7</v>
      </c>
      <c r="C1882" s="491">
        <v>338404.7</v>
      </c>
      <c r="D1882" s="746">
        <v>200</v>
      </c>
    </row>
    <row r="1883" spans="1:4" x14ac:dyDescent="0.2">
      <c r="A1883" s="514">
        <v>44987</v>
      </c>
      <c r="B1883" s="491">
        <f t="shared" si="29"/>
        <v>329491.15000000002</v>
      </c>
      <c r="C1883" s="491">
        <v>329291.15000000002</v>
      </c>
      <c r="D1883" s="746">
        <v>200</v>
      </c>
    </row>
    <row r="1884" spans="1:4" x14ac:dyDescent="0.2">
      <c r="A1884" s="514">
        <v>44988</v>
      </c>
      <c r="B1884" s="491">
        <f t="shared" si="29"/>
        <v>329106.55</v>
      </c>
      <c r="C1884" s="491">
        <v>328906.55</v>
      </c>
      <c r="D1884" s="746">
        <v>200</v>
      </c>
    </row>
    <row r="1885" spans="1:4" x14ac:dyDescent="0.2">
      <c r="A1885" s="514">
        <v>44991</v>
      </c>
      <c r="B1885" s="491">
        <f t="shared" si="29"/>
        <v>329106.55</v>
      </c>
      <c r="C1885" s="491">
        <f t="shared" ref="C1885:C1947" si="30">C1884</f>
        <v>328906.55</v>
      </c>
      <c r="D1885" s="746">
        <v>200</v>
      </c>
    </row>
    <row r="1886" spans="1:4" x14ac:dyDescent="0.2">
      <c r="A1886" s="514">
        <v>44992</v>
      </c>
      <c r="B1886" s="491">
        <f t="shared" si="29"/>
        <v>366692.56</v>
      </c>
      <c r="C1886" s="491">
        <v>366492.56</v>
      </c>
      <c r="D1886" s="746">
        <v>200</v>
      </c>
    </row>
    <row r="1887" spans="1:4" x14ac:dyDescent="0.2">
      <c r="A1887" s="514">
        <v>44993</v>
      </c>
      <c r="B1887" s="491">
        <f t="shared" si="29"/>
        <v>368956.85</v>
      </c>
      <c r="C1887" s="491">
        <v>368756.85</v>
      </c>
      <c r="D1887" s="746">
        <v>200</v>
      </c>
    </row>
    <row r="1888" spans="1:4" x14ac:dyDescent="0.2">
      <c r="A1888" s="514">
        <v>44994</v>
      </c>
      <c r="B1888" s="491">
        <f t="shared" si="29"/>
        <v>390880.67</v>
      </c>
      <c r="C1888" s="491">
        <v>390680.67</v>
      </c>
      <c r="D1888" s="746">
        <v>200</v>
      </c>
    </row>
    <row r="1889" spans="1:4" x14ac:dyDescent="0.2">
      <c r="A1889" s="514">
        <v>44995</v>
      </c>
      <c r="B1889" s="491">
        <f t="shared" si="29"/>
        <v>414120.74</v>
      </c>
      <c r="C1889" s="491">
        <v>413920.74</v>
      </c>
      <c r="D1889" s="746">
        <v>200</v>
      </c>
    </row>
    <row r="1890" spans="1:4" x14ac:dyDescent="0.2">
      <c r="A1890" s="514">
        <v>44998</v>
      </c>
      <c r="B1890" s="491">
        <f t="shared" si="29"/>
        <v>424130.52</v>
      </c>
      <c r="C1890" s="491">
        <v>423930.52</v>
      </c>
      <c r="D1890" s="746">
        <v>200</v>
      </c>
    </row>
    <row r="1891" spans="1:4" x14ac:dyDescent="0.2">
      <c r="A1891" s="514">
        <v>44999</v>
      </c>
      <c r="B1891" s="491">
        <f t="shared" si="29"/>
        <v>424130.52</v>
      </c>
      <c r="C1891" s="491">
        <f t="shared" si="30"/>
        <v>423930.52</v>
      </c>
      <c r="D1891" s="746">
        <v>200</v>
      </c>
    </row>
    <row r="1892" spans="1:4" x14ac:dyDescent="0.2">
      <c r="A1892" s="514">
        <v>45000</v>
      </c>
      <c r="B1892" s="491">
        <f t="shared" si="29"/>
        <v>424163.34</v>
      </c>
      <c r="C1892" s="491">
        <v>423963.34</v>
      </c>
      <c r="D1892" s="746">
        <v>200</v>
      </c>
    </row>
    <row r="1893" spans="1:4" x14ac:dyDescent="0.2">
      <c r="A1893" s="514">
        <v>45001</v>
      </c>
      <c r="B1893" s="491">
        <f t="shared" si="29"/>
        <v>422350.37</v>
      </c>
      <c r="C1893" s="491">
        <v>422150.37</v>
      </c>
      <c r="D1893" s="746">
        <v>200</v>
      </c>
    </row>
    <row r="1894" spans="1:4" x14ac:dyDescent="0.2">
      <c r="A1894" s="514">
        <v>45002</v>
      </c>
      <c r="B1894" s="491">
        <f t="shared" si="29"/>
        <v>421965.77</v>
      </c>
      <c r="C1894" s="491">
        <v>421765.77</v>
      </c>
      <c r="D1894" s="746">
        <v>200</v>
      </c>
    </row>
    <row r="1895" spans="1:4" x14ac:dyDescent="0.2">
      <c r="A1895" s="514">
        <v>45005</v>
      </c>
      <c r="B1895" s="491">
        <f t="shared" si="29"/>
        <v>419047.88</v>
      </c>
      <c r="C1895" s="491">
        <v>418847.88</v>
      </c>
      <c r="D1895" s="746">
        <v>200</v>
      </c>
    </row>
    <row r="1896" spans="1:4" x14ac:dyDescent="0.2">
      <c r="A1896" s="514">
        <v>45006</v>
      </c>
      <c r="B1896" s="491">
        <f t="shared" si="29"/>
        <v>425165.2</v>
      </c>
      <c r="C1896" s="491">
        <v>424965.2</v>
      </c>
      <c r="D1896" s="746">
        <v>200</v>
      </c>
    </row>
    <row r="1897" spans="1:4" x14ac:dyDescent="0.2">
      <c r="A1897" s="514">
        <v>45007</v>
      </c>
      <c r="B1897" s="491">
        <f t="shared" si="29"/>
        <v>415468.61</v>
      </c>
      <c r="C1897" s="491">
        <v>415268.61</v>
      </c>
      <c r="D1897" s="746">
        <v>200</v>
      </c>
    </row>
    <row r="1898" spans="1:4" x14ac:dyDescent="0.2">
      <c r="A1898" s="514">
        <v>45008</v>
      </c>
      <c r="B1898" s="491">
        <f t="shared" si="29"/>
        <v>444345.89</v>
      </c>
      <c r="C1898" s="491">
        <v>444145.89</v>
      </c>
      <c r="D1898" s="746">
        <v>200</v>
      </c>
    </row>
    <row r="1899" spans="1:4" x14ac:dyDescent="0.2">
      <c r="A1899" s="514">
        <v>45009</v>
      </c>
      <c r="B1899" s="491">
        <f t="shared" si="29"/>
        <v>444345.89</v>
      </c>
      <c r="C1899" s="491">
        <f t="shared" si="30"/>
        <v>444145.89</v>
      </c>
      <c r="D1899" s="746">
        <v>200</v>
      </c>
    </row>
    <row r="1900" spans="1:4" x14ac:dyDescent="0.2">
      <c r="A1900" s="514">
        <v>45012</v>
      </c>
      <c r="B1900" s="549">
        <f t="shared" si="29"/>
        <v>472758.17</v>
      </c>
      <c r="C1900" s="491">
        <v>472558.17</v>
      </c>
      <c r="D1900" s="746">
        <v>200</v>
      </c>
    </row>
    <row r="1901" spans="1:4" x14ac:dyDescent="0.2">
      <c r="A1901" s="514">
        <v>45013</v>
      </c>
      <c r="B1901" s="491">
        <f t="shared" si="29"/>
        <v>431931.97</v>
      </c>
      <c r="C1901" s="491">
        <v>431731.97</v>
      </c>
      <c r="D1901" s="746">
        <v>200</v>
      </c>
    </row>
    <row r="1902" spans="1:4" x14ac:dyDescent="0.2">
      <c r="A1902" s="514">
        <v>45014</v>
      </c>
      <c r="B1902" s="491">
        <f t="shared" si="29"/>
        <v>435079.42</v>
      </c>
      <c r="C1902" s="491">
        <v>434879.42</v>
      </c>
      <c r="D1902" s="746">
        <v>200</v>
      </c>
    </row>
    <row r="1903" spans="1:4" x14ac:dyDescent="0.2">
      <c r="A1903" s="514">
        <v>45015</v>
      </c>
      <c r="B1903" s="491">
        <f t="shared" si="29"/>
        <v>424040.9</v>
      </c>
      <c r="C1903" s="491">
        <v>423840.9</v>
      </c>
      <c r="D1903" s="746">
        <v>200</v>
      </c>
    </row>
    <row r="1904" spans="1:4" x14ac:dyDescent="0.2">
      <c r="A1904" s="514">
        <v>45016</v>
      </c>
      <c r="B1904" s="491">
        <f t="shared" si="29"/>
        <v>449683.31</v>
      </c>
      <c r="C1904" s="491">
        <v>449483.31</v>
      </c>
      <c r="D1904" s="746">
        <v>200</v>
      </c>
    </row>
    <row r="1905" spans="1:4" x14ac:dyDescent="0.2">
      <c r="A1905" s="514">
        <v>45019</v>
      </c>
      <c r="B1905" s="491">
        <f t="shared" si="29"/>
        <v>449683.31</v>
      </c>
      <c r="C1905" s="491">
        <f t="shared" si="30"/>
        <v>449483.31</v>
      </c>
      <c r="D1905" s="746">
        <v>200</v>
      </c>
    </row>
    <row r="1906" spans="1:4" x14ac:dyDescent="0.2">
      <c r="A1906" s="514">
        <v>45020</v>
      </c>
      <c r="B1906" s="491">
        <f t="shared" si="29"/>
        <v>449683.31</v>
      </c>
      <c r="C1906" s="491">
        <f t="shared" si="30"/>
        <v>449483.31</v>
      </c>
      <c r="D1906" s="746">
        <v>200</v>
      </c>
    </row>
    <row r="1907" spans="1:4" x14ac:dyDescent="0.2">
      <c r="A1907" s="514">
        <v>45021</v>
      </c>
      <c r="B1907" s="491">
        <f t="shared" si="29"/>
        <v>449683.31</v>
      </c>
      <c r="C1907" s="491">
        <f t="shared" si="30"/>
        <v>449483.31</v>
      </c>
      <c r="D1907" s="746">
        <v>200</v>
      </c>
    </row>
    <row r="1908" spans="1:4" x14ac:dyDescent="0.2">
      <c r="A1908" s="514">
        <v>45022</v>
      </c>
      <c r="B1908" s="491">
        <f t="shared" si="29"/>
        <v>425038.75</v>
      </c>
      <c r="C1908" s="491">
        <v>424838.75</v>
      </c>
      <c r="D1908" s="746">
        <v>200</v>
      </c>
    </row>
    <row r="1909" spans="1:4" x14ac:dyDescent="0.2">
      <c r="A1909" s="514">
        <v>45023</v>
      </c>
      <c r="B1909" s="491">
        <f t="shared" si="29"/>
        <v>425038.75</v>
      </c>
      <c r="C1909" s="491">
        <f t="shared" si="30"/>
        <v>424838.75</v>
      </c>
      <c r="D1909" s="746">
        <v>200</v>
      </c>
    </row>
    <row r="1910" spans="1:4" x14ac:dyDescent="0.2">
      <c r="A1910" s="514">
        <v>45026</v>
      </c>
      <c r="B1910" s="491">
        <f t="shared" si="29"/>
        <v>381899.02</v>
      </c>
      <c r="C1910" s="491">
        <v>381699.02</v>
      </c>
      <c r="D1910" s="746">
        <v>200</v>
      </c>
    </row>
    <row r="1911" spans="1:4" x14ac:dyDescent="0.2">
      <c r="A1911" s="514">
        <v>45027</v>
      </c>
      <c r="B1911" s="491">
        <f t="shared" si="29"/>
        <v>403291.29</v>
      </c>
      <c r="C1911" s="491">
        <v>403091.29</v>
      </c>
      <c r="D1911" s="746">
        <v>200</v>
      </c>
    </row>
    <row r="1912" spans="1:4" x14ac:dyDescent="0.2">
      <c r="A1912" s="514">
        <v>45028</v>
      </c>
      <c r="B1912" s="491">
        <f t="shared" si="29"/>
        <v>398523.39</v>
      </c>
      <c r="C1912" s="491">
        <v>398323.39</v>
      </c>
      <c r="D1912" s="746">
        <v>200</v>
      </c>
    </row>
    <row r="1913" spans="1:4" x14ac:dyDescent="0.2">
      <c r="A1913" s="514">
        <v>45029</v>
      </c>
      <c r="B1913" s="491">
        <f t="shared" si="29"/>
        <v>405256.29</v>
      </c>
      <c r="C1913" s="491">
        <v>405056.29</v>
      </c>
      <c r="D1913" s="746">
        <v>200</v>
      </c>
    </row>
    <row r="1914" spans="1:4" x14ac:dyDescent="0.2">
      <c r="A1914" s="514">
        <v>45030</v>
      </c>
      <c r="B1914" s="491">
        <f t="shared" si="29"/>
        <v>404915.18</v>
      </c>
      <c r="C1914" s="491">
        <v>404715.18</v>
      </c>
      <c r="D1914" s="746">
        <v>200</v>
      </c>
    </row>
    <row r="1915" spans="1:4" x14ac:dyDescent="0.2">
      <c r="A1915" s="514">
        <v>45033</v>
      </c>
      <c r="B1915" s="491">
        <f t="shared" si="29"/>
        <v>403828.39</v>
      </c>
      <c r="C1915" s="491">
        <v>403628.39</v>
      </c>
      <c r="D1915" s="746">
        <v>200</v>
      </c>
    </row>
    <row r="1916" spans="1:4" x14ac:dyDescent="0.2">
      <c r="A1916" s="514">
        <v>45034</v>
      </c>
      <c r="B1916" s="491">
        <f t="shared" si="29"/>
        <v>403828.39</v>
      </c>
      <c r="C1916" s="491">
        <f t="shared" si="30"/>
        <v>403628.39</v>
      </c>
      <c r="D1916" s="746">
        <v>200</v>
      </c>
    </row>
    <row r="1917" spans="1:4" x14ac:dyDescent="0.2">
      <c r="A1917" s="514">
        <v>45035</v>
      </c>
      <c r="B1917" s="491">
        <f t="shared" si="29"/>
        <v>434721.04</v>
      </c>
      <c r="C1917" s="491">
        <v>434521.04</v>
      </c>
      <c r="D1917" s="746">
        <v>200</v>
      </c>
    </row>
    <row r="1918" spans="1:4" x14ac:dyDescent="0.2">
      <c r="A1918" s="514">
        <v>45036</v>
      </c>
      <c r="B1918" s="491">
        <f t="shared" si="29"/>
        <v>421127.98</v>
      </c>
      <c r="C1918" s="491">
        <v>420927.98</v>
      </c>
      <c r="D1918" s="746">
        <v>200</v>
      </c>
    </row>
    <row r="1919" spans="1:4" x14ac:dyDescent="0.2">
      <c r="A1919" s="514">
        <v>45037</v>
      </c>
      <c r="B1919" s="491">
        <f t="shared" si="29"/>
        <v>420969.13</v>
      </c>
      <c r="C1919" s="491">
        <v>420769.13</v>
      </c>
      <c r="D1919" s="746">
        <v>200</v>
      </c>
    </row>
    <row r="1920" spans="1:4" x14ac:dyDescent="0.2">
      <c r="A1920" s="514">
        <v>45040</v>
      </c>
      <c r="B1920" s="491">
        <f t="shared" si="29"/>
        <v>420969.13</v>
      </c>
      <c r="C1920" s="491">
        <f t="shared" si="30"/>
        <v>420769.13</v>
      </c>
      <c r="D1920" s="746">
        <v>200</v>
      </c>
    </row>
    <row r="1921" spans="1:4" x14ac:dyDescent="0.2">
      <c r="A1921" s="514">
        <v>45041</v>
      </c>
      <c r="B1921" s="491">
        <f t="shared" si="29"/>
        <v>379345</v>
      </c>
      <c r="C1921" s="491">
        <v>379145</v>
      </c>
      <c r="D1921" s="746">
        <v>200</v>
      </c>
    </row>
    <row r="1922" spans="1:4" x14ac:dyDescent="0.2">
      <c r="A1922" s="514">
        <v>45042</v>
      </c>
      <c r="B1922" s="491">
        <f t="shared" si="29"/>
        <v>379345</v>
      </c>
      <c r="C1922" s="491">
        <f t="shared" si="30"/>
        <v>379145</v>
      </c>
      <c r="D1922" s="746">
        <v>200</v>
      </c>
    </row>
    <row r="1923" spans="1:4" x14ac:dyDescent="0.2">
      <c r="A1923" s="514">
        <v>45043</v>
      </c>
      <c r="B1923" s="491">
        <f t="shared" si="29"/>
        <v>379345</v>
      </c>
      <c r="C1923" s="491">
        <f t="shared" si="30"/>
        <v>379145</v>
      </c>
      <c r="D1923" s="746">
        <v>200</v>
      </c>
    </row>
    <row r="1924" spans="1:4" x14ac:dyDescent="0.2">
      <c r="A1924" s="514">
        <v>45044</v>
      </c>
      <c r="B1924" s="491">
        <f t="shared" si="29"/>
        <v>402733.09</v>
      </c>
      <c r="C1924" s="491">
        <v>402533.09</v>
      </c>
      <c r="D1924" s="746">
        <v>200</v>
      </c>
    </row>
    <row r="1925" spans="1:4" x14ac:dyDescent="0.2">
      <c r="A1925" s="514">
        <v>45047</v>
      </c>
      <c r="B1925" s="491">
        <f t="shared" ref="B1925:B1969" si="31">C1925+D1925</f>
        <v>403316.09</v>
      </c>
      <c r="C1925" s="491">
        <v>403116.09</v>
      </c>
      <c r="D1925" s="746">
        <v>200</v>
      </c>
    </row>
    <row r="1926" spans="1:4" x14ac:dyDescent="0.2">
      <c r="A1926" s="514">
        <v>45048</v>
      </c>
      <c r="B1926" s="491">
        <f t="shared" si="31"/>
        <v>403316.09</v>
      </c>
      <c r="C1926" s="491">
        <f t="shared" si="30"/>
        <v>403116.09</v>
      </c>
      <c r="D1926" s="746">
        <v>200</v>
      </c>
    </row>
    <row r="1927" spans="1:4" x14ac:dyDescent="0.2">
      <c r="A1927" s="514">
        <v>45049</v>
      </c>
      <c r="B1927" s="491">
        <f t="shared" si="31"/>
        <v>385876.12</v>
      </c>
      <c r="C1927" s="491">
        <v>385676.12</v>
      </c>
      <c r="D1927" s="746">
        <v>200</v>
      </c>
    </row>
    <row r="1928" spans="1:4" x14ac:dyDescent="0.2">
      <c r="A1928" s="514">
        <v>45050</v>
      </c>
      <c r="B1928" s="491">
        <f t="shared" si="31"/>
        <v>351812.45</v>
      </c>
      <c r="C1928" s="491">
        <v>351612.45</v>
      </c>
      <c r="D1928" s="746">
        <v>200</v>
      </c>
    </row>
    <row r="1929" spans="1:4" x14ac:dyDescent="0.2">
      <c r="A1929" s="514">
        <v>45051</v>
      </c>
      <c r="B1929" s="491">
        <f t="shared" si="31"/>
        <v>351812.45</v>
      </c>
      <c r="C1929" s="491">
        <f t="shared" si="30"/>
        <v>351612.45</v>
      </c>
      <c r="D1929" s="746">
        <v>200</v>
      </c>
    </row>
    <row r="1930" spans="1:4" x14ac:dyDescent="0.2">
      <c r="A1930" s="514">
        <v>45054</v>
      </c>
      <c r="B1930" s="491">
        <f t="shared" si="31"/>
        <v>368195.43</v>
      </c>
      <c r="C1930" s="491">
        <v>367995.43</v>
      </c>
      <c r="D1930" s="746">
        <v>200</v>
      </c>
    </row>
    <row r="1931" spans="1:4" x14ac:dyDescent="0.2">
      <c r="A1931" s="514">
        <v>45055</v>
      </c>
      <c r="B1931" s="491">
        <f t="shared" si="31"/>
        <v>368195.43</v>
      </c>
      <c r="C1931" s="491">
        <f t="shared" si="30"/>
        <v>367995.43</v>
      </c>
      <c r="D1931" s="746">
        <v>200</v>
      </c>
    </row>
    <row r="1932" spans="1:4" x14ac:dyDescent="0.2">
      <c r="A1932" s="514">
        <v>45056</v>
      </c>
      <c r="B1932" s="491">
        <f t="shared" si="31"/>
        <v>368195.43</v>
      </c>
      <c r="C1932" s="491">
        <f t="shared" si="30"/>
        <v>367995.43</v>
      </c>
      <c r="D1932" s="746">
        <v>200</v>
      </c>
    </row>
    <row r="1933" spans="1:4" x14ac:dyDescent="0.2">
      <c r="A1933" s="514">
        <v>45057</v>
      </c>
      <c r="B1933" s="491">
        <f t="shared" si="31"/>
        <v>368195.43</v>
      </c>
      <c r="C1933" s="491">
        <f t="shared" si="30"/>
        <v>367995.43</v>
      </c>
      <c r="D1933" s="746">
        <v>200</v>
      </c>
    </row>
    <row r="1934" spans="1:4" x14ac:dyDescent="0.2">
      <c r="A1934" s="514">
        <v>45058</v>
      </c>
      <c r="B1934" s="491">
        <f t="shared" si="31"/>
        <v>367810.83</v>
      </c>
      <c r="C1934" s="491">
        <v>367610.83</v>
      </c>
      <c r="D1934" s="746">
        <v>200</v>
      </c>
    </row>
    <row r="1935" spans="1:4" x14ac:dyDescent="0.2">
      <c r="A1935" s="514">
        <v>45061</v>
      </c>
      <c r="B1935" s="491">
        <f t="shared" si="31"/>
        <v>367851.39</v>
      </c>
      <c r="C1935" s="491">
        <v>367651.39</v>
      </c>
      <c r="D1935" s="746">
        <v>200</v>
      </c>
    </row>
    <row r="1936" spans="1:4" x14ac:dyDescent="0.2">
      <c r="A1936" s="514">
        <v>45062</v>
      </c>
      <c r="B1936" s="491">
        <f t="shared" si="31"/>
        <v>367851.39</v>
      </c>
      <c r="C1936" s="491">
        <f t="shared" si="30"/>
        <v>367651.39</v>
      </c>
      <c r="D1936" s="746">
        <v>200</v>
      </c>
    </row>
    <row r="1937" spans="1:4" x14ac:dyDescent="0.2">
      <c r="A1937" s="514">
        <v>45063</v>
      </c>
      <c r="B1937" s="491">
        <f t="shared" si="31"/>
        <v>367851.39</v>
      </c>
      <c r="C1937" s="491">
        <f t="shared" si="30"/>
        <v>367651.39</v>
      </c>
      <c r="D1937" s="746">
        <v>200</v>
      </c>
    </row>
    <row r="1938" spans="1:4" x14ac:dyDescent="0.2">
      <c r="A1938" s="514">
        <v>45064</v>
      </c>
      <c r="B1938" s="491">
        <f t="shared" si="31"/>
        <v>356642.57</v>
      </c>
      <c r="C1938" s="491">
        <v>356442.57</v>
      </c>
      <c r="D1938" s="746">
        <v>200</v>
      </c>
    </row>
    <row r="1939" spans="1:4" x14ac:dyDescent="0.2">
      <c r="A1939" s="514">
        <v>45065</v>
      </c>
      <c r="B1939" s="491">
        <f t="shared" si="31"/>
        <v>356642.57</v>
      </c>
      <c r="C1939" s="491">
        <f t="shared" si="30"/>
        <v>356442.57</v>
      </c>
      <c r="D1939" s="746">
        <v>200</v>
      </c>
    </row>
    <row r="1940" spans="1:4" x14ac:dyDescent="0.2">
      <c r="A1940" s="514">
        <v>45068</v>
      </c>
      <c r="B1940" s="491">
        <f t="shared" si="31"/>
        <v>308974.21000000002</v>
      </c>
      <c r="C1940" s="491">
        <v>308774.21000000002</v>
      </c>
      <c r="D1940" s="746">
        <v>200</v>
      </c>
    </row>
    <row r="1941" spans="1:4" x14ac:dyDescent="0.2">
      <c r="A1941" s="514">
        <v>45069</v>
      </c>
      <c r="B1941" s="491">
        <f t="shared" si="31"/>
        <v>338753.05</v>
      </c>
      <c r="C1941" s="491">
        <v>338553.05</v>
      </c>
      <c r="D1941" s="746">
        <v>200</v>
      </c>
    </row>
    <row r="1942" spans="1:4" x14ac:dyDescent="0.2">
      <c r="A1942" s="514">
        <v>45070</v>
      </c>
      <c r="B1942" s="491">
        <f t="shared" si="31"/>
        <v>391263.14</v>
      </c>
      <c r="C1942" s="491">
        <v>391063.14</v>
      </c>
      <c r="D1942" s="746">
        <v>200</v>
      </c>
    </row>
    <row r="1943" spans="1:4" x14ac:dyDescent="0.2">
      <c r="A1943" s="514">
        <v>45071</v>
      </c>
      <c r="B1943" s="491">
        <f t="shared" si="31"/>
        <v>391263.14</v>
      </c>
      <c r="C1943" s="491">
        <f t="shared" si="30"/>
        <v>391063.14</v>
      </c>
      <c r="D1943" s="746">
        <v>200</v>
      </c>
    </row>
    <row r="1944" spans="1:4" x14ac:dyDescent="0.2">
      <c r="A1944" s="514">
        <v>45072</v>
      </c>
      <c r="B1944" s="491">
        <f t="shared" si="31"/>
        <v>449119.47</v>
      </c>
      <c r="C1944" s="491">
        <v>448919.47</v>
      </c>
      <c r="D1944" s="746">
        <v>200</v>
      </c>
    </row>
    <row r="1945" spans="1:4" x14ac:dyDescent="0.2">
      <c r="A1945" s="514">
        <v>45075</v>
      </c>
      <c r="B1945" s="491">
        <f t="shared" si="31"/>
        <v>449119.47</v>
      </c>
      <c r="C1945" s="491">
        <f t="shared" si="30"/>
        <v>448919.47</v>
      </c>
      <c r="D1945" s="746">
        <v>200</v>
      </c>
    </row>
    <row r="1946" spans="1:4" x14ac:dyDescent="0.2">
      <c r="A1946" s="514">
        <v>45076</v>
      </c>
      <c r="B1946" s="491">
        <f t="shared" si="31"/>
        <v>448869.47</v>
      </c>
      <c r="C1946" s="491">
        <v>448669.47</v>
      </c>
      <c r="D1946" s="746">
        <v>200</v>
      </c>
    </row>
    <row r="1947" spans="1:4" x14ac:dyDescent="0.2">
      <c r="A1947" s="514">
        <v>45077</v>
      </c>
      <c r="B1947" s="491">
        <f t="shared" si="31"/>
        <v>448869.47</v>
      </c>
      <c r="C1947" s="491">
        <f t="shared" si="30"/>
        <v>448669.47</v>
      </c>
      <c r="D1947" s="746">
        <v>200</v>
      </c>
    </row>
    <row r="1948" spans="1:4" x14ac:dyDescent="0.2">
      <c r="A1948" s="514">
        <v>45078</v>
      </c>
      <c r="B1948" s="491">
        <f t="shared" si="31"/>
        <v>438853.17</v>
      </c>
      <c r="C1948" s="491">
        <v>438653.17</v>
      </c>
      <c r="D1948" s="746">
        <v>200</v>
      </c>
    </row>
    <row r="1949" spans="1:4" x14ac:dyDescent="0.2">
      <c r="A1949" s="514">
        <v>45079</v>
      </c>
      <c r="B1949" s="491">
        <f t="shared" si="31"/>
        <v>439117.17</v>
      </c>
      <c r="C1949" s="491">
        <v>438917.17</v>
      </c>
      <c r="D1949" s="746">
        <v>200</v>
      </c>
    </row>
    <row r="1950" spans="1:4" x14ac:dyDescent="0.2">
      <c r="A1950" s="514">
        <v>45082</v>
      </c>
      <c r="B1950" s="491">
        <f t="shared" si="31"/>
        <v>407163.47</v>
      </c>
      <c r="C1950" s="491">
        <v>406963.47</v>
      </c>
      <c r="D1950" s="746">
        <v>200</v>
      </c>
    </row>
    <row r="1951" spans="1:4" x14ac:dyDescent="0.2">
      <c r="A1951" s="514">
        <v>45083</v>
      </c>
      <c r="B1951" s="491">
        <f t="shared" si="31"/>
        <v>415855.1</v>
      </c>
      <c r="C1951" s="491">
        <v>415655.1</v>
      </c>
      <c r="D1951" s="746">
        <v>200</v>
      </c>
    </row>
    <row r="1952" spans="1:4" x14ac:dyDescent="0.2">
      <c r="A1952" s="514">
        <v>45084</v>
      </c>
      <c r="B1952" s="491">
        <f t="shared" si="31"/>
        <v>415855.1</v>
      </c>
      <c r="C1952" s="491">
        <f t="shared" ref="C1952:C1965" si="32">C1951</f>
        <v>415655.1</v>
      </c>
      <c r="D1952" s="746">
        <v>200</v>
      </c>
    </row>
    <row r="1953" spans="1:4" x14ac:dyDescent="0.2">
      <c r="A1953" s="514">
        <v>45085</v>
      </c>
      <c r="B1953" s="491">
        <f t="shared" si="31"/>
        <v>412361.18</v>
      </c>
      <c r="C1953" s="491">
        <v>412161.18</v>
      </c>
      <c r="D1953" s="746">
        <v>200</v>
      </c>
    </row>
    <row r="1954" spans="1:4" x14ac:dyDescent="0.2">
      <c r="A1954" s="514">
        <v>45086</v>
      </c>
      <c r="B1954" s="491">
        <f t="shared" si="31"/>
        <v>411976.58</v>
      </c>
      <c r="C1954" s="491">
        <v>411776.58</v>
      </c>
      <c r="D1954" s="746">
        <v>200</v>
      </c>
    </row>
    <row r="1955" spans="1:4" x14ac:dyDescent="0.2">
      <c r="A1955" s="514">
        <v>45089</v>
      </c>
      <c r="B1955" s="491">
        <f t="shared" si="31"/>
        <v>412491.58</v>
      </c>
      <c r="C1955" s="491">
        <v>412291.58</v>
      </c>
      <c r="D1955" s="746">
        <v>200</v>
      </c>
    </row>
    <row r="1956" spans="1:4" x14ac:dyDescent="0.2">
      <c r="A1956" s="514">
        <v>45090</v>
      </c>
      <c r="B1956" s="491">
        <f t="shared" si="31"/>
        <v>412491.58</v>
      </c>
      <c r="C1956" s="491">
        <f t="shared" si="32"/>
        <v>412291.58</v>
      </c>
      <c r="D1956" s="746">
        <v>200</v>
      </c>
    </row>
    <row r="1957" spans="1:4" x14ac:dyDescent="0.2">
      <c r="A1957" s="514">
        <v>45091</v>
      </c>
      <c r="B1957" s="491">
        <f t="shared" si="31"/>
        <v>412491.58</v>
      </c>
      <c r="C1957" s="491">
        <f t="shared" si="32"/>
        <v>412291.58</v>
      </c>
      <c r="D1957" s="746">
        <v>200</v>
      </c>
    </row>
    <row r="1958" spans="1:4" x14ac:dyDescent="0.2">
      <c r="A1958" s="514">
        <v>45092</v>
      </c>
      <c r="B1958" s="491">
        <f t="shared" si="31"/>
        <v>421884.75</v>
      </c>
      <c r="C1958" s="491">
        <v>421684.75</v>
      </c>
      <c r="D1958" s="746">
        <v>200</v>
      </c>
    </row>
    <row r="1959" spans="1:4" x14ac:dyDescent="0.2">
      <c r="A1959" s="514">
        <v>45093</v>
      </c>
      <c r="B1959" s="491">
        <f t="shared" si="31"/>
        <v>421884.75</v>
      </c>
      <c r="C1959" s="491">
        <f t="shared" si="32"/>
        <v>421684.75</v>
      </c>
      <c r="D1959" s="746">
        <v>200</v>
      </c>
    </row>
    <row r="1960" spans="1:4" x14ac:dyDescent="0.2">
      <c r="A1960" s="514">
        <v>45096</v>
      </c>
      <c r="B1960" s="491">
        <f t="shared" si="31"/>
        <v>422030.75</v>
      </c>
      <c r="C1960" s="491">
        <v>421830.75</v>
      </c>
      <c r="D1960" s="746">
        <v>200</v>
      </c>
    </row>
    <row r="1961" spans="1:4" x14ac:dyDescent="0.2">
      <c r="A1961" s="514">
        <v>45097</v>
      </c>
      <c r="B1961" s="491">
        <f t="shared" si="31"/>
        <v>384440.18</v>
      </c>
      <c r="C1961" s="491">
        <v>384240.18</v>
      </c>
      <c r="D1961" s="746">
        <v>200</v>
      </c>
    </row>
    <row r="1962" spans="1:4" x14ac:dyDescent="0.2">
      <c r="A1962" s="514">
        <v>45098</v>
      </c>
      <c r="B1962" s="491">
        <f t="shared" si="31"/>
        <v>383701.41</v>
      </c>
      <c r="C1962" s="491">
        <v>383501.41</v>
      </c>
      <c r="D1962" s="746">
        <v>200</v>
      </c>
    </row>
    <row r="1963" spans="1:4" x14ac:dyDescent="0.2">
      <c r="A1963" s="514">
        <v>45099</v>
      </c>
      <c r="B1963" s="491">
        <f t="shared" si="31"/>
        <v>384859.49</v>
      </c>
      <c r="C1963" s="491">
        <v>384659.49</v>
      </c>
      <c r="D1963" s="746">
        <v>200</v>
      </c>
    </row>
    <row r="1964" spans="1:4" x14ac:dyDescent="0.2">
      <c r="A1964" s="514">
        <v>45100</v>
      </c>
      <c r="B1964" s="491">
        <f t="shared" si="31"/>
        <v>412308.62</v>
      </c>
      <c r="C1964" s="491">
        <v>412108.62</v>
      </c>
      <c r="D1964" s="746">
        <v>200</v>
      </c>
    </row>
    <row r="1965" spans="1:4" x14ac:dyDescent="0.2">
      <c r="A1965" s="514">
        <v>45103</v>
      </c>
      <c r="B1965" s="491">
        <f t="shared" si="31"/>
        <v>412308.62</v>
      </c>
      <c r="C1965" s="491">
        <f t="shared" si="32"/>
        <v>412108.62</v>
      </c>
      <c r="D1965" s="746">
        <v>200</v>
      </c>
    </row>
    <row r="1966" spans="1:4" x14ac:dyDescent="0.2">
      <c r="A1966" s="514">
        <v>45104</v>
      </c>
      <c r="B1966" s="491">
        <f t="shared" si="31"/>
        <v>412282.92</v>
      </c>
      <c r="C1966" s="491">
        <v>412082.92</v>
      </c>
      <c r="D1966" s="746">
        <v>200</v>
      </c>
    </row>
    <row r="1967" spans="1:4" x14ac:dyDescent="0.2">
      <c r="A1967" s="514">
        <v>45105</v>
      </c>
      <c r="B1967" s="491">
        <f t="shared" si="31"/>
        <v>402422.58</v>
      </c>
      <c r="C1967" s="491">
        <v>402222.58</v>
      </c>
      <c r="D1967" s="746">
        <v>200</v>
      </c>
    </row>
    <row r="1968" spans="1:4" x14ac:dyDescent="0.2">
      <c r="A1968" s="514">
        <v>45106</v>
      </c>
      <c r="B1968" s="491">
        <f t="shared" si="31"/>
        <v>402266.7</v>
      </c>
      <c r="C1968" s="491">
        <v>402066.7</v>
      </c>
      <c r="D1968" s="746">
        <v>200</v>
      </c>
    </row>
    <row r="1969" spans="1:4" x14ac:dyDescent="0.2">
      <c r="A1969" s="514">
        <v>45107</v>
      </c>
      <c r="B1969" s="491">
        <f t="shared" si="31"/>
        <v>407981.99</v>
      </c>
      <c r="C1969" s="491">
        <v>407781.99</v>
      </c>
      <c r="D1969" s="746">
        <v>200</v>
      </c>
    </row>
    <row r="1970" spans="1:4" x14ac:dyDescent="0.2">
      <c r="A1970" s="514"/>
      <c r="C1970" s="491"/>
      <c r="D1970" s="746"/>
    </row>
    <row r="1971" spans="1:4" x14ac:dyDescent="0.2">
      <c r="A1971" s="514"/>
      <c r="C1971" s="491"/>
      <c r="D1971" s="746"/>
    </row>
    <row r="1972" spans="1:4" x14ac:dyDescent="0.2">
      <c r="A1972" s="514"/>
      <c r="C1972" s="491"/>
      <c r="D1972" s="746"/>
    </row>
    <row r="1973" spans="1:4" x14ac:dyDescent="0.2">
      <c r="A1973" s="514"/>
      <c r="C1973" s="491"/>
      <c r="D1973" s="746"/>
    </row>
    <row r="1974" spans="1:4" x14ac:dyDescent="0.2">
      <c r="A1974" s="514"/>
      <c r="C1974" s="491"/>
      <c r="D1974" s="746"/>
    </row>
    <row r="1975" spans="1:4" x14ac:dyDescent="0.2">
      <c r="A1975" s="514"/>
      <c r="C1975" s="491"/>
      <c r="D1975" s="746"/>
    </row>
    <row r="1976" spans="1:4" x14ac:dyDescent="0.2">
      <c r="A1976" s="514"/>
      <c r="C1976" s="491"/>
      <c r="D1976" s="746"/>
    </row>
    <row r="1977" spans="1:4" x14ac:dyDescent="0.2">
      <c r="A1977" s="514"/>
      <c r="C1977" s="491"/>
      <c r="D1977" s="746"/>
    </row>
    <row r="1978" spans="1:4" x14ac:dyDescent="0.2">
      <c r="A1978" s="514"/>
      <c r="C1978" s="491"/>
      <c r="D1978" s="746"/>
    </row>
    <row r="1979" spans="1:4" x14ac:dyDescent="0.2">
      <c r="A1979" s="514"/>
      <c r="C1979" s="491"/>
      <c r="D1979" s="746"/>
    </row>
    <row r="1980" spans="1:4" x14ac:dyDescent="0.2">
      <c r="A1980" s="514"/>
      <c r="C1980" s="491"/>
      <c r="D1980" s="746"/>
    </row>
    <row r="1981" spans="1:4" x14ac:dyDescent="0.2">
      <c r="A1981" s="514"/>
      <c r="C1981" s="491"/>
      <c r="D1981" s="746"/>
    </row>
    <row r="1982" spans="1:4" x14ac:dyDescent="0.2">
      <c r="A1982" s="514"/>
      <c r="C1982" s="491"/>
      <c r="D1982" s="746"/>
    </row>
    <row r="1983" spans="1:4" x14ac:dyDescent="0.2">
      <c r="A1983" s="514"/>
      <c r="C1983" s="491"/>
      <c r="D1983" s="746"/>
    </row>
    <row r="1984" spans="1:4" x14ac:dyDescent="0.2">
      <c r="A1984" s="514"/>
      <c r="C1984" s="491"/>
      <c r="D1984" s="746"/>
    </row>
    <row r="1985" spans="1:4" x14ac:dyDescent="0.2">
      <c r="A1985" s="514"/>
      <c r="C1985" s="491"/>
      <c r="D1985" s="746"/>
    </row>
    <row r="1986" spans="1:4" x14ac:dyDescent="0.2">
      <c r="A1986" s="514"/>
      <c r="C1986" s="491"/>
      <c r="D1986" s="746"/>
    </row>
    <row r="1987" spans="1:4" x14ac:dyDescent="0.2">
      <c r="A1987" s="514"/>
      <c r="C1987" s="491"/>
      <c r="D1987" s="746"/>
    </row>
    <row r="1988" spans="1:4" x14ac:dyDescent="0.2">
      <c r="A1988" s="514"/>
      <c r="C1988" s="491"/>
      <c r="D1988" s="746"/>
    </row>
    <row r="1989" spans="1:4" x14ac:dyDescent="0.2">
      <c r="A1989" s="514"/>
      <c r="C1989" s="491"/>
      <c r="D1989" s="746"/>
    </row>
    <row r="1990" spans="1:4" x14ac:dyDescent="0.2">
      <c r="A1990" s="514"/>
      <c r="C1990" s="491"/>
      <c r="D1990" s="746"/>
    </row>
    <row r="1991" spans="1:4" x14ac:dyDescent="0.2">
      <c r="A1991" s="514"/>
      <c r="C1991" s="491"/>
      <c r="D1991" s="746"/>
    </row>
    <row r="1992" spans="1:4" x14ac:dyDescent="0.2">
      <c r="A1992" s="514"/>
      <c r="C1992" s="491"/>
      <c r="D1992" s="746"/>
    </row>
    <row r="1993" spans="1:4" x14ac:dyDescent="0.2">
      <c r="A1993" s="514"/>
      <c r="C1993" s="491"/>
      <c r="D1993" s="746"/>
    </row>
    <row r="1994" spans="1:4" x14ac:dyDescent="0.2">
      <c r="A1994" s="514"/>
      <c r="C1994" s="491"/>
      <c r="D1994" s="746"/>
    </row>
    <row r="1995" spans="1:4" x14ac:dyDescent="0.2">
      <c r="A1995" s="514"/>
      <c r="C1995" s="491"/>
      <c r="D1995" s="746"/>
    </row>
    <row r="1996" spans="1:4" x14ac:dyDescent="0.2">
      <c r="A1996" s="514"/>
      <c r="C1996" s="491"/>
      <c r="D1996" s="746"/>
    </row>
    <row r="1997" spans="1:4" x14ac:dyDescent="0.2">
      <c r="A1997" s="514"/>
      <c r="C1997" s="491"/>
      <c r="D1997" s="746"/>
    </row>
    <row r="1998" spans="1:4" x14ac:dyDescent="0.2">
      <c r="A1998" s="514"/>
      <c r="C1998" s="491"/>
      <c r="D1998" s="746"/>
    </row>
    <row r="1999" spans="1:4" x14ac:dyDescent="0.2">
      <c r="A1999" s="519" t="s">
        <v>269</v>
      </c>
      <c r="B1999" s="491">
        <f>MAX(B$1840:B1998)</f>
        <v>472758.17</v>
      </c>
    </row>
    <row r="2000" spans="1:4" x14ac:dyDescent="0.2">
      <c r="A2000" s="519" t="s">
        <v>270</v>
      </c>
      <c r="B2000" s="491">
        <f>MIN(B$1840:B1881)</f>
        <v>259972.42</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410</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411</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85" t="s">
        <v>49</v>
      </c>
      <c r="H5" s="985"/>
      <c r="I5" s="985"/>
      <c r="J5" s="985"/>
      <c r="K5" s="985"/>
      <c r="L5" s="415" t="s">
        <v>181</v>
      </c>
      <c r="M5" s="412"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43" t="s">
        <v>407</v>
      </c>
      <c r="H7" s="744" t="s">
        <v>408</v>
      </c>
      <c r="I7" s="744" t="s">
        <v>412</v>
      </c>
      <c r="J7" s="744"/>
      <c r="K7" s="743" t="s">
        <v>413</v>
      </c>
      <c r="L7" s="986" t="s">
        <v>414</v>
      </c>
      <c r="M7" s="986"/>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101</v>
      </c>
      <c r="D8" s="420"/>
      <c r="E8" s="420"/>
      <c r="F8" s="73"/>
      <c r="G8" s="326">
        <v>360098</v>
      </c>
      <c r="H8" s="326">
        <v>315760.04333000001</v>
      </c>
      <c r="I8" s="326">
        <v>675858.04333000001</v>
      </c>
      <c r="J8" s="326"/>
      <c r="K8" s="263">
        <v>811777</v>
      </c>
      <c r="L8" s="378">
        <v>-135918.95666999999</v>
      </c>
      <c r="M8" s="413">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150</v>
      </c>
      <c r="D9" s="420"/>
      <c r="E9" s="420"/>
      <c r="F9" s="73"/>
      <c r="G9" s="322">
        <v>41504</v>
      </c>
      <c r="H9" s="322">
        <v>25300</v>
      </c>
      <c r="I9" s="322">
        <v>66804</v>
      </c>
      <c r="J9" s="322"/>
      <c r="K9" s="264">
        <v>175000</v>
      </c>
      <c r="L9" s="506">
        <v>-108196</v>
      </c>
      <c r="M9" s="413">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179</v>
      </c>
      <c r="D10" s="420"/>
      <c r="E10" s="420"/>
      <c r="F10" s="73"/>
      <c r="G10" s="322">
        <v>14147</v>
      </c>
      <c r="H10" s="322">
        <v>24011.0864</v>
      </c>
      <c r="I10" s="322">
        <v>38158.0864</v>
      </c>
      <c r="J10" s="322"/>
      <c r="K10" s="264">
        <v>49619</v>
      </c>
      <c r="L10" s="506">
        <v>-11460.9136</v>
      </c>
      <c r="M10" s="413">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102</v>
      </c>
      <c r="D11" s="420"/>
      <c r="E11" s="420"/>
      <c r="F11" s="73"/>
      <c r="G11" s="322"/>
      <c r="H11" s="322"/>
      <c r="I11" s="322">
        <v>0</v>
      </c>
      <c r="J11" s="322"/>
      <c r="K11" s="264"/>
      <c r="L11" s="506"/>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139</v>
      </c>
      <c r="E12" s="420"/>
      <c r="F12" s="73"/>
      <c r="G12" s="322">
        <v>103487</v>
      </c>
      <c r="H12" s="322">
        <v>87197.56</v>
      </c>
      <c r="I12" s="322">
        <v>190684.56</v>
      </c>
      <c r="J12" s="322"/>
      <c r="K12" s="264">
        <v>196175</v>
      </c>
      <c r="L12" s="506">
        <v>-5490.4400000000023</v>
      </c>
      <c r="M12" s="413">
        <v>-2.7987460175863399E-2</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159</v>
      </c>
      <c r="E13" s="420"/>
      <c r="F13" s="73"/>
      <c r="G13" s="322">
        <v>9000</v>
      </c>
      <c r="H13" s="322">
        <v>9000</v>
      </c>
      <c r="I13" s="322">
        <v>18000</v>
      </c>
      <c r="J13" s="322"/>
      <c r="K13" s="264">
        <v>18000</v>
      </c>
      <c r="L13" s="506">
        <v>0</v>
      </c>
      <c r="M13" s="413">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403</v>
      </c>
      <c r="E14" s="420"/>
      <c r="F14" s="73"/>
      <c r="G14" s="322">
        <v>48393</v>
      </c>
      <c r="H14" s="322">
        <v>58479.097600000001</v>
      </c>
      <c r="I14" s="322">
        <v>106872.09760000001</v>
      </c>
      <c r="J14" s="322"/>
      <c r="K14" s="264">
        <v>169400</v>
      </c>
      <c r="L14" s="506">
        <v>-62527.902399999992</v>
      </c>
      <c r="M14" s="413">
        <v>-0.36911394569067291</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376</v>
      </c>
      <c r="D15" s="420"/>
      <c r="E15" s="420"/>
      <c r="F15" s="73"/>
      <c r="G15" s="322">
        <v>5140</v>
      </c>
      <c r="H15" s="322">
        <v>5045</v>
      </c>
      <c r="I15" s="322">
        <v>10185</v>
      </c>
      <c r="J15" s="322"/>
      <c r="K15" s="264">
        <v>17000</v>
      </c>
      <c r="L15" s="506">
        <v>-6815</v>
      </c>
      <c r="M15" s="413">
        <v>-0.40088235294117647</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110</v>
      </c>
      <c r="D16" s="420"/>
      <c r="E16" s="420"/>
      <c r="F16" s="73"/>
      <c r="G16" s="322">
        <v>701</v>
      </c>
      <c r="H16" s="322">
        <v>592.29</v>
      </c>
      <c r="I16" s="322">
        <v>1293.29</v>
      </c>
      <c r="J16" s="322"/>
      <c r="K16" s="264">
        <v>1200</v>
      </c>
      <c r="L16" s="506">
        <v>93.289999999999964</v>
      </c>
      <c r="M16" s="413">
        <v>7.7741666666666639E-2</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237</v>
      </c>
      <c r="D17" s="420"/>
      <c r="E17" s="420"/>
      <c r="F17" s="73"/>
      <c r="G17" s="322">
        <v>2152</v>
      </c>
      <c r="H17" s="322">
        <v>1900</v>
      </c>
      <c r="I17" s="322">
        <v>4052</v>
      </c>
      <c r="J17" s="322"/>
      <c r="K17" s="264">
        <v>4200</v>
      </c>
      <c r="L17" s="506">
        <v>-148</v>
      </c>
      <c r="M17" s="413">
        <v>-3.5238095238095235E-2</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320</v>
      </c>
      <c r="D18" s="420"/>
      <c r="E18" s="420"/>
      <c r="F18" s="73"/>
      <c r="G18" s="322">
        <v>-2942</v>
      </c>
      <c r="H18" s="322">
        <v>0</v>
      </c>
      <c r="I18" s="322">
        <v>-2942</v>
      </c>
      <c r="J18" s="322"/>
      <c r="K18" s="264">
        <v>1500</v>
      </c>
      <c r="L18" s="506">
        <v>-4442</v>
      </c>
      <c r="M18" s="413">
        <v>-2.9613333333333332</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415</v>
      </c>
      <c r="D19" s="420"/>
      <c r="E19" s="420"/>
      <c r="F19" s="73"/>
      <c r="G19" s="322"/>
      <c r="H19" s="322"/>
      <c r="I19" s="322">
        <v>0</v>
      </c>
      <c r="J19" s="322"/>
      <c r="K19" s="264"/>
      <c r="L19" s="506">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v>15479.72</v>
      </c>
      <c r="H20" s="322">
        <v>16194.880000000001</v>
      </c>
      <c r="I20" s="322">
        <v>31674.6</v>
      </c>
      <c r="J20" s="322"/>
      <c r="K20" s="264">
        <v>29543</v>
      </c>
      <c r="L20" s="506">
        <v>2131.5999999999985</v>
      </c>
      <c r="M20" s="413">
        <v>7.2152455742477015E-2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0"/>
      <c r="D21" s="420" t="s">
        <v>394</v>
      </c>
      <c r="E21" s="420"/>
      <c r="F21" s="420"/>
      <c r="G21" s="322">
        <v>4073</v>
      </c>
      <c r="H21" s="322">
        <v>1960.0200000000002</v>
      </c>
      <c r="I21" s="322">
        <v>6033.02</v>
      </c>
      <c r="J21" s="322"/>
      <c r="K21" s="264">
        <v>5000</v>
      </c>
      <c r="L21" s="506">
        <v>1033.0200000000004</v>
      </c>
      <c r="M21" s="413">
        <v>0.20660400000000009</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40"/>
      <c r="D22" s="420" t="s">
        <v>17</v>
      </c>
      <c r="E22" s="740"/>
      <c r="F22" s="740"/>
      <c r="G22" s="322">
        <v>25000</v>
      </c>
      <c r="H22" s="322">
        <v>25000</v>
      </c>
      <c r="I22" s="322">
        <v>50000</v>
      </c>
      <c r="J22" s="322"/>
      <c r="K22" s="264">
        <v>50000</v>
      </c>
      <c r="L22" s="506">
        <v>0</v>
      </c>
      <c r="M22" s="413">
        <v>0</v>
      </c>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40"/>
      <c r="D23" s="420" t="s">
        <v>416</v>
      </c>
      <c r="E23" s="740"/>
      <c r="F23" s="740"/>
      <c r="G23" s="322">
        <v>15000</v>
      </c>
      <c r="H23" s="322">
        <v>0</v>
      </c>
      <c r="I23" s="322">
        <v>15000</v>
      </c>
      <c r="J23" s="322"/>
      <c r="K23" s="264">
        <v>0</v>
      </c>
      <c r="L23" s="506">
        <v>15000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40"/>
      <c r="D24" s="420" t="s">
        <v>417</v>
      </c>
      <c r="E24" s="740"/>
      <c r="F24" s="740"/>
      <c r="G24" s="322">
        <v>5488</v>
      </c>
      <c r="H24" s="322">
        <v>0</v>
      </c>
      <c r="I24" s="322">
        <v>5488</v>
      </c>
      <c r="J24" s="322"/>
      <c r="K24" s="264">
        <v>0</v>
      </c>
      <c r="L24" s="506">
        <v>5488</v>
      </c>
      <c r="M24" s="413"/>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322</v>
      </c>
      <c r="D25" s="740"/>
      <c r="E25" s="740"/>
      <c r="F25" s="740"/>
      <c r="G25" s="322">
        <v>0</v>
      </c>
      <c r="H25" s="322">
        <v>0</v>
      </c>
      <c r="I25" s="322">
        <v>0</v>
      </c>
      <c r="J25" s="322"/>
      <c r="K25" s="264">
        <v>2000</v>
      </c>
      <c r="L25" s="506">
        <v>-2000</v>
      </c>
      <c r="M25" s="413">
        <v>-1</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109</v>
      </c>
      <c r="D26" s="740"/>
      <c r="E26" s="740"/>
      <c r="F26" s="740"/>
      <c r="G26" s="322">
        <v>23288</v>
      </c>
      <c r="H26" s="322">
        <v>23288</v>
      </c>
      <c r="I26" s="322">
        <v>46576</v>
      </c>
      <c r="J26" s="322"/>
      <c r="K26" s="322">
        <v>46576</v>
      </c>
      <c r="L26" s="506">
        <v>0</v>
      </c>
      <c r="M26" s="413">
        <v>0</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418</v>
      </c>
      <c r="D27" s="740"/>
      <c r="E27" s="740"/>
      <c r="F27" s="740"/>
      <c r="G27" s="322">
        <v>11328.2</v>
      </c>
      <c r="H27" s="322">
        <v>10450</v>
      </c>
      <c r="I27" s="322">
        <v>21778.2</v>
      </c>
      <c r="J27" s="322"/>
      <c r="K27" s="322">
        <v>3500</v>
      </c>
      <c r="L27" s="506">
        <v>18278.2</v>
      </c>
      <c r="M27" s="413">
        <v>5.2223428571428574</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102</v>
      </c>
      <c r="D28" s="740"/>
      <c r="E28" s="740"/>
      <c r="F28" s="740"/>
      <c r="G28" s="322">
        <v>9500</v>
      </c>
      <c r="H28" s="322">
        <v>9499.7799999999988</v>
      </c>
      <c r="I28" s="322">
        <v>18999.78</v>
      </c>
      <c r="J28" s="322"/>
      <c r="K28" s="322">
        <v>19000</v>
      </c>
      <c r="L28" s="506">
        <v>-0.22000000000116415</v>
      </c>
      <c r="M28" s="413">
        <v>-1.1578947368482324E-5</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t="s">
        <v>319</v>
      </c>
      <c r="D29" s="740"/>
      <c r="E29" s="740"/>
      <c r="F29" s="740"/>
      <c r="G29" s="322">
        <v>26000</v>
      </c>
      <c r="H29" s="322">
        <v>20800.019999999997</v>
      </c>
      <c r="I29" s="322">
        <v>46800.02</v>
      </c>
      <c r="J29" s="322"/>
      <c r="K29" s="322">
        <v>53000</v>
      </c>
      <c r="L29" s="506">
        <v>-6199.9800000000032</v>
      </c>
      <c r="M29" s="413">
        <v>-0.11698075471698119</v>
      </c>
      <c r="N29" s="68"/>
      <c r="O29" s="387"/>
      <c r="P29" s="470"/>
      <c r="Q29" s="36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t="s">
        <v>321</v>
      </c>
      <c r="D30" s="740"/>
      <c r="E30" s="740"/>
      <c r="F30" s="740"/>
      <c r="G30" s="322">
        <v>5764.37</v>
      </c>
      <c r="H30" s="322">
        <v>5781</v>
      </c>
      <c r="I30" s="322">
        <v>11545.369999999999</v>
      </c>
      <c r="J30" s="322"/>
      <c r="K30" s="322">
        <v>16835</v>
      </c>
      <c r="L30" s="506">
        <v>-5289.630000000001</v>
      </c>
      <c r="M30" s="413">
        <v>-0.31420433620433624</v>
      </c>
      <c r="N30" s="68"/>
      <c r="O30" s="387"/>
      <c r="P30" s="470"/>
      <c r="Q30" s="361"/>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0"/>
      <c r="D31" s="73" t="s">
        <v>105</v>
      </c>
      <c r="E31" s="420"/>
      <c r="F31" s="73"/>
      <c r="G31" s="748">
        <v>722601.28999999992</v>
      </c>
      <c r="H31" s="748">
        <v>640258.77733000007</v>
      </c>
      <c r="I31" s="748">
        <v>1362860.0673300002</v>
      </c>
      <c r="J31" s="748"/>
      <c r="K31" s="748">
        <v>1669325</v>
      </c>
      <c r="L31" s="749">
        <v>-306464.93267000001</v>
      </c>
      <c r="M31" s="750">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0"/>
      <c r="D32" s="73"/>
      <c r="E32" s="420"/>
      <c r="F32" s="73"/>
      <c r="G32" s="322"/>
      <c r="H32" s="322"/>
      <c r="I32" s="322"/>
      <c r="J32" s="322"/>
      <c r="K32" s="591"/>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111</v>
      </c>
      <c r="C33" s="87"/>
      <c r="D33" s="87"/>
      <c r="E33" s="87"/>
      <c r="F33" s="87"/>
      <c r="G33" s="322"/>
      <c r="H33" s="322"/>
      <c r="I33" s="322"/>
      <c r="J33" s="322"/>
      <c r="K33" s="3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112</v>
      </c>
      <c r="D34" s="79"/>
      <c r="E34" s="79"/>
      <c r="F34" s="79"/>
      <c r="G34" s="232">
        <v>447013.99</v>
      </c>
      <c r="H34" s="322">
        <v>440623.07</v>
      </c>
      <c r="I34" s="322">
        <v>887637.06</v>
      </c>
      <c r="J34" s="322"/>
      <c r="K34" s="751">
        <v>1102996</v>
      </c>
      <c r="L34" s="506">
        <v>-215358.93999999994</v>
      </c>
      <c r="M34" s="436">
        <v>-0.19524906708637196</v>
      </c>
    </row>
    <row r="35" spans="1:57" s="68" customFormat="1" ht="20.25" x14ac:dyDescent="0.2">
      <c r="A35" s="67"/>
      <c r="B35" s="67"/>
      <c r="C35" s="79" t="s">
        <v>113</v>
      </c>
      <c r="D35" s="79"/>
      <c r="E35" s="79"/>
      <c r="F35" s="79"/>
      <c r="G35" s="232">
        <v>102132.08</v>
      </c>
      <c r="H35" s="322">
        <v>85992.050000000017</v>
      </c>
      <c r="I35" s="322">
        <v>188124.13</v>
      </c>
      <c r="J35" s="322"/>
      <c r="K35" s="752">
        <v>224967</v>
      </c>
      <c r="L35" s="506">
        <v>-36842.869999999995</v>
      </c>
      <c r="M35" s="436">
        <v>-0.16377010850480292</v>
      </c>
    </row>
    <row r="36" spans="1:57" s="68" customFormat="1" ht="20.25" x14ac:dyDescent="0.2">
      <c r="A36" s="67"/>
      <c r="B36" s="67"/>
      <c r="C36" s="79" t="s">
        <v>114</v>
      </c>
      <c r="D36" s="79"/>
      <c r="E36" s="79"/>
      <c r="F36" s="79"/>
      <c r="G36" s="232">
        <v>900</v>
      </c>
      <c r="H36" s="322">
        <v>900</v>
      </c>
      <c r="I36" s="322">
        <v>1800</v>
      </c>
      <c r="J36" s="322"/>
      <c r="K36" s="752">
        <v>1800</v>
      </c>
      <c r="L36" s="506">
        <v>0</v>
      </c>
      <c r="M36" s="436">
        <v>0</v>
      </c>
    </row>
    <row r="37" spans="1:57" s="68" customFormat="1" ht="20.25" x14ac:dyDescent="0.2">
      <c r="A37" s="67"/>
      <c r="B37" s="67"/>
      <c r="C37" s="79" t="s">
        <v>104</v>
      </c>
      <c r="D37" s="79"/>
      <c r="E37" s="79"/>
      <c r="F37" s="79"/>
      <c r="G37" s="232">
        <v>23288</v>
      </c>
      <c r="H37" s="322">
        <v>23288</v>
      </c>
      <c r="I37" s="322">
        <v>46576</v>
      </c>
      <c r="J37" s="322"/>
      <c r="K37" s="752">
        <v>46576</v>
      </c>
      <c r="L37" s="506">
        <v>0</v>
      </c>
      <c r="M37" s="436">
        <v>0</v>
      </c>
    </row>
    <row r="38" spans="1:57" s="68" customFormat="1" ht="20.25" x14ac:dyDescent="0.2">
      <c r="A38" s="67"/>
      <c r="B38" s="67"/>
      <c r="C38" s="79" t="s">
        <v>115</v>
      </c>
      <c r="D38" s="79"/>
      <c r="E38" s="79"/>
      <c r="F38" s="79"/>
      <c r="G38" s="232">
        <v>10831.87</v>
      </c>
      <c r="H38" s="322">
        <v>10418.370000000001</v>
      </c>
      <c r="I38" s="322">
        <v>21250.240000000002</v>
      </c>
      <c r="J38" s="322"/>
      <c r="K38" s="752">
        <v>19050</v>
      </c>
      <c r="L38" s="506">
        <v>2200.2400000000016</v>
      </c>
      <c r="M38" s="436">
        <v>0.11549816272965888</v>
      </c>
    </row>
    <row r="39" spans="1:57" s="68" customFormat="1" ht="20.25" x14ac:dyDescent="0.2">
      <c r="A39" s="67"/>
      <c r="B39" s="67"/>
      <c r="C39" s="79" t="s">
        <v>116</v>
      </c>
      <c r="D39" s="79"/>
      <c r="E39" s="79"/>
      <c r="F39" s="79"/>
      <c r="G39" s="232">
        <v>1224.3499999999999</v>
      </c>
      <c r="H39" s="322">
        <v>1207.24</v>
      </c>
      <c r="I39" s="322">
        <v>2431.59</v>
      </c>
      <c r="J39" s="322"/>
      <c r="K39" s="752">
        <v>3377</v>
      </c>
      <c r="L39" s="506">
        <v>-945.40999999999985</v>
      </c>
      <c r="M39" s="436">
        <v>-0.27995558187740593</v>
      </c>
    </row>
    <row r="40" spans="1:57" s="68" customFormat="1" ht="20.25" x14ac:dyDescent="0.2">
      <c r="A40" s="67"/>
      <c r="B40" s="67"/>
      <c r="C40" s="79" t="s">
        <v>117</v>
      </c>
      <c r="D40" s="79"/>
      <c r="E40" s="79"/>
      <c r="F40" s="79"/>
      <c r="G40" s="232">
        <v>1941.95</v>
      </c>
      <c r="H40" s="322">
        <v>1791.4500000000003</v>
      </c>
      <c r="I40" s="322">
        <v>3733.4000000000005</v>
      </c>
      <c r="J40" s="322"/>
      <c r="K40" s="752">
        <v>4254</v>
      </c>
      <c r="L40" s="506">
        <v>-520.59999999999945</v>
      </c>
      <c r="M40" s="436">
        <v>-0.12237893747061576</v>
      </c>
    </row>
    <row r="41" spans="1:57" s="68" customFormat="1" ht="20.25" x14ac:dyDescent="0.2">
      <c r="A41" s="67"/>
      <c r="B41" s="67"/>
      <c r="C41" s="79" t="s">
        <v>118</v>
      </c>
      <c r="D41" s="79"/>
      <c r="E41" s="79"/>
      <c r="F41" s="79"/>
      <c r="G41" s="232">
        <v>525.84</v>
      </c>
      <c r="H41" s="322">
        <v>1029.27</v>
      </c>
      <c r="I41" s="322">
        <v>1555.1100000000001</v>
      </c>
      <c r="J41" s="322"/>
      <c r="K41" s="752">
        <v>12334</v>
      </c>
      <c r="L41" s="506">
        <v>-10778.89</v>
      </c>
      <c r="M41" s="436">
        <v>-0.8739168153072806</v>
      </c>
    </row>
    <row r="42" spans="1:57" s="68" customFormat="1" ht="20.25" x14ac:dyDescent="0.2">
      <c r="A42" s="67"/>
      <c r="B42" s="67"/>
      <c r="C42" s="79" t="s">
        <v>119</v>
      </c>
      <c r="D42" s="79"/>
      <c r="E42" s="79"/>
      <c r="F42" s="79"/>
      <c r="G42" s="232">
        <v>18906.52</v>
      </c>
      <c r="H42" s="322">
        <v>15450</v>
      </c>
      <c r="I42" s="322">
        <v>34356.520000000004</v>
      </c>
      <c r="J42" s="322"/>
      <c r="K42" s="752">
        <v>38115</v>
      </c>
      <c r="L42" s="506">
        <v>-3758.4799999999959</v>
      </c>
      <c r="M42" s="436">
        <v>-9.8608946608946507E-2</v>
      </c>
    </row>
    <row r="43" spans="1:57" s="68" customFormat="1" ht="20.25" x14ac:dyDescent="0.2">
      <c r="A43" s="67"/>
      <c r="B43" s="67"/>
      <c r="C43" s="79" t="s">
        <v>120</v>
      </c>
      <c r="D43" s="79"/>
      <c r="E43" s="79"/>
      <c r="F43" s="79"/>
      <c r="G43" s="232">
        <v>672.76</v>
      </c>
      <c r="H43" s="322">
        <v>828.07</v>
      </c>
      <c r="I43" s="322">
        <v>1500.83</v>
      </c>
      <c r="J43" s="322"/>
      <c r="K43" s="752">
        <v>5448</v>
      </c>
      <c r="L43" s="506">
        <v>-3947.17</v>
      </c>
      <c r="M43" s="436">
        <v>-0.72451725403817913</v>
      </c>
    </row>
    <row r="44" spans="1:57" s="68" customFormat="1" ht="20.25" x14ac:dyDescent="0.2">
      <c r="A44" s="67"/>
      <c r="B44" s="67"/>
      <c r="C44" s="79" t="s">
        <v>121</v>
      </c>
      <c r="D44" s="79"/>
      <c r="E44" s="79"/>
      <c r="F44" s="79"/>
      <c r="G44" s="232">
        <v>419</v>
      </c>
      <c r="H44" s="322">
        <v>588.96333333333337</v>
      </c>
      <c r="I44" s="322">
        <v>1007.9633333333334</v>
      </c>
      <c r="J44" s="322"/>
      <c r="K44" s="752">
        <v>1262</v>
      </c>
      <c r="L44" s="506">
        <v>-254.03666666666663</v>
      </c>
      <c r="M44" s="436">
        <v>-0.20129688325409401</v>
      </c>
    </row>
    <row r="45" spans="1:57" s="68" customFormat="1" ht="20.25" x14ac:dyDescent="0.2">
      <c r="A45" s="67"/>
      <c r="B45" s="67"/>
      <c r="C45" s="79" t="s">
        <v>166</v>
      </c>
      <c r="D45" s="79"/>
      <c r="E45" s="79"/>
      <c r="F45" s="79"/>
      <c r="G45" s="232">
        <v>7425</v>
      </c>
      <c r="H45" s="322">
        <v>2735</v>
      </c>
      <c r="I45" s="322">
        <v>10160</v>
      </c>
      <c r="J45" s="322"/>
      <c r="K45" s="752">
        <v>12600</v>
      </c>
      <c r="L45" s="506">
        <v>-2440</v>
      </c>
      <c r="M45" s="436">
        <v>-0.19365079365079366</v>
      </c>
    </row>
    <row r="46" spans="1:57" s="68" customFormat="1" ht="20.25" x14ac:dyDescent="0.2">
      <c r="A46" s="67"/>
      <c r="B46" s="67"/>
      <c r="C46" s="987" t="s">
        <v>324</v>
      </c>
      <c r="D46" s="987"/>
      <c r="E46" s="987"/>
      <c r="F46" s="987"/>
      <c r="G46" s="232">
        <v>67</v>
      </c>
      <c r="H46" s="322">
        <v>0</v>
      </c>
      <c r="I46" s="322">
        <v>67</v>
      </c>
      <c r="J46" s="322"/>
      <c r="K46" s="752">
        <v>0</v>
      </c>
      <c r="L46" s="506">
        <v>67</v>
      </c>
      <c r="M46" s="436"/>
      <c r="O46" s="732"/>
    </row>
    <row r="47" spans="1:57" s="68" customFormat="1" ht="20.25" x14ac:dyDescent="0.2">
      <c r="A47" s="67"/>
      <c r="B47" s="67"/>
      <c r="C47" s="79" t="s">
        <v>122</v>
      </c>
      <c r="D47" s="79"/>
      <c r="E47" s="79"/>
      <c r="F47" s="79"/>
      <c r="G47" s="322">
        <v>9698.2999999999993</v>
      </c>
      <c r="H47" s="322">
        <v>6282.170000000001</v>
      </c>
      <c r="I47" s="322">
        <v>15980.470000000001</v>
      </c>
      <c r="J47" s="322"/>
      <c r="K47" s="752">
        <v>12425</v>
      </c>
      <c r="L47" s="506">
        <v>3555.4700000000012</v>
      </c>
      <c r="M47" s="436">
        <v>0.28615452716297796</v>
      </c>
    </row>
    <row r="48" spans="1:57" s="68" customFormat="1" ht="20.25" x14ac:dyDescent="0.2">
      <c r="A48" s="67"/>
      <c r="B48" s="67"/>
      <c r="C48" s="79" t="s">
        <v>123</v>
      </c>
      <c r="D48" s="79"/>
      <c r="E48" s="79"/>
      <c r="F48" s="79"/>
      <c r="G48" s="322">
        <v>5409.5</v>
      </c>
      <c r="H48" s="322">
        <v>6493.7800000000007</v>
      </c>
      <c r="I48" s="322">
        <v>11903.28</v>
      </c>
      <c r="J48" s="322"/>
      <c r="K48" s="752">
        <v>11716</v>
      </c>
      <c r="L48" s="506">
        <v>187.28000000000065</v>
      </c>
      <c r="M48" s="436">
        <v>1.5984977808125696E-2</v>
      </c>
      <c r="O48" s="732"/>
    </row>
    <row r="49" spans="1:17" s="68" customFormat="1" ht="20.25" x14ac:dyDescent="0.2">
      <c r="A49" s="67"/>
      <c r="B49" s="67"/>
      <c r="C49" s="79" t="s">
        <v>130</v>
      </c>
      <c r="D49" s="79"/>
      <c r="E49" s="79"/>
      <c r="F49" s="79"/>
      <c r="G49" s="232">
        <v>733.4</v>
      </c>
      <c r="H49" s="322">
        <v>410</v>
      </c>
      <c r="I49" s="322">
        <v>1143.4000000000001</v>
      </c>
      <c r="J49" s="322"/>
      <c r="K49" s="752">
        <v>1280</v>
      </c>
      <c r="L49" s="506">
        <v>-136.59999999999991</v>
      </c>
      <c r="M49" s="436">
        <v>-0.10671874999999993</v>
      </c>
    </row>
    <row r="50" spans="1:17" s="68" customFormat="1" ht="20.25" x14ac:dyDescent="0.2">
      <c r="A50" s="67"/>
      <c r="B50" s="67"/>
      <c r="C50" s="79" t="s">
        <v>124</v>
      </c>
      <c r="D50" s="79"/>
      <c r="E50" s="79"/>
      <c r="F50" s="79"/>
      <c r="G50" s="322">
        <v>540.31999999999994</v>
      </c>
      <c r="H50" s="322">
        <v>0</v>
      </c>
      <c r="I50" s="322">
        <v>540.31999999999994</v>
      </c>
      <c r="J50" s="322"/>
      <c r="K50" s="752">
        <v>10470</v>
      </c>
      <c r="L50" s="506">
        <v>-9929.68</v>
      </c>
      <c r="M50" s="436">
        <v>-0.94839350525310417</v>
      </c>
      <c r="O50" s="732"/>
    </row>
    <row r="51" spans="1:17" s="68" customFormat="1" ht="20.25" customHeight="1" x14ac:dyDescent="0.2">
      <c r="A51" s="67"/>
      <c r="B51" s="67"/>
      <c r="C51" s="79" t="s">
        <v>199</v>
      </c>
      <c r="D51" s="79"/>
      <c r="E51" s="79"/>
      <c r="F51" s="79"/>
      <c r="G51" s="232">
        <v>2381.4</v>
      </c>
      <c r="H51" s="322">
        <v>300</v>
      </c>
      <c r="I51" s="322">
        <v>2681.4</v>
      </c>
      <c r="J51" s="322"/>
      <c r="K51" s="752">
        <v>20850</v>
      </c>
      <c r="L51" s="506">
        <v>-18168.599999999999</v>
      </c>
      <c r="M51" s="436">
        <v>-0.87139568345323737</v>
      </c>
    </row>
    <row r="52" spans="1:17" s="76" customFormat="1" ht="20.25" x14ac:dyDescent="0.2">
      <c r="A52" s="79"/>
      <c r="B52" s="79"/>
      <c r="C52" s="79" t="s">
        <v>126</v>
      </c>
      <c r="D52" s="79"/>
      <c r="E52" s="79"/>
      <c r="F52" s="79"/>
      <c r="G52" s="322">
        <v>23932</v>
      </c>
      <c r="H52" s="322">
        <v>4454</v>
      </c>
      <c r="I52" s="322">
        <v>28386</v>
      </c>
      <c r="J52" s="322"/>
      <c r="K52" s="752">
        <v>12937</v>
      </c>
      <c r="L52" s="506">
        <v>15449</v>
      </c>
      <c r="M52" s="436">
        <v>1.1941717554301616</v>
      </c>
    </row>
    <row r="53" spans="1:17" s="68" customFormat="1" ht="20.25" x14ac:dyDescent="0.2">
      <c r="A53" s="67"/>
      <c r="B53" s="67"/>
      <c r="C53" s="79" t="s">
        <v>165</v>
      </c>
      <c r="D53" s="79"/>
      <c r="E53" s="79"/>
      <c r="F53" s="79"/>
      <c r="G53" s="232">
        <v>31384.95</v>
      </c>
      <c r="H53" s="322">
        <v>23455</v>
      </c>
      <c r="I53" s="322">
        <v>54839.95</v>
      </c>
      <c r="J53" s="322"/>
      <c r="K53" s="752">
        <v>60011</v>
      </c>
      <c r="L53" s="506">
        <v>-5171.0500000000029</v>
      </c>
      <c r="M53" s="436">
        <v>-8.6168369132325784E-2</v>
      </c>
      <c r="Q53" s="341"/>
    </row>
    <row r="54" spans="1:17" s="68" customFormat="1" ht="20.25" x14ac:dyDescent="0.2">
      <c r="A54" s="67"/>
      <c r="B54" s="67"/>
      <c r="C54" s="79" t="s">
        <v>127</v>
      </c>
      <c r="D54" s="79"/>
      <c r="E54" s="79"/>
      <c r="F54" s="79"/>
      <c r="G54" s="232">
        <v>31753.16</v>
      </c>
      <c r="H54" s="322">
        <v>14675</v>
      </c>
      <c r="I54" s="322">
        <v>46428.160000000003</v>
      </c>
      <c r="J54" s="322"/>
      <c r="K54" s="752">
        <v>61119</v>
      </c>
      <c r="L54" s="506">
        <v>-14690.839999999997</v>
      </c>
      <c r="M54" s="436">
        <v>-0.2403645347600582</v>
      </c>
    </row>
    <row r="55" spans="1:17" s="68" customFormat="1" ht="21" thickBot="1" x14ac:dyDescent="0.25">
      <c r="A55" s="67"/>
      <c r="B55" s="67"/>
      <c r="C55" s="79" t="s">
        <v>405</v>
      </c>
      <c r="D55" s="79"/>
      <c r="E55" s="79"/>
      <c r="F55" s="79"/>
      <c r="G55" s="241">
        <v>297</v>
      </c>
      <c r="H55" s="398">
        <v>990</v>
      </c>
      <c r="I55" s="398">
        <v>1287</v>
      </c>
      <c r="J55" s="398"/>
      <c r="K55" s="753">
        <v>0</v>
      </c>
      <c r="L55" s="509">
        <v>1287</v>
      </c>
      <c r="M55" s="508"/>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50">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54" t="s">
        <v>419</v>
      </c>
      <c r="D58"/>
      <c r="E58" s="67"/>
      <c r="F58" s="67"/>
      <c r="G58" s="242">
        <v>1122.9000000000233</v>
      </c>
      <c r="H58" s="242">
        <v>-1652.6560033332789</v>
      </c>
      <c r="I58" s="242">
        <v>-529.75600333325565</v>
      </c>
      <c r="J58" s="232"/>
      <c r="K58" s="242">
        <v>5738</v>
      </c>
      <c r="L58" s="755">
        <v>-6267.7560033332556</v>
      </c>
      <c r="M58" s="750">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125</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54" t="s">
        <v>420</v>
      </c>
      <c r="D62"/>
      <c r="E62"/>
      <c r="F62"/>
      <c r="G62" s="756">
        <v>-18377.099999999977</v>
      </c>
      <c r="H62" s="756">
        <v>-21372.656003333279</v>
      </c>
      <c r="I62" s="756">
        <v>-39749.756003333256</v>
      </c>
      <c r="J62" s="237"/>
      <c r="K62" s="756">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421</v>
      </c>
      <c r="G64" s="232"/>
      <c r="H64" s="232"/>
      <c r="I64" s="232"/>
      <c r="J64" s="232"/>
      <c r="K64" s="232"/>
    </row>
    <row r="65" spans="1:11" s="76" customFormat="1" ht="20.25" x14ac:dyDescent="0.2">
      <c r="A65" s="79"/>
      <c r="B65" s="79"/>
      <c r="D65" s="79"/>
      <c r="E65" s="79"/>
      <c r="F65" s="758" t="s">
        <v>422</v>
      </c>
      <c r="G65" s="232"/>
      <c r="H65" s="232"/>
      <c r="I65" s="232"/>
      <c r="J65" s="232"/>
      <c r="K65" s="232"/>
    </row>
    <row r="66" spans="1:11" s="76" customFormat="1" ht="20.25" x14ac:dyDescent="0.2">
      <c r="A66" s="79"/>
      <c r="B66" s="79"/>
      <c r="D66" s="79"/>
      <c r="E66" s="79"/>
      <c r="F66" s="758" t="s">
        <v>427</v>
      </c>
      <c r="G66" s="232"/>
      <c r="H66" s="232"/>
      <c r="I66" s="232"/>
      <c r="J66" s="232"/>
      <c r="K66" s="232"/>
    </row>
    <row r="67" spans="1:11" s="68" customFormat="1" ht="20.25" x14ac:dyDescent="0.2">
      <c r="A67" s="67"/>
      <c r="B67" s="67"/>
      <c r="D67" s="79"/>
      <c r="E67" s="67"/>
      <c r="F67" s="758" t="s">
        <v>423</v>
      </c>
      <c r="G67" s="232"/>
      <c r="H67" s="232"/>
      <c r="I67" s="232"/>
      <c r="J67" s="232"/>
      <c r="K67" s="232"/>
    </row>
    <row r="68" spans="1:11" s="68" customFormat="1" ht="23.25" x14ac:dyDescent="0.2">
      <c r="A68" s="67"/>
      <c r="B68" s="271"/>
      <c r="C68" s="67"/>
      <c r="D68" s="67"/>
      <c r="E68" s="67"/>
      <c r="F68" s="758" t="s">
        <v>424</v>
      </c>
      <c r="G68" s="237"/>
      <c r="H68" s="237"/>
      <c r="I68" s="237"/>
      <c r="J68" s="237"/>
      <c r="K68" s="237"/>
    </row>
    <row r="69" spans="1:11" s="68" customFormat="1" ht="20.25" x14ac:dyDescent="0.2">
      <c r="A69" s="67"/>
      <c r="B69" s="67"/>
      <c r="C69" s="67"/>
      <c r="D69" s="67"/>
      <c r="E69" s="67"/>
      <c r="F69" s="758" t="s">
        <v>425</v>
      </c>
      <c r="G69" s="232"/>
      <c r="H69" s="232"/>
      <c r="I69" s="232"/>
      <c r="J69" s="232"/>
      <c r="K69" s="232"/>
    </row>
    <row r="70" spans="1:11" s="82" customFormat="1" ht="26.25" x14ac:dyDescent="0.2">
      <c r="A70" s="268"/>
      <c r="B70" s="268"/>
      <c r="C70" s="268"/>
      <c r="D70" s="268"/>
      <c r="E70" s="268"/>
      <c r="F70" s="758" t="s">
        <v>426</v>
      </c>
      <c r="G70" s="237"/>
      <c r="H70" s="237"/>
      <c r="I70" s="237"/>
      <c r="J70" s="237"/>
      <c r="K70" s="237"/>
    </row>
    <row r="71" spans="1:11" s="18" customFormat="1" ht="20.25" x14ac:dyDescent="0.3">
      <c r="A71" s="122"/>
      <c r="B71" s="122"/>
      <c r="C71" s="122"/>
      <c r="D71" s="122"/>
      <c r="E71" s="122"/>
      <c r="F71" s="759"/>
      <c r="G71" s="277"/>
      <c r="H71" s="277"/>
      <c r="I71" s="277"/>
      <c r="J71" s="277"/>
      <c r="K71" s="277"/>
    </row>
    <row r="72" spans="1:11" ht="20.25" x14ac:dyDescent="0.3">
      <c r="F72" s="760"/>
      <c r="G72" s="277"/>
      <c r="H72" s="277"/>
      <c r="I72" s="277"/>
      <c r="J72" s="277"/>
      <c r="K72" s="277"/>
    </row>
    <row r="73" spans="1:11" ht="20.25" x14ac:dyDescent="0.3">
      <c r="F73" s="760"/>
      <c r="G73" s="757"/>
      <c r="H73" s="277"/>
      <c r="I73" s="277"/>
      <c r="J73" s="277"/>
      <c r="K73" s="277"/>
    </row>
    <row r="74" spans="1:11" ht="20.25" x14ac:dyDescent="0.3">
      <c r="F74" s="760"/>
      <c r="G74" s="274"/>
      <c r="H74" s="274"/>
      <c r="I74" s="274"/>
      <c r="J74" s="274"/>
      <c r="K74" s="274"/>
    </row>
    <row r="75" spans="1:11" ht="18" x14ac:dyDescent="0.25">
      <c r="F75" s="760"/>
    </row>
    <row r="76" spans="1:11" ht="18" x14ac:dyDescent="0.25">
      <c r="F76" s="760"/>
    </row>
    <row r="77" spans="1:11" ht="18" x14ac:dyDescent="0.25">
      <c r="F77" s="760"/>
    </row>
    <row r="78" spans="1:11" ht="18" x14ac:dyDescent="0.25">
      <c r="F78" s="760"/>
    </row>
    <row r="79" spans="1:11" ht="18" x14ac:dyDescent="0.25">
      <c r="F79" s="760"/>
    </row>
    <row r="80" spans="1:11" ht="18" x14ac:dyDescent="0.25">
      <c r="F80" s="760"/>
    </row>
    <row r="81" spans="6:6" ht="18" x14ac:dyDescent="0.25">
      <c r="F81" s="760"/>
    </row>
    <row r="82" spans="6:6" ht="18" x14ac:dyDescent="0.25">
      <c r="F82" s="760"/>
    </row>
    <row r="83" spans="6:6" ht="18" x14ac:dyDescent="0.25">
      <c r="F83" s="761"/>
    </row>
    <row r="84" spans="6:6" ht="18" x14ac:dyDescent="0.25">
      <c r="F84" s="761"/>
    </row>
  </sheetData>
  <mergeCells count="3">
    <mergeCell ref="G5:K5"/>
    <mergeCell ref="L7:M7"/>
    <mergeCell ref="C46:F4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S97"/>
  <sheetViews>
    <sheetView topLeftCell="A12" zoomScale="85" zoomScaleNormal="85" workbookViewId="0">
      <selection activeCell="A74" sqref="A74:XFD74"/>
    </sheetView>
  </sheetViews>
  <sheetFormatPr defaultRowHeight="14.25" x14ac:dyDescent="0.2"/>
  <cols>
    <col min="1" max="1" width="50" style="4" customWidth="1"/>
    <col min="2" max="2" width="26" style="4" customWidth="1"/>
    <col min="3" max="3" width="17.25" style="773" customWidth="1"/>
    <col min="4" max="4" width="13.625" style="773" customWidth="1"/>
    <col min="5" max="5" width="12.75" style="773"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669" width="9" style="1"/>
  </cols>
  <sheetData>
    <row r="1" spans="1:669"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row>
    <row r="2" spans="1:669"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row>
    <row r="3" spans="1:669" s="15" customFormat="1" ht="18" x14ac:dyDescent="0.25">
      <c r="A3" s="16" t="s">
        <v>623</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row>
    <row r="4" spans="1:669"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row>
    <row r="5" spans="1:669" s="24" customFormat="1" ht="16.5" thickBot="1" x14ac:dyDescent="0.25">
      <c r="A5" s="253" t="s">
        <v>158</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row>
    <row r="6" spans="1:669" s="23" customFormat="1" ht="30.75" thickBot="1" x14ac:dyDescent="0.25">
      <c r="A6" s="314" t="s">
        <v>22</v>
      </c>
      <c r="B6" s="839" t="s">
        <v>12</v>
      </c>
      <c r="C6" s="314" t="s">
        <v>1</v>
      </c>
      <c r="D6" s="839" t="s">
        <v>2</v>
      </c>
      <c r="E6" s="314" t="s">
        <v>3</v>
      </c>
      <c r="F6" s="764" t="s">
        <v>9</v>
      </c>
      <c r="G6" s="319" t="s">
        <v>27</v>
      </c>
      <c r="H6" s="764" t="s">
        <v>196</v>
      </c>
      <c r="I6" s="963" t="s">
        <v>26</v>
      </c>
      <c r="J6" s="319" t="s">
        <v>19</v>
      </c>
      <c r="K6" s="966" t="s">
        <v>93</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row>
    <row r="7" spans="1:669" hidden="1" x14ac:dyDescent="0.2">
      <c r="A7" s="712" t="s">
        <v>327</v>
      </c>
      <c r="B7" s="838" t="s">
        <v>14</v>
      </c>
      <c r="C7" s="291" t="s">
        <v>341</v>
      </c>
      <c r="D7" s="7">
        <v>43466</v>
      </c>
      <c r="E7" s="290">
        <v>43830</v>
      </c>
      <c r="F7" s="763"/>
      <c r="G7" s="293"/>
      <c r="H7" s="308"/>
      <c r="I7" s="964"/>
      <c r="J7" s="307"/>
      <c r="K7" s="967"/>
      <c r="L7" s="46"/>
      <c r="M7" s="29"/>
      <c r="N7" s="29"/>
    </row>
    <row r="8" spans="1:669" hidden="1" x14ac:dyDescent="0.2">
      <c r="A8" s="712" t="s">
        <v>476</v>
      </c>
      <c r="B8" s="915" t="s">
        <v>14</v>
      </c>
      <c r="C8" s="291"/>
      <c r="D8" s="916">
        <v>44287</v>
      </c>
      <c r="E8" s="290">
        <v>44635</v>
      </c>
      <c r="F8" s="917">
        <v>29668</v>
      </c>
      <c r="G8" s="293">
        <f>F8</f>
        <v>29668</v>
      </c>
      <c r="H8" s="918">
        <f>'June''23 AR Aging '!G6</f>
        <v>0</v>
      </c>
      <c r="I8" s="842">
        <v>29668</v>
      </c>
      <c r="J8" s="735">
        <f>F8-I8</f>
        <v>0</v>
      </c>
      <c r="K8" s="968"/>
      <c r="L8" s="46"/>
      <c r="M8" s="29"/>
      <c r="N8" s="29"/>
    </row>
    <row r="9" spans="1:669" hidden="1" x14ac:dyDescent="0.2">
      <c r="A9" s="924" t="s">
        <v>554</v>
      </c>
      <c r="B9" s="933" t="s">
        <v>14</v>
      </c>
      <c r="C9" s="938"/>
      <c r="D9" s="919">
        <v>44652</v>
      </c>
      <c r="E9" s="841">
        <v>45016</v>
      </c>
      <c r="F9" s="948"/>
      <c r="G9" s="920"/>
      <c r="H9" s="806"/>
      <c r="I9" s="920"/>
      <c r="J9" s="948"/>
      <c r="K9" s="969"/>
      <c r="L9" s="248"/>
      <c r="M9" s="282"/>
      <c r="N9" s="29"/>
    </row>
    <row r="10" spans="1:669" x14ac:dyDescent="0.2">
      <c r="A10" s="925" t="s">
        <v>569</v>
      </c>
      <c r="B10" s="934" t="s">
        <v>13</v>
      </c>
      <c r="C10" s="939" t="s">
        <v>341</v>
      </c>
      <c r="D10" s="719">
        <v>44927</v>
      </c>
      <c r="E10" s="778">
        <v>45291</v>
      </c>
      <c r="F10" s="949">
        <v>141001</v>
      </c>
      <c r="G10" s="765">
        <f>I10-H10</f>
        <v>36081.14</v>
      </c>
      <c r="H10" s="306">
        <f>'June''23 AR Aging '!G7</f>
        <v>32587.81</v>
      </c>
      <c r="I10" s="765">
        <v>68668.95</v>
      </c>
      <c r="J10" s="952">
        <f>F10-I10</f>
        <v>72332.05</v>
      </c>
      <c r="K10" s="944"/>
      <c r="L10" s="780"/>
      <c r="M10" s="282"/>
      <c r="N10" s="29"/>
    </row>
    <row r="11" spans="1:669" x14ac:dyDescent="0.2">
      <c r="A11" s="921" t="s">
        <v>555</v>
      </c>
      <c r="B11" s="617" t="s">
        <v>13</v>
      </c>
      <c r="C11" s="6" t="s">
        <v>340</v>
      </c>
      <c r="D11" s="290">
        <v>44743</v>
      </c>
      <c r="E11" s="7">
        <v>45107</v>
      </c>
      <c r="F11" s="950">
        <v>300000</v>
      </c>
      <c r="G11" s="308">
        <f>I11-H11</f>
        <v>189114.14</v>
      </c>
      <c r="H11" s="293">
        <f>'June''23 AR Aging '!G13</f>
        <v>90932.94</v>
      </c>
      <c r="I11" s="308">
        <v>280047.08</v>
      </c>
      <c r="J11" s="307">
        <f>F11-I11</f>
        <v>19952.919999999984</v>
      </c>
      <c r="K11" s="967"/>
      <c r="L11" s="780"/>
      <c r="M11" s="282"/>
      <c r="N11" s="29"/>
    </row>
    <row r="12" spans="1:669" x14ac:dyDescent="0.2">
      <c r="A12" s="923" t="s">
        <v>624</v>
      </c>
      <c r="B12" s="934" t="s">
        <v>13</v>
      </c>
      <c r="C12" s="914" t="s">
        <v>340</v>
      </c>
      <c r="D12" s="719">
        <v>45108</v>
      </c>
      <c r="E12" s="778">
        <v>45473</v>
      </c>
      <c r="F12" s="951">
        <v>300000</v>
      </c>
      <c r="G12" s="765"/>
      <c r="H12" s="306"/>
      <c r="I12" s="765"/>
      <c r="J12" s="952"/>
      <c r="K12" s="970"/>
      <c r="L12" s="780"/>
      <c r="M12" s="282"/>
      <c r="N12" s="29"/>
    </row>
    <row r="13" spans="1:669" hidden="1" x14ac:dyDescent="0.2">
      <c r="A13" s="921" t="s">
        <v>342</v>
      </c>
      <c r="B13" s="617" t="s">
        <v>13</v>
      </c>
      <c r="C13" s="6" t="s">
        <v>155</v>
      </c>
      <c r="D13" s="290">
        <v>43374</v>
      </c>
      <c r="E13" s="7">
        <v>43585</v>
      </c>
      <c r="F13" s="307"/>
      <c r="G13" s="308"/>
      <c r="H13" s="293"/>
      <c r="I13" s="308"/>
      <c r="J13" s="307"/>
      <c r="K13" s="967"/>
      <c r="L13" s="780"/>
      <c r="M13" s="282"/>
      <c r="N13" s="29"/>
    </row>
    <row r="14" spans="1:669" x14ac:dyDescent="0.2">
      <c r="A14" s="921" t="s">
        <v>625</v>
      </c>
      <c r="B14" s="617" t="s">
        <v>13</v>
      </c>
      <c r="C14" s="6" t="s">
        <v>363</v>
      </c>
      <c r="D14" s="290">
        <v>44774</v>
      </c>
      <c r="E14" s="7">
        <v>45138</v>
      </c>
      <c r="F14" s="307">
        <v>330000</v>
      </c>
      <c r="G14" s="308">
        <f>I14-H14</f>
        <v>225022.68000000002</v>
      </c>
      <c r="H14" s="293">
        <f>'June''23 AR Aging '!G31</f>
        <v>42385.350000000006</v>
      </c>
      <c r="I14" s="308">
        <v>267408.03000000003</v>
      </c>
      <c r="J14" s="307">
        <f>F14-I14</f>
        <v>62591.969999999972</v>
      </c>
      <c r="K14" s="922"/>
      <c r="L14" s="780"/>
      <c r="M14" s="282"/>
      <c r="N14" s="29"/>
    </row>
    <row r="15" spans="1:669" ht="15" x14ac:dyDescent="0.25">
      <c r="A15" s="923" t="s">
        <v>626</v>
      </c>
      <c r="B15" s="934" t="s">
        <v>13</v>
      </c>
      <c r="C15" s="914" t="s">
        <v>363</v>
      </c>
      <c r="D15" s="719">
        <v>45139</v>
      </c>
      <c r="E15" s="778">
        <v>45503</v>
      </c>
      <c r="F15" s="952">
        <v>353541.54</v>
      </c>
      <c r="G15" s="765"/>
      <c r="H15" s="306"/>
      <c r="I15" s="765"/>
      <c r="J15" s="952"/>
      <c r="K15" s="944"/>
      <c r="L15" s="781"/>
      <c r="M15" s="282"/>
      <c r="N15" s="29"/>
    </row>
    <row r="16" spans="1:669" s="3" customFormat="1" hidden="1" x14ac:dyDescent="0.2">
      <c r="A16" s="926" t="s">
        <v>399</v>
      </c>
      <c r="B16" s="935" t="s">
        <v>16</v>
      </c>
      <c r="C16" s="940" t="s">
        <v>5</v>
      </c>
      <c r="D16" s="720">
        <v>43831</v>
      </c>
      <c r="E16" s="779">
        <v>44196</v>
      </c>
      <c r="F16" s="953"/>
      <c r="G16" s="958"/>
      <c r="H16" s="293"/>
      <c r="I16" s="958"/>
      <c r="J16" s="953"/>
      <c r="K16" s="945"/>
      <c r="L16" s="780"/>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row>
    <row r="17" spans="1:669" s="3" customFormat="1" ht="13.5" hidden="1" customHeight="1" x14ac:dyDescent="0.2">
      <c r="A17" s="921"/>
      <c r="B17" s="617"/>
      <c r="C17" s="6"/>
      <c r="D17" s="290"/>
      <c r="E17" s="7"/>
      <c r="F17" s="307"/>
      <c r="G17" s="308"/>
      <c r="H17" s="293"/>
      <c r="I17" s="965"/>
      <c r="J17" s="307"/>
      <c r="K17" s="922"/>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row>
    <row r="18" spans="1:669" s="3" customFormat="1" x14ac:dyDescent="0.2">
      <c r="A18" s="927" t="s">
        <v>430</v>
      </c>
      <c r="B18" s="617" t="s">
        <v>16</v>
      </c>
      <c r="C18" s="6" t="s">
        <v>21</v>
      </c>
      <c r="D18" s="290">
        <v>45017</v>
      </c>
      <c r="E18" s="7">
        <v>45168</v>
      </c>
      <c r="F18" s="307">
        <v>3143</v>
      </c>
      <c r="G18" s="308">
        <f>I18-H18</f>
        <v>588.26</v>
      </c>
      <c r="H18" s="293">
        <f>'June''23 AR Aging '!G47</f>
        <v>1261.8399999999999</v>
      </c>
      <c r="I18" s="308">
        <v>1850.1</v>
      </c>
      <c r="J18" s="307">
        <f>F18-I18</f>
        <v>1292.9000000000001</v>
      </c>
      <c r="K18" s="922"/>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row>
    <row r="19" spans="1:669" s="3" customFormat="1" hidden="1" x14ac:dyDescent="0.2">
      <c r="A19" s="921"/>
      <c r="B19" s="617" t="s">
        <v>16</v>
      </c>
      <c r="C19" s="6" t="s">
        <v>21</v>
      </c>
      <c r="D19" s="290">
        <v>42644</v>
      </c>
      <c r="E19" s="7">
        <v>43008</v>
      </c>
      <c r="F19" s="307"/>
      <c r="G19" s="308"/>
      <c r="H19" s="307"/>
      <c r="I19" s="308"/>
      <c r="J19" s="307"/>
      <c r="K19" s="971"/>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row>
    <row r="20" spans="1:669" s="3" customFormat="1" hidden="1" x14ac:dyDescent="0.2">
      <c r="A20" s="921" t="s">
        <v>195</v>
      </c>
      <c r="B20" s="617" t="s">
        <v>16</v>
      </c>
      <c r="C20" s="6" t="s">
        <v>21</v>
      </c>
      <c r="D20" s="290">
        <v>43556</v>
      </c>
      <c r="E20" s="7">
        <v>43921</v>
      </c>
      <c r="F20" s="307"/>
      <c r="G20" s="308"/>
      <c r="H20" s="307"/>
      <c r="I20" s="308"/>
      <c r="J20" s="307"/>
      <c r="K20" s="971"/>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row>
    <row r="21" spans="1:669" s="3" customFormat="1" ht="12.75" hidden="1" customHeight="1" x14ac:dyDescent="0.2">
      <c r="A21" s="921" t="s">
        <v>195</v>
      </c>
      <c r="B21" s="617" t="s">
        <v>16</v>
      </c>
      <c r="C21" s="6" t="s">
        <v>21</v>
      </c>
      <c r="D21" s="290">
        <v>43922</v>
      </c>
      <c r="E21" s="7">
        <v>44286</v>
      </c>
      <c r="F21" s="954"/>
      <c r="G21" s="308"/>
      <c r="H21" s="307"/>
      <c r="I21" s="308"/>
      <c r="J21" s="307"/>
      <c r="K21" s="922"/>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row>
    <row r="22" spans="1:669" s="3" customFormat="1" ht="12.75" hidden="1" customHeight="1" x14ac:dyDescent="0.2">
      <c r="A22" s="921" t="s">
        <v>460</v>
      </c>
      <c r="B22" s="617" t="s">
        <v>16</v>
      </c>
      <c r="C22" s="6" t="s">
        <v>5</v>
      </c>
      <c r="D22" s="290">
        <v>44562</v>
      </c>
      <c r="E22" s="7">
        <v>44926</v>
      </c>
      <c r="F22" s="954"/>
      <c r="G22" s="308"/>
      <c r="H22" s="307"/>
      <c r="I22" s="308"/>
      <c r="J22" s="307"/>
      <c r="K22" s="922"/>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row>
    <row r="23" spans="1:669" s="3" customFormat="1" ht="12.95" customHeight="1" x14ac:dyDescent="0.2">
      <c r="A23" s="928" t="s">
        <v>556</v>
      </c>
      <c r="B23" s="617" t="s">
        <v>16</v>
      </c>
      <c r="C23" s="6" t="s">
        <v>21</v>
      </c>
      <c r="D23" s="290">
        <v>44927</v>
      </c>
      <c r="E23" s="7">
        <v>45291</v>
      </c>
      <c r="F23" s="954">
        <v>47500</v>
      </c>
      <c r="G23" s="308">
        <f>I23-H23</f>
        <v>19791.669999999998</v>
      </c>
      <c r="H23" s="307">
        <f>'June''23 AR Aging '!G39</f>
        <v>3958.33</v>
      </c>
      <c r="I23" s="308">
        <f>47500/12*6</f>
        <v>23750</v>
      </c>
      <c r="J23" s="307">
        <f>F23-I23</f>
        <v>23750</v>
      </c>
      <c r="K23" s="922"/>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row>
    <row r="24" spans="1:669" s="3" customFormat="1" ht="12.75" customHeight="1" x14ac:dyDescent="0.2">
      <c r="A24" s="921" t="s">
        <v>570</v>
      </c>
      <c r="B24" s="617" t="s">
        <v>16</v>
      </c>
      <c r="C24" s="6" t="s">
        <v>21</v>
      </c>
      <c r="D24" s="290">
        <v>44866</v>
      </c>
      <c r="E24" s="7">
        <v>45199</v>
      </c>
      <c r="F24" s="954">
        <v>14282</v>
      </c>
      <c r="G24" s="308">
        <f>I24-H24</f>
        <v>3910.04</v>
      </c>
      <c r="H24" s="307">
        <f>'June''23 AR Aging '!G48</f>
        <v>1343.08</v>
      </c>
      <c r="I24" s="308">
        <v>5253.12</v>
      </c>
      <c r="J24" s="307">
        <f>F24-I24</f>
        <v>9028.880000000001</v>
      </c>
      <c r="K24" s="922"/>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row>
    <row r="25" spans="1:669" s="3" customFormat="1" ht="12.75" hidden="1" customHeight="1" x14ac:dyDescent="0.2">
      <c r="A25" s="921" t="s">
        <v>195</v>
      </c>
      <c r="B25" s="617" t="s">
        <v>16</v>
      </c>
      <c r="C25" s="6" t="s">
        <v>21</v>
      </c>
      <c r="D25" s="290">
        <v>44652</v>
      </c>
      <c r="E25" s="7">
        <v>45016</v>
      </c>
      <c r="F25" s="954"/>
      <c r="G25" s="308"/>
      <c r="H25" s="307"/>
      <c r="I25" s="308"/>
      <c r="J25" s="307"/>
      <c r="K25" s="922"/>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row>
    <row r="26" spans="1:669" s="3" customFormat="1" ht="15" customHeight="1" x14ac:dyDescent="0.25">
      <c r="A26" s="923" t="s">
        <v>590</v>
      </c>
      <c r="B26" s="934" t="s">
        <v>16</v>
      </c>
      <c r="C26" s="914" t="s">
        <v>21</v>
      </c>
      <c r="D26" s="719">
        <v>45017</v>
      </c>
      <c r="E26" s="778">
        <v>45382</v>
      </c>
      <c r="F26" s="955">
        <v>147911</v>
      </c>
      <c r="G26" s="765">
        <f>I26-H26</f>
        <v>0</v>
      </c>
      <c r="H26" s="952">
        <f>'June''23 AR Aging '!G50</f>
        <v>30468.36</v>
      </c>
      <c r="I26" s="765">
        <f>H26</f>
        <v>30468.36</v>
      </c>
      <c r="J26" s="952">
        <f>F26-I26</f>
        <v>117442.64</v>
      </c>
      <c r="K26" s="944"/>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row>
    <row r="27" spans="1:669" s="3" customFormat="1" ht="12.75" hidden="1" customHeight="1" x14ac:dyDescent="0.2">
      <c r="A27" s="929" t="s">
        <v>434</v>
      </c>
      <c r="B27" s="936" t="s">
        <v>388</v>
      </c>
      <c r="C27" s="501" t="s">
        <v>21</v>
      </c>
      <c r="D27" s="785">
        <v>44256</v>
      </c>
      <c r="E27" s="784">
        <v>44621</v>
      </c>
      <c r="F27" s="954"/>
      <c r="G27" s="308"/>
      <c r="H27" s="307"/>
      <c r="I27" s="308"/>
      <c r="J27" s="307"/>
      <c r="K27" s="922"/>
      <c r="L27" s="248"/>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row>
    <row r="28" spans="1:669" s="3" customFormat="1" ht="12.75" hidden="1" customHeight="1" x14ac:dyDescent="0.2">
      <c r="A28" s="929"/>
      <c r="B28" s="936"/>
      <c r="C28" s="501"/>
      <c r="D28" s="785"/>
      <c r="E28" s="784"/>
      <c r="F28" s="954"/>
      <c r="G28" s="308"/>
      <c r="H28" s="307"/>
      <c r="I28" s="308"/>
      <c r="J28" s="307"/>
      <c r="K28" s="922"/>
      <c r="L28" s="248"/>
      <c r="M28" s="282"/>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row>
    <row r="29" spans="1:669" s="717" customFormat="1" ht="15.75" hidden="1" customHeight="1" x14ac:dyDescent="0.2">
      <c r="A29" s="929" t="s">
        <v>461</v>
      </c>
      <c r="B29" s="936" t="s">
        <v>388</v>
      </c>
      <c r="C29" s="501" t="s">
        <v>21</v>
      </c>
      <c r="D29" s="785">
        <v>44562</v>
      </c>
      <c r="E29" s="784">
        <v>44926</v>
      </c>
      <c r="F29" s="956"/>
      <c r="G29" s="959"/>
      <c r="H29" s="961"/>
      <c r="I29" s="959"/>
      <c r="J29" s="961"/>
      <c r="K29" s="946"/>
      <c r="L29" s="713"/>
      <c r="M29" s="714"/>
      <c r="N29" s="715"/>
      <c r="O29" s="715"/>
      <c r="P29" s="715"/>
      <c r="Q29" s="715"/>
      <c r="R29" s="715"/>
      <c r="S29" s="715"/>
      <c r="T29" s="715"/>
      <c r="U29" s="715"/>
      <c r="V29" s="715"/>
      <c r="W29" s="715"/>
      <c r="X29" s="715"/>
      <c r="Y29" s="715"/>
      <c r="Z29" s="715"/>
      <c r="AA29" s="715"/>
      <c r="AB29" s="716"/>
      <c r="AC29" s="716"/>
      <c r="AD29" s="716"/>
      <c r="AE29" s="716"/>
      <c r="AF29" s="716"/>
      <c r="AG29" s="716"/>
      <c r="AH29" s="716"/>
      <c r="AI29" s="716"/>
      <c r="AJ29" s="716"/>
      <c r="AK29" s="716"/>
      <c r="AL29" s="716"/>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368"/>
      <c r="CZ29" s="368"/>
      <c r="DA29" s="368"/>
      <c r="DB29" s="368"/>
      <c r="DC29" s="368"/>
      <c r="DD29" s="368"/>
      <c r="DE29" s="368"/>
      <c r="DF29" s="368"/>
      <c r="DG29" s="368"/>
      <c r="DH29" s="368"/>
      <c r="DI29" s="368"/>
      <c r="DJ29" s="368"/>
      <c r="DK29" s="368"/>
      <c r="DL29" s="368"/>
      <c r="DM29" s="368"/>
      <c r="DN29" s="368"/>
      <c r="DO29" s="368"/>
      <c r="DP29" s="368"/>
      <c r="DQ29" s="368"/>
      <c r="DR29" s="368"/>
      <c r="DS29" s="368"/>
      <c r="DT29" s="368"/>
      <c r="DU29" s="368"/>
      <c r="DV29" s="368"/>
      <c r="DW29" s="368"/>
      <c r="DX29" s="368"/>
      <c r="DY29" s="368"/>
      <c r="DZ29" s="368"/>
      <c r="EA29" s="368"/>
      <c r="EB29" s="368"/>
      <c r="EC29" s="368"/>
      <c r="ED29" s="368"/>
      <c r="EE29" s="368"/>
      <c r="EF29" s="368"/>
      <c r="EG29" s="368"/>
      <c r="EH29" s="368"/>
      <c r="EI29" s="368"/>
      <c r="EJ29" s="368"/>
      <c r="EK29" s="368"/>
      <c r="EL29" s="368"/>
      <c r="EM29" s="368"/>
      <c r="EN29" s="368"/>
      <c r="EO29" s="368"/>
      <c r="EP29" s="368"/>
      <c r="EQ29" s="368"/>
      <c r="ER29" s="368"/>
      <c r="ES29" s="368"/>
      <c r="ET29" s="368"/>
      <c r="EU29" s="368"/>
      <c r="EV29" s="368"/>
      <c r="EW29" s="368"/>
      <c r="EX29" s="368"/>
      <c r="EY29" s="368"/>
      <c r="EZ29" s="368"/>
      <c r="FA29" s="368"/>
      <c r="FB29" s="368"/>
      <c r="FC29" s="368"/>
      <c r="FD29" s="368"/>
      <c r="FE29" s="368"/>
      <c r="FF29" s="368"/>
      <c r="FG29" s="368"/>
      <c r="FH29" s="368"/>
      <c r="FI29" s="368"/>
      <c r="FJ29" s="368"/>
      <c r="FK29" s="368"/>
      <c r="FL29" s="368"/>
      <c r="FM29" s="368"/>
      <c r="FN29" s="368"/>
      <c r="FO29" s="368"/>
      <c r="FP29" s="368"/>
      <c r="FQ29" s="368"/>
      <c r="FR29" s="368"/>
      <c r="FS29" s="368"/>
      <c r="FT29" s="368"/>
      <c r="FU29" s="368"/>
      <c r="FV29" s="368"/>
      <c r="FW29" s="368"/>
      <c r="FX29" s="368"/>
      <c r="FY29" s="368"/>
      <c r="FZ29" s="368"/>
      <c r="GA29" s="368"/>
      <c r="GB29" s="368"/>
      <c r="GC29" s="368"/>
      <c r="GD29" s="368"/>
      <c r="GE29" s="368"/>
      <c r="GF29" s="368"/>
      <c r="GG29" s="368"/>
      <c r="GH29" s="368"/>
      <c r="GI29" s="368"/>
      <c r="GJ29" s="368"/>
      <c r="GK29" s="368"/>
      <c r="GL29" s="368"/>
      <c r="GM29" s="368"/>
      <c r="GN29" s="368"/>
      <c r="GO29" s="368"/>
      <c r="GP29" s="368"/>
      <c r="GQ29" s="368"/>
      <c r="GR29" s="368"/>
      <c r="GS29" s="368"/>
      <c r="GT29" s="368"/>
      <c r="GU29" s="368"/>
      <c r="GV29" s="368"/>
      <c r="GW29" s="368"/>
      <c r="GX29" s="368"/>
      <c r="GY29" s="368"/>
      <c r="GZ29" s="368"/>
      <c r="HA29" s="368"/>
      <c r="HB29" s="368"/>
      <c r="HC29" s="368"/>
      <c r="HD29" s="368"/>
      <c r="HE29" s="368"/>
      <c r="HF29" s="368"/>
      <c r="HG29" s="368"/>
      <c r="HH29" s="368"/>
      <c r="HI29" s="368"/>
      <c r="HJ29" s="368"/>
      <c r="HK29" s="368"/>
      <c r="HL29" s="368"/>
      <c r="HM29" s="368"/>
      <c r="HN29" s="368"/>
      <c r="HO29" s="368"/>
      <c r="HP29" s="368"/>
      <c r="HQ29" s="368"/>
      <c r="HR29" s="368"/>
      <c r="HS29" s="368"/>
      <c r="HT29" s="368"/>
      <c r="HU29" s="368"/>
      <c r="HV29" s="368"/>
      <c r="HW29" s="368"/>
      <c r="HX29" s="368"/>
      <c r="HY29" s="368"/>
      <c r="HZ29" s="368"/>
      <c r="IA29" s="368"/>
      <c r="IB29" s="368"/>
      <c r="IC29" s="368"/>
      <c r="ID29" s="368"/>
      <c r="IE29" s="368"/>
      <c r="IF29" s="368"/>
      <c r="IG29" s="368"/>
      <c r="IH29" s="368"/>
      <c r="II29" s="368"/>
      <c r="IJ29" s="368"/>
      <c r="IK29" s="368"/>
      <c r="IL29" s="368"/>
      <c r="IM29" s="368"/>
      <c r="IN29" s="368"/>
      <c r="IO29" s="368"/>
      <c r="IP29" s="368"/>
      <c r="IQ29" s="368"/>
      <c r="IR29" s="368"/>
      <c r="IS29" s="368"/>
      <c r="IT29" s="368"/>
      <c r="IU29" s="368"/>
      <c r="IV29" s="368"/>
      <c r="IW29" s="368"/>
      <c r="IX29" s="368"/>
      <c r="IY29" s="368"/>
      <c r="IZ29" s="368"/>
      <c r="JA29" s="368"/>
      <c r="JB29" s="368"/>
      <c r="JC29" s="368"/>
      <c r="JD29" s="368"/>
      <c r="JE29" s="368"/>
      <c r="JF29" s="368"/>
      <c r="JG29" s="368"/>
      <c r="JH29" s="368"/>
      <c r="JI29" s="368"/>
      <c r="JJ29" s="368"/>
      <c r="JK29" s="368"/>
      <c r="JL29" s="368"/>
      <c r="JM29" s="368"/>
      <c r="JN29" s="368"/>
      <c r="JO29" s="368"/>
      <c r="JP29" s="368"/>
      <c r="JQ29" s="368"/>
      <c r="JR29" s="368"/>
      <c r="JS29" s="368"/>
      <c r="JT29" s="368"/>
      <c r="JU29" s="368"/>
      <c r="JV29" s="368"/>
      <c r="JW29" s="368"/>
      <c r="JX29" s="368"/>
      <c r="JY29" s="368"/>
      <c r="JZ29" s="368"/>
      <c r="KA29" s="368"/>
      <c r="KB29" s="368"/>
      <c r="KC29" s="368"/>
      <c r="KD29" s="368"/>
      <c r="KE29" s="368"/>
      <c r="KF29" s="368"/>
      <c r="KG29" s="368"/>
      <c r="KH29" s="368"/>
      <c r="KI29" s="368"/>
      <c r="KJ29" s="368"/>
      <c r="KK29" s="368"/>
      <c r="KL29" s="368"/>
      <c r="KM29" s="368"/>
      <c r="KN29" s="368"/>
      <c r="KO29" s="368"/>
      <c r="KP29" s="368"/>
      <c r="KQ29" s="368"/>
      <c r="KR29" s="368"/>
      <c r="KS29" s="368"/>
      <c r="KT29" s="368"/>
      <c r="KU29" s="368"/>
      <c r="KV29" s="368"/>
      <c r="KW29" s="368"/>
      <c r="KX29" s="368"/>
      <c r="KY29" s="368"/>
      <c r="KZ29" s="368"/>
      <c r="LA29" s="368"/>
      <c r="LB29" s="368"/>
      <c r="LC29" s="368"/>
      <c r="LD29" s="368"/>
      <c r="LE29" s="368"/>
      <c r="LF29" s="368"/>
      <c r="LG29" s="368"/>
      <c r="LH29" s="368"/>
      <c r="LI29" s="368"/>
      <c r="LJ29" s="368"/>
      <c r="LK29" s="368"/>
      <c r="LL29" s="368"/>
      <c r="LM29" s="368"/>
      <c r="LN29" s="368"/>
      <c r="LO29" s="368"/>
      <c r="LP29" s="368"/>
      <c r="LQ29" s="368"/>
      <c r="LR29" s="368"/>
      <c r="LS29" s="368"/>
      <c r="LT29" s="368"/>
      <c r="LU29" s="368"/>
      <c r="LV29" s="368"/>
      <c r="LW29" s="368"/>
      <c r="LX29" s="368"/>
      <c r="LY29" s="368"/>
      <c r="LZ29" s="368"/>
      <c r="MA29" s="368"/>
      <c r="MB29" s="368"/>
      <c r="MC29" s="368"/>
      <c r="MD29" s="368"/>
      <c r="ME29" s="368"/>
      <c r="MF29" s="368"/>
      <c r="MG29" s="368"/>
      <c r="MH29" s="368"/>
      <c r="MI29" s="368"/>
      <c r="MJ29" s="368"/>
      <c r="MK29" s="368"/>
      <c r="ML29" s="368"/>
      <c r="MM29" s="368"/>
      <c r="MN29" s="368"/>
      <c r="MO29" s="368"/>
      <c r="MP29" s="368"/>
      <c r="MQ29" s="368"/>
      <c r="MR29" s="368"/>
      <c r="MS29" s="368"/>
      <c r="MT29" s="368"/>
      <c r="MU29" s="368"/>
      <c r="MV29" s="368"/>
      <c r="MW29" s="368"/>
      <c r="MX29" s="368"/>
      <c r="MY29" s="368"/>
      <c r="MZ29" s="368"/>
      <c r="NA29" s="368"/>
      <c r="NB29" s="368"/>
      <c r="NC29" s="368"/>
      <c r="ND29" s="368"/>
      <c r="NE29" s="368"/>
      <c r="NF29" s="368"/>
      <c r="NG29" s="368"/>
      <c r="NH29" s="368"/>
      <c r="NI29" s="368"/>
      <c r="NJ29" s="368"/>
      <c r="NK29" s="368"/>
      <c r="NL29" s="368"/>
      <c r="NM29" s="368"/>
      <c r="NN29" s="368"/>
      <c r="NO29" s="368"/>
      <c r="NP29" s="368"/>
      <c r="NQ29" s="368"/>
      <c r="NR29" s="368"/>
      <c r="NS29" s="368"/>
      <c r="NT29" s="368"/>
      <c r="NU29" s="368"/>
      <c r="NV29" s="368"/>
      <c r="NW29" s="368"/>
      <c r="NX29" s="368"/>
      <c r="NY29" s="368"/>
      <c r="NZ29" s="368"/>
      <c r="OA29" s="368"/>
      <c r="OB29" s="368"/>
      <c r="OC29" s="368"/>
      <c r="OD29" s="368"/>
      <c r="OE29" s="368"/>
      <c r="OF29" s="368"/>
      <c r="OG29" s="368"/>
      <c r="OH29" s="368"/>
      <c r="OI29" s="368"/>
      <c r="OJ29" s="368"/>
      <c r="OK29" s="368"/>
      <c r="OL29" s="368"/>
      <c r="OM29" s="368"/>
      <c r="ON29" s="368"/>
      <c r="OO29" s="368"/>
      <c r="OP29" s="368"/>
      <c r="OQ29" s="368"/>
      <c r="OR29" s="368"/>
      <c r="OS29" s="368"/>
      <c r="OT29" s="368"/>
      <c r="OU29" s="368"/>
      <c r="OV29" s="368"/>
      <c r="OW29" s="368"/>
      <c r="OX29" s="368"/>
      <c r="OY29" s="368"/>
      <c r="OZ29" s="368"/>
      <c r="PA29" s="368"/>
      <c r="PB29" s="368"/>
      <c r="PC29" s="368"/>
      <c r="PD29" s="368"/>
      <c r="PE29" s="368"/>
      <c r="PF29" s="368"/>
      <c r="PG29" s="368"/>
      <c r="PH29" s="368"/>
      <c r="PI29" s="368"/>
      <c r="PJ29" s="368"/>
      <c r="PK29" s="368"/>
      <c r="PL29" s="368"/>
      <c r="PM29" s="368"/>
      <c r="PN29" s="368"/>
      <c r="PO29" s="368"/>
      <c r="PP29" s="368"/>
      <c r="PQ29" s="368"/>
      <c r="PR29" s="368"/>
      <c r="PS29" s="368"/>
      <c r="PT29" s="368"/>
      <c r="PU29" s="368"/>
      <c r="PV29" s="368"/>
      <c r="PW29" s="368"/>
      <c r="PX29" s="368"/>
      <c r="PY29" s="368"/>
      <c r="PZ29" s="368"/>
      <c r="QA29" s="368"/>
      <c r="QB29" s="368"/>
      <c r="QC29" s="368"/>
      <c r="QD29" s="368"/>
      <c r="QE29" s="368"/>
      <c r="QF29" s="368"/>
      <c r="QG29" s="368"/>
      <c r="QH29" s="368"/>
      <c r="QI29" s="368"/>
      <c r="QJ29" s="368"/>
      <c r="QK29" s="368"/>
      <c r="QL29" s="368"/>
      <c r="QM29" s="368"/>
      <c r="QN29" s="368"/>
      <c r="QO29" s="368"/>
      <c r="QP29" s="368"/>
      <c r="QQ29" s="368"/>
      <c r="QR29" s="368"/>
      <c r="QS29" s="368"/>
      <c r="QT29" s="368"/>
      <c r="QU29" s="368"/>
      <c r="QV29" s="368"/>
      <c r="QW29" s="368"/>
      <c r="QX29" s="368"/>
      <c r="QY29" s="368"/>
      <c r="QZ29" s="368"/>
      <c r="RA29" s="368"/>
      <c r="RB29" s="368"/>
      <c r="RC29" s="368"/>
      <c r="RD29" s="368"/>
      <c r="RE29" s="368"/>
      <c r="RF29" s="368"/>
      <c r="RG29" s="368"/>
      <c r="RH29" s="368"/>
      <c r="RI29" s="368"/>
      <c r="RJ29" s="368"/>
      <c r="RK29" s="368"/>
      <c r="RL29" s="368"/>
      <c r="RM29" s="368"/>
      <c r="RN29" s="368"/>
      <c r="RO29" s="368"/>
      <c r="RP29" s="368"/>
      <c r="RQ29" s="368"/>
      <c r="RR29" s="368"/>
      <c r="RS29" s="368"/>
      <c r="RT29" s="368"/>
      <c r="RU29" s="368"/>
      <c r="RV29" s="368"/>
      <c r="RW29" s="368"/>
      <c r="RX29" s="368"/>
      <c r="RY29" s="368"/>
      <c r="RZ29" s="368"/>
      <c r="SA29" s="368"/>
      <c r="SB29" s="368"/>
      <c r="SC29" s="368"/>
      <c r="SD29" s="368"/>
      <c r="SE29" s="368"/>
      <c r="SF29" s="368"/>
      <c r="SG29" s="368"/>
      <c r="SH29" s="368"/>
      <c r="SI29" s="368"/>
      <c r="SJ29" s="368"/>
      <c r="SK29" s="368"/>
      <c r="SL29" s="368"/>
      <c r="SM29" s="368"/>
      <c r="SN29" s="368"/>
      <c r="SO29" s="368"/>
      <c r="SP29" s="368"/>
      <c r="SQ29" s="368"/>
      <c r="SR29" s="368"/>
      <c r="SS29" s="368"/>
      <c r="ST29" s="368"/>
      <c r="SU29" s="368"/>
      <c r="SV29" s="368"/>
      <c r="SW29" s="368"/>
      <c r="SX29" s="368"/>
      <c r="SY29" s="368"/>
      <c r="SZ29" s="368"/>
      <c r="TA29" s="368"/>
      <c r="TB29" s="368"/>
      <c r="TC29" s="368"/>
      <c r="TD29" s="368"/>
      <c r="TE29" s="368"/>
      <c r="TF29" s="368"/>
      <c r="TG29" s="368"/>
      <c r="TH29" s="368"/>
      <c r="TI29" s="368"/>
      <c r="TJ29" s="368"/>
      <c r="TK29" s="368"/>
      <c r="TL29" s="368"/>
      <c r="TM29" s="368"/>
      <c r="TN29" s="368"/>
      <c r="TO29" s="368"/>
      <c r="TP29" s="368"/>
      <c r="TQ29" s="368"/>
      <c r="TR29" s="368"/>
      <c r="TS29" s="368"/>
      <c r="TT29" s="368"/>
      <c r="TU29" s="368"/>
      <c r="TV29" s="368"/>
      <c r="TW29" s="368"/>
      <c r="TX29" s="368"/>
      <c r="TY29" s="368"/>
      <c r="TZ29" s="368"/>
      <c r="UA29" s="368"/>
      <c r="UB29" s="368"/>
      <c r="UC29" s="368"/>
      <c r="UD29" s="368"/>
      <c r="UE29" s="368"/>
      <c r="UF29" s="368"/>
      <c r="UG29" s="368"/>
      <c r="UH29" s="368"/>
      <c r="UI29" s="368"/>
      <c r="UJ29" s="368"/>
      <c r="UK29" s="368"/>
      <c r="UL29" s="368"/>
      <c r="UM29" s="368"/>
      <c r="UN29" s="368"/>
      <c r="UO29" s="368"/>
      <c r="UP29" s="368"/>
      <c r="UQ29" s="368"/>
      <c r="UR29" s="368"/>
      <c r="US29" s="368"/>
      <c r="UT29" s="368"/>
      <c r="UU29" s="368"/>
      <c r="UV29" s="368"/>
      <c r="UW29" s="368"/>
      <c r="UX29" s="368"/>
      <c r="UY29" s="368"/>
      <c r="UZ29" s="368"/>
      <c r="VA29" s="368"/>
      <c r="VB29" s="368"/>
      <c r="VC29" s="368"/>
      <c r="VD29" s="368"/>
      <c r="VE29" s="368"/>
      <c r="VF29" s="368"/>
      <c r="VG29" s="368"/>
      <c r="VH29" s="368"/>
      <c r="VI29" s="368"/>
      <c r="VJ29" s="368"/>
      <c r="VK29" s="368"/>
      <c r="VL29" s="368"/>
      <c r="VM29" s="368"/>
      <c r="VN29" s="368"/>
      <c r="VO29" s="368"/>
      <c r="VP29" s="368"/>
      <c r="VQ29" s="368"/>
      <c r="VR29" s="368"/>
      <c r="VS29" s="368"/>
      <c r="VT29" s="368"/>
      <c r="VU29" s="368"/>
      <c r="VV29" s="368"/>
      <c r="VW29" s="368"/>
      <c r="VX29" s="368"/>
      <c r="VY29" s="368"/>
      <c r="VZ29" s="368"/>
      <c r="WA29" s="368"/>
      <c r="WB29" s="368"/>
      <c r="WC29" s="368"/>
      <c r="WD29" s="368"/>
      <c r="WE29" s="368"/>
      <c r="WF29" s="368"/>
      <c r="WG29" s="368"/>
      <c r="WH29" s="368"/>
      <c r="WI29" s="368"/>
      <c r="WJ29" s="368"/>
      <c r="WK29" s="368"/>
      <c r="WL29" s="368"/>
      <c r="WM29" s="368"/>
      <c r="WN29" s="368"/>
      <c r="WO29" s="368"/>
      <c r="WP29" s="368"/>
      <c r="WQ29" s="368"/>
      <c r="WR29" s="368"/>
      <c r="WS29" s="368"/>
      <c r="WT29" s="368"/>
      <c r="WU29" s="368"/>
      <c r="WV29" s="368"/>
      <c r="WW29" s="368"/>
      <c r="WX29" s="368"/>
      <c r="WY29" s="368"/>
      <c r="WZ29" s="368"/>
      <c r="XA29" s="368"/>
      <c r="XB29" s="368"/>
      <c r="XC29" s="368"/>
      <c r="XD29" s="368"/>
      <c r="XE29" s="368"/>
      <c r="XF29" s="368"/>
      <c r="XG29" s="368"/>
      <c r="XH29" s="368"/>
      <c r="XI29" s="368"/>
      <c r="XJ29" s="368"/>
      <c r="XK29" s="368"/>
      <c r="XL29" s="368"/>
      <c r="XM29" s="368"/>
      <c r="XN29" s="368"/>
      <c r="XO29" s="368"/>
      <c r="XP29" s="368"/>
      <c r="XQ29" s="368"/>
      <c r="XR29" s="368"/>
      <c r="XS29" s="368"/>
      <c r="XT29" s="368"/>
      <c r="XU29" s="368"/>
      <c r="XV29" s="368"/>
      <c r="XW29" s="368"/>
      <c r="XX29" s="368"/>
      <c r="XY29" s="368"/>
      <c r="XZ29" s="368"/>
      <c r="YA29" s="368"/>
      <c r="YB29" s="368"/>
      <c r="YC29" s="368"/>
      <c r="YD29" s="368"/>
      <c r="YE29" s="368"/>
      <c r="YF29" s="368"/>
      <c r="YG29" s="368"/>
      <c r="YH29" s="368"/>
      <c r="YI29" s="368"/>
      <c r="YJ29" s="368"/>
      <c r="YK29" s="368"/>
      <c r="YL29" s="368"/>
      <c r="YM29" s="368"/>
      <c r="YN29" s="368"/>
      <c r="YO29" s="368"/>
      <c r="YP29" s="368"/>
      <c r="YQ29" s="368"/>
      <c r="YR29" s="368"/>
      <c r="YS29" s="368"/>
    </row>
    <row r="30" spans="1:669" s="3" customFormat="1" ht="15" hidden="1" customHeight="1" x14ac:dyDescent="0.2">
      <c r="A30" s="930" t="s">
        <v>557</v>
      </c>
      <c r="B30" s="937" t="s">
        <v>388</v>
      </c>
      <c r="C30" s="941" t="s">
        <v>21</v>
      </c>
      <c r="D30" s="783">
        <v>44927</v>
      </c>
      <c r="E30" s="782">
        <v>45016</v>
      </c>
      <c r="F30" s="957">
        <v>34809</v>
      </c>
      <c r="G30" s="960">
        <f>I30-H30</f>
        <v>20188.84</v>
      </c>
      <c r="H30" s="962">
        <f>'June''23 AR Aging '!G70</f>
        <v>0</v>
      </c>
      <c r="I30" s="960">
        <v>20188.84</v>
      </c>
      <c r="J30" s="962">
        <f>F30-I30</f>
        <v>14620.16</v>
      </c>
      <c r="K30" s="944"/>
      <c r="L30" s="248"/>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row>
    <row r="31" spans="1:669" s="3" customFormat="1" ht="15" hidden="1" x14ac:dyDescent="0.25">
      <c r="A31" s="921" t="s">
        <v>462</v>
      </c>
      <c r="B31" s="617" t="s">
        <v>305</v>
      </c>
      <c r="C31" s="6" t="s">
        <v>21</v>
      </c>
      <c r="D31" s="290">
        <v>44562</v>
      </c>
      <c r="E31" s="7">
        <v>44926</v>
      </c>
      <c r="F31" s="307"/>
      <c r="G31" s="308"/>
      <c r="H31" s="307"/>
      <c r="I31" s="308"/>
      <c r="J31" s="307"/>
      <c r="K31" s="922"/>
      <c r="L31" s="705"/>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row>
    <row r="32" spans="1:669" s="3" customFormat="1" ht="15" x14ac:dyDescent="0.25">
      <c r="A32" s="923" t="s">
        <v>462</v>
      </c>
      <c r="B32" s="934" t="s">
        <v>305</v>
      </c>
      <c r="C32" s="914" t="s">
        <v>21</v>
      </c>
      <c r="D32" s="719">
        <v>44927</v>
      </c>
      <c r="E32" s="778">
        <v>45291</v>
      </c>
      <c r="F32" s="952">
        <v>18000</v>
      </c>
      <c r="G32" s="765">
        <f>I32-H32</f>
        <v>4500</v>
      </c>
      <c r="H32" s="952">
        <f>'June''23 AR Aging '!G40</f>
        <v>4500</v>
      </c>
      <c r="I32" s="765">
        <f>1500*6</f>
        <v>9000</v>
      </c>
      <c r="J32" s="952">
        <f>F32-I32</f>
        <v>9000</v>
      </c>
      <c r="K32" s="944"/>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row>
    <row r="33" spans="1:669" s="3" customFormat="1" hidden="1" x14ac:dyDescent="0.2">
      <c r="A33" s="923"/>
      <c r="B33" s="934"/>
      <c r="C33" s="914"/>
      <c r="D33" s="719"/>
      <c r="E33" s="778"/>
      <c r="F33" s="952"/>
      <c r="G33" s="765"/>
      <c r="H33" s="952"/>
      <c r="I33" s="765"/>
      <c r="J33" s="952"/>
      <c r="K33" s="944"/>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row>
    <row r="34" spans="1:669" s="3" customFormat="1" hidden="1" x14ac:dyDescent="0.2">
      <c r="A34" s="931" t="s">
        <v>428</v>
      </c>
      <c r="B34" s="606" t="s">
        <v>179</v>
      </c>
      <c r="C34" s="6" t="s">
        <v>448</v>
      </c>
      <c r="D34" s="290">
        <v>44083</v>
      </c>
      <c r="E34" s="7">
        <v>44435</v>
      </c>
      <c r="F34" s="302"/>
      <c r="G34" s="308"/>
      <c r="H34" s="307"/>
      <c r="I34" s="308"/>
      <c r="J34" s="307"/>
      <c r="K34" s="922"/>
      <c r="L34" s="248"/>
      <c r="M34" s="282"/>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row>
    <row r="35" spans="1:669" s="3" customFormat="1" ht="15" thickBot="1" x14ac:dyDescent="0.25">
      <c r="A35" s="932" t="s">
        <v>490</v>
      </c>
      <c r="B35" s="381" t="s">
        <v>179</v>
      </c>
      <c r="C35" s="942" t="s">
        <v>448</v>
      </c>
      <c r="D35" s="382">
        <v>44783</v>
      </c>
      <c r="E35" s="769">
        <v>45142</v>
      </c>
      <c r="F35" s="734">
        <v>67748</v>
      </c>
      <c r="G35" s="770">
        <f>I35-H35</f>
        <v>35662.86</v>
      </c>
      <c r="H35" s="303">
        <f>'June''23 AR Aging '!G60</f>
        <v>1581.67</v>
      </c>
      <c r="I35" s="770">
        <v>37244.53</v>
      </c>
      <c r="J35" s="303">
        <f>F35-I35</f>
        <v>30503.47</v>
      </c>
      <c r="K35" s="947"/>
      <c r="L35" s="248"/>
      <c r="M35" s="282"/>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row>
    <row r="36" spans="1:669" s="17" customFormat="1" ht="16.5" thickBot="1" x14ac:dyDescent="0.3">
      <c r="A36" s="257" t="s">
        <v>33</v>
      </c>
      <c r="B36" s="258"/>
      <c r="C36" s="259"/>
      <c r="D36" s="260"/>
      <c r="E36" s="260"/>
      <c r="F36" s="284"/>
      <c r="G36" s="284">
        <f>SUM(G9:G35)</f>
        <v>534859.63000000012</v>
      </c>
      <c r="H36" s="284">
        <f>SUM(H7:H35)</f>
        <v>209019.37999999998</v>
      </c>
      <c r="I36" s="284">
        <f>SUM(I9:I35)</f>
        <v>743879.01</v>
      </c>
      <c r="J36" s="284">
        <f>SUM(J9:J35)</f>
        <v>360514.98999999987</v>
      </c>
      <c r="K36" s="284">
        <f>SUM(K9:K35)</f>
        <v>0</v>
      </c>
      <c r="L36" s="47"/>
      <c r="M36" s="37"/>
      <c r="N36" s="37"/>
      <c r="O36" s="37"/>
      <c r="P36" s="37"/>
      <c r="Q36" s="37"/>
      <c r="R36" s="37"/>
      <c r="S36" s="37"/>
      <c r="T36" s="37"/>
      <c r="U36" s="37"/>
      <c r="V36" s="37"/>
      <c r="W36" s="37"/>
      <c r="X36" s="37"/>
      <c r="Y36" s="37"/>
      <c r="Z36" s="37"/>
      <c r="AA36" s="37"/>
      <c r="AB36" s="38"/>
      <c r="AC36" s="38"/>
      <c r="AD36" s="38"/>
      <c r="AE36" s="38"/>
      <c r="AF36" s="38"/>
      <c r="AG36" s="38"/>
      <c r="AH36" s="38"/>
      <c r="AI36" s="38"/>
      <c r="AJ36" s="38"/>
      <c r="AK36" s="38"/>
      <c r="AL36" s="38"/>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c r="MH36" s="39"/>
      <c r="MI36" s="39"/>
      <c r="MJ36" s="39"/>
      <c r="MK36" s="39"/>
      <c r="ML36" s="39"/>
      <c r="MM36" s="39"/>
      <c r="MN36" s="39"/>
      <c r="MO36" s="39"/>
      <c r="MP36" s="39"/>
      <c r="MQ36" s="39"/>
      <c r="MR36" s="39"/>
      <c r="MS36" s="39"/>
      <c r="MT36" s="39"/>
      <c r="MU36" s="39"/>
      <c r="MV36" s="39"/>
      <c r="MW36" s="39"/>
      <c r="MX36" s="39"/>
      <c r="MY36" s="39"/>
      <c r="MZ36" s="39"/>
      <c r="NA36" s="39"/>
      <c r="NB36" s="39"/>
      <c r="NC36" s="39"/>
      <c r="ND36" s="39"/>
      <c r="NE36" s="39"/>
      <c r="NF36" s="39"/>
      <c r="NG36" s="39"/>
      <c r="NH36" s="39"/>
      <c r="NI36" s="39"/>
      <c r="NJ36" s="39"/>
      <c r="NK36" s="39"/>
      <c r="NL36" s="39"/>
      <c r="NM36" s="39"/>
      <c r="NN36" s="39"/>
      <c r="NO36" s="39"/>
      <c r="NP36" s="39"/>
      <c r="NQ36" s="39"/>
      <c r="NR36" s="39"/>
      <c r="NS36" s="39"/>
      <c r="NT36" s="39"/>
      <c r="NU36" s="39"/>
      <c r="NV36" s="39"/>
      <c r="NW36" s="39"/>
      <c r="NX36" s="39"/>
      <c r="NY36" s="39"/>
      <c r="NZ36" s="39"/>
      <c r="OA36" s="39"/>
      <c r="OB36" s="39"/>
      <c r="OC36" s="39"/>
      <c r="OD36" s="39"/>
      <c r="OE36" s="39"/>
      <c r="OF36" s="39"/>
      <c r="OG36" s="39"/>
      <c r="OH36" s="39"/>
      <c r="OI36" s="39"/>
      <c r="OJ36" s="39"/>
      <c r="OK36" s="39"/>
      <c r="OL36" s="39"/>
      <c r="OM36" s="39"/>
      <c r="ON36" s="39"/>
      <c r="OO36" s="39"/>
      <c r="OP36" s="39"/>
      <c r="OQ36" s="39"/>
      <c r="OR36" s="39"/>
      <c r="OS36" s="39"/>
      <c r="OT36" s="39"/>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39"/>
      <c r="SE36" s="39"/>
      <c r="SF36" s="39"/>
      <c r="SG36" s="39"/>
      <c r="SH36" s="39"/>
      <c r="SI36" s="39"/>
      <c r="SJ36" s="39"/>
      <c r="SK36" s="39"/>
      <c r="SL36" s="39"/>
      <c r="SM36" s="39"/>
      <c r="SN36" s="39"/>
      <c r="SO36" s="39"/>
      <c r="SP36" s="39"/>
      <c r="SQ36" s="39"/>
      <c r="SR36" s="39"/>
      <c r="SS36" s="39"/>
      <c r="ST36" s="39"/>
      <c r="SU36" s="39"/>
      <c r="SV36" s="39"/>
      <c r="SW36" s="39"/>
      <c r="SX36" s="39"/>
      <c r="SY36" s="39"/>
      <c r="SZ36" s="39"/>
      <c r="TA36" s="39"/>
      <c r="TB36" s="39"/>
      <c r="TC36" s="39"/>
      <c r="TD36" s="39"/>
      <c r="TE36" s="39"/>
      <c r="TF36" s="39"/>
      <c r="TG36" s="39"/>
      <c r="TH36" s="39"/>
      <c r="TI36" s="39"/>
      <c r="TJ36" s="39"/>
      <c r="TK36" s="39"/>
      <c r="TL36" s="39"/>
      <c r="TM36" s="39"/>
      <c r="TN36" s="39"/>
      <c r="TO36" s="39"/>
      <c r="TP36" s="39"/>
      <c r="TQ36" s="39"/>
      <c r="TR36" s="39"/>
      <c r="TS36" s="39"/>
      <c r="TT36" s="39"/>
      <c r="TU36" s="39"/>
      <c r="TV36" s="39"/>
      <c r="TW36" s="39"/>
      <c r="TX36" s="39"/>
      <c r="TY36" s="39"/>
      <c r="TZ36" s="39"/>
      <c r="UA36" s="39"/>
      <c r="UB36" s="39"/>
      <c r="UC36" s="39"/>
      <c r="UD36" s="39"/>
      <c r="UE36" s="39"/>
      <c r="UF36" s="39"/>
      <c r="UG36" s="39"/>
      <c r="UH36" s="39"/>
      <c r="UI36" s="39"/>
      <c r="UJ36" s="39"/>
      <c r="UK36" s="39"/>
      <c r="UL36" s="39"/>
      <c r="UM36" s="39"/>
      <c r="UN36" s="39"/>
      <c r="UO36" s="39"/>
      <c r="UP36" s="39"/>
      <c r="UQ36" s="39"/>
      <c r="UR36" s="39"/>
      <c r="US36" s="39"/>
      <c r="UT36" s="39"/>
      <c r="UU36" s="39"/>
      <c r="UV36" s="39"/>
      <c r="UW36" s="39"/>
      <c r="UX36" s="39"/>
      <c r="UY36" s="39"/>
      <c r="UZ36" s="39"/>
      <c r="VA36" s="39"/>
      <c r="VB36" s="39"/>
      <c r="VC36" s="39"/>
      <c r="VD36" s="39"/>
      <c r="VE36" s="39"/>
      <c r="VF36" s="39"/>
      <c r="VG36" s="39"/>
      <c r="VH36" s="39"/>
      <c r="VI36" s="39"/>
      <c r="VJ36" s="39"/>
      <c r="VK36" s="39"/>
      <c r="VL36" s="39"/>
      <c r="VM36" s="39"/>
      <c r="VN36" s="39"/>
      <c r="VO36" s="39"/>
      <c r="VP36" s="39"/>
      <c r="VQ36" s="39"/>
      <c r="VR36" s="39"/>
      <c r="VS36" s="39"/>
      <c r="VT36" s="39"/>
      <c r="VU36" s="39"/>
      <c r="VV36" s="39"/>
      <c r="VW36" s="39"/>
      <c r="VX36" s="39"/>
      <c r="VY36" s="39"/>
      <c r="VZ36" s="39"/>
      <c r="WA36" s="39"/>
      <c r="WB36" s="39"/>
      <c r="WC36" s="39"/>
      <c r="WD36" s="39"/>
      <c r="WE36" s="39"/>
      <c r="WF36" s="39"/>
      <c r="WG36" s="39"/>
      <c r="WH36" s="39"/>
      <c r="WI36" s="39"/>
      <c r="WJ36" s="39"/>
      <c r="WK36" s="39"/>
      <c r="WL36" s="39"/>
      <c r="WM36" s="39"/>
      <c r="WN36" s="39"/>
      <c r="WO36" s="39"/>
      <c r="WP36" s="39"/>
      <c r="WQ36" s="39"/>
      <c r="WR36" s="39"/>
      <c r="WS36" s="39"/>
      <c r="WT36" s="39"/>
      <c r="WU36" s="39"/>
      <c r="WV36" s="39"/>
      <c r="WW36" s="39"/>
      <c r="WX36" s="39"/>
      <c r="WY36" s="39"/>
      <c r="WZ36" s="39"/>
      <c r="XA36" s="39"/>
      <c r="XB36" s="39"/>
      <c r="XC36" s="39"/>
      <c r="XD36" s="39"/>
      <c r="XE36" s="39"/>
      <c r="XF36" s="39"/>
      <c r="XG36" s="39"/>
      <c r="XH36" s="39"/>
      <c r="XI36" s="39"/>
      <c r="XJ36" s="39"/>
      <c r="XK36" s="39"/>
      <c r="XL36" s="39"/>
      <c r="XM36" s="39"/>
      <c r="XN36" s="39"/>
      <c r="XO36" s="39"/>
      <c r="XP36" s="39"/>
      <c r="XQ36" s="39"/>
      <c r="XR36" s="39"/>
      <c r="XS36" s="39"/>
      <c r="XT36" s="39"/>
      <c r="XU36" s="39"/>
      <c r="XV36" s="39"/>
      <c r="XW36" s="39"/>
      <c r="XX36" s="39"/>
      <c r="XY36" s="39"/>
      <c r="XZ36" s="39"/>
      <c r="YA36" s="39"/>
      <c r="YB36" s="39"/>
      <c r="YC36" s="39"/>
      <c r="YD36" s="39"/>
      <c r="YE36" s="39"/>
      <c r="YF36" s="39"/>
      <c r="YG36" s="39"/>
      <c r="YH36" s="39"/>
      <c r="YI36" s="39"/>
      <c r="YJ36" s="39"/>
      <c r="YK36" s="39"/>
      <c r="YL36" s="39"/>
      <c r="YM36" s="39"/>
      <c r="YN36" s="39"/>
      <c r="YO36" s="39"/>
      <c r="YP36" s="39"/>
      <c r="YQ36" s="39"/>
      <c r="YR36" s="39"/>
      <c r="YS36" s="39"/>
    </row>
    <row r="37" spans="1:669" s="18" customFormat="1" x14ac:dyDescent="0.2">
      <c r="A37" s="776"/>
      <c r="B37" s="776"/>
      <c r="C37" s="19"/>
      <c r="D37" s="776"/>
      <c r="E37" s="283"/>
      <c r="F37" s="29"/>
      <c r="G37" s="29"/>
      <c r="I37" s="29"/>
      <c r="J37" s="29"/>
      <c r="K37" s="2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row>
    <row r="38" spans="1:669" s="18" customFormat="1" ht="10.5" customHeight="1" thickBot="1" x14ac:dyDescent="0.25">
      <c r="A38" s="1"/>
      <c r="B38" s="44"/>
      <c r="C38" s="6"/>
      <c r="D38" s="6"/>
      <c r="E38" s="6"/>
      <c r="F38" s="29"/>
      <c r="G38" s="29"/>
      <c r="H38" s="29"/>
      <c r="I38" s="29"/>
      <c r="J38" s="29"/>
      <c r="K38" s="29"/>
      <c r="L38" s="29"/>
      <c r="M38" s="29"/>
      <c r="N38" s="29"/>
      <c r="O38" s="29"/>
      <c r="P38" s="29"/>
      <c r="Q38" s="29"/>
      <c r="R38" s="29"/>
      <c r="S38" s="29"/>
      <c r="T38" s="29"/>
      <c r="U38" s="29"/>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row>
    <row r="39" spans="1:669" s="22" customFormat="1" ht="16.5" thickBot="1" x14ac:dyDescent="0.3">
      <c r="A39" s="298" t="s">
        <v>35</v>
      </c>
      <c r="B39" s="156"/>
      <c r="C39" s="157"/>
      <c r="D39" s="157"/>
      <c r="E39" s="157"/>
      <c r="F39" s="158"/>
      <c r="G39" s="158"/>
      <c r="H39" s="158"/>
      <c r="I39" s="158"/>
      <c r="J39" s="158"/>
      <c r="K39" s="159"/>
      <c r="L39" s="29"/>
      <c r="M39" s="29"/>
      <c r="N39" s="29"/>
      <c r="O39" s="29"/>
      <c r="P39" s="29"/>
      <c r="Q39" s="29"/>
      <c r="R39" s="29"/>
      <c r="S39" s="29"/>
      <c r="T39" s="29"/>
      <c r="U39" s="29"/>
      <c r="V39" s="29"/>
      <c r="W39" s="29"/>
      <c r="X39" s="29"/>
      <c r="Y39" s="29"/>
      <c r="Z39" s="29"/>
      <c r="AA39" s="29"/>
      <c r="AB39" s="11"/>
      <c r="AC39" s="11"/>
      <c r="AD39" s="11"/>
      <c r="AE39" s="11"/>
      <c r="AF39" s="11"/>
      <c r="AG39" s="11"/>
      <c r="AH39" s="11"/>
      <c r="AI39" s="11"/>
      <c r="AJ39" s="11"/>
      <c r="AK39" s="11"/>
      <c r="AL39" s="1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row>
    <row r="40" spans="1:669" s="20" customFormat="1" ht="45.75" thickBot="1" x14ac:dyDescent="0.25">
      <c r="A40" s="314" t="s">
        <v>22</v>
      </c>
      <c r="B40" s="1026" t="s">
        <v>12</v>
      </c>
      <c r="C40" s="1027"/>
      <c r="D40" s="314" t="s">
        <v>2</v>
      </c>
      <c r="E40" s="907" t="s">
        <v>3</v>
      </c>
      <c r="F40" s="319" t="s">
        <v>23</v>
      </c>
      <c r="G40" s="319" t="s">
        <v>627</v>
      </c>
      <c r="H40" s="319" t="s">
        <v>163</v>
      </c>
      <c r="I40" s="319" t="s">
        <v>19</v>
      </c>
      <c r="J40" s="319" t="s">
        <v>331</v>
      </c>
      <c r="K40" s="319" t="s">
        <v>4</v>
      </c>
      <c r="L40" s="35"/>
      <c r="M40" s="35"/>
      <c r="N40" s="35"/>
      <c r="O40" s="35"/>
      <c r="P40" s="35"/>
      <c r="Q40" s="35"/>
      <c r="R40" s="35"/>
      <c r="S40" s="35"/>
      <c r="T40" s="35"/>
      <c r="U40" s="6"/>
      <c r="V40" s="35"/>
      <c r="W40" s="35"/>
      <c r="X40" s="35"/>
      <c r="Y40" s="35"/>
      <c r="Z40" s="35"/>
      <c r="AA40" s="35"/>
      <c r="AB40" s="36"/>
      <c r="AC40" s="36"/>
      <c r="AD40" s="36"/>
      <c r="AE40" s="36"/>
      <c r="AF40" s="36"/>
      <c r="AG40" s="36"/>
      <c r="AH40" s="36"/>
      <c r="AI40" s="36"/>
      <c r="AJ40" s="36"/>
      <c r="AK40" s="36"/>
      <c r="AL40" s="3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row>
    <row r="41" spans="1:669" hidden="1" x14ac:dyDescent="0.2">
      <c r="A41" s="286" t="s">
        <v>15</v>
      </c>
      <c r="B41" s="1032" t="s">
        <v>11</v>
      </c>
      <c r="C41" s="1033"/>
      <c r="D41" s="290">
        <v>41275</v>
      </c>
      <c r="E41" s="943">
        <v>41639</v>
      </c>
      <c r="F41" s="293"/>
      <c r="G41" s="293">
        <v>0</v>
      </c>
      <c r="H41" s="293"/>
      <c r="I41" s="293">
        <f>F41-H41</f>
        <v>0</v>
      </c>
      <c r="J41" s="293">
        <v>0</v>
      </c>
      <c r="K41" s="293">
        <f t="shared" ref="K41:K42" si="0">I41</f>
        <v>0</v>
      </c>
      <c r="L41" s="29"/>
      <c r="M41" s="29"/>
      <c r="N41" s="29"/>
    </row>
    <row r="42" spans="1:669" hidden="1" x14ac:dyDescent="0.2">
      <c r="A42" s="286" t="s">
        <v>262</v>
      </c>
      <c r="B42" s="1032" t="s">
        <v>11</v>
      </c>
      <c r="C42" s="1033"/>
      <c r="D42" s="290">
        <v>42736</v>
      </c>
      <c r="E42" s="943">
        <v>43100</v>
      </c>
      <c r="F42" s="293"/>
      <c r="G42" s="293">
        <v>0</v>
      </c>
      <c r="H42" s="293">
        <v>25000</v>
      </c>
      <c r="I42" s="293">
        <f>25000-H42</f>
        <v>0</v>
      </c>
      <c r="J42" s="293"/>
      <c r="K42" s="380">
        <f t="shared" si="0"/>
        <v>0</v>
      </c>
      <c r="L42" s="29"/>
      <c r="M42" s="29"/>
      <c r="N42" s="29"/>
    </row>
    <row r="43" spans="1:669" hidden="1" x14ac:dyDescent="0.2">
      <c r="A43" s="286" t="s">
        <v>316</v>
      </c>
      <c r="B43" s="1032" t="s">
        <v>11</v>
      </c>
      <c r="C43" s="1033"/>
      <c r="D43" s="290">
        <v>43466</v>
      </c>
      <c r="E43" s="943">
        <v>43830</v>
      </c>
      <c r="F43" s="293"/>
      <c r="G43" s="293"/>
      <c r="H43" s="293"/>
      <c r="I43" s="293"/>
      <c r="J43" s="293"/>
      <c r="K43" s="711"/>
      <c r="L43" s="29"/>
      <c r="M43" s="29"/>
      <c r="N43" s="29"/>
    </row>
    <row r="44" spans="1:669" ht="15" hidden="1" x14ac:dyDescent="0.25">
      <c r="A44" s="767" t="s">
        <v>400</v>
      </c>
      <c r="B44" s="1038" t="s">
        <v>11</v>
      </c>
      <c r="C44" s="1033"/>
      <c r="D44" s="768">
        <v>43831</v>
      </c>
      <c r="E44" s="7">
        <v>44196</v>
      </c>
      <c r="F44" s="735"/>
      <c r="G44" s="308"/>
      <c r="H44" s="735"/>
      <c r="I44" s="308">
        <f>F44-H44</f>
        <v>0</v>
      </c>
      <c r="J44" s="735"/>
      <c r="K44" s="772">
        <f>I44</f>
        <v>0</v>
      </c>
      <c r="L44" s="29"/>
      <c r="M44" s="29"/>
      <c r="N44" s="29"/>
    </row>
    <row r="45" spans="1:669" hidden="1" x14ac:dyDescent="0.2">
      <c r="A45" s="286"/>
      <c r="B45" s="1038"/>
      <c r="C45" s="1033"/>
      <c r="D45" s="290"/>
      <c r="E45" s="7"/>
      <c r="F45" s="293"/>
      <c r="G45" s="308"/>
      <c r="H45" s="293"/>
      <c r="I45" s="308"/>
      <c r="J45" s="293"/>
      <c r="K45" s="307"/>
      <c r="L45" s="29"/>
      <c r="M45" s="29"/>
      <c r="N45" s="29"/>
    </row>
    <row r="46" spans="1:669" hidden="1" x14ac:dyDescent="0.2">
      <c r="A46" s="286" t="s">
        <v>431</v>
      </c>
      <c r="B46" s="1038" t="s">
        <v>11</v>
      </c>
      <c r="C46" s="1033"/>
      <c r="D46" s="290">
        <v>44105</v>
      </c>
      <c r="E46" s="7" t="s">
        <v>402</v>
      </c>
      <c r="F46" s="293"/>
      <c r="G46" s="308"/>
      <c r="H46" s="293"/>
      <c r="I46" s="308"/>
      <c r="J46" s="293"/>
      <c r="K46" s="307"/>
      <c r="L46" s="29"/>
      <c r="M46" s="29"/>
      <c r="N46" s="29"/>
    </row>
    <row r="47" spans="1:669" ht="15" hidden="1" x14ac:dyDescent="0.25">
      <c r="A47" s="286" t="s">
        <v>463</v>
      </c>
      <c r="B47" s="1038" t="s">
        <v>11</v>
      </c>
      <c r="C47" s="1033"/>
      <c r="D47" s="290">
        <v>44562</v>
      </c>
      <c r="E47" s="7">
        <v>44926</v>
      </c>
      <c r="F47" s="293"/>
      <c r="G47" s="308"/>
      <c r="H47" s="293"/>
      <c r="I47" s="308"/>
      <c r="J47" s="293"/>
      <c r="K47" s="307"/>
      <c r="L47" s="29"/>
      <c r="M47" s="29"/>
      <c r="N47" s="29"/>
    </row>
    <row r="48" spans="1:669" ht="15" x14ac:dyDescent="0.25">
      <c r="A48" s="286" t="s">
        <v>558</v>
      </c>
      <c r="B48" s="1038" t="s">
        <v>11</v>
      </c>
      <c r="C48" s="1033"/>
      <c r="D48" s="290">
        <v>44927</v>
      </c>
      <c r="E48" s="7">
        <v>45291</v>
      </c>
      <c r="F48" s="293">
        <v>27500</v>
      </c>
      <c r="G48" s="308">
        <v>27500</v>
      </c>
      <c r="H48" s="293">
        <v>13472.43</v>
      </c>
      <c r="I48" s="308">
        <f>F48-H48</f>
        <v>14027.57</v>
      </c>
      <c r="J48" s="293"/>
      <c r="K48" s="307">
        <f t="shared" ref="K48" si="1">I48</f>
        <v>14027.57</v>
      </c>
      <c r="L48" s="29"/>
      <c r="M48" s="29"/>
      <c r="N48" s="29"/>
    </row>
    <row r="49" spans="1:669" hidden="1" x14ac:dyDescent="0.2">
      <c r="A49" s="286" t="s">
        <v>458</v>
      </c>
      <c r="B49" s="1038" t="s">
        <v>11</v>
      </c>
      <c r="C49" s="1033"/>
      <c r="D49" s="290">
        <v>44228</v>
      </c>
      <c r="E49" s="7">
        <v>44592</v>
      </c>
      <c r="F49" s="293"/>
      <c r="G49" s="308"/>
      <c r="H49" s="293"/>
      <c r="I49" s="308"/>
      <c r="J49" s="293"/>
      <c r="K49" s="307"/>
      <c r="L49" s="29"/>
      <c r="M49" s="29"/>
      <c r="N49" s="29"/>
    </row>
    <row r="50" spans="1:669" hidden="1" x14ac:dyDescent="0.2">
      <c r="A50" s="286" t="s">
        <v>464</v>
      </c>
      <c r="B50" s="1038" t="s">
        <v>11</v>
      </c>
      <c r="C50" s="1033"/>
      <c r="D50" s="290">
        <v>44228</v>
      </c>
      <c r="E50" s="7">
        <v>44592</v>
      </c>
      <c r="F50" s="293"/>
      <c r="G50" s="308"/>
      <c r="H50" s="293"/>
      <c r="I50" s="308"/>
      <c r="J50" s="293"/>
      <c r="K50" s="307"/>
      <c r="L50" s="29"/>
      <c r="M50" s="29"/>
      <c r="N50" s="29"/>
    </row>
    <row r="51" spans="1:669" x14ac:dyDescent="0.2">
      <c r="A51" s="286" t="s">
        <v>571</v>
      </c>
      <c r="B51" s="1038" t="s">
        <v>11</v>
      </c>
      <c r="C51" s="1033"/>
      <c r="D51" s="290">
        <v>44896</v>
      </c>
      <c r="E51" s="7">
        <v>45322</v>
      </c>
      <c r="F51" s="293">
        <v>4000</v>
      </c>
      <c r="G51" s="308">
        <v>0</v>
      </c>
      <c r="H51" s="293">
        <v>939.93</v>
      </c>
      <c r="I51" s="308">
        <f>F51-H51</f>
        <v>3060.07</v>
      </c>
      <c r="J51" s="293"/>
      <c r="K51" s="307">
        <f>I51</f>
        <v>3060.07</v>
      </c>
      <c r="L51" s="29"/>
      <c r="M51" s="29"/>
      <c r="N51" s="29"/>
    </row>
    <row r="52" spans="1:669" x14ac:dyDescent="0.2">
      <c r="A52" s="286" t="s">
        <v>491</v>
      </c>
      <c r="B52" s="1038" t="s">
        <v>11</v>
      </c>
      <c r="C52" s="1033"/>
      <c r="D52" s="290">
        <v>44743</v>
      </c>
      <c r="E52" s="7">
        <v>45107</v>
      </c>
      <c r="F52" s="293">
        <v>100000</v>
      </c>
      <c r="G52" s="308">
        <v>100000</v>
      </c>
      <c r="H52" s="293">
        <v>9666.64</v>
      </c>
      <c r="I52" s="308">
        <f>G52-H52</f>
        <v>90333.36</v>
      </c>
      <c r="J52" s="293"/>
      <c r="K52" s="307">
        <f>I52</f>
        <v>90333.36</v>
      </c>
      <c r="L52" s="29"/>
      <c r="M52" s="29"/>
      <c r="N52" s="29"/>
    </row>
    <row r="53" spans="1:669" s="4" customFormat="1" x14ac:dyDescent="0.2">
      <c r="A53" s="286" t="s">
        <v>383</v>
      </c>
      <c r="B53" s="1036" t="s">
        <v>17</v>
      </c>
      <c r="C53" s="1037"/>
      <c r="D53" s="290">
        <v>44562</v>
      </c>
      <c r="E53" s="7">
        <v>45291</v>
      </c>
      <c r="F53" s="293">
        <v>100000</v>
      </c>
      <c r="G53" s="308">
        <v>50000</v>
      </c>
      <c r="H53" s="293">
        <v>25000.02</v>
      </c>
      <c r="I53" s="308">
        <f>G53-H53</f>
        <v>24999.98</v>
      </c>
      <c r="J53" s="293"/>
      <c r="K53" s="307">
        <f>I53</f>
        <v>24999.98</v>
      </c>
      <c r="L53" s="29"/>
      <c r="M53" s="29"/>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row>
    <row r="54" spans="1:669" s="4" customFormat="1" ht="15" hidden="1" x14ac:dyDescent="0.25">
      <c r="A54" s="286" t="s">
        <v>397</v>
      </c>
      <c r="B54" s="1029" t="s">
        <v>396</v>
      </c>
      <c r="C54" s="1029"/>
      <c r="D54" s="617"/>
      <c r="E54" s="776"/>
      <c r="F54" s="293"/>
      <c r="G54" s="308"/>
      <c r="H54" s="293"/>
      <c r="I54" s="308"/>
      <c r="J54" s="307"/>
      <c r="K54" s="380"/>
      <c r="L54" s="29"/>
      <c r="M54" s="29"/>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row>
    <row r="55" spans="1:669" s="18" customFormat="1" ht="15" x14ac:dyDescent="0.25">
      <c r="A55" s="286" t="s">
        <v>558</v>
      </c>
      <c r="B55" s="921" t="s">
        <v>401</v>
      </c>
      <c r="C55" s="905"/>
      <c r="D55" s="290">
        <v>44927</v>
      </c>
      <c r="E55" s="7">
        <v>45291</v>
      </c>
      <c r="F55" s="293">
        <v>50000</v>
      </c>
      <c r="G55" s="293">
        <v>50000</v>
      </c>
      <c r="H55" s="293">
        <f>50000/12*6</f>
        <v>25000</v>
      </c>
      <c r="I55" s="293">
        <f>G55-H55</f>
        <v>25000</v>
      </c>
      <c r="J55" s="307">
        <f>I55</f>
        <v>25000</v>
      </c>
      <c r="K55" s="380"/>
      <c r="L55" s="964"/>
      <c r="M55" s="308"/>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row>
    <row r="56" spans="1:669" s="2" customFormat="1" ht="15" thickBot="1" x14ac:dyDescent="0.25">
      <c r="A56" s="286" t="s">
        <v>18</v>
      </c>
      <c r="B56" s="1029" t="s">
        <v>39</v>
      </c>
      <c r="C56" s="1029"/>
      <c r="D56" s="290">
        <v>40226</v>
      </c>
      <c r="E56" s="6" t="s">
        <v>25</v>
      </c>
      <c r="F56" s="293">
        <f>8007.78+5000+50</f>
        <v>13057.779999999999</v>
      </c>
      <c r="G56" s="308">
        <v>898.7</v>
      </c>
      <c r="H56" s="293"/>
      <c r="I56" s="308">
        <f>+G56-H56</f>
        <v>898.7</v>
      </c>
      <c r="J56" s="293">
        <f>I56</f>
        <v>898.7</v>
      </c>
      <c r="K56" s="307"/>
      <c r="L56" s="29"/>
      <c r="M56" s="29"/>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row>
    <row r="57" spans="1:669" s="2" customFormat="1" ht="15" hidden="1" thickBot="1" x14ac:dyDescent="0.25">
      <c r="A57" s="286" t="s">
        <v>384</v>
      </c>
      <c r="B57" s="1029" t="s">
        <v>401</v>
      </c>
      <c r="C57" s="1029"/>
      <c r="D57" s="290">
        <v>43770</v>
      </c>
      <c r="E57" s="7">
        <v>44196</v>
      </c>
      <c r="F57" s="293"/>
      <c r="G57" s="308"/>
      <c r="H57" s="293"/>
      <c r="I57" s="308"/>
      <c r="J57" s="293"/>
      <c r="K57" s="307"/>
      <c r="L57" s="29"/>
      <c r="M57" s="29"/>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row>
    <row r="58" spans="1:669" s="2" customFormat="1" ht="15.75" thickBot="1" x14ac:dyDescent="0.3">
      <c r="A58" s="287"/>
      <c r="B58" s="1034"/>
      <c r="C58" s="1035"/>
      <c r="D58" s="382"/>
      <c r="E58" s="769"/>
      <c r="F58" s="734"/>
      <c r="G58" s="770"/>
      <c r="H58" s="294"/>
      <c r="I58" s="308"/>
      <c r="J58" s="294"/>
      <c r="K58" s="303"/>
      <c r="L58" s="771" t="s">
        <v>98</v>
      </c>
      <c r="M58" s="29"/>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row>
    <row r="59" spans="1:669" s="252" customFormat="1" ht="15.75" thickBot="1" x14ac:dyDescent="0.3">
      <c r="A59" s="285" t="s">
        <v>28</v>
      </c>
      <c r="B59" s="288"/>
      <c r="C59" s="288"/>
      <c r="D59" s="289"/>
      <c r="E59" s="289"/>
      <c r="F59" s="292">
        <f t="shared" ref="F59:K59" si="2">SUM(F41:F58)</f>
        <v>294557.78000000003</v>
      </c>
      <c r="G59" s="295">
        <f t="shared" si="2"/>
        <v>228398.7</v>
      </c>
      <c r="H59" s="786">
        <f t="shared" si="2"/>
        <v>99079.02</v>
      </c>
      <c r="I59" s="787">
        <f t="shared" si="2"/>
        <v>158319.68000000002</v>
      </c>
      <c r="J59" s="296">
        <f t="shared" si="2"/>
        <v>25898.7</v>
      </c>
      <c r="K59" s="297">
        <f t="shared" si="2"/>
        <v>132420.98000000001</v>
      </c>
      <c r="L59" s="434">
        <f>K36+K59</f>
        <v>132420.98000000001</v>
      </c>
      <c r="M59" s="250"/>
      <c r="N59" s="250"/>
      <c r="O59" s="250"/>
      <c r="P59" s="250"/>
      <c r="Q59" s="250"/>
      <c r="R59" s="250"/>
      <c r="S59" s="250"/>
      <c r="T59" s="250"/>
      <c r="U59" s="251"/>
      <c r="V59" s="250"/>
      <c r="W59" s="250"/>
      <c r="X59" s="250"/>
      <c r="Y59" s="250"/>
      <c r="Z59" s="250"/>
      <c r="AA59" s="250"/>
      <c r="AB59" s="250"/>
      <c r="AC59" s="250"/>
      <c r="AD59" s="250"/>
      <c r="AE59" s="250"/>
      <c r="AF59" s="250"/>
      <c r="AG59" s="250"/>
      <c r="AH59" s="250"/>
      <c r="AI59" s="250"/>
      <c r="AJ59" s="250"/>
      <c r="AK59" s="250"/>
      <c r="AL59" s="250"/>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1"/>
      <c r="IK59" s="251"/>
      <c r="IL59" s="251"/>
      <c r="IM59" s="251"/>
      <c r="IN59" s="251"/>
      <c r="IO59" s="251"/>
      <c r="IP59" s="251"/>
      <c r="IQ59" s="251"/>
      <c r="IR59" s="251"/>
      <c r="IS59" s="251"/>
      <c r="IT59" s="251"/>
      <c r="IU59" s="251"/>
      <c r="IV59" s="251"/>
      <c r="IW59" s="251"/>
      <c r="IX59" s="251"/>
      <c r="IY59" s="251"/>
      <c r="IZ59" s="251"/>
      <c r="JA59" s="251"/>
      <c r="JB59" s="251"/>
      <c r="JC59" s="251"/>
      <c r="JD59" s="251"/>
      <c r="JE59" s="251"/>
      <c r="JF59" s="251"/>
      <c r="JG59" s="251"/>
      <c r="JH59" s="251"/>
      <c r="JI59" s="251"/>
      <c r="JJ59" s="251"/>
      <c r="JK59" s="251"/>
      <c r="JL59" s="251"/>
      <c r="JM59" s="251"/>
      <c r="JN59" s="251"/>
      <c r="JO59" s="251"/>
      <c r="JP59" s="251"/>
      <c r="JQ59" s="251"/>
      <c r="JR59" s="251"/>
      <c r="JS59" s="251"/>
      <c r="JT59" s="251"/>
      <c r="JU59" s="251"/>
      <c r="JV59" s="251"/>
      <c r="JW59" s="251"/>
      <c r="JX59" s="251"/>
      <c r="JY59" s="251"/>
      <c r="JZ59" s="251"/>
      <c r="KA59" s="251"/>
      <c r="KB59" s="251"/>
      <c r="KC59" s="251"/>
      <c r="KD59" s="251"/>
      <c r="KE59" s="251"/>
      <c r="KF59" s="251"/>
      <c r="KG59" s="251"/>
      <c r="KH59" s="251"/>
      <c r="KI59" s="251"/>
      <c r="KJ59" s="251"/>
      <c r="KK59" s="251"/>
      <c r="KL59" s="251"/>
      <c r="KM59" s="251"/>
      <c r="KN59" s="251"/>
      <c r="KO59" s="251"/>
      <c r="KP59" s="251"/>
      <c r="KQ59" s="251"/>
      <c r="KR59" s="251"/>
      <c r="KS59" s="251"/>
      <c r="KT59" s="251"/>
      <c r="KU59" s="251"/>
      <c r="KV59" s="251"/>
      <c r="KW59" s="251"/>
      <c r="KX59" s="251"/>
      <c r="KY59" s="251"/>
      <c r="KZ59" s="251"/>
      <c r="LA59" s="251"/>
      <c r="LB59" s="251"/>
      <c r="LC59" s="251"/>
      <c r="LD59" s="251"/>
      <c r="LE59" s="251"/>
      <c r="LF59" s="251"/>
      <c r="LG59" s="251"/>
      <c r="LH59" s="251"/>
      <c r="LI59" s="251"/>
      <c r="LJ59" s="251"/>
      <c r="LK59" s="251"/>
      <c r="LL59" s="251"/>
      <c r="LM59" s="251"/>
      <c r="LN59" s="251"/>
      <c r="LO59" s="251"/>
      <c r="LP59" s="251"/>
      <c r="LQ59" s="251"/>
      <c r="LR59" s="251"/>
      <c r="LS59" s="251"/>
      <c r="LT59" s="251"/>
      <c r="LU59" s="251"/>
      <c r="LV59" s="251"/>
      <c r="LW59" s="251"/>
      <c r="LX59" s="251"/>
      <c r="LY59" s="251"/>
      <c r="LZ59" s="251"/>
      <c r="MA59" s="251"/>
      <c r="MB59" s="251"/>
      <c r="MC59" s="251"/>
      <c r="MD59" s="251"/>
      <c r="ME59" s="251"/>
      <c r="MF59" s="251"/>
      <c r="MG59" s="251"/>
      <c r="MH59" s="251"/>
      <c r="MI59" s="251"/>
      <c r="MJ59" s="251"/>
      <c r="MK59" s="251"/>
      <c r="ML59" s="251"/>
      <c r="MM59" s="251"/>
      <c r="MN59" s="251"/>
      <c r="MO59" s="251"/>
      <c r="MP59" s="251"/>
      <c r="MQ59" s="251"/>
      <c r="MR59" s="251"/>
      <c r="MS59" s="251"/>
      <c r="MT59" s="251"/>
      <c r="MU59" s="251"/>
      <c r="MV59" s="251"/>
      <c r="MW59" s="251"/>
      <c r="MX59" s="251"/>
      <c r="MY59" s="251"/>
      <c r="MZ59" s="251"/>
      <c r="NA59" s="251"/>
      <c r="NB59" s="251"/>
      <c r="NC59" s="251"/>
      <c r="ND59" s="251"/>
      <c r="NE59" s="251"/>
      <c r="NF59" s="251"/>
      <c r="NG59" s="251"/>
      <c r="NH59" s="251"/>
      <c r="NI59" s="251"/>
      <c r="NJ59" s="251"/>
      <c r="NK59" s="251"/>
      <c r="NL59" s="251"/>
      <c r="NM59" s="251"/>
      <c r="NN59" s="251"/>
      <c r="NO59" s="251"/>
      <c r="NP59" s="251"/>
      <c r="NQ59" s="251"/>
      <c r="NR59" s="251"/>
      <c r="NS59" s="251"/>
      <c r="NT59" s="251"/>
      <c r="NU59" s="251"/>
      <c r="NV59" s="251"/>
      <c r="NW59" s="251"/>
      <c r="NX59" s="251"/>
      <c r="NY59" s="251"/>
      <c r="NZ59" s="251"/>
      <c r="OA59" s="251"/>
      <c r="OB59" s="251"/>
      <c r="OC59" s="251"/>
      <c r="OD59" s="251"/>
      <c r="OE59" s="251"/>
      <c r="OF59" s="251"/>
      <c r="OG59" s="251"/>
      <c r="OH59" s="251"/>
      <c r="OI59" s="251"/>
      <c r="OJ59" s="251"/>
      <c r="OK59" s="251"/>
      <c r="OL59" s="251"/>
      <c r="OM59" s="251"/>
      <c r="ON59" s="251"/>
      <c r="OO59" s="251"/>
      <c r="OP59" s="251"/>
      <c r="OQ59" s="251"/>
      <c r="OR59" s="251"/>
      <c r="OS59" s="251"/>
      <c r="OT59" s="251"/>
      <c r="OU59" s="251"/>
      <c r="OV59" s="251"/>
      <c r="OW59" s="251"/>
      <c r="OX59" s="251"/>
      <c r="OY59" s="251"/>
      <c r="OZ59" s="251"/>
      <c r="PA59" s="251"/>
      <c r="PB59" s="251"/>
      <c r="PC59" s="251"/>
      <c r="PD59" s="251"/>
      <c r="PE59" s="251"/>
      <c r="PF59" s="251"/>
      <c r="PG59" s="251"/>
      <c r="PH59" s="251"/>
      <c r="PI59" s="251"/>
      <c r="PJ59" s="251"/>
      <c r="PK59" s="251"/>
      <c r="PL59" s="251"/>
      <c r="PM59" s="251"/>
      <c r="PN59" s="251"/>
      <c r="PO59" s="251"/>
      <c r="PP59" s="251"/>
      <c r="PQ59" s="251"/>
      <c r="PR59" s="251"/>
      <c r="PS59" s="251"/>
      <c r="PT59" s="251"/>
      <c r="PU59" s="251"/>
      <c r="PV59" s="251"/>
      <c r="PW59" s="251"/>
      <c r="PX59" s="251"/>
      <c r="PY59" s="251"/>
      <c r="PZ59" s="251"/>
      <c r="QA59" s="251"/>
      <c r="QB59" s="251"/>
      <c r="QC59" s="251"/>
      <c r="QD59" s="251"/>
      <c r="QE59" s="251"/>
      <c r="QF59" s="251"/>
      <c r="QG59" s="251"/>
      <c r="QH59" s="251"/>
      <c r="QI59" s="251"/>
      <c r="QJ59" s="251"/>
      <c r="QK59" s="251"/>
      <c r="QL59" s="251"/>
      <c r="QM59" s="251"/>
      <c r="QN59" s="251"/>
      <c r="QO59" s="251"/>
      <c r="QP59" s="251"/>
      <c r="QQ59" s="251"/>
      <c r="QR59" s="251"/>
      <c r="QS59" s="251"/>
      <c r="QT59" s="251"/>
      <c r="QU59" s="251"/>
      <c r="QV59" s="251"/>
      <c r="QW59" s="251"/>
      <c r="QX59" s="251"/>
      <c r="QY59" s="251"/>
      <c r="QZ59" s="251"/>
      <c r="RA59" s="251"/>
      <c r="RB59" s="251"/>
      <c r="RC59" s="251"/>
      <c r="RD59" s="251"/>
      <c r="RE59" s="251"/>
      <c r="RF59" s="251"/>
      <c r="RG59" s="251"/>
      <c r="RH59" s="251"/>
      <c r="RI59" s="251"/>
      <c r="RJ59" s="251"/>
      <c r="RK59" s="251"/>
      <c r="RL59" s="251"/>
      <c r="RM59" s="251"/>
      <c r="RN59" s="251"/>
      <c r="RO59" s="251"/>
      <c r="RP59" s="251"/>
      <c r="RQ59" s="251"/>
      <c r="RR59" s="251"/>
      <c r="RS59" s="251"/>
      <c r="RT59" s="251"/>
      <c r="RU59" s="251"/>
      <c r="RV59" s="251"/>
      <c r="RW59" s="251"/>
      <c r="RX59" s="251"/>
      <c r="RY59" s="251"/>
      <c r="RZ59" s="251"/>
      <c r="SA59" s="251"/>
      <c r="SB59" s="251"/>
      <c r="SC59" s="251"/>
      <c r="SD59" s="251"/>
      <c r="SE59" s="251"/>
      <c r="SF59" s="251"/>
      <c r="SG59" s="251"/>
      <c r="SH59" s="251"/>
      <c r="SI59" s="251"/>
      <c r="SJ59" s="251"/>
      <c r="SK59" s="251"/>
      <c r="SL59" s="251"/>
      <c r="SM59" s="251"/>
      <c r="SN59" s="251"/>
      <c r="SO59" s="251"/>
      <c r="SP59" s="251"/>
      <c r="SQ59" s="251"/>
      <c r="SR59" s="251"/>
      <c r="SS59" s="251"/>
      <c r="ST59" s="251"/>
      <c r="SU59" s="251"/>
      <c r="SV59" s="251"/>
      <c r="SW59" s="251"/>
      <c r="SX59" s="251"/>
      <c r="SY59" s="251"/>
      <c r="SZ59" s="251"/>
      <c r="TA59" s="251"/>
      <c r="TB59" s="251"/>
      <c r="TC59" s="251"/>
      <c r="TD59" s="251"/>
      <c r="TE59" s="251"/>
      <c r="TF59" s="251"/>
      <c r="TG59" s="251"/>
      <c r="TH59" s="251"/>
      <c r="TI59" s="251"/>
      <c r="TJ59" s="251"/>
      <c r="TK59" s="251"/>
      <c r="TL59" s="251"/>
      <c r="TM59" s="251"/>
      <c r="TN59" s="251"/>
      <c r="TO59" s="251"/>
      <c r="TP59" s="251"/>
      <c r="TQ59" s="251"/>
      <c r="TR59" s="251"/>
      <c r="TS59" s="251"/>
      <c r="TT59" s="251"/>
      <c r="TU59" s="251"/>
      <c r="TV59" s="251"/>
      <c r="TW59" s="251"/>
      <c r="TX59" s="251"/>
      <c r="TY59" s="251"/>
      <c r="TZ59" s="251"/>
      <c r="UA59" s="251"/>
      <c r="UB59" s="251"/>
      <c r="UC59" s="251"/>
      <c r="UD59" s="251"/>
      <c r="UE59" s="251"/>
      <c r="UF59" s="251"/>
      <c r="UG59" s="251"/>
      <c r="UH59" s="251"/>
      <c r="UI59" s="251"/>
      <c r="UJ59" s="251"/>
      <c r="UK59" s="251"/>
      <c r="UL59" s="251"/>
      <c r="UM59" s="251"/>
      <c r="UN59" s="251"/>
      <c r="UO59" s="251"/>
      <c r="UP59" s="251"/>
      <c r="UQ59" s="251"/>
      <c r="UR59" s="251"/>
      <c r="US59" s="251"/>
      <c r="UT59" s="251"/>
      <c r="UU59" s="251"/>
      <c r="UV59" s="251"/>
      <c r="UW59" s="251"/>
      <c r="UX59" s="251"/>
      <c r="UY59" s="251"/>
      <c r="UZ59" s="251"/>
      <c r="VA59" s="251"/>
      <c r="VB59" s="251"/>
      <c r="VC59" s="251"/>
      <c r="VD59" s="251"/>
      <c r="VE59" s="251"/>
      <c r="VF59" s="251"/>
      <c r="VG59" s="251"/>
      <c r="VH59" s="251"/>
      <c r="VI59" s="251"/>
      <c r="VJ59" s="251"/>
      <c r="VK59" s="251"/>
      <c r="VL59" s="251"/>
      <c r="VM59" s="251"/>
      <c r="VN59" s="251"/>
      <c r="VO59" s="251"/>
      <c r="VP59" s="251"/>
      <c r="VQ59" s="251"/>
      <c r="VR59" s="251"/>
      <c r="VS59" s="251"/>
      <c r="VT59" s="251"/>
      <c r="VU59" s="251"/>
      <c r="VV59" s="251"/>
      <c r="VW59" s="251"/>
      <c r="VX59" s="251"/>
      <c r="VY59" s="251"/>
      <c r="VZ59" s="251"/>
      <c r="WA59" s="251"/>
      <c r="WB59" s="251"/>
      <c r="WC59" s="251"/>
      <c r="WD59" s="251"/>
      <c r="WE59" s="251"/>
      <c r="WF59" s="251"/>
      <c r="WG59" s="251"/>
      <c r="WH59" s="251"/>
      <c r="WI59" s="251"/>
      <c r="WJ59" s="251"/>
      <c r="WK59" s="251"/>
      <c r="WL59" s="251"/>
      <c r="WM59" s="251"/>
      <c r="WN59" s="251"/>
      <c r="WO59" s="251"/>
      <c r="WP59" s="251"/>
      <c r="WQ59" s="251"/>
      <c r="WR59" s="251"/>
      <c r="WS59" s="251"/>
      <c r="WT59" s="251"/>
      <c r="WU59" s="251"/>
      <c r="WV59" s="251"/>
      <c r="WW59" s="251"/>
      <c r="WX59" s="251"/>
      <c r="WY59" s="251"/>
      <c r="WZ59" s="251"/>
      <c r="XA59" s="251"/>
      <c r="XB59" s="251"/>
      <c r="XC59" s="251"/>
      <c r="XD59" s="251"/>
      <c r="XE59" s="251"/>
      <c r="XF59" s="251"/>
      <c r="XG59" s="251"/>
      <c r="XH59" s="251"/>
      <c r="XI59" s="251"/>
      <c r="XJ59" s="251"/>
      <c r="XK59" s="251"/>
      <c r="XL59" s="251"/>
      <c r="XM59" s="251"/>
      <c r="XN59" s="251"/>
      <c r="XO59" s="251"/>
      <c r="XP59" s="251"/>
      <c r="XQ59" s="251"/>
      <c r="XR59" s="251"/>
      <c r="XS59" s="251"/>
      <c r="XT59" s="251"/>
      <c r="XU59" s="251"/>
      <c r="XV59" s="251"/>
      <c r="XW59" s="251"/>
      <c r="XX59" s="251"/>
      <c r="XY59" s="251"/>
      <c r="XZ59" s="251"/>
      <c r="YA59" s="251"/>
      <c r="YB59" s="251"/>
      <c r="YC59" s="251"/>
      <c r="YD59" s="251"/>
      <c r="YE59" s="251"/>
      <c r="YF59" s="251"/>
      <c r="YG59" s="251"/>
      <c r="YH59" s="251"/>
      <c r="YI59" s="251"/>
      <c r="YJ59" s="251"/>
      <c r="YK59" s="251"/>
      <c r="YL59" s="251"/>
      <c r="YM59" s="251"/>
      <c r="YN59" s="251"/>
      <c r="YO59" s="251"/>
      <c r="YP59" s="251"/>
      <c r="YQ59" s="251"/>
      <c r="YR59" s="251"/>
      <c r="YS59" s="251"/>
    </row>
    <row r="60" spans="1:669" s="18" customFormat="1" ht="15" thickBot="1" x14ac:dyDescent="0.25">
      <c r="B60" s="1"/>
      <c r="C60" s="6"/>
      <c r="D60" s="6"/>
      <c r="E60" s="6"/>
      <c r="F60" s="29"/>
      <c r="G60" s="29"/>
      <c r="H60" s="29"/>
      <c r="I60" s="29"/>
      <c r="J60" s="29"/>
      <c r="K60" s="29"/>
      <c r="L60" s="29"/>
      <c r="M60" s="29"/>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row>
    <row r="61" spans="1:669" s="21" customFormat="1" ht="18.75" thickBot="1" x14ac:dyDescent="0.3">
      <c r="A61" s="298" t="s">
        <v>138</v>
      </c>
      <c r="B61" s="299"/>
      <c r="C61" s="300"/>
      <c r="D61" s="300"/>
      <c r="E61" s="300"/>
      <c r="F61" s="301"/>
      <c r="G61" s="301"/>
      <c r="H61" s="301"/>
      <c r="I61" s="301"/>
      <c r="J61" s="301"/>
      <c r="K61" s="304"/>
      <c r="L61" s="301"/>
      <c r="M61" s="305"/>
      <c r="N61" s="40"/>
      <c r="O61" s="40"/>
      <c r="P61" s="40"/>
      <c r="Q61" s="40"/>
      <c r="R61" s="40"/>
      <c r="S61" s="40"/>
      <c r="T61" s="40"/>
      <c r="U61" s="41"/>
      <c r="V61" s="40"/>
      <c r="W61" s="40"/>
      <c r="X61" s="40"/>
      <c r="Y61" s="40"/>
      <c r="Z61" s="40"/>
      <c r="AA61" s="40"/>
      <c r="AB61" s="42"/>
      <c r="AC61" s="42"/>
      <c r="AD61" s="42"/>
      <c r="AE61" s="42"/>
      <c r="AF61" s="42"/>
      <c r="AG61" s="42"/>
      <c r="AH61" s="42"/>
      <c r="AI61" s="42"/>
      <c r="AJ61" s="42"/>
      <c r="AK61" s="42"/>
      <c r="AL61" s="42"/>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c r="ID61" s="41"/>
      <c r="IE61" s="41"/>
      <c r="IF61" s="41"/>
      <c r="IG61" s="41"/>
      <c r="IH61" s="41"/>
      <c r="II61" s="41"/>
      <c r="IJ61" s="41"/>
      <c r="IK61" s="41"/>
      <c r="IL61" s="41"/>
      <c r="IM61" s="41"/>
      <c r="IN61" s="41"/>
      <c r="IO61" s="41"/>
      <c r="IP61" s="41"/>
      <c r="IQ61" s="41"/>
      <c r="IR61" s="41"/>
      <c r="IS61" s="41"/>
      <c r="IT61" s="41"/>
      <c r="IU61" s="41"/>
      <c r="IV61" s="41"/>
      <c r="IW61" s="41"/>
      <c r="IX61" s="41"/>
      <c r="IY61" s="41"/>
      <c r="IZ61" s="41"/>
      <c r="JA61" s="41"/>
      <c r="JB61" s="41"/>
      <c r="JC61" s="41"/>
      <c r="JD61" s="41"/>
      <c r="JE61" s="41"/>
      <c r="JF61" s="41"/>
      <c r="JG61" s="41"/>
      <c r="JH61" s="41"/>
      <c r="JI61" s="41"/>
      <c r="JJ61" s="41"/>
      <c r="JK61" s="41"/>
      <c r="JL61" s="41"/>
      <c r="JM61" s="41"/>
      <c r="JN61" s="41"/>
      <c r="JO61" s="41"/>
      <c r="JP61" s="41"/>
      <c r="JQ61" s="41"/>
      <c r="JR61" s="41"/>
      <c r="JS61" s="41"/>
      <c r="JT61" s="41"/>
      <c r="JU61" s="41"/>
      <c r="JV61" s="41"/>
      <c r="JW61" s="41"/>
      <c r="JX61" s="41"/>
      <c r="JY61" s="41"/>
      <c r="JZ61" s="41"/>
      <c r="KA61" s="41"/>
      <c r="KB61" s="41"/>
      <c r="KC61" s="41"/>
      <c r="KD61" s="41"/>
      <c r="KE61" s="41"/>
      <c r="KF61" s="41"/>
      <c r="KG61" s="41"/>
      <c r="KH61" s="41"/>
      <c r="KI61" s="41"/>
      <c r="KJ61" s="41"/>
      <c r="KK61" s="41"/>
      <c r="KL61" s="41"/>
      <c r="KM61" s="41"/>
      <c r="KN61" s="41"/>
      <c r="KO61" s="41"/>
      <c r="KP61" s="41"/>
      <c r="KQ61" s="41"/>
      <c r="KR61" s="41"/>
      <c r="KS61" s="41"/>
      <c r="KT61" s="41"/>
      <c r="KU61" s="41"/>
      <c r="KV61" s="41"/>
      <c r="KW61" s="41"/>
      <c r="KX61" s="41"/>
      <c r="KY61" s="41"/>
      <c r="KZ61" s="41"/>
      <c r="LA61" s="41"/>
      <c r="LB61" s="41"/>
      <c r="LC61" s="41"/>
      <c r="LD61" s="41"/>
      <c r="LE61" s="41"/>
      <c r="LF61" s="41"/>
      <c r="LG61" s="41"/>
      <c r="LH61" s="41"/>
      <c r="LI61" s="41"/>
      <c r="LJ61" s="41"/>
      <c r="LK61" s="41"/>
      <c r="LL61" s="41"/>
      <c r="LM61" s="41"/>
      <c r="LN61" s="41"/>
      <c r="LO61" s="41"/>
      <c r="LP61" s="41"/>
      <c r="LQ61" s="41"/>
      <c r="LR61" s="41"/>
      <c r="LS61" s="41"/>
      <c r="LT61" s="41"/>
      <c r="LU61" s="41"/>
      <c r="LV61" s="41"/>
      <c r="LW61" s="41"/>
      <c r="LX61" s="41"/>
      <c r="LY61" s="41"/>
      <c r="LZ61" s="41"/>
      <c r="MA61" s="41"/>
      <c r="MB61" s="41"/>
      <c r="MC61" s="41"/>
      <c r="MD61" s="41"/>
      <c r="ME61" s="41"/>
      <c r="MF61" s="41"/>
      <c r="MG61" s="41"/>
      <c r="MH61" s="41"/>
      <c r="MI61" s="41"/>
      <c r="MJ61" s="41"/>
      <c r="MK61" s="41"/>
      <c r="ML61" s="41"/>
      <c r="MM61" s="41"/>
      <c r="MN61" s="41"/>
      <c r="MO61" s="41"/>
      <c r="MP61" s="41"/>
      <c r="MQ61" s="41"/>
      <c r="MR61" s="41"/>
      <c r="MS61" s="41"/>
      <c r="MT61" s="41"/>
      <c r="MU61" s="41"/>
      <c r="MV61" s="41"/>
      <c r="MW61" s="41"/>
      <c r="MX61" s="41"/>
      <c r="MY61" s="41"/>
      <c r="MZ61" s="41"/>
      <c r="NA61" s="41"/>
      <c r="NB61" s="41"/>
      <c r="NC61" s="41"/>
      <c r="ND61" s="41"/>
      <c r="NE61" s="41"/>
      <c r="NF61" s="41"/>
      <c r="NG61" s="41"/>
      <c r="NH61" s="41"/>
      <c r="NI61" s="41"/>
      <c r="NJ61" s="41"/>
      <c r="NK61" s="41"/>
      <c r="NL61" s="41"/>
      <c r="NM61" s="41"/>
      <c r="NN61" s="41"/>
      <c r="NO61" s="41"/>
      <c r="NP61" s="41"/>
      <c r="NQ61" s="41"/>
      <c r="NR61" s="41"/>
      <c r="NS61" s="41"/>
      <c r="NT61" s="41"/>
      <c r="NU61" s="41"/>
      <c r="NV61" s="41"/>
      <c r="NW61" s="41"/>
      <c r="NX61" s="41"/>
      <c r="NY61" s="41"/>
      <c r="NZ61" s="41"/>
      <c r="OA61" s="41"/>
      <c r="OB61" s="41"/>
      <c r="OC61" s="41"/>
      <c r="OD61" s="41"/>
      <c r="OE61" s="41"/>
      <c r="OF61" s="41"/>
      <c r="OG61" s="41"/>
      <c r="OH61" s="41"/>
      <c r="OI61" s="41"/>
      <c r="OJ61" s="41"/>
      <c r="OK61" s="41"/>
      <c r="OL61" s="41"/>
      <c r="OM61" s="41"/>
      <c r="ON61" s="41"/>
      <c r="OO61" s="41"/>
      <c r="OP61" s="41"/>
      <c r="OQ61" s="41"/>
      <c r="OR61" s="41"/>
      <c r="OS61" s="41"/>
      <c r="OT61" s="41"/>
      <c r="OU61" s="41"/>
      <c r="OV61" s="41"/>
      <c r="OW61" s="41"/>
      <c r="OX61" s="41"/>
      <c r="OY61" s="41"/>
      <c r="OZ61" s="41"/>
      <c r="PA61" s="41"/>
      <c r="PB61" s="41"/>
      <c r="PC61" s="41"/>
      <c r="PD61" s="41"/>
      <c r="PE61" s="41"/>
      <c r="PF61" s="41"/>
      <c r="PG61" s="41"/>
      <c r="PH61" s="41"/>
      <c r="PI61" s="41"/>
      <c r="PJ61" s="41"/>
      <c r="PK61" s="41"/>
      <c r="PL61" s="41"/>
      <c r="PM61" s="41"/>
      <c r="PN61" s="41"/>
      <c r="PO61" s="41"/>
      <c r="PP61" s="41"/>
      <c r="PQ61" s="41"/>
      <c r="PR61" s="41"/>
      <c r="PS61" s="41"/>
      <c r="PT61" s="41"/>
      <c r="PU61" s="41"/>
      <c r="PV61" s="41"/>
      <c r="PW61" s="41"/>
      <c r="PX61" s="41"/>
      <c r="PY61" s="41"/>
      <c r="PZ61" s="41"/>
      <c r="QA61" s="41"/>
      <c r="QB61" s="41"/>
      <c r="QC61" s="41"/>
      <c r="QD61" s="41"/>
      <c r="QE61" s="41"/>
      <c r="QF61" s="41"/>
      <c r="QG61" s="41"/>
      <c r="QH61" s="41"/>
      <c r="QI61" s="41"/>
      <c r="QJ61" s="41"/>
      <c r="QK61" s="41"/>
      <c r="QL61" s="41"/>
      <c r="QM61" s="41"/>
      <c r="QN61" s="41"/>
      <c r="QO61" s="41"/>
      <c r="QP61" s="41"/>
      <c r="QQ61" s="41"/>
      <c r="QR61" s="41"/>
      <c r="QS61" s="41"/>
      <c r="QT61" s="41"/>
      <c r="QU61" s="41"/>
      <c r="QV61" s="41"/>
      <c r="QW61" s="41"/>
      <c r="QX61" s="41"/>
      <c r="QY61" s="41"/>
      <c r="QZ61" s="41"/>
      <c r="RA61" s="41"/>
      <c r="RB61" s="41"/>
      <c r="RC61" s="41"/>
      <c r="RD61" s="41"/>
      <c r="RE61" s="41"/>
      <c r="RF61" s="41"/>
      <c r="RG61" s="41"/>
      <c r="RH61" s="41"/>
      <c r="RI61" s="41"/>
      <c r="RJ61" s="41"/>
      <c r="RK61" s="41"/>
      <c r="RL61" s="41"/>
      <c r="RM61" s="41"/>
      <c r="RN61" s="41"/>
      <c r="RO61" s="41"/>
      <c r="RP61" s="41"/>
      <c r="RQ61" s="41"/>
      <c r="RR61" s="41"/>
      <c r="RS61" s="41"/>
      <c r="RT61" s="41"/>
      <c r="RU61" s="41"/>
      <c r="RV61" s="41"/>
      <c r="RW61" s="41"/>
      <c r="RX61" s="41"/>
      <c r="RY61" s="41"/>
      <c r="RZ61" s="41"/>
      <c r="SA61" s="41"/>
      <c r="SB61" s="41"/>
      <c r="SC61" s="41"/>
      <c r="SD61" s="41"/>
      <c r="SE61" s="41"/>
      <c r="SF61" s="41"/>
      <c r="SG61" s="41"/>
      <c r="SH61" s="41"/>
      <c r="SI61" s="41"/>
      <c r="SJ61" s="41"/>
      <c r="SK61" s="41"/>
      <c r="SL61" s="41"/>
      <c r="SM61" s="41"/>
      <c r="SN61" s="41"/>
      <c r="SO61" s="41"/>
      <c r="SP61" s="41"/>
      <c r="SQ61" s="41"/>
      <c r="SR61" s="41"/>
      <c r="SS61" s="41"/>
      <c r="ST61" s="41"/>
      <c r="SU61" s="41"/>
      <c r="SV61" s="41"/>
      <c r="SW61" s="41"/>
      <c r="SX61" s="41"/>
      <c r="SY61" s="41"/>
      <c r="SZ61" s="41"/>
      <c r="TA61" s="41"/>
      <c r="TB61" s="41"/>
      <c r="TC61" s="41"/>
      <c r="TD61" s="41"/>
      <c r="TE61" s="41"/>
      <c r="TF61" s="41"/>
      <c r="TG61" s="41"/>
      <c r="TH61" s="41"/>
      <c r="TI61" s="41"/>
      <c r="TJ61" s="41"/>
      <c r="TK61" s="41"/>
      <c r="TL61" s="41"/>
      <c r="TM61" s="41"/>
      <c r="TN61" s="41"/>
      <c r="TO61" s="41"/>
      <c r="TP61" s="41"/>
      <c r="TQ61" s="41"/>
      <c r="TR61" s="41"/>
      <c r="TS61" s="41"/>
      <c r="TT61" s="41"/>
      <c r="TU61" s="41"/>
      <c r="TV61" s="41"/>
      <c r="TW61" s="41"/>
      <c r="TX61" s="41"/>
      <c r="TY61" s="41"/>
      <c r="TZ61" s="41"/>
      <c r="UA61" s="41"/>
      <c r="UB61" s="41"/>
      <c r="UC61" s="41"/>
      <c r="UD61" s="41"/>
      <c r="UE61" s="41"/>
      <c r="UF61" s="41"/>
      <c r="UG61" s="41"/>
      <c r="UH61" s="41"/>
      <c r="UI61" s="41"/>
      <c r="UJ61" s="41"/>
      <c r="UK61" s="41"/>
      <c r="UL61" s="41"/>
      <c r="UM61" s="41"/>
      <c r="UN61" s="41"/>
      <c r="UO61" s="41"/>
      <c r="UP61" s="41"/>
      <c r="UQ61" s="41"/>
      <c r="UR61" s="41"/>
      <c r="US61" s="41"/>
      <c r="UT61" s="41"/>
      <c r="UU61" s="41"/>
      <c r="UV61" s="41"/>
      <c r="UW61" s="41"/>
      <c r="UX61" s="41"/>
      <c r="UY61" s="41"/>
      <c r="UZ61" s="41"/>
      <c r="VA61" s="41"/>
      <c r="VB61" s="41"/>
      <c r="VC61" s="41"/>
      <c r="VD61" s="41"/>
      <c r="VE61" s="41"/>
      <c r="VF61" s="41"/>
      <c r="VG61" s="41"/>
      <c r="VH61" s="41"/>
      <c r="VI61" s="41"/>
      <c r="VJ61" s="41"/>
      <c r="VK61" s="41"/>
      <c r="VL61" s="41"/>
      <c r="VM61" s="41"/>
      <c r="VN61" s="41"/>
      <c r="VO61" s="41"/>
      <c r="VP61" s="41"/>
      <c r="VQ61" s="41"/>
      <c r="VR61" s="41"/>
      <c r="VS61" s="41"/>
      <c r="VT61" s="41"/>
      <c r="VU61" s="41"/>
      <c r="VV61" s="41"/>
      <c r="VW61" s="41"/>
      <c r="VX61" s="41"/>
      <c r="VY61" s="41"/>
      <c r="VZ61" s="41"/>
      <c r="WA61" s="41"/>
      <c r="WB61" s="41"/>
      <c r="WC61" s="41"/>
      <c r="WD61" s="41"/>
      <c r="WE61" s="41"/>
      <c r="WF61" s="41"/>
      <c r="WG61" s="41"/>
      <c r="WH61" s="41"/>
      <c r="WI61" s="41"/>
      <c r="WJ61" s="41"/>
      <c r="WK61" s="41"/>
      <c r="WL61" s="41"/>
      <c r="WM61" s="41"/>
      <c r="WN61" s="41"/>
      <c r="WO61" s="41"/>
      <c r="WP61" s="41"/>
      <c r="WQ61" s="41"/>
      <c r="WR61" s="41"/>
      <c r="WS61" s="41"/>
      <c r="WT61" s="41"/>
      <c r="WU61" s="41"/>
      <c r="WV61" s="41"/>
      <c r="WW61" s="41"/>
      <c r="WX61" s="41"/>
      <c r="WY61" s="41"/>
      <c r="WZ61" s="41"/>
      <c r="XA61" s="41"/>
      <c r="XB61" s="41"/>
      <c r="XC61" s="41"/>
      <c r="XD61" s="41"/>
      <c r="XE61" s="41"/>
      <c r="XF61" s="41"/>
      <c r="XG61" s="41"/>
      <c r="XH61" s="41"/>
      <c r="XI61" s="41"/>
      <c r="XJ61" s="41"/>
      <c r="XK61" s="41"/>
      <c r="XL61" s="41"/>
      <c r="XM61" s="41"/>
      <c r="XN61" s="41"/>
      <c r="XO61" s="41"/>
      <c r="XP61" s="41"/>
      <c r="XQ61" s="41"/>
      <c r="XR61" s="41"/>
      <c r="XS61" s="41"/>
      <c r="XT61" s="41"/>
      <c r="XU61" s="41"/>
      <c r="XV61" s="41"/>
      <c r="XW61" s="41"/>
      <c r="XX61" s="41"/>
      <c r="XY61" s="41"/>
      <c r="XZ61" s="41"/>
      <c r="YA61" s="41"/>
      <c r="YB61" s="41"/>
      <c r="YC61" s="41"/>
      <c r="YD61" s="41"/>
      <c r="YE61" s="41"/>
      <c r="YF61" s="41"/>
      <c r="YG61" s="41"/>
      <c r="YH61" s="41"/>
      <c r="YI61" s="41"/>
      <c r="YJ61" s="41"/>
      <c r="YK61" s="41"/>
      <c r="YL61" s="41"/>
      <c r="YM61" s="41"/>
      <c r="YN61" s="41"/>
      <c r="YO61" s="41"/>
      <c r="YP61" s="41"/>
      <c r="YQ61" s="41"/>
      <c r="YR61" s="41"/>
      <c r="YS61" s="41"/>
    </row>
    <row r="62" spans="1:669" s="23" customFormat="1" ht="33.75" customHeight="1" thickBot="1" x14ac:dyDescent="0.25">
      <c r="A62" s="314" t="s">
        <v>31</v>
      </c>
      <c r="B62" s="1026" t="s">
        <v>24</v>
      </c>
      <c r="C62" s="1027"/>
      <c r="D62" s="1027"/>
      <c r="E62" s="1031"/>
      <c r="F62" s="318" t="s">
        <v>36</v>
      </c>
      <c r="G62" s="256" t="s">
        <v>627</v>
      </c>
      <c r="H62" s="256" t="s">
        <v>162</v>
      </c>
      <c r="I62" s="256" t="s">
        <v>475</v>
      </c>
      <c r="J62" s="256" t="s">
        <v>163</v>
      </c>
      <c r="K62" s="256" t="s">
        <v>10</v>
      </c>
      <c r="L62" s="256" t="s">
        <v>330</v>
      </c>
      <c r="M62" s="256" t="s">
        <v>4</v>
      </c>
      <c r="N62" s="35"/>
      <c r="O62" s="35"/>
      <c r="P62" s="35"/>
      <c r="Q62" s="35"/>
      <c r="R62" s="35"/>
      <c r="S62" s="35"/>
      <c r="T62" s="35"/>
      <c r="U62" s="6"/>
      <c r="V62" s="35"/>
      <c r="W62" s="35"/>
      <c r="X62" s="35"/>
      <c r="Y62" s="35"/>
      <c r="Z62" s="35"/>
      <c r="AA62" s="35"/>
      <c r="AB62" s="36"/>
      <c r="AC62" s="36"/>
      <c r="AD62" s="36"/>
      <c r="AE62" s="36"/>
      <c r="AF62" s="36"/>
      <c r="AG62" s="36"/>
      <c r="AH62" s="36"/>
      <c r="AI62" s="36"/>
      <c r="AJ62" s="36"/>
      <c r="AK62" s="36"/>
      <c r="AL62" s="3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row>
    <row r="63" spans="1:669" s="18" customFormat="1" hidden="1" x14ac:dyDescent="0.2">
      <c r="A63" s="286" t="s">
        <v>465</v>
      </c>
      <c r="B63" s="820" t="s">
        <v>455</v>
      </c>
      <c r="C63" s="821"/>
      <c r="D63" s="821"/>
      <c r="E63" s="822"/>
      <c r="F63" s="293"/>
      <c r="G63" s="293"/>
      <c r="H63" s="293"/>
      <c r="I63" s="293"/>
      <c r="J63" s="307"/>
      <c r="K63" s="380"/>
      <c r="L63" s="293">
        <f>K63</f>
        <v>0</v>
      </c>
      <c r="M63" s="29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row>
    <row r="64" spans="1:669" s="18" customFormat="1" hidden="1" x14ac:dyDescent="0.2">
      <c r="A64" s="286" t="s">
        <v>473</v>
      </c>
      <c r="B64" s="824" t="s">
        <v>468</v>
      </c>
      <c r="C64" s="825"/>
      <c r="D64" s="825"/>
      <c r="E64" s="826"/>
      <c r="F64" s="293"/>
      <c r="G64" s="293"/>
      <c r="H64" s="293"/>
      <c r="I64" s="293"/>
      <c r="J64" s="307"/>
      <c r="K64" s="380"/>
      <c r="L64" s="293">
        <f>K64</f>
        <v>0</v>
      </c>
      <c r="M64" s="293"/>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row>
    <row r="65" spans="1:669" s="18" customFormat="1" x14ac:dyDescent="0.2">
      <c r="A65" s="286" t="s">
        <v>572</v>
      </c>
      <c r="B65" s="904" t="s">
        <v>559</v>
      </c>
      <c r="C65" s="905"/>
      <c r="D65" s="905"/>
      <c r="E65" s="906"/>
      <c r="F65" s="293">
        <v>52000</v>
      </c>
      <c r="G65" s="293"/>
      <c r="H65" s="293">
        <v>52000</v>
      </c>
      <c r="I65" s="293"/>
      <c r="J65" s="307">
        <f>52000/12*6</f>
        <v>26000</v>
      </c>
      <c r="K65" s="380">
        <f>H65-J65</f>
        <v>26000</v>
      </c>
      <c r="L65" s="293">
        <f>K65</f>
        <v>26000</v>
      </c>
      <c r="M65" s="293"/>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row>
    <row r="66" spans="1:669" s="18" customFormat="1" hidden="1" x14ac:dyDescent="0.2">
      <c r="A66" s="286" t="s">
        <v>466</v>
      </c>
      <c r="B66" s="1028" t="s">
        <v>456</v>
      </c>
      <c r="C66" s="1029"/>
      <c r="D66" s="1029"/>
      <c r="E66" s="1030"/>
      <c r="F66" s="293"/>
      <c r="G66" s="293"/>
      <c r="H66" s="293"/>
      <c r="I66" s="293"/>
      <c r="J66" s="307"/>
      <c r="K66" s="380"/>
      <c r="L66" s="293">
        <f>K66</f>
        <v>0</v>
      </c>
      <c r="M66" s="293"/>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row>
    <row r="67" spans="1:669" s="18" customFormat="1" x14ac:dyDescent="0.2">
      <c r="A67" s="286" t="s">
        <v>573</v>
      </c>
      <c r="B67" s="1028" t="s">
        <v>560</v>
      </c>
      <c r="C67" s="1029"/>
      <c r="D67" s="1029"/>
      <c r="E67" s="1030"/>
      <c r="F67" s="293">
        <v>21000</v>
      </c>
      <c r="G67" s="293"/>
      <c r="H67" s="293">
        <v>21000</v>
      </c>
      <c r="I67" s="293"/>
      <c r="J67" s="307">
        <f>21000/12*6</f>
        <v>10500</v>
      </c>
      <c r="K67" s="380">
        <f>H67-J67</f>
        <v>10500</v>
      </c>
      <c r="L67" s="293">
        <f>K67</f>
        <v>10500</v>
      </c>
      <c r="M67" s="293"/>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row>
    <row r="68" spans="1:669" s="18" customFormat="1" hidden="1" x14ac:dyDescent="0.2">
      <c r="A68" s="286" t="s">
        <v>467</v>
      </c>
      <c r="B68" s="820" t="s">
        <v>574</v>
      </c>
      <c r="C68" s="821"/>
      <c r="D68" s="821"/>
      <c r="E68" s="822"/>
      <c r="F68" s="293"/>
      <c r="G68" s="293"/>
      <c r="H68" s="293"/>
      <c r="I68" s="293"/>
      <c r="J68" s="307"/>
      <c r="K68" s="380"/>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row>
    <row r="69" spans="1:669" s="18" customFormat="1" hidden="1" x14ac:dyDescent="0.2">
      <c r="A69" s="286" t="s">
        <v>474</v>
      </c>
      <c r="B69" s="824" t="s">
        <v>457</v>
      </c>
      <c r="C69" s="825"/>
      <c r="D69" s="825"/>
      <c r="E69" s="826"/>
      <c r="F69" s="293" t="s">
        <v>469</v>
      </c>
      <c r="G69" s="293"/>
      <c r="H69" s="293"/>
      <c r="I69" s="293">
        <f>'June''23 AR Aging '!G64</f>
        <v>0</v>
      </c>
      <c r="J69" s="307">
        <v>13840</v>
      </c>
      <c r="K69" s="380"/>
      <c r="L69" s="293"/>
      <c r="M69" s="293"/>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row>
    <row r="70" spans="1:669" x14ac:dyDescent="0.2">
      <c r="A70" s="286" t="s">
        <v>20</v>
      </c>
      <c r="B70" s="1028" t="s">
        <v>429</v>
      </c>
      <c r="C70" s="1029"/>
      <c r="D70" s="1029"/>
      <c r="E70" s="1030"/>
      <c r="F70" s="293"/>
      <c r="G70" s="293">
        <v>0</v>
      </c>
      <c r="H70" s="293">
        <f>J70</f>
        <v>13087.07</v>
      </c>
      <c r="I70" s="293"/>
      <c r="J70" s="307">
        <v>13087.07</v>
      </c>
      <c r="K70" s="380">
        <f>H70-J70</f>
        <v>0</v>
      </c>
      <c r="L70" s="293">
        <v>0</v>
      </c>
      <c r="M70" s="293">
        <v>0</v>
      </c>
      <c r="N70" s="29"/>
    </row>
    <row r="71" spans="1:669" x14ac:dyDescent="0.2">
      <c r="A71" s="286" t="s">
        <v>20</v>
      </c>
      <c r="B71" s="1028" t="s">
        <v>6</v>
      </c>
      <c r="C71" s="1029"/>
      <c r="D71" s="1029"/>
      <c r="E71" s="1030"/>
      <c r="F71" s="293"/>
      <c r="G71" s="293">
        <v>374.76</v>
      </c>
      <c r="H71" s="293"/>
      <c r="I71" s="293"/>
      <c r="J71" s="307"/>
      <c r="K71" s="380">
        <f>G71+H71-J71</f>
        <v>374.76</v>
      </c>
      <c r="L71" s="293">
        <f>K71</f>
        <v>374.76</v>
      </c>
      <c r="M71" s="293">
        <v>0</v>
      </c>
      <c r="N71" s="29"/>
    </row>
    <row r="72" spans="1:669" x14ac:dyDescent="0.2">
      <c r="A72" s="286" t="s">
        <v>20</v>
      </c>
      <c r="B72" s="1028" t="s">
        <v>7</v>
      </c>
      <c r="C72" s="1029"/>
      <c r="D72" s="1029"/>
      <c r="E72" s="1030"/>
      <c r="F72" s="293"/>
      <c r="G72" s="293">
        <v>14792.17</v>
      </c>
      <c r="H72" s="293">
        <v>33.81</v>
      </c>
      <c r="I72" s="293">
        <v>0</v>
      </c>
      <c r="J72" s="307">
        <v>4707.4399999999996</v>
      </c>
      <c r="K72" s="380">
        <f>G72+H72-J72</f>
        <v>10118.540000000001</v>
      </c>
      <c r="L72" s="293">
        <f>K72</f>
        <v>10118.540000000001</v>
      </c>
      <c r="M72" s="293">
        <v>0</v>
      </c>
      <c r="N72" s="29"/>
    </row>
    <row r="73" spans="1:669" x14ac:dyDescent="0.2">
      <c r="A73" s="286" t="s">
        <v>20</v>
      </c>
      <c r="B73" s="1028" t="s">
        <v>8</v>
      </c>
      <c r="C73" s="1029"/>
      <c r="D73" s="1029"/>
      <c r="E73" s="1030"/>
      <c r="F73" s="293"/>
      <c r="G73" s="293">
        <v>9827.7800000000007</v>
      </c>
      <c r="H73" s="293"/>
      <c r="I73" s="293"/>
      <c r="J73" s="307">
        <v>426.58</v>
      </c>
      <c r="K73" s="380">
        <f>G73+H73-J73</f>
        <v>9401.2000000000007</v>
      </c>
      <c r="L73" s="293">
        <f>K73</f>
        <v>9401.2000000000007</v>
      </c>
      <c r="M73" s="293">
        <v>0</v>
      </c>
      <c r="N73" s="29"/>
    </row>
    <row r="74" spans="1:669" s="25" customFormat="1" ht="15" x14ac:dyDescent="0.25">
      <c r="A74" s="286" t="s">
        <v>376</v>
      </c>
      <c r="B74" s="1028" t="s">
        <v>658</v>
      </c>
      <c r="C74" s="1029"/>
      <c r="D74" s="1029"/>
      <c r="E74" s="1030"/>
      <c r="F74" s="293">
        <v>50000</v>
      </c>
      <c r="G74" s="293">
        <v>0</v>
      </c>
      <c r="H74" s="293"/>
      <c r="I74" s="293">
        <f>'June''23 AR Aging '!G67</f>
        <v>50000</v>
      </c>
      <c r="J74" s="293">
        <f>7142.85*1</f>
        <v>7142.85</v>
      </c>
      <c r="K74" s="380">
        <f>I74+H74-J74</f>
        <v>42857.15</v>
      </c>
      <c r="L74" s="293">
        <f>K74</f>
        <v>42857.15</v>
      </c>
      <c r="M74" s="293"/>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row>
    <row r="75" spans="1:669" s="25" customFormat="1" hidden="1" x14ac:dyDescent="0.2">
      <c r="A75" s="286" t="s">
        <v>20</v>
      </c>
      <c r="B75" s="775" t="s">
        <v>75</v>
      </c>
      <c r="C75" s="776"/>
      <c r="D75" s="776"/>
      <c r="E75" s="777"/>
      <c r="F75" s="293"/>
      <c r="G75" s="293"/>
      <c r="H75" s="293"/>
      <c r="I75" s="293"/>
      <c r="J75" s="293"/>
      <c r="K75" s="293"/>
      <c r="L75" s="293"/>
      <c r="M75" s="293"/>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row>
    <row r="76" spans="1:669" s="18" customFormat="1" ht="15" customHeight="1" thickBot="1" x14ac:dyDescent="0.25">
      <c r="A76" s="287"/>
      <c r="B76" s="1028"/>
      <c r="C76" s="1029"/>
      <c r="D76" s="1029"/>
      <c r="E76" s="1030"/>
      <c r="F76" s="294"/>
      <c r="G76" s="294">
        <v>0</v>
      </c>
      <c r="H76" s="294"/>
      <c r="I76" s="303"/>
      <c r="J76" s="294"/>
      <c r="K76" s="294"/>
      <c r="L76" s="294"/>
      <c r="M76" s="294">
        <v>0</v>
      </c>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row>
    <row r="77" spans="1:669" s="252" customFormat="1" ht="15.75" thickBot="1" x14ac:dyDescent="0.3">
      <c r="A77" s="315" t="s">
        <v>34</v>
      </c>
      <c r="B77" s="316"/>
      <c r="C77" s="316"/>
      <c r="D77" s="316"/>
      <c r="E77" s="317"/>
      <c r="F77" s="373">
        <f t="shared" ref="F77:M77" si="3">SUM(F63:F76)</f>
        <v>123000</v>
      </c>
      <c r="G77" s="374">
        <f t="shared" si="3"/>
        <v>24994.71</v>
      </c>
      <c r="H77" s="374">
        <f t="shared" si="3"/>
        <v>86120.88</v>
      </c>
      <c r="I77" s="374">
        <f t="shared" si="3"/>
        <v>50000</v>
      </c>
      <c r="J77" s="374">
        <f t="shared" si="3"/>
        <v>75703.94</v>
      </c>
      <c r="K77" s="375">
        <f t="shared" si="3"/>
        <v>99251.65</v>
      </c>
      <c r="L77" s="376">
        <f t="shared" si="3"/>
        <v>99251.65</v>
      </c>
      <c r="M77" s="375">
        <f t="shared" si="3"/>
        <v>0</v>
      </c>
      <c r="N77" s="250"/>
      <c r="O77" s="250"/>
      <c r="P77" s="250"/>
      <c r="Q77" s="250"/>
      <c r="R77" s="250"/>
      <c r="S77" s="250"/>
      <c r="T77" s="250"/>
      <c r="U77" s="251"/>
      <c r="V77" s="250"/>
      <c r="W77" s="250"/>
      <c r="X77" s="250"/>
      <c r="Y77" s="250"/>
      <c r="Z77" s="250"/>
      <c r="AA77" s="250"/>
      <c r="AB77" s="250"/>
      <c r="AC77" s="250"/>
      <c r="AD77" s="250"/>
      <c r="AE77" s="250"/>
      <c r="AF77" s="250"/>
      <c r="AG77" s="250"/>
      <c r="AH77" s="250"/>
      <c r="AI77" s="250"/>
      <c r="AJ77" s="250"/>
      <c r="AK77" s="250"/>
      <c r="AL77" s="250"/>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251"/>
      <c r="MV77" s="251"/>
      <c r="MW77" s="251"/>
      <c r="MX77" s="251"/>
      <c r="MY77" s="251"/>
      <c r="MZ77" s="251"/>
      <c r="NA77" s="251"/>
      <c r="NB77" s="251"/>
      <c r="NC77" s="251"/>
      <c r="ND77" s="251"/>
      <c r="NE77" s="251"/>
      <c r="NF77" s="251"/>
      <c r="NG77" s="251"/>
      <c r="NH77" s="251"/>
      <c r="NI77" s="251"/>
      <c r="NJ77" s="251"/>
      <c r="NK77" s="251"/>
      <c r="NL77" s="251"/>
      <c r="NM77" s="251"/>
      <c r="NN77" s="251"/>
      <c r="NO77" s="251"/>
      <c r="NP77" s="251"/>
      <c r="NQ77" s="251"/>
      <c r="NR77" s="251"/>
      <c r="NS77" s="251"/>
      <c r="NT77" s="251"/>
      <c r="NU77" s="251"/>
      <c r="NV77" s="251"/>
      <c r="NW77" s="251"/>
      <c r="NX77" s="251"/>
      <c r="NY77" s="251"/>
      <c r="NZ77" s="251"/>
      <c r="OA77" s="251"/>
      <c r="OB77" s="251"/>
      <c r="OC77" s="251"/>
      <c r="OD77" s="251"/>
      <c r="OE77" s="251"/>
      <c r="OF77" s="251"/>
      <c r="OG77" s="251"/>
      <c r="OH77" s="251"/>
      <c r="OI77" s="251"/>
      <c r="OJ77" s="251"/>
      <c r="OK77" s="251"/>
      <c r="OL77" s="251"/>
      <c r="OM77" s="251"/>
      <c r="ON77" s="251"/>
      <c r="OO77" s="251"/>
      <c r="OP77" s="251"/>
      <c r="OQ77" s="251"/>
      <c r="OR77" s="251"/>
      <c r="OS77" s="251"/>
      <c r="OT77" s="251"/>
      <c r="OU77" s="251"/>
      <c r="OV77" s="251"/>
      <c r="OW77" s="251"/>
      <c r="OX77" s="251"/>
      <c r="OY77" s="251"/>
      <c r="OZ77" s="251"/>
      <c r="PA77" s="251"/>
      <c r="PB77" s="251"/>
      <c r="PC77" s="251"/>
      <c r="PD77" s="251"/>
      <c r="PE77" s="251"/>
      <c r="PF77" s="251"/>
      <c r="PG77" s="251"/>
      <c r="PH77" s="251"/>
      <c r="PI77" s="251"/>
      <c r="PJ77" s="251"/>
      <c r="PK77" s="251"/>
      <c r="PL77" s="251"/>
      <c r="PM77" s="251"/>
      <c r="PN77" s="251"/>
      <c r="PO77" s="251"/>
      <c r="PP77" s="251"/>
      <c r="PQ77" s="251"/>
      <c r="PR77" s="251"/>
      <c r="PS77" s="251"/>
      <c r="PT77" s="251"/>
      <c r="PU77" s="251"/>
      <c r="PV77" s="251"/>
      <c r="PW77" s="251"/>
      <c r="PX77" s="251"/>
      <c r="PY77" s="251"/>
      <c r="PZ77" s="251"/>
      <c r="QA77" s="251"/>
      <c r="QB77" s="251"/>
      <c r="QC77" s="251"/>
      <c r="QD77" s="251"/>
      <c r="QE77" s="251"/>
      <c r="QF77" s="251"/>
      <c r="QG77" s="251"/>
      <c r="QH77" s="251"/>
      <c r="QI77" s="251"/>
      <c r="QJ77" s="251"/>
      <c r="QK77" s="251"/>
      <c r="QL77" s="251"/>
      <c r="QM77" s="251"/>
      <c r="QN77" s="251"/>
      <c r="QO77" s="251"/>
      <c r="QP77" s="251"/>
      <c r="QQ77" s="251"/>
      <c r="QR77" s="251"/>
      <c r="QS77" s="251"/>
      <c r="QT77" s="251"/>
      <c r="QU77" s="251"/>
      <c r="QV77" s="251"/>
      <c r="QW77" s="251"/>
      <c r="QX77" s="251"/>
      <c r="QY77" s="251"/>
      <c r="QZ77" s="251"/>
      <c r="RA77" s="251"/>
      <c r="RB77" s="251"/>
      <c r="RC77" s="251"/>
      <c r="RD77" s="251"/>
      <c r="RE77" s="251"/>
      <c r="RF77" s="251"/>
      <c r="RG77" s="251"/>
      <c r="RH77" s="251"/>
      <c r="RI77" s="251"/>
      <c r="RJ77" s="251"/>
      <c r="RK77" s="251"/>
      <c r="RL77" s="251"/>
      <c r="RM77" s="251"/>
      <c r="RN77" s="251"/>
      <c r="RO77" s="251"/>
      <c r="RP77" s="251"/>
      <c r="RQ77" s="251"/>
      <c r="RR77" s="251"/>
      <c r="RS77" s="251"/>
      <c r="RT77" s="251"/>
      <c r="RU77" s="251"/>
      <c r="RV77" s="251"/>
      <c r="RW77" s="251"/>
      <c r="RX77" s="251"/>
      <c r="RY77" s="251"/>
      <c r="RZ77" s="251"/>
      <c r="SA77" s="251"/>
      <c r="SB77" s="251"/>
      <c r="SC77" s="251"/>
      <c r="SD77" s="251"/>
      <c r="SE77" s="251"/>
      <c r="SF77" s="251"/>
      <c r="SG77" s="251"/>
      <c r="SH77" s="251"/>
      <c r="SI77" s="251"/>
      <c r="SJ77" s="251"/>
      <c r="SK77" s="251"/>
      <c r="SL77" s="251"/>
      <c r="SM77" s="251"/>
      <c r="SN77" s="251"/>
      <c r="SO77" s="251"/>
      <c r="SP77" s="251"/>
      <c r="SQ77" s="251"/>
      <c r="SR77" s="251"/>
      <c r="SS77" s="251"/>
      <c r="ST77" s="251"/>
      <c r="SU77" s="251"/>
      <c r="SV77" s="251"/>
      <c r="SW77" s="251"/>
      <c r="SX77" s="251"/>
      <c r="SY77" s="251"/>
      <c r="SZ77" s="251"/>
      <c r="TA77" s="251"/>
      <c r="TB77" s="251"/>
      <c r="TC77" s="251"/>
      <c r="TD77" s="251"/>
      <c r="TE77" s="251"/>
      <c r="TF77" s="251"/>
      <c r="TG77" s="251"/>
      <c r="TH77" s="251"/>
      <c r="TI77" s="251"/>
      <c r="TJ77" s="251"/>
      <c r="TK77" s="251"/>
      <c r="TL77" s="251"/>
      <c r="TM77" s="251"/>
      <c r="TN77" s="251"/>
      <c r="TO77" s="251"/>
      <c r="TP77" s="251"/>
      <c r="TQ77" s="251"/>
      <c r="TR77" s="251"/>
      <c r="TS77" s="251"/>
      <c r="TT77" s="251"/>
      <c r="TU77" s="251"/>
      <c r="TV77" s="251"/>
      <c r="TW77" s="251"/>
      <c r="TX77" s="251"/>
      <c r="TY77" s="251"/>
      <c r="TZ77" s="251"/>
      <c r="UA77" s="251"/>
      <c r="UB77" s="251"/>
      <c r="UC77" s="251"/>
      <c r="UD77" s="251"/>
      <c r="UE77" s="251"/>
      <c r="UF77" s="251"/>
      <c r="UG77" s="251"/>
      <c r="UH77" s="251"/>
      <c r="UI77" s="251"/>
      <c r="UJ77" s="251"/>
      <c r="UK77" s="251"/>
      <c r="UL77" s="251"/>
      <c r="UM77" s="251"/>
      <c r="UN77" s="251"/>
      <c r="UO77" s="251"/>
      <c r="UP77" s="251"/>
      <c r="UQ77" s="251"/>
      <c r="UR77" s="251"/>
      <c r="US77" s="251"/>
      <c r="UT77" s="251"/>
      <c r="UU77" s="251"/>
      <c r="UV77" s="251"/>
      <c r="UW77" s="251"/>
      <c r="UX77" s="251"/>
      <c r="UY77" s="251"/>
      <c r="UZ77" s="251"/>
      <c r="VA77" s="251"/>
      <c r="VB77" s="251"/>
      <c r="VC77" s="251"/>
      <c r="VD77" s="251"/>
      <c r="VE77" s="251"/>
      <c r="VF77" s="251"/>
      <c r="VG77" s="251"/>
      <c r="VH77" s="251"/>
      <c r="VI77" s="251"/>
      <c r="VJ77" s="251"/>
      <c r="VK77" s="251"/>
      <c r="VL77" s="251"/>
      <c r="VM77" s="251"/>
      <c r="VN77" s="251"/>
      <c r="VO77" s="251"/>
      <c r="VP77" s="251"/>
      <c r="VQ77" s="251"/>
      <c r="VR77" s="251"/>
      <c r="VS77" s="251"/>
      <c r="VT77" s="251"/>
      <c r="VU77" s="251"/>
      <c r="VV77" s="251"/>
      <c r="VW77" s="251"/>
      <c r="VX77" s="251"/>
      <c r="VY77" s="251"/>
      <c r="VZ77" s="251"/>
      <c r="WA77" s="251"/>
      <c r="WB77" s="251"/>
      <c r="WC77" s="251"/>
      <c r="WD77" s="251"/>
      <c r="WE77" s="251"/>
      <c r="WF77" s="251"/>
      <c r="WG77" s="251"/>
      <c r="WH77" s="251"/>
      <c r="WI77" s="251"/>
      <c r="WJ77" s="251"/>
      <c r="WK77" s="251"/>
      <c r="WL77" s="251"/>
      <c r="WM77" s="251"/>
      <c r="WN77" s="251"/>
      <c r="WO77" s="251"/>
      <c r="WP77" s="251"/>
      <c r="WQ77" s="251"/>
      <c r="WR77" s="251"/>
      <c r="WS77" s="251"/>
      <c r="WT77" s="251"/>
      <c r="WU77" s="251"/>
      <c r="WV77" s="251"/>
      <c r="WW77" s="251"/>
      <c r="WX77" s="251"/>
      <c r="WY77" s="251"/>
      <c r="WZ77" s="251"/>
      <c r="XA77" s="251"/>
      <c r="XB77" s="251"/>
      <c r="XC77" s="251"/>
      <c r="XD77" s="251"/>
      <c r="XE77" s="251"/>
      <c r="XF77" s="251"/>
      <c r="XG77" s="251"/>
      <c r="XH77" s="251"/>
      <c r="XI77" s="251"/>
      <c r="XJ77" s="251"/>
      <c r="XK77" s="251"/>
      <c r="XL77" s="251"/>
      <c r="XM77" s="251"/>
      <c r="XN77" s="251"/>
      <c r="XO77" s="251"/>
      <c r="XP77" s="251"/>
      <c r="XQ77" s="251"/>
      <c r="XR77" s="251"/>
      <c r="XS77" s="251"/>
      <c r="XT77" s="251"/>
      <c r="XU77" s="251"/>
      <c r="XV77" s="251"/>
      <c r="XW77" s="251"/>
      <c r="XX77" s="251"/>
      <c r="XY77" s="251"/>
      <c r="XZ77" s="251"/>
      <c r="YA77" s="251"/>
      <c r="YB77" s="251"/>
      <c r="YC77" s="251"/>
      <c r="YD77" s="251"/>
      <c r="YE77" s="251"/>
      <c r="YF77" s="251"/>
      <c r="YG77" s="251"/>
      <c r="YH77" s="251"/>
      <c r="YI77" s="251"/>
      <c r="YJ77" s="251"/>
      <c r="YK77" s="251"/>
      <c r="YL77" s="251"/>
      <c r="YM77" s="251"/>
      <c r="YN77" s="251"/>
      <c r="YO77" s="251"/>
      <c r="YP77" s="251"/>
      <c r="YQ77" s="251"/>
      <c r="YR77" s="251"/>
      <c r="YS77" s="251"/>
    </row>
    <row r="78" spans="1:669" ht="15" thickBot="1" x14ac:dyDescent="0.25">
      <c r="H78" s="28"/>
      <c r="L78" s="666" t="s">
        <v>343</v>
      </c>
      <c r="N78" s="29"/>
    </row>
    <row r="79" spans="1:669" s="48" customFormat="1" ht="16.5" thickBot="1" x14ac:dyDescent="0.3">
      <c r="A79" s="52"/>
      <c r="B79" s="53"/>
      <c r="C79" s="53"/>
      <c r="D79" s="53"/>
      <c r="E79" s="53"/>
      <c r="F79" s="53"/>
      <c r="G79" s="53"/>
      <c r="H79" s="53"/>
      <c r="I79" s="53"/>
      <c r="J79" s="53"/>
      <c r="K79" s="53"/>
      <c r="L79" s="485">
        <f>L77+J59</f>
        <v>125150.34999999999</v>
      </c>
      <c r="M79" s="660"/>
      <c r="N79" s="29"/>
      <c r="O79" s="29"/>
      <c r="P79" s="29"/>
      <c r="Q79" s="29"/>
      <c r="R79" s="29"/>
      <c r="S79" s="29"/>
      <c r="T79" s="29"/>
      <c r="U79" s="29"/>
      <c r="V79" s="29"/>
      <c r="W79" s="29"/>
      <c r="X79" s="29"/>
      <c r="Y79" s="29"/>
      <c r="Z79" s="29"/>
      <c r="AA79" s="29"/>
      <c r="AB79" s="11"/>
      <c r="AC79" s="11"/>
      <c r="AD79" s="11"/>
      <c r="AE79" s="11"/>
      <c r="AF79" s="11"/>
      <c r="AG79" s="11"/>
      <c r="AH79" s="11"/>
      <c r="AI79" s="11"/>
      <c r="AJ79" s="11"/>
      <c r="AK79" s="11"/>
      <c r="AL79" s="1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row>
    <row r="80" spans="1:669" s="51" customFormat="1" ht="31.5" hidden="1" x14ac:dyDescent="0.25">
      <c r="A80" s="54"/>
      <c r="B80" s="50"/>
      <c r="C80" s="50"/>
      <c r="D80" s="50"/>
      <c r="E80" s="50"/>
      <c r="F80" s="50"/>
      <c r="G80" s="149" t="s">
        <v>170</v>
      </c>
      <c r="H80" s="150" t="s">
        <v>162</v>
      </c>
      <c r="I80" s="150" t="s">
        <v>97</v>
      </c>
      <c r="J80" s="150" t="s">
        <v>53</v>
      </c>
      <c r="K80" s="151" t="s">
        <v>41</v>
      </c>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c r="HL80" s="49"/>
      <c r="HM80" s="49"/>
      <c r="HN80" s="49"/>
      <c r="HO80" s="49"/>
      <c r="HP80" s="49"/>
      <c r="HQ80" s="49"/>
      <c r="HR80" s="49"/>
      <c r="HS80" s="49"/>
      <c r="HT80" s="49"/>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c r="IW80" s="49"/>
      <c r="IX80" s="49"/>
      <c r="IY80" s="49"/>
      <c r="IZ80" s="49"/>
      <c r="JA80" s="49"/>
      <c r="JB80" s="49"/>
      <c r="JC80" s="49"/>
      <c r="JD80" s="49"/>
      <c r="JE80" s="49"/>
      <c r="JF80" s="49"/>
      <c r="JG80" s="49"/>
      <c r="JH80" s="49"/>
      <c r="JI80" s="49"/>
      <c r="JJ80" s="49"/>
      <c r="JK80" s="49"/>
      <c r="JL80" s="49"/>
      <c r="JM80" s="49"/>
      <c r="JN80" s="49"/>
      <c r="JO80" s="49"/>
      <c r="JP80" s="49"/>
      <c r="JQ80" s="49"/>
      <c r="JR80" s="49"/>
      <c r="JS80" s="49"/>
      <c r="JT80" s="49"/>
      <c r="JU80" s="49"/>
      <c r="JV80" s="49"/>
      <c r="JW80" s="49"/>
      <c r="JX80" s="49"/>
      <c r="JY80" s="49"/>
      <c r="JZ80" s="49"/>
      <c r="KA80" s="49"/>
      <c r="KB80" s="49"/>
      <c r="KC80" s="49"/>
      <c r="KD80" s="49"/>
      <c r="KE80" s="49"/>
      <c r="KF80" s="49"/>
      <c r="KG80" s="49"/>
      <c r="KH80" s="49"/>
      <c r="KI80" s="49"/>
      <c r="KJ80" s="49"/>
      <c r="KK80" s="49"/>
      <c r="KL80" s="49"/>
      <c r="KM80" s="49"/>
      <c r="KN80" s="49"/>
      <c r="KO80" s="49"/>
      <c r="KP80" s="49"/>
      <c r="KQ80" s="49"/>
      <c r="KR80" s="49"/>
      <c r="KS80" s="49"/>
      <c r="KT80" s="49"/>
      <c r="KU80" s="49"/>
      <c r="KV80" s="49"/>
      <c r="KW80" s="49"/>
      <c r="KX80" s="49"/>
      <c r="KY80" s="49"/>
      <c r="KZ80" s="49"/>
      <c r="LA80" s="49"/>
      <c r="LB80" s="49"/>
      <c r="LC80" s="49"/>
      <c r="LD80" s="49"/>
      <c r="LE80" s="49"/>
      <c r="LF80" s="49"/>
      <c r="LG80" s="49"/>
      <c r="LH80" s="49"/>
      <c r="LI80" s="49"/>
      <c r="LJ80" s="49"/>
      <c r="LK80" s="49"/>
      <c r="LL80" s="49"/>
      <c r="LM80" s="49"/>
      <c r="LN80" s="49"/>
      <c r="LO80" s="49"/>
      <c r="LP80" s="49"/>
      <c r="LQ80" s="49"/>
      <c r="LR80" s="49"/>
      <c r="LS80" s="49"/>
      <c r="LT80" s="49"/>
      <c r="LU80" s="49"/>
      <c r="LV80" s="49"/>
      <c r="LW80" s="49"/>
      <c r="LX80" s="49"/>
      <c r="LY80" s="49"/>
      <c r="LZ80" s="49"/>
      <c r="MA80" s="49"/>
      <c r="MB80" s="49"/>
      <c r="MC80" s="49"/>
      <c r="MD80" s="49"/>
      <c r="ME80" s="49"/>
      <c r="MF80" s="49"/>
      <c r="MG80" s="49"/>
      <c r="MH80" s="49"/>
      <c r="MI80" s="49"/>
      <c r="MJ80" s="49"/>
      <c r="MK80" s="49"/>
      <c r="ML80" s="49"/>
      <c r="MM80" s="49"/>
      <c r="MN80" s="49"/>
      <c r="MO80" s="49"/>
      <c r="MP80" s="49"/>
      <c r="MQ80" s="49"/>
      <c r="MR80" s="49"/>
      <c r="MS80" s="49"/>
      <c r="MT80" s="49"/>
      <c r="MU80" s="49"/>
      <c r="MV80" s="49"/>
      <c r="MW80" s="49"/>
      <c r="MX80" s="49"/>
      <c r="MY80" s="49"/>
      <c r="MZ80" s="49"/>
      <c r="NA80" s="49"/>
      <c r="NB80" s="49"/>
      <c r="NC80" s="49"/>
      <c r="ND80" s="49"/>
      <c r="NE80" s="49"/>
      <c r="NF80" s="49"/>
      <c r="NG80" s="49"/>
      <c r="NH80" s="49"/>
      <c r="NI80" s="49"/>
      <c r="NJ80" s="49"/>
      <c r="NK80" s="49"/>
      <c r="NL80" s="49"/>
      <c r="NM80" s="49"/>
      <c r="NN80" s="49"/>
      <c r="NO80" s="49"/>
      <c r="NP80" s="49"/>
      <c r="NQ80" s="49"/>
      <c r="NR80" s="49"/>
      <c r="NS80" s="49"/>
      <c r="NT80" s="49"/>
      <c r="NU80" s="49"/>
      <c r="NV80" s="49"/>
      <c r="NW80" s="49"/>
      <c r="NX80" s="49"/>
      <c r="NY80" s="49"/>
      <c r="NZ80" s="49"/>
      <c r="OA80" s="49"/>
      <c r="OB80" s="49"/>
      <c r="OC80" s="49"/>
      <c r="OD80" s="49"/>
      <c r="OE80" s="49"/>
      <c r="OF80" s="49"/>
      <c r="OG80" s="49"/>
      <c r="OH80" s="49"/>
      <c r="OI80" s="49"/>
      <c r="OJ80" s="49"/>
      <c r="OK80" s="49"/>
      <c r="OL80" s="49"/>
      <c r="OM80" s="49"/>
      <c r="ON80" s="49"/>
      <c r="OO80" s="49"/>
      <c r="OP80" s="49"/>
      <c r="OQ80" s="49"/>
      <c r="OR80" s="49"/>
      <c r="OS80" s="49"/>
      <c r="OT80" s="49"/>
      <c r="OU80" s="49"/>
      <c r="OV80" s="49"/>
      <c r="OW80" s="49"/>
      <c r="OX80" s="49"/>
      <c r="OY80" s="49"/>
      <c r="OZ80" s="49"/>
      <c r="PA80" s="49"/>
      <c r="PB80" s="49"/>
      <c r="PC80" s="49"/>
      <c r="PD80" s="49"/>
      <c r="PE80" s="49"/>
      <c r="PF80" s="49"/>
      <c r="PG80" s="49"/>
      <c r="PH80" s="49"/>
      <c r="PI80" s="49"/>
      <c r="PJ80" s="49"/>
      <c r="PK80" s="49"/>
      <c r="PL80" s="49"/>
      <c r="PM80" s="49"/>
      <c r="PN80" s="49"/>
      <c r="PO80" s="49"/>
      <c r="PP80" s="49"/>
      <c r="PQ80" s="49"/>
      <c r="PR80" s="49"/>
      <c r="PS80" s="49"/>
      <c r="PT80" s="49"/>
      <c r="PU80" s="49"/>
      <c r="PV80" s="49"/>
      <c r="PW80" s="49"/>
      <c r="PX80" s="49"/>
      <c r="PY80" s="49"/>
      <c r="PZ80" s="49"/>
      <c r="QA80" s="49"/>
      <c r="QB80" s="49"/>
      <c r="QC80" s="49"/>
      <c r="QD80" s="49"/>
      <c r="QE80" s="49"/>
      <c r="QF80" s="49"/>
      <c r="QG80" s="49"/>
      <c r="QH80" s="49"/>
      <c r="QI80" s="49"/>
      <c r="QJ80" s="49"/>
      <c r="QK80" s="49"/>
      <c r="QL80" s="49"/>
      <c r="QM80" s="49"/>
      <c r="QN80" s="49"/>
      <c r="QO80" s="49"/>
      <c r="QP80" s="49"/>
      <c r="QQ80" s="49"/>
      <c r="QR80" s="49"/>
      <c r="QS80" s="49"/>
      <c r="QT80" s="49"/>
      <c r="QU80" s="49"/>
      <c r="QV80" s="49"/>
      <c r="QW80" s="49"/>
      <c r="QX80" s="49"/>
      <c r="QY80" s="49"/>
      <c r="QZ80" s="49"/>
      <c r="RA80" s="49"/>
      <c r="RB80" s="49"/>
      <c r="RC80" s="49"/>
      <c r="RD80" s="49"/>
      <c r="RE80" s="49"/>
      <c r="RF80" s="49"/>
      <c r="RG80" s="49"/>
      <c r="RH80" s="49"/>
      <c r="RI80" s="49"/>
      <c r="RJ80" s="49"/>
      <c r="RK80" s="49"/>
      <c r="RL80" s="49"/>
      <c r="RM80" s="49"/>
      <c r="RN80" s="49"/>
      <c r="RO80" s="49"/>
      <c r="RP80" s="49"/>
      <c r="RQ80" s="49"/>
      <c r="RR80" s="49"/>
      <c r="RS80" s="49"/>
      <c r="RT80" s="49"/>
      <c r="RU80" s="49"/>
      <c r="RV80" s="49"/>
      <c r="RW80" s="49"/>
      <c r="RX80" s="49"/>
      <c r="RY80" s="49"/>
      <c r="RZ80" s="49"/>
      <c r="SA80" s="49"/>
      <c r="SB80" s="49"/>
      <c r="SC80" s="49"/>
      <c r="SD80" s="49"/>
      <c r="SE80" s="49"/>
      <c r="SF80" s="49"/>
      <c r="SG80" s="49"/>
      <c r="SH80" s="49"/>
      <c r="SI80" s="49"/>
      <c r="SJ80" s="49"/>
      <c r="SK80" s="49"/>
      <c r="SL80" s="49"/>
      <c r="SM80" s="49"/>
      <c r="SN80" s="49"/>
      <c r="SO80" s="49"/>
      <c r="SP80" s="49"/>
      <c r="SQ80" s="49"/>
      <c r="SR80" s="49"/>
      <c r="SS80" s="49"/>
      <c r="ST80" s="49"/>
      <c r="SU80" s="49"/>
      <c r="SV80" s="49"/>
      <c r="SW80" s="49"/>
      <c r="SX80" s="49"/>
      <c r="SY80" s="49"/>
      <c r="SZ80" s="49"/>
      <c r="TA80" s="49"/>
      <c r="TB80" s="49"/>
      <c r="TC80" s="49"/>
      <c r="TD80" s="49"/>
      <c r="TE80" s="49"/>
      <c r="TF80" s="49"/>
      <c r="TG80" s="49"/>
      <c r="TH80" s="49"/>
      <c r="TI80" s="49"/>
      <c r="TJ80" s="49"/>
      <c r="TK80" s="49"/>
      <c r="TL80" s="49"/>
      <c r="TM80" s="49"/>
      <c r="TN80" s="49"/>
      <c r="TO80" s="49"/>
      <c r="TP80" s="49"/>
      <c r="TQ80" s="49"/>
      <c r="TR80" s="49"/>
      <c r="TS80" s="49"/>
      <c r="TT80" s="49"/>
      <c r="TU80" s="49"/>
      <c r="TV80" s="49"/>
      <c r="TW80" s="49"/>
      <c r="TX80" s="49"/>
      <c r="TY80" s="49"/>
      <c r="TZ80" s="49"/>
      <c r="UA80" s="49"/>
      <c r="UB80" s="49"/>
      <c r="UC80" s="49"/>
      <c r="UD80" s="49"/>
      <c r="UE80" s="49"/>
      <c r="UF80" s="49"/>
      <c r="UG80" s="49"/>
      <c r="UH80" s="49"/>
      <c r="UI80" s="49"/>
      <c r="UJ80" s="49"/>
      <c r="UK80" s="49"/>
      <c r="UL80" s="49"/>
      <c r="UM80" s="49"/>
      <c r="UN80" s="49"/>
      <c r="UO80" s="49"/>
      <c r="UP80" s="49"/>
      <c r="UQ80" s="49"/>
      <c r="UR80" s="49"/>
      <c r="US80" s="49"/>
      <c r="UT80" s="49"/>
      <c r="UU80" s="49"/>
      <c r="UV80" s="49"/>
      <c r="UW80" s="49"/>
      <c r="UX80" s="49"/>
      <c r="UY80" s="49"/>
      <c r="UZ80" s="49"/>
      <c r="VA80" s="49"/>
      <c r="VB80" s="49"/>
      <c r="VC80" s="49"/>
      <c r="VD80" s="49"/>
      <c r="VE80" s="49"/>
      <c r="VF80" s="49"/>
      <c r="VG80" s="49"/>
      <c r="VH80" s="49"/>
      <c r="VI80" s="49"/>
      <c r="VJ80" s="49"/>
      <c r="VK80" s="49"/>
      <c r="VL80" s="49"/>
      <c r="VM80" s="49"/>
      <c r="VN80" s="49"/>
      <c r="VO80" s="49"/>
      <c r="VP80" s="49"/>
      <c r="VQ80" s="49"/>
      <c r="VR80" s="49"/>
      <c r="VS80" s="49"/>
      <c r="VT80" s="49"/>
      <c r="VU80" s="49"/>
      <c r="VV80" s="49"/>
      <c r="VW80" s="49"/>
      <c r="VX80" s="49"/>
      <c r="VY80" s="49"/>
      <c r="VZ80" s="49"/>
      <c r="WA80" s="49"/>
      <c r="WB80" s="49"/>
      <c r="WC80" s="49"/>
      <c r="WD80" s="49"/>
      <c r="WE80" s="49"/>
      <c r="WF80" s="49"/>
      <c r="WG80" s="49"/>
      <c r="WH80" s="49"/>
      <c r="WI80" s="49"/>
      <c r="WJ80" s="49"/>
      <c r="WK80" s="49"/>
      <c r="WL80" s="49"/>
      <c r="WM80" s="49"/>
      <c r="WN80" s="49"/>
      <c r="WO80" s="49"/>
      <c r="WP80" s="49"/>
      <c r="WQ80" s="49"/>
      <c r="WR80" s="49"/>
      <c r="WS80" s="49"/>
      <c r="WT80" s="49"/>
      <c r="WU80" s="49"/>
      <c r="WV80" s="49"/>
      <c r="WW80" s="49"/>
      <c r="WX80" s="49"/>
      <c r="WY80" s="49"/>
      <c r="WZ80" s="49"/>
      <c r="XA80" s="49"/>
      <c r="XB80" s="49"/>
      <c r="XC80" s="49"/>
      <c r="XD80" s="49"/>
      <c r="XE80" s="49"/>
      <c r="XF80" s="49"/>
      <c r="XG80" s="49"/>
      <c r="XH80" s="49"/>
      <c r="XI80" s="49"/>
      <c r="XJ80" s="49"/>
      <c r="XK80" s="49"/>
      <c r="XL80" s="49"/>
      <c r="XM80" s="49"/>
      <c r="XN80" s="49"/>
      <c r="XO80" s="49"/>
      <c r="XP80" s="49"/>
      <c r="XQ80" s="49"/>
      <c r="XR80" s="49"/>
      <c r="XS80" s="49"/>
      <c r="XT80" s="49"/>
      <c r="XU80" s="49"/>
      <c r="XV80" s="49"/>
      <c r="XW80" s="49"/>
      <c r="XX80" s="49"/>
      <c r="XY80" s="49"/>
      <c r="XZ80" s="49"/>
      <c r="YA80" s="49"/>
      <c r="YB80" s="49"/>
      <c r="YC80" s="49"/>
      <c r="YD80" s="49"/>
      <c r="YE80" s="49"/>
      <c r="YF80" s="49"/>
      <c r="YG80" s="49"/>
      <c r="YH80" s="49"/>
      <c r="YI80" s="49"/>
      <c r="YJ80" s="49"/>
      <c r="YK80" s="49"/>
      <c r="YL80" s="49"/>
      <c r="YM80" s="49"/>
      <c r="YN80" s="49"/>
      <c r="YO80" s="49"/>
      <c r="YP80" s="49"/>
      <c r="YQ80" s="49"/>
      <c r="YR80" s="49"/>
      <c r="YS80" s="49"/>
    </row>
    <row r="81" spans="1:669" s="43" customFormat="1" ht="20.25" hidden="1" customHeight="1" x14ac:dyDescent="0.2">
      <c r="A81" s="333" t="s">
        <v>70</v>
      </c>
      <c r="B81" s="1041" t="s">
        <v>40</v>
      </c>
      <c r="C81" s="1041"/>
      <c r="D81" s="1041"/>
      <c r="E81" s="1041"/>
      <c r="F81" s="334"/>
      <c r="G81" s="334" t="e">
        <f>104647.76-#REF!-1250-1250</f>
        <v>#REF!</v>
      </c>
      <c r="H81" s="334">
        <f>90450.47-J81-H84</f>
        <v>66697.39</v>
      </c>
      <c r="I81" s="334">
        <f>H70</f>
        <v>13087.07</v>
      </c>
      <c r="J81" s="334">
        <f>'June''23 AR Aging '!G43</f>
        <v>23753.08</v>
      </c>
      <c r="K81" s="335" t="e">
        <f>+I81+J81+H81-G81</f>
        <v>#REF!</v>
      </c>
      <c r="L81" s="46"/>
      <c r="M81" s="46"/>
      <c r="N81" s="29"/>
      <c r="O81" s="29"/>
      <c r="P81" s="29"/>
      <c r="Q81" s="29"/>
      <c r="R81" s="29"/>
      <c r="S81" s="29"/>
      <c r="T81" s="29"/>
      <c r="U81" s="1"/>
      <c r="V81" s="29"/>
      <c r="W81" s="29"/>
      <c r="X81" s="29"/>
      <c r="Y81" s="29"/>
      <c r="Z81" s="29"/>
      <c r="AA81" s="29"/>
      <c r="AB81" s="11"/>
      <c r="AC81" s="11"/>
      <c r="AD81" s="11"/>
      <c r="AE81" s="11"/>
      <c r="AF81" s="11"/>
      <c r="AG81" s="11"/>
      <c r="AH81" s="11"/>
      <c r="AI81" s="11"/>
      <c r="AJ81" s="11"/>
      <c r="AK81" s="11"/>
      <c r="AL81" s="1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row>
    <row r="82" spans="1:669" s="25" customFormat="1" hidden="1" x14ac:dyDescent="0.2">
      <c r="A82" s="336" t="s">
        <v>32</v>
      </c>
      <c r="B82" s="1040" t="s">
        <v>29</v>
      </c>
      <c r="C82" s="1040"/>
      <c r="D82" s="1040"/>
      <c r="E82" s="1040"/>
      <c r="F82" s="331"/>
      <c r="G82" s="331"/>
      <c r="H82" s="331">
        <v>0</v>
      </c>
      <c r="I82" s="332"/>
      <c r="J82" s="331">
        <v>0</v>
      </c>
      <c r="K82" s="337"/>
      <c r="L82" s="308"/>
      <c r="M82" s="308">
        <v>0</v>
      </c>
      <c r="N82" s="29"/>
      <c r="O82" s="29"/>
      <c r="P82" s="29"/>
      <c r="Q82" s="29"/>
      <c r="R82" s="29"/>
      <c r="S82" s="29"/>
      <c r="T82" s="29"/>
      <c r="U82" s="1"/>
      <c r="V82" s="29"/>
      <c r="W82" s="29"/>
      <c r="X82" s="29"/>
      <c r="Y82" s="29"/>
      <c r="Z82" s="29"/>
      <c r="AA82" s="29"/>
      <c r="AB82" s="11"/>
      <c r="AC82" s="11"/>
      <c r="AD82" s="11"/>
      <c r="AE82" s="11"/>
      <c r="AF82" s="11"/>
      <c r="AG82" s="11"/>
      <c r="AH82" s="11"/>
      <c r="AI82" s="11"/>
      <c r="AJ82" s="11"/>
      <c r="AK82" s="11"/>
      <c r="AL82" s="1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row>
    <row r="83" spans="1:669" s="18" customFormat="1" hidden="1" x14ac:dyDescent="0.2">
      <c r="A83" s="336" t="s">
        <v>20</v>
      </c>
      <c r="B83" s="1042" t="s">
        <v>147</v>
      </c>
      <c r="C83" s="1043"/>
      <c r="D83" s="1043"/>
      <c r="E83" s="1044"/>
      <c r="F83" s="331"/>
      <c r="G83" s="331"/>
      <c r="H83" s="331"/>
      <c r="I83" s="332"/>
      <c r="J83" s="331"/>
      <c r="K83" s="337"/>
      <c r="L83" s="308"/>
      <c r="M83" s="308"/>
      <c r="N83" s="29"/>
      <c r="O83" s="29"/>
      <c r="P83" s="29"/>
      <c r="Q83" s="29"/>
      <c r="R83" s="29"/>
      <c r="S83" s="29"/>
      <c r="T83" s="29"/>
      <c r="U83" s="1"/>
      <c r="V83" s="29"/>
      <c r="W83" s="29"/>
      <c r="X83" s="29"/>
      <c r="Y83" s="29"/>
      <c r="Z83" s="29"/>
      <c r="AA83" s="29"/>
      <c r="AB83" s="11"/>
      <c r="AC83" s="11"/>
      <c r="AD83" s="11"/>
      <c r="AE83" s="11"/>
      <c r="AF83" s="11"/>
      <c r="AG83" s="11"/>
      <c r="AH83" s="11"/>
      <c r="AI83" s="11"/>
      <c r="AJ83" s="11"/>
      <c r="AK83" s="11"/>
      <c r="AL83" s="1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row>
    <row r="84" spans="1:669" s="18" customFormat="1" ht="15" hidden="1" thickBot="1" x14ac:dyDescent="0.25">
      <c r="A84" s="338" t="s">
        <v>146</v>
      </c>
      <c r="B84" s="1039" t="s">
        <v>40</v>
      </c>
      <c r="C84" s="1039"/>
      <c r="D84" s="1039"/>
      <c r="E84" s="1039"/>
      <c r="F84" s="339"/>
      <c r="G84" s="339"/>
      <c r="H84" s="339">
        <v>0</v>
      </c>
      <c r="I84" s="339"/>
      <c r="J84" s="339"/>
      <c r="K84" s="340"/>
      <c r="L84" s="46"/>
      <c r="M84" s="46"/>
      <c r="N84" s="29"/>
      <c r="O84" s="29"/>
      <c r="P84" s="29"/>
      <c r="Q84" s="29"/>
      <c r="R84" s="29"/>
      <c r="S84" s="29"/>
      <c r="T84" s="29"/>
      <c r="U84" s="1"/>
      <c r="V84" s="29"/>
      <c r="W84" s="29"/>
      <c r="X84" s="29"/>
      <c r="Y84" s="29"/>
      <c r="Z84" s="29"/>
      <c r="AA84" s="29"/>
      <c r="AB84" s="11"/>
      <c r="AC84" s="11"/>
      <c r="AD84" s="11"/>
      <c r="AE84" s="11"/>
      <c r="AF84" s="11"/>
      <c r="AG84" s="11"/>
      <c r="AH84" s="11"/>
      <c r="AI84" s="11"/>
      <c r="AJ84" s="11"/>
      <c r="AK84" s="11"/>
      <c r="AL84" s="1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row>
    <row r="85" spans="1:669" hidden="1" x14ac:dyDescent="0.2">
      <c r="F85" s="228"/>
      <c r="G85" s="229"/>
      <c r="H85" s="228"/>
      <c r="I85" s="228"/>
      <c r="J85" s="228">
        <f>J81+I77+H36+J84</f>
        <v>282772.45999999996</v>
      </c>
      <c r="K85" s="228" t="s">
        <v>46</v>
      </c>
      <c r="N85" s="29"/>
    </row>
    <row r="86" spans="1:669" hidden="1" x14ac:dyDescent="0.2">
      <c r="F86" s="228"/>
      <c r="G86" s="229"/>
      <c r="H86" s="228"/>
      <c r="I86" s="228"/>
      <c r="J86" s="688">
        <f>'June''23 AR Aging '!G73</f>
        <v>288792.64</v>
      </c>
      <c r="K86" s="228" t="s">
        <v>450</v>
      </c>
      <c r="N86" s="29"/>
    </row>
    <row r="87" spans="1:669" ht="15" hidden="1" customHeight="1" thickBot="1" x14ac:dyDescent="0.25">
      <c r="F87" s="228"/>
      <c r="G87" s="229"/>
      <c r="H87" s="228"/>
      <c r="I87" s="228"/>
      <c r="J87" s="689">
        <f>J86-J85</f>
        <v>6020.1800000000512</v>
      </c>
      <c r="K87" s="228" t="s">
        <v>387</v>
      </c>
      <c r="N87" s="29"/>
    </row>
    <row r="88" spans="1:669" ht="15" hidden="1" customHeight="1" thickTop="1" x14ac:dyDescent="0.2">
      <c r="C88" s="8"/>
      <c r="E88" s="9"/>
    </row>
    <row r="89" spans="1:669" hidden="1" x14ac:dyDescent="0.2"/>
    <row r="90" spans="1:669" hidden="1" x14ac:dyDescent="0.2"/>
    <row r="97" spans="1:12" x14ac:dyDescent="0.2">
      <c r="A97" s="10"/>
      <c r="B97" s="1"/>
      <c r="C97" s="6"/>
      <c r="D97" s="6"/>
      <c r="E97" s="7"/>
      <c r="F97" s="29"/>
      <c r="G97" s="29"/>
      <c r="I97" s="29"/>
      <c r="J97" s="29"/>
      <c r="K97" s="29"/>
      <c r="L97" s="29"/>
    </row>
  </sheetData>
  <mergeCells count="31">
    <mergeCell ref="B73:E73"/>
    <mergeCell ref="B44:C44"/>
    <mergeCell ref="B46:C46"/>
    <mergeCell ref="B47:C47"/>
    <mergeCell ref="B54:C54"/>
    <mergeCell ref="B57:C57"/>
    <mergeCell ref="B52:C52"/>
    <mergeCell ref="B49:C49"/>
    <mergeCell ref="B50:C50"/>
    <mergeCell ref="B48:C48"/>
    <mergeCell ref="B84:E84"/>
    <mergeCell ref="B74:E74"/>
    <mergeCell ref="B82:E82"/>
    <mergeCell ref="B76:E76"/>
    <mergeCell ref="B81:E81"/>
    <mergeCell ref="B83:E83"/>
    <mergeCell ref="B40:C40"/>
    <mergeCell ref="B72:E72"/>
    <mergeCell ref="B62:E62"/>
    <mergeCell ref="B42:C42"/>
    <mergeCell ref="B56:C56"/>
    <mergeCell ref="B58:C58"/>
    <mergeCell ref="B70:E70"/>
    <mergeCell ref="B71:E71"/>
    <mergeCell ref="B41:C41"/>
    <mergeCell ref="B66:E66"/>
    <mergeCell ref="B43:C43"/>
    <mergeCell ref="B53:C53"/>
    <mergeCell ref="B45:C45"/>
    <mergeCell ref="B51:C51"/>
    <mergeCell ref="B67:E67"/>
  </mergeCells>
  <pageMargins left="0.45" right="0" top="0.75" bottom="0" header="0.3" footer="0.05"/>
  <pageSetup paperSize="5"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3"/>
  <sheetViews>
    <sheetView topLeftCell="A41" zoomScale="70" zoomScaleNormal="70" workbookViewId="0">
      <selection activeCell="C100" sqref="C100"/>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24" customWidth="1"/>
    <col min="8" max="8" width="11.75" style="1" customWidth="1"/>
    <col min="9" max="9" width="19.25" style="72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23"/>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598</v>
      </c>
      <c r="B2" s="16"/>
      <c r="C2" s="13"/>
      <c r="D2" s="13"/>
      <c r="E2" s="26"/>
      <c r="F2" s="26"/>
      <c r="G2" s="623"/>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2"/>
      <c r="F3" s="92"/>
    </row>
    <row r="4" spans="1:2009" s="56" customFormat="1" ht="16.5" thickBot="1" x14ac:dyDescent="0.3">
      <c r="A4" s="55"/>
      <c r="B4" s="55"/>
      <c r="C4" s="92" t="s">
        <v>599</v>
      </c>
      <c r="D4" s="92" t="s">
        <v>600</v>
      </c>
      <c r="E4" s="92" t="s">
        <v>584</v>
      </c>
      <c r="F4" s="92" t="s">
        <v>609</v>
      </c>
      <c r="G4" s="625" t="s">
        <v>404</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1045" t="s">
        <v>65</v>
      </c>
      <c r="B5" s="1046"/>
      <c r="C5" s="147"/>
      <c r="D5" s="147"/>
      <c r="E5" s="155"/>
      <c r="F5" s="155"/>
      <c r="G5" s="626"/>
      <c r="H5" s="93"/>
      <c r="I5" s="544"/>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hidden="1" customHeight="1" x14ac:dyDescent="0.25">
      <c r="A6" s="327"/>
      <c r="B6" s="124" t="s">
        <v>489</v>
      </c>
      <c r="C6" s="512"/>
      <c r="D6" s="162"/>
      <c r="E6" s="512"/>
      <c r="F6" s="162"/>
      <c r="G6" s="627">
        <f>SUM(C6:F6)</f>
        <v>0</v>
      </c>
      <c r="H6" s="328"/>
      <c r="I6" s="544"/>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564</v>
      </c>
      <c r="C7" s="162">
        <f>32262.61+325.2</f>
        <v>32587.81</v>
      </c>
      <c r="D7" s="162"/>
      <c r="E7" s="162"/>
      <c r="F7" s="163"/>
      <c r="G7" s="627">
        <f>ROUND(SUM(C7:F7),5)</f>
        <v>32587.81</v>
      </c>
      <c r="H7" s="93"/>
      <c r="I7" s="544"/>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154</v>
      </c>
      <c r="C8" s="810">
        <f>SUM(C5:C7)</f>
        <v>32587.81</v>
      </c>
      <c r="D8" s="810"/>
      <c r="E8" s="810"/>
      <c r="F8" s="810"/>
      <c r="G8" s="811">
        <f>ROUND(SUM(G3:G7),5)</f>
        <v>32587.81</v>
      </c>
      <c r="H8" s="195"/>
      <c r="I8" s="544"/>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28"/>
      <c r="H9" s="98"/>
      <c r="I9" s="722"/>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29"/>
      <c r="H10" s="93"/>
      <c r="I10" s="544"/>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0">
        <f>ROUND(SUM(C11:F11),5)</f>
        <v>0</v>
      </c>
      <c r="H11" s="93"/>
      <c r="I11" s="544"/>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449</v>
      </c>
      <c r="C12" s="167"/>
      <c r="D12" s="167"/>
      <c r="E12" s="168"/>
      <c r="F12" s="168"/>
      <c r="G12" s="630">
        <f>ROUND(SUM(C12:F12),5)</f>
        <v>0</v>
      </c>
      <c r="H12" s="93"/>
      <c r="I12" s="544"/>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478</v>
      </c>
      <c r="C13" s="167">
        <f>23935.07+126.76+534+319.2+2271.5-3760.74</f>
        <v>23425.79</v>
      </c>
      <c r="D13" s="167">
        <f>15033.34+3760.74</f>
        <v>18794.080000000002</v>
      </c>
      <c r="E13" s="167">
        <f>24899.55-2271.5</f>
        <v>22628.05</v>
      </c>
      <c r="F13" s="168">
        <f>26404.22-319.2</f>
        <v>26085.02</v>
      </c>
      <c r="G13" s="630">
        <f>ROUND(SUM(C13:F13),5)</f>
        <v>90932.94</v>
      </c>
      <c r="H13" s="93"/>
      <c r="I13" s="978"/>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136</v>
      </c>
      <c r="C14" s="200">
        <f>ROUND(SUM(C10:C13),5)</f>
        <v>23425.79</v>
      </c>
      <c r="D14" s="200">
        <f>SUM(D11:D13)</f>
        <v>18794.080000000002</v>
      </c>
      <c r="E14" s="200">
        <f>SUM(E11:E13)</f>
        <v>22628.05</v>
      </c>
      <c r="F14" s="200">
        <f>F13</f>
        <v>26085.02</v>
      </c>
      <c r="G14" s="733">
        <f>ROUND(SUM(G10:G13),5)</f>
        <v>90932.94</v>
      </c>
      <c r="H14" s="195"/>
      <c r="I14" s="544"/>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1"/>
      <c r="H15" s="98"/>
      <c r="I15" s="722"/>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2"/>
      <c r="H16" s="93"/>
      <c r="I16" s="544"/>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197</v>
      </c>
      <c r="C17" s="173"/>
      <c r="D17" s="173"/>
      <c r="E17" s="174"/>
      <c r="F17" s="174"/>
      <c r="G17" s="633">
        <f t="shared" ref="G17:G20" si="0">ROUND(SUM(C17:F17),5)</f>
        <v>0</v>
      </c>
      <c r="H17" s="93"/>
      <c r="I17" s="544"/>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266</v>
      </c>
      <c r="C18" s="173"/>
      <c r="D18" s="173"/>
      <c r="E18" s="174"/>
      <c r="F18" s="174"/>
      <c r="G18" s="633">
        <f t="shared" si="0"/>
        <v>0</v>
      </c>
      <c r="H18" s="93"/>
      <c r="I18" s="544"/>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307</v>
      </c>
      <c r="C19" s="173"/>
      <c r="D19" s="173"/>
      <c r="E19" s="174"/>
      <c r="F19" s="174"/>
      <c r="G19" s="633"/>
      <c r="H19" s="93"/>
      <c r="I19" s="544"/>
      <c r="J19" s="93"/>
      <c r="K19" s="584"/>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267</v>
      </c>
      <c r="C20" s="173"/>
      <c r="D20" s="173"/>
      <c r="E20" s="174"/>
      <c r="F20" s="174"/>
      <c r="G20" s="633">
        <f t="shared" si="0"/>
        <v>0</v>
      </c>
      <c r="H20" s="93"/>
      <c r="I20" s="544"/>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308</v>
      </c>
      <c r="C21" s="173"/>
      <c r="D21" s="173"/>
      <c r="E21" s="174"/>
      <c r="F21" s="174"/>
      <c r="G21" s="633"/>
      <c r="H21" s="93"/>
      <c r="I21" s="544"/>
      <c r="J21" s="93"/>
      <c r="K21" s="584"/>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312</v>
      </c>
      <c r="C22" s="173"/>
      <c r="D22" s="173"/>
      <c r="E22" s="174"/>
      <c r="F22" s="174"/>
      <c r="G22" s="633"/>
      <c r="H22" s="98"/>
      <c r="I22" s="722"/>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34"/>
      <c r="H23" s="205"/>
      <c r="I23" s="722"/>
      <c r="J23" s="205"/>
      <c r="K23" s="416"/>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35"/>
      <c r="H24" s="98"/>
      <c r="I24" s="722"/>
      <c r="J24" s="98"/>
      <c r="K24" s="417"/>
      <c r="L24" s="416">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92</v>
      </c>
      <c r="B25" s="138"/>
      <c r="C25" s="176"/>
      <c r="D25" s="176"/>
      <c r="E25" s="177"/>
      <c r="F25" s="177"/>
      <c r="G25" s="636"/>
      <c r="H25" s="93"/>
      <c r="I25" s="544"/>
      <c r="J25" s="93"/>
      <c r="K25" s="417"/>
      <c r="L25" s="417" t="s">
        <v>194</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153</v>
      </c>
      <c r="C26" s="178"/>
      <c r="D26" s="178"/>
      <c r="E26" s="179"/>
      <c r="F26" s="179"/>
      <c r="G26" s="637"/>
      <c r="H26" s="93"/>
      <c r="I26" s="544"/>
      <c r="J26" s="93"/>
      <c r="K26" s="418"/>
      <c r="L26"/>
      <c r="M26" s="419">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137</v>
      </c>
      <c r="C27" s="210"/>
      <c r="D27" s="211"/>
      <c r="E27" s="211"/>
      <c r="F27" s="211">
        <f>SUM(F25:F26)</f>
        <v>0</v>
      </c>
      <c r="G27" s="638">
        <f>ROUND(SUM(C27:F27),5)</f>
        <v>0</v>
      </c>
      <c r="H27" s="195"/>
      <c r="I27" s="544"/>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1"/>
      <c r="H28" s="98"/>
      <c r="I28" s="722"/>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151</v>
      </c>
      <c r="B29" s="141"/>
      <c r="C29" s="180"/>
      <c r="D29" s="180"/>
      <c r="E29" s="181"/>
      <c r="F29" s="181"/>
      <c r="G29" s="639"/>
      <c r="H29" s="93"/>
      <c r="I29" s="544"/>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479</v>
      </c>
      <c r="C30" s="182"/>
      <c r="D30" s="182"/>
      <c r="E30" s="183"/>
      <c r="F30" s="183"/>
      <c r="G30" s="640"/>
      <c r="H30" s="93"/>
      <c r="I30" s="544"/>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480</v>
      </c>
      <c r="C31" s="182">
        <f>20203.31+716.15+1677.8</f>
        <v>22597.260000000002</v>
      </c>
      <c r="D31" s="182">
        <v>19788.09</v>
      </c>
      <c r="E31" s="183"/>
      <c r="F31" s="183"/>
      <c r="G31" s="640">
        <f>SUM(C31:F31)</f>
        <v>42385.350000000006</v>
      </c>
      <c r="H31" s="93"/>
      <c r="I31" s="544"/>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152</v>
      </c>
      <c r="C32" s="215">
        <f>SUM(C30:C31)</f>
        <v>22597.260000000002</v>
      </c>
      <c r="D32" s="215">
        <f>D30+D31</f>
        <v>19788.09</v>
      </c>
      <c r="E32" s="215"/>
      <c r="F32" s="215"/>
      <c r="G32" s="812">
        <f>SUM(G30:G31)</f>
        <v>42385.350000000006</v>
      </c>
      <c r="H32" s="195"/>
      <c r="I32" s="978"/>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35"/>
      <c r="I33" s="544"/>
      <c r="N33" s="195"/>
      <c r="P33" s="195"/>
    </row>
    <row r="34" spans="1:2009" s="112" customFormat="1" ht="24.95" hidden="1" customHeight="1" x14ac:dyDescent="0.25">
      <c r="A34" s="140" t="s">
        <v>37</v>
      </c>
      <c r="B34" s="141"/>
      <c r="C34" s="184"/>
      <c r="D34" s="184"/>
      <c r="E34" s="185"/>
      <c r="F34" s="185"/>
      <c r="G34" s="642"/>
      <c r="H34" s="93"/>
      <c r="I34" s="544"/>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0"/>
      <c r="H35" s="93"/>
      <c r="I35" s="544"/>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1"/>
      <c r="H36" s="195"/>
      <c r="I36" s="544"/>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1"/>
      <c r="H37" s="98"/>
      <c r="I37" s="722"/>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43"/>
      <c r="H38" s="98"/>
      <c r="I38" s="722"/>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135</v>
      </c>
      <c r="C39" s="188">
        <v>3958.33</v>
      </c>
      <c r="D39" s="188"/>
      <c r="E39" s="189"/>
      <c r="F39" s="189"/>
      <c r="G39" s="644">
        <f>ROUND(SUM(C39:F39),5)</f>
        <v>3958.33</v>
      </c>
      <c r="H39" s="98"/>
      <c r="I39" s="722"/>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328</v>
      </c>
      <c r="C40" s="188">
        <v>4500</v>
      </c>
      <c r="D40" s="188"/>
      <c r="E40" s="189"/>
      <c r="F40" s="189"/>
      <c r="G40" s="644">
        <f>ROUND(SUM(C40:F40),5)</f>
        <v>4500</v>
      </c>
      <c r="H40" s="98"/>
      <c r="I40" s="722"/>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553</v>
      </c>
      <c r="C41" s="188"/>
      <c r="D41" s="188"/>
      <c r="E41" s="189">
        <v>204.64</v>
      </c>
      <c r="F41" s="189">
        <v>325.54000000000002</v>
      </c>
      <c r="G41" s="644">
        <f>ROUND(SUM(C41:F41),5)</f>
        <v>530.17999999999995</v>
      </c>
      <c r="H41" s="98"/>
      <c r="I41" s="722"/>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customHeight="1" x14ac:dyDescent="0.25">
      <c r="A42" s="145"/>
      <c r="B42" s="116" t="s">
        <v>335</v>
      </c>
      <c r="C42" s="188"/>
      <c r="D42" s="188"/>
      <c r="E42" s="189">
        <v>60</v>
      </c>
      <c r="F42" s="189">
        <v>30</v>
      </c>
      <c r="G42" s="644">
        <f>ROUND(SUM(C42:F42),5)</f>
        <v>90</v>
      </c>
      <c r="H42" s="98"/>
      <c r="I42" s="722"/>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v>12293.32</v>
      </c>
      <c r="D43" s="188">
        <v>11459.76</v>
      </c>
      <c r="E43" s="189"/>
      <c r="F43" s="189"/>
      <c r="G43" s="644">
        <f>ROUND(SUM(C43:F43),5)</f>
        <v>23753.08</v>
      </c>
      <c r="H43" s="98"/>
      <c r="I43" s="722"/>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20751.650000000001</v>
      </c>
      <c r="D44" s="221">
        <f>SUM(D39:D43)</f>
        <v>11459.76</v>
      </c>
      <c r="E44" s="221">
        <f>SUM(E39:E43)</f>
        <v>264.64</v>
      </c>
      <c r="F44" s="221">
        <f>SUM(F39:F43)</f>
        <v>355.54</v>
      </c>
      <c r="G44" s="813">
        <f>SUM(G39:G43)</f>
        <v>32831.590000000004</v>
      </c>
      <c r="H44" s="205"/>
      <c r="I44" s="722"/>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45"/>
      <c r="H45" s="98"/>
      <c r="I45" s="722"/>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268</v>
      </c>
      <c r="B46" s="421"/>
      <c r="C46" s="422"/>
      <c r="D46" s="423"/>
      <c r="E46" s="422"/>
      <c r="F46" s="423"/>
      <c r="G46" s="646"/>
      <c r="H46" s="98"/>
      <c r="I46" s="722"/>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customHeight="1" x14ac:dyDescent="0.25">
      <c r="A47" s="369"/>
      <c r="B47" s="426" t="s">
        <v>585</v>
      </c>
      <c r="C47" s="451">
        <v>585.03</v>
      </c>
      <c r="D47" s="513">
        <v>676.81</v>
      </c>
      <c r="E47" s="428"/>
      <c r="F47" s="429"/>
      <c r="G47" s="647">
        <f>ROUND(SUM(C47:F47),5)</f>
        <v>1261.8399999999999</v>
      </c>
      <c r="H47" s="98"/>
      <c r="I47" s="722"/>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customHeight="1" x14ac:dyDescent="0.25">
      <c r="A48" s="369"/>
      <c r="B48" s="426" t="s">
        <v>552</v>
      </c>
      <c r="C48" s="451">
        <v>1343.08</v>
      </c>
      <c r="D48" s="513"/>
      <c r="E48" s="451"/>
      <c r="F48" s="513"/>
      <c r="G48" s="647">
        <f>SUM(C48:F48)</f>
        <v>1343.08</v>
      </c>
      <c r="H48" s="98"/>
      <c r="I48" s="722"/>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69"/>
      <c r="B49" s="426" t="s">
        <v>470</v>
      </c>
      <c r="C49" s="451"/>
      <c r="D49" s="513"/>
      <c r="E49" s="451"/>
      <c r="F49" s="513"/>
      <c r="G49" s="647">
        <f>ROUND(SUM(C49:F49),5)</f>
        <v>0</v>
      </c>
      <c r="H49" s="98"/>
      <c r="I49" s="722"/>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0"/>
      <c r="B50" s="604" t="s">
        <v>586</v>
      </c>
      <c r="C50" s="452">
        <v>9601.0499999999993</v>
      </c>
      <c r="D50" s="605">
        <v>10364.94</v>
      </c>
      <c r="E50" s="452">
        <v>10502.37</v>
      </c>
      <c r="F50" s="452"/>
      <c r="G50" s="648">
        <f>ROUND(SUM(C50:F50),5)</f>
        <v>30468.36</v>
      </c>
      <c r="H50" s="98"/>
      <c r="I50" s="722"/>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7" t="s">
        <v>447</v>
      </c>
      <c r="C51" s="790">
        <f>SUM(C46:C50)</f>
        <v>11529.16</v>
      </c>
      <c r="D51" s="790">
        <f t="shared" ref="D51:E51" si="1">SUM(D46:D50)</f>
        <v>11041.75</v>
      </c>
      <c r="E51" s="790">
        <f t="shared" si="1"/>
        <v>10502.37</v>
      </c>
      <c r="F51" s="790"/>
      <c r="G51" s="814">
        <f>ROUND(SUM(C51:F51),5)</f>
        <v>33073.279999999999</v>
      </c>
      <c r="H51" s="195"/>
      <c r="I51" s="544"/>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thickBot="1" x14ac:dyDescent="0.3">
      <c r="A52" s="118"/>
      <c r="B52" s="119"/>
      <c r="C52" s="170"/>
      <c r="D52" s="170"/>
      <c r="E52" s="170"/>
      <c r="F52" s="170"/>
      <c r="G52" s="645"/>
      <c r="H52" s="93"/>
      <c r="I52" s="544"/>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175</v>
      </c>
      <c r="B53" s="344"/>
      <c r="C53" s="345"/>
      <c r="D53" s="355"/>
      <c r="E53" s="355"/>
      <c r="F53" s="355"/>
      <c r="G53" s="649"/>
      <c r="H53" s="93"/>
      <c r="I53" s="544"/>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210</v>
      </c>
      <c r="C54" s="453"/>
      <c r="D54" s="453"/>
      <c r="E54" s="453"/>
      <c r="F54" s="453"/>
      <c r="G54" s="650">
        <f>SUM(C54:F54)</f>
        <v>0</v>
      </c>
      <c r="H54" s="93"/>
      <c r="I54" s="544"/>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211</v>
      </c>
      <c r="C55" s="454"/>
      <c r="D55" s="454"/>
      <c r="E55" s="454"/>
      <c r="F55" s="454"/>
      <c r="G55" s="651">
        <f>SUM(C55:F55)</f>
        <v>0</v>
      </c>
      <c r="H55" s="93"/>
      <c r="I55" s="544"/>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1047" t="s">
        <v>176</v>
      </c>
      <c r="B56" s="1048"/>
      <c r="C56" s="348">
        <f t="shared" ref="C56" si="2">SUM(C53:C55)</f>
        <v>0</v>
      </c>
      <c r="D56" s="348"/>
      <c r="E56" s="348"/>
      <c r="F56" s="348"/>
      <c r="G56" s="652">
        <f t="shared" ref="G56" si="3">SUM(G53:G55)</f>
        <v>0</v>
      </c>
      <c r="H56" s="93"/>
      <c r="I56" s="544"/>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35"/>
      <c r="H57" s="93"/>
      <c r="I57" s="544"/>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1" t="s">
        <v>315</v>
      </c>
      <c r="B58" s="458"/>
      <c r="C58" s="459"/>
      <c r="D58" s="460"/>
      <c r="E58" s="460"/>
      <c r="F58" s="460"/>
      <c r="G58" s="653">
        <f>SUM(C58:F58)</f>
        <v>0</v>
      </c>
      <c r="H58" s="93"/>
      <c r="I58" s="544"/>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hidden="1" customHeight="1" thickBot="1" x14ac:dyDescent="0.3">
      <c r="A59" s="110"/>
      <c r="B59" s="110"/>
      <c r="C59" s="175"/>
      <c r="D59" s="175"/>
      <c r="E59" s="175"/>
      <c r="F59" s="175"/>
      <c r="G59" s="635"/>
      <c r="H59" s="93"/>
      <c r="I59" s="544"/>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498" t="s">
        <v>306</v>
      </c>
      <c r="B60" s="371"/>
      <c r="C60" s="372">
        <v>1581.67</v>
      </c>
      <c r="D60" s="372"/>
      <c r="E60" s="372"/>
      <c r="F60" s="372"/>
      <c r="G60" s="815">
        <f>SUM(C60:F60)</f>
        <v>1581.67</v>
      </c>
      <c r="H60" s="93"/>
      <c r="I60" s="544"/>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hidden="1" customHeight="1" x14ac:dyDescent="0.25">
      <c r="A61" s="110"/>
      <c r="B61" s="110"/>
      <c r="C61" s="430"/>
      <c r="D61" s="175"/>
      <c r="E61" s="175"/>
      <c r="F61" s="175"/>
      <c r="G61" s="635"/>
      <c r="H61" s="93"/>
      <c r="I61" s="544"/>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hidden="1" customHeight="1" thickBot="1" x14ac:dyDescent="0.3">
      <c r="A62" s="457" t="s">
        <v>444</v>
      </c>
      <c r="B62" s="456"/>
      <c r="C62" s="431"/>
      <c r="D62" s="432"/>
      <c r="E62" s="432"/>
      <c r="F62" s="432"/>
      <c r="G62" s="654">
        <f>SUM(C62:F62)</f>
        <v>0</v>
      </c>
      <c r="H62" s="93"/>
      <c r="I62" s="544"/>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x14ac:dyDescent="0.25">
      <c r="A63" s="658"/>
      <c r="B63" s="658"/>
      <c r="C63" s="430"/>
      <c r="D63" s="175"/>
      <c r="E63" s="175"/>
      <c r="F63" s="175"/>
      <c r="G63" s="635"/>
      <c r="H63" s="93"/>
      <c r="I63" s="544"/>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7" hidden="1" customHeight="1" x14ac:dyDescent="0.25">
      <c r="A64" s="827" t="s">
        <v>471</v>
      </c>
      <c r="B64" s="828"/>
      <c r="C64" s="829"/>
      <c r="D64" s="830"/>
      <c r="E64" s="830"/>
      <c r="F64" s="830"/>
      <c r="G64" s="831">
        <f>SUM(C64:F64)</f>
        <v>0</v>
      </c>
      <c r="H64" s="93"/>
      <c r="I64" s="544"/>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24.95" customHeight="1" thickBot="1" x14ac:dyDescent="0.3">
      <c r="A65" s="832" t="s">
        <v>339</v>
      </c>
      <c r="B65" s="833"/>
      <c r="C65" s="834"/>
      <c r="D65" s="835"/>
      <c r="E65" s="835"/>
      <c r="F65" s="835">
        <v>5400</v>
      </c>
      <c r="G65" s="836">
        <f>SUM(C65:F65)</f>
        <v>5400</v>
      </c>
      <c r="H65" s="93"/>
      <c r="I65" s="544"/>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12" customHeight="1" thickBot="1" x14ac:dyDescent="0.3">
      <c r="A66" s="658"/>
      <c r="B66" s="658"/>
      <c r="C66" s="430"/>
      <c r="D66" s="175"/>
      <c r="E66" s="175"/>
      <c r="F66" s="175"/>
      <c r="G66" s="635"/>
      <c r="H66" s="93"/>
      <c r="I66" s="544"/>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120" customFormat="1" ht="24.95" customHeight="1" thickBot="1" x14ac:dyDescent="0.3">
      <c r="A67" s="706" t="s">
        <v>612</v>
      </c>
      <c r="B67" s="707"/>
      <c r="C67" s="708">
        <v>50000</v>
      </c>
      <c r="D67" s="709"/>
      <c r="E67" s="709"/>
      <c r="F67" s="709"/>
      <c r="G67" s="710">
        <f>SUM(C67:F67)</f>
        <v>50000</v>
      </c>
      <c r="H67" s="93"/>
      <c r="I67" s="544"/>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c r="LT67" s="94"/>
      <c r="LU67" s="94"/>
      <c r="LV67" s="94"/>
      <c r="LW67" s="94"/>
      <c r="LX67" s="94"/>
      <c r="LY67" s="94"/>
      <c r="LZ67" s="94"/>
      <c r="MA67" s="94"/>
      <c r="MB67" s="94"/>
      <c r="MC67" s="94"/>
      <c r="MD67" s="94"/>
      <c r="ME67" s="94"/>
      <c r="MF67" s="94"/>
      <c r="MG67" s="94"/>
      <c r="MH67" s="94"/>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4"/>
      <c r="SD67" s="94"/>
      <c r="SE67" s="94"/>
      <c r="SF67" s="94"/>
      <c r="SG67" s="94"/>
      <c r="SH67" s="94"/>
      <c r="SI67" s="94"/>
      <c r="SJ67" s="94"/>
      <c r="SK67" s="94"/>
      <c r="SL67" s="94"/>
      <c r="SM67" s="94"/>
      <c r="SN67" s="94"/>
      <c r="SO67" s="94"/>
      <c r="SP67" s="94"/>
      <c r="SQ67" s="94"/>
      <c r="SR67" s="94"/>
      <c r="SS67" s="94"/>
      <c r="ST67" s="94"/>
      <c r="SU67" s="94"/>
      <c r="SV67" s="94"/>
      <c r="SW67" s="94"/>
      <c r="SX67" s="94"/>
      <c r="SY67" s="94"/>
      <c r="SZ67" s="94"/>
      <c r="TA67" s="94"/>
      <c r="TB67" s="94"/>
      <c r="TC67" s="94"/>
      <c r="TD67" s="94"/>
      <c r="TE67" s="94"/>
      <c r="TF67" s="94"/>
      <c r="TG67" s="94"/>
      <c r="TH67" s="94"/>
      <c r="TI67" s="94"/>
      <c r="TJ67" s="94"/>
      <c r="TK67" s="94"/>
      <c r="TL67" s="94"/>
      <c r="TM67" s="94"/>
      <c r="TN67" s="94"/>
      <c r="TO67" s="94"/>
      <c r="TP67" s="94"/>
      <c r="TQ67" s="94"/>
      <c r="TR67" s="94"/>
      <c r="TS67" s="94"/>
      <c r="TT67" s="94"/>
      <c r="TU67" s="94"/>
      <c r="TV67" s="94"/>
      <c r="TW67" s="94"/>
      <c r="TX67" s="94"/>
      <c r="TY67" s="94"/>
      <c r="TZ67" s="94"/>
      <c r="UA67" s="94"/>
      <c r="UB67" s="94"/>
      <c r="UC67" s="94"/>
      <c r="UD67" s="94"/>
      <c r="UE67" s="94"/>
      <c r="UF67" s="94"/>
      <c r="UG67" s="94"/>
      <c r="UH67" s="94"/>
      <c r="UI67" s="94"/>
      <c r="UJ67" s="94"/>
      <c r="UK67" s="94"/>
      <c r="UL67" s="94"/>
      <c r="UM67" s="94"/>
      <c r="UN67" s="94"/>
      <c r="UO67" s="94"/>
      <c r="UP67" s="94"/>
      <c r="UQ67" s="94"/>
      <c r="UR67" s="94"/>
      <c r="US67" s="94"/>
      <c r="UT67" s="94"/>
      <c r="UU67" s="94"/>
      <c r="UV67" s="94"/>
      <c r="UW67" s="94"/>
      <c r="UX67" s="94"/>
      <c r="UY67" s="94"/>
      <c r="UZ67" s="94"/>
      <c r="VA67" s="94"/>
      <c r="VB67" s="94"/>
      <c r="VC67" s="94"/>
      <c r="VD67" s="94"/>
      <c r="VE67" s="94"/>
      <c r="VF67" s="94"/>
      <c r="VG67" s="94"/>
      <c r="VH67" s="94"/>
      <c r="VI67" s="94"/>
      <c r="VJ67" s="94"/>
      <c r="VK67" s="94"/>
      <c r="VL67" s="94"/>
      <c r="VM67" s="94"/>
      <c r="VN67" s="94"/>
      <c r="VO67" s="94"/>
      <c r="VP67" s="94"/>
      <c r="VQ67" s="94"/>
      <c r="VR67" s="94"/>
      <c r="VS67" s="94"/>
      <c r="VT67" s="94"/>
      <c r="VU67" s="94"/>
      <c r="VV67" s="94"/>
      <c r="VW67" s="94"/>
      <c r="VX67" s="94"/>
      <c r="VY67" s="94"/>
      <c r="VZ67" s="94"/>
      <c r="WA67" s="94"/>
      <c r="WB67" s="94"/>
      <c r="WC67" s="94"/>
      <c r="WD67" s="94"/>
      <c r="WE67" s="94"/>
      <c r="WF67" s="94"/>
      <c r="WG67" s="94"/>
      <c r="WH67" s="94"/>
      <c r="WI67" s="94"/>
      <c r="WJ67" s="94"/>
      <c r="WK67" s="94"/>
      <c r="WL67" s="94"/>
      <c r="WM67" s="94"/>
      <c r="WN67" s="94"/>
      <c r="WO67" s="94"/>
      <c r="WP67" s="94"/>
      <c r="WQ67" s="94"/>
      <c r="WR67" s="94"/>
      <c r="WS67" s="94"/>
      <c r="WT67" s="94"/>
      <c r="WU67" s="94"/>
      <c r="WV67" s="94"/>
      <c r="WW67" s="94"/>
      <c r="WX67" s="94"/>
      <c r="WY67" s="94"/>
      <c r="WZ67" s="94"/>
      <c r="XA67" s="94"/>
      <c r="XB67" s="94"/>
      <c r="XC67" s="94"/>
      <c r="XD67" s="94"/>
      <c r="XE67" s="94"/>
      <c r="XF67" s="94"/>
      <c r="XG67" s="94"/>
      <c r="XH67" s="94"/>
      <c r="XI67" s="94"/>
      <c r="XJ67" s="94"/>
      <c r="XK67" s="94"/>
      <c r="XL67" s="94"/>
      <c r="XM67" s="94"/>
      <c r="XN67" s="94"/>
      <c r="XO67" s="94"/>
      <c r="XP67" s="94"/>
      <c r="XQ67" s="94"/>
      <c r="XR67" s="94"/>
      <c r="XS67" s="94"/>
      <c r="XT67" s="94"/>
      <c r="XU67" s="94"/>
      <c r="XV67" s="94"/>
      <c r="XW67" s="94"/>
      <c r="XX67" s="94"/>
      <c r="XY67" s="94"/>
      <c r="XZ67" s="94"/>
      <c r="YA67" s="94"/>
      <c r="YB67" s="94"/>
      <c r="YC67" s="94"/>
      <c r="YD67" s="94"/>
      <c r="YE67" s="94"/>
      <c r="YF67" s="94"/>
      <c r="YG67" s="94"/>
      <c r="YH67" s="94"/>
      <c r="YI67" s="94"/>
      <c r="YJ67" s="94"/>
      <c r="YK67" s="94"/>
      <c r="YL67" s="94"/>
      <c r="YM67" s="94"/>
      <c r="YN67" s="94"/>
      <c r="YO67" s="94"/>
      <c r="YP67" s="94"/>
      <c r="YQ67" s="94"/>
      <c r="YR67" s="94"/>
      <c r="YS67" s="94"/>
      <c r="YT67" s="94"/>
      <c r="YU67" s="94"/>
      <c r="YV67" s="94"/>
      <c r="YW67" s="94"/>
      <c r="YX67" s="94"/>
      <c r="YY67" s="94"/>
      <c r="YZ67" s="94"/>
      <c r="ZA67" s="94"/>
      <c r="ZB67" s="94"/>
      <c r="ZC67" s="94"/>
      <c r="ZD67" s="94"/>
      <c r="ZE67" s="94"/>
      <c r="ZF67" s="94"/>
      <c r="ZG67" s="94"/>
      <c r="ZH67" s="94"/>
      <c r="ZI67" s="94"/>
      <c r="ZJ67" s="94"/>
      <c r="ZK67" s="94"/>
      <c r="ZL67" s="94"/>
      <c r="ZM67" s="94"/>
      <c r="ZN67" s="94"/>
      <c r="ZO67" s="94"/>
      <c r="ZP67" s="94"/>
      <c r="ZQ67" s="94"/>
      <c r="ZR67" s="94"/>
      <c r="ZS67" s="94"/>
      <c r="ZT67" s="94"/>
      <c r="ZU67" s="94"/>
      <c r="ZV67" s="94"/>
      <c r="ZW67" s="94"/>
      <c r="ZX67" s="94"/>
      <c r="ZY67" s="94"/>
      <c r="ZZ67" s="94"/>
      <c r="AAA67" s="94"/>
      <c r="AAB67" s="94"/>
      <c r="AAC67" s="94"/>
      <c r="AAD67" s="94"/>
      <c r="AAE67" s="94"/>
      <c r="AAF67" s="94"/>
      <c r="AAG67" s="94"/>
      <c r="AAH67" s="94"/>
      <c r="AAI67" s="94"/>
      <c r="AAJ67" s="94"/>
      <c r="AAK67" s="94"/>
      <c r="AAL67" s="94"/>
      <c r="AAM67" s="94"/>
      <c r="AAN67" s="94"/>
      <c r="AAO67" s="94"/>
      <c r="AAP67" s="94"/>
      <c r="AAQ67" s="94"/>
      <c r="AAR67" s="94"/>
      <c r="AAS67" s="94"/>
      <c r="AAT67" s="94"/>
      <c r="AAU67" s="94"/>
      <c r="AAV67" s="94"/>
      <c r="AAW67" s="94"/>
      <c r="AAX67" s="94"/>
      <c r="AAY67" s="94"/>
      <c r="AAZ67" s="94"/>
      <c r="ABA67" s="94"/>
      <c r="ABB67" s="94"/>
      <c r="ABC67" s="94"/>
      <c r="ABD67" s="94"/>
      <c r="ABE67" s="94"/>
      <c r="ABF67" s="94"/>
      <c r="ABG67" s="94"/>
      <c r="ABH67" s="94"/>
      <c r="ABI67" s="94"/>
      <c r="ABJ67" s="94"/>
      <c r="ABK67" s="94"/>
      <c r="ABL67" s="94"/>
      <c r="ABM67" s="94"/>
      <c r="ABN67" s="94"/>
      <c r="ABO67" s="94"/>
      <c r="ABP67" s="94"/>
      <c r="ABQ67" s="94"/>
      <c r="ABR67" s="94"/>
      <c r="ABS67" s="94"/>
      <c r="ABT67" s="94"/>
      <c r="ABU67" s="94"/>
      <c r="ABV67" s="94"/>
      <c r="ABW67" s="94"/>
      <c r="ABX67" s="94"/>
      <c r="ABY67" s="94"/>
      <c r="ABZ67" s="94"/>
      <c r="ACA67" s="94"/>
      <c r="ACB67" s="94"/>
      <c r="ACC67" s="94"/>
      <c r="ACD67" s="94"/>
      <c r="ACE67" s="94"/>
      <c r="ACF67" s="94"/>
      <c r="ACG67" s="94"/>
      <c r="ACH67" s="94"/>
      <c r="ACI67" s="94"/>
      <c r="ACJ67" s="94"/>
      <c r="ACK67" s="94"/>
      <c r="ACL67" s="94"/>
      <c r="ACM67" s="94"/>
      <c r="ACN67" s="94"/>
      <c r="ACO67" s="94"/>
      <c r="ACP67" s="94"/>
      <c r="ACQ67" s="94"/>
      <c r="ACR67" s="94"/>
      <c r="ACS67" s="94"/>
      <c r="ACT67" s="94"/>
      <c r="ACU67" s="94"/>
      <c r="ACV67" s="94"/>
      <c r="ACW67" s="94"/>
      <c r="ACX67" s="94"/>
      <c r="ACY67" s="94"/>
      <c r="ACZ67" s="94"/>
      <c r="ADA67" s="94"/>
      <c r="ADB67" s="94"/>
      <c r="ADC67" s="94"/>
      <c r="ADD67" s="94"/>
      <c r="ADE67" s="94"/>
      <c r="ADF67" s="94"/>
      <c r="ADG67" s="94"/>
      <c r="ADH67" s="94"/>
      <c r="ADI67" s="94"/>
      <c r="ADJ67" s="94"/>
      <c r="ADK67" s="94"/>
      <c r="ADL67" s="94"/>
      <c r="ADM67" s="94"/>
      <c r="ADN67" s="94"/>
      <c r="ADO67" s="94"/>
      <c r="ADP67" s="94"/>
      <c r="ADQ67" s="94"/>
      <c r="ADR67" s="94"/>
      <c r="ADS67" s="94"/>
      <c r="ADT67" s="94"/>
      <c r="ADU67" s="94"/>
      <c r="ADV67" s="94"/>
      <c r="ADW67" s="94"/>
      <c r="ADX67" s="94"/>
      <c r="ADY67" s="94"/>
      <c r="ADZ67" s="94"/>
      <c r="AEA67" s="94"/>
      <c r="AEB67" s="94"/>
      <c r="AEC67" s="94"/>
      <c r="AED67" s="94"/>
      <c r="AEE67" s="94"/>
      <c r="AEF67" s="94"/>
      <c r="AEG67" s="94"/>
      <c r="AEH67" s="94"/>
      <c r="AEI67" s="94"/>
      <c r="AEJ67" s="94"/>
      <c r="AEK67" s="94"/>
      <c r="AEL67" s="94"/>
      <c r="AEM67" s="94"/>
      <c r="AEN67" s="94"/>
      <c r="AEO67" s="94"/>
      <c r="AEP67" s="94"/>
      <c r="AEQ67" s="94"/>
      <c r="AER67" s="94"/>
      <c r="AES67" s="94"/>
      <c r="AET67" s="94"/>
      <c r="AEU67" s="94"/>
      <c r="AEV67" s="94"/>
      <c r="AEW67" s="94"/>
      <c r="AEX67" s="94"/>
      <c r="AEY67" s="94"/>
      <c r="AEZ67" s="94"/>
      <c r="AFA67" s="94"/>
      <c r="AFB67" s="94"/>
      <c r="AFC67" s="94"/>
      <c r="AFD67" s="94"/>
      <c r="AFE67" s="94"/>
      <c r="AFF67" s="94"/>
      <c r="AFG67" s="94"/>
      <c r="AFH67" s="94"/>
      <c r="AFI67" s="94"/>
      <c r="AFJ67" s="94"/>
      <c r="AFK67" s="94"/>
      <c r="AFL67" s="94"/>
      <c r="AFM67" s="94"/>
      <c r="AFN67" s="94"/>
      <c r="AFO67" s="94"/>
      <c r="AFP67" s="94"/>
      <c r="AFQ67" s="94"/>
      <c r="AFR67" s="94"/>
      <c r="AFS67" s="94"/>
      <c r="AFT67" s="94"/>
      <c r="AFU67" s="94"/>
      <c r="AFV67" s="94"/>
      <c r="AFW67" s="94"/>
      <c r="AFX67" s="94"/>
      <c r="AFY67" s="94"/>
      <c r="AFZ67" s="94"/>
      <c r="AGA67" s="94"/>
      <c r="AGB67" s="94"/>
      <c r="AGC67" s="94"/>
      <c r="AGD67" s="94"/>
      <c r="AGE67" s="94"/>
      <c r="AGF67" s="94"/>
      <c r="AGG67" s="94"/>
      <c r="AGH67" s="94"/>
      <c r="AGI67" s="94"/>
      <c r="AGJ67" s="94"/>
      <c r="AGK67" s="94"/>
      <c r="AGL67" s="94"/>
      <c r="AGM67" s="94"/>
      <c r="AGN67" s="94"/>
      <c r="AGO67" s="94"/>
      <c r="AGP67" s="94"/>
      <c r="AGQ67" s="94"/>
      <c r="AGR67" s="94"/>
      <c r="AGS67" s="94"/>
      <c r="AGT67" s="94"/>
      <c r="AGU67" s="94"/>
      <c r="AGV67" s="94"/>
      <c r="AGW67" s="94"/>
      <c r="AGX67" s="94"/>
      <c r="AGY67" s="94"/>
      <c r="AGZ67" s="94"/>
      <c r="AHA67" s="94"/>
      <c r="AHB67" s="94"/>
      <c r="AHC67" s="94"/>
      <c r="AHD67" s="94"/>
      <c r="AHE67" s="94"/>
      <c r="AHF67" s="94"/>
      <c r="AHG67" s="94"/>
      <c r="AHH67" s="94"/>
      <c r="AHI67" s="94"/>
      <c r="AHJ67" s="94"/>
      <c r="AHK67" s="94"/>
      <c r="AHL67" s="94"/>
      <c r="AHM67" s="94"/>
      <c r="AHN67" s="94"/>
      <c r="AHO67" s="94"/>
      <c r="AHP67" s="94"/>
      <c r="AHQ67" s="94"/>
      <c r="AHR67" s="94"/>
      <c r="AHS67" s="94"/>
      <c r="AHT67" s="94"/>
      <c r="AHU67" s="94"/>
      <c r="AHV67" s="94"/>
      <c r="AHW67" s="94"/>
      <c r="AHX67" s="94"/>
      <c r="AHY67" s="94"/>
      <c r="AHZ67" s="94"/>
      <c r="AIA67" s="94"/>
      <c r="AIB67" s="94"/>
      <c r="AIC67" s="94"/>
      <c r="AID67" s="94"/>
      <c r="AIE67" s="94"/>
      <c r="AIF67" s="94"/>
      <c r="AIG67" s="94"/>
      <c r="AIH67" s="94"/>
      <c r="AII67" s="94"/>
      <c r="AIJ67" s="94"/>
      <c r="AIK67" s="94"/>
      <c r="AIL67" s="94"/>
      <c r="AIM67" s="94"/>
      <c r="AIN67" s="94"/>
      <c r="AIO67" s="94"/>
      <c r="AIP67" s="94"/>
      <c r="AIQ67" s="94"/>
      <c r="AIR67" s="94"/>
      <c r="AIS67" s="94"/>
      <c r="AIT67" s="94"/>
      <c r="AIU67" s="94"/>
      <c r="AIV67" s="94"/>
      <c r="AIW67" s="94"/>
      <c r="AIX67" s="94"/>
      <c r="AIY67" s="94"/>
      <c r="AIZ67" s="94"/>
      <c r="AJA67" s="94"/>
      <c r="AJB67" s="94"/>
      <c r="AJC67" s="94"/>
      <c r="AJD67" s="94"/>
      <c r="AJE67" s="94"/>
      <c r="AJF67" s="94"/>
      <c r="AJG67" s="94"/>
      <c r="AJH67" s="94"/>
      <c r="AJI67" s="94"/>
      <c r="AJJ67" s="94"/>
      <c r="AJK67" s="94"/>
      <c r="AJL67" s="94"/>
      <c r="AJM67" s="94"/>
      <c r="AJN67" s="94"/>
      <c r="AJO67" s="94"/>
      <c r="AJP67" s="94"/>
      <c r="AJQ67" s="94"/>
      <c r="AJR67" s="94"/>
      <c r="AJS67" s="94"/>
      <c r="AJT67" s="94"/>
      <c r="AJU67" s="94"/>
      <c r="AJV67" s="94"/>
      <c r="AJW67" s="94"/>
      <c r="AJX67" s="94"/>
      <c r="AJY67" s="94"/>
      <c r="AJZ67" s="94"/>
      <c r="AKA67" s="94"/>
      <c r="AKB67" s="94"/>
      <c r="AKC67" s="94"/>
      <c r="AKD67" s="94"/>
      <c r="AKE67" s="94"/>
      <c r="AKF67" s="94"/>
      <c r="AKG67" s="94"/>
      <c r="AKH67" s="94"/>
      <c r="AKI67" s="94"/>
      <c r="AKJ67" s="94"/>
      <c r="AKK67" s="94"/>
      <c r="AKL67" s="94"/>
      <c r="AKM67" s="94"/>
      <c r="AKN67" s="94"/>
      <c r="AKO67" s="94"/>
      <c r="AKP67" s="94"/>
      <c r="AKQ67" s="94"/>
      <c r="AKR67" s="94"/>
      <c r="AKS67" s="94"/>
      <c r="AKT67" s="94"/>
      <c r="AKU67" s="94"/>
      <c r="AKV67" s="94"/>
      <c r="AKW67" s="94"/>
      <c r="AKX67" s="94"/>
      <c r="AKY67" s="94"/>
      <c r="AKZ67" s="94"/>
      <c r="ALA67" s="94"/>
      <c r="ALB67" s="94"/>
      <c r="ALC67" s="94"/>
      <c r="ALD67" s="94"/>
      <c r="ALE67" s="94"/>
      <c r="ALF67" s="94"/>
      <c r="ALG67" s="94"/>
      <c r="ALH67" s="94"/>
      <c r="ALI67" s="94"/>
      <c r="ALJ67" s="94"/>
      <c r="ALK67" s="94"/>
      <c r="ALL67" s="94"/>
      <c r="ALM67" s="94"/>
      <c r="ALN67" s="94"/>
      <c r="ALO67" s="94"/>
      <c r="ALP67" s="94"/>
      <c r="ALQ67" s="94"/>
      <c r="ALR67" s="94"/>
      <c r="ALS67" s="94"/>
      <c r="ALT67" s="94"/>
      <c r="ALU67" s="94"/>
      <c r="ALV67" s="94"/>
      <c r="ALW67" s="94"/>
      <c r="ALX67" s="94"/>
      <c r="ALY67" s="94"/>
      <c r="ALZ67" s="94"/>
      <c r="AMA67" s="94"/>
      <c r="AMB67" s="94"/>
      <c r="AMC67" s="94"/>
      <c r="AMD67" s="94"/>
      <c r="AME67" s="94"/>
      <c r="AMF67" s="94"/>
      <c r="AMG67" s="94"/>
      <c r="AMH67" s="94"/>
      <c r="AMI67" s="94"/>
      <c r="AMJ67" s="94"/>
      <c r="AMK67" s="94"/>
      <c r="AML67" s="94"/>
      <c r="AMM67" s="94"/>
      <c r="AMN67" s="94"/>
      <c r="AMO67" s="94"/>
      <c r="AMP67" s="94"/>
      <c r="AMQ67" s="94"/>
      <c r="AMR67" s="94"/>
      <c r="AMS67" s="94"/>
      <c r="AMT67" s="94"/>
      <c r="AMU67" s="94"/>
      <c r="AMV67" s="94"/>
      <c r="AMW67" s="94"/>
      <c r="AMX67" s="94"/>
      <c r="AMY67" s="94"/>
      <c r="AMZ67" s="94"/>
      <c r="ANA67" s="94"/>
      <c r="ANB67" s="94"/>
      <c r="ANC67" s="94"/>
      <c r="AND67" s="94"/>
      <c r="ANE67" s="94"/>
      <c r="ANF67" s="94"/>
      <c r="ANG67" s="94"/>
      <c r="ANH67" s="94"/>
      <c r="ANI67" s="94"/>
      <c r="ANJ67" s="94"/>
      <c r="ANK67" s="94"/>
      <c r="ANL67" s="94"/>
      <c r="ANM67" s="94"/>
      <c r="ANN67" s="94"/>
      <c r="ANO67" s="94"/>
      <c r="ANP67" s="94"/>
      <c r="ANQ67" s="94"/>
      <c r="ANR67" s="94"/>
      <c r="ANS67" s="94"/>
      <c r="ANT67" s="94"/>
      <c r="ANU67" s="94"/>
      <c r="ANV67" s="94"/>
      <c r="ANW67" s="94"/>
      <c r="ANX67" s="94"/>
      <c r="ANY67" s="94"/>
      <c r="ANZ67" s="94"/>
      <c r="AOA67" s="94"/>
      <c r="AOB67" s="94"/>
      <c r="AOC67" s="94"/>
      <c r="AOD67" s="94"/>
      <c r="AOE67" s="94"/>
      <c r="AOF67" s="94"/>
      <c r="AOG67" s="94"/>
      <c r="AOH67" s="94"/>
      <c r="AOI67" s="94"/>
      <c r="AOJ67" s="94"/>
      <c r="AOK67" s="94"/>
      <c r="AOL67" s="94"/>
      <c r="AOM67" s="94"/>
      <c r="AON67" s="94"/>
      <c r="AOO67" s="94"/>
      <c r="AOP67" s="94"/>
      <c r="AOQ67" s="94"/>
      <c r="AOR67" s="94"/>
      <c r="AOS67" s="94"/>
      <c r="AOT67" s="94"/>
      <c r="AOU67" s="94"/>
      <c r="AOV67" s="94"/>
      <c r="AOW67" s="94"/>
      <c r="AOX67" s="94"/>
      <c r="AOY67" s="94"/>
      <c r="AOZ67" s="94"/>
      <c r="APA67" s="94"/>
      <c r="APB67" s="94"/>
      <c r="APC67" s="94"/>
      <c r="APD67" s="94"/>
      <c r="APE67" s="94"/>
      <c r="APF67" s="94"/>
      <c r="APG67" s="94"/>
      <c r="APH67" s="94"/>
      <c r="API67" s="94"/>
      <c r="APJ67" s="94"/>
      <c r="APK67" s="94"/>
      <c r="APL67" s="94"/>
      <c r="APM67" s="94"/>
      <c r="APN67" s="94"/>
      <c r="APO67" s="94"/>
      <c r="APP67" s="94"/>
      <c r="APQ67" s="94"/>
      <c r="APR67" s="94"/>
      <c r="APS67" s="94"/>
      <c r="APT67" s="94"/>
      <c r="APU67" s="94"/>
      <c r="APV67" s="94"/>
      <c r="APW67" s="94"/>
      <c r="APX67" s="94"/>
      <c r="APY67" s="94"/>
      <c r="APZ67" s="94"/>
      <c r="AQA67" s="94"/>
      <c r="AQB67" s="94"/>
      <c r="AQC67" s="94"/>
      <c r="AQD67" s="94"/>
      <c r="AQE67" s="94"/>
      <c r="AQF67" s="94"/>
      <c r="AQG67" s="94"/>
      <c r="AQH67" s="94"/>
      <c r="AQI67" s="94"/>
      <c r="AQJ67" s="94"/>
      <c r="AQK67" s="94"/>
      <c r="AQL67" s="94"/>
      <c r="AQM67" s="94"/>
      <c r="AQN67" s="94"/>
      <c r="AQO67" s="94"/>
      <c r="AQP67" s="94"/>
      <c r="AQQ67" s="94"/>
      <c r="AQR67" s="94"/>
      <c r="AQS67" s="94"/>
      <c r="AQT67" s="94"/>
      <c r="AQU67" s="94"/>
      <c r="AQV67" s="94"/>
      <c r="AQW67" s="94"/>
      <c r="AQX67" s="94"/>
      <c r="AQY67" s="94"/>
      <c r="AQZ67" s="94"/>
      <c r="ARA67" s="94"/>
      <c r="ARB67" s="94"/>
      <c r="ARC67" s="94"/>
      <c r="ARD67" s="94"/>
      <c r="ARE67" s="94"/>
      <c r="ARF67" s="94"/>
      <c r="ARG67" s="94"/>
      <c r="ARH67" s="94"/>
      <c r="ARI67" s="94"/>
      <c r="ARJ67" s="94"/>
      <c r="ARK67" s="94"/>
      <c r="ARL67" s="94"/>
      <c r="ARM67" s="94"/>
      <c r="ARN67" s="94"/>
      <c r="ARO67" s="94"/>
      <c r="ARP67" s="94"/>
      <c r="ARQ67" s="94"/>
      <c r="ARR67" s="94"/>
      <c r="ARS67" s="94"/>
      <c r="ART67" s="94"/>
      <c r="ARU67" s="94"/>
      <c r="ARV67" s="94"/>
      <c r="ARW67" s="94"/>
      <c r="ARX67" s="94"/>
      <c r="ARY67" s="94"/>
      <c r="ARZ67" s="94"/>
      <c r="ASA67" s="94"/>
      <c r="ASB67" s="94"/>
      <c r="ASC67" s="94"/>
      <c r="ASD67" s="94"/>
      <c r="ASE67" s="94"/>
      <c r="ASF67" s="94"/>
      <c r="ASG67" s="94"/>
      <c r="ASH67" s="94"/>
      <c r="ASI67" s="94"/>
      <c r="ASJ67" s="94"/>
      <c r="ASK67" s="94"/>
      <c r="ASL67" s="94"/>
      <c r="ASM67" s="94"/>
      <c r="ASN67" s="94"/>
      <c r="ASO67" s="94"/>
      <c r="ASP67" s="94"/>
      <c r="ASQ67" s="94"/>
      <c r="ASR67" s="94"/>
      <c r="ASS67" s="94"/>
      <c r="AST67" s="94"/>
      <c r="ASU67" s="94"/>
      <c r="ASV67" s="94"/>
      <c r="ASW67" s="94"/>
      <c r="ASX67" s="94"/>
      <c r="ASY67" s="94"/>
      <c r="ASZ67" s="94"/>
      <c r="ATA67" s="94"/>
      <c r="ATB67" s="94"/>
      <c r="ATC67" s="94"/>
      <c r="ATD67" s="94"/>
      <c r="ATE67" s="94"/>
      <c r="ATF67" s="94"/>
      <c r="ATG67" s="94"/>
      <c r="ATH67" s="94"/>
      <c r="ATI67" s="94"/>
      <c r="ATJ67" s="94"/>
      <c r="ATK67" s="94"/>
      <c r="ATL67" s="94"/>
      <c r="ATM67" s="94"/>
      <c r="ATN67" s="94"/>
      <c r="ATO67" s="94"/>
      <c r="ATP67" s="94"/>
      <c r="ATQ67" s="94"/>
      <c r="ATR67" s="94"/>
      <c r="ATS67" s="94"/>
      <c r="ATT67" s="94"/>
      <c r="ATU67" s="94"/>
      <c r="ATV67" s="94"/>
      <c r="ATW67" s="94"/>
      <c r="ATX67" s="94"/>
      <c r="ATY67" s="94"/>
      <c r="ATZ67" s="94"/>
      <c r="AUA67" s="94"/>
      <c r="AUB67" s="94"/>
      <c r="AUC67" s="94"/>
      <c r="AUD67" s="94"/>
      <c r="AUE67" s="94"/>
      <c r="AUF67" s="94"/>
      <c r="AUG67" s="94"/>
      <c r="AUH67" s="94"/>
      <c r="AUI67" s="94"/>
      <c r="AUJ67" s="94"/>
      <c r="AUK67" s="94"/>
      <c r="AUL67" s="94"/>
      <c r="AUM67" s="94"/>
      <c r="AUN67" s="94"/>
      <c r="AUO67" s="94"/>
      <c r="AUP67" s="94"/>
      <c r="AUQ67" s="94"/>
      <c r="AUR67" s="94"/>
      <c r="AUS67" s="94"/>
      <c r="AUT67" s="94"/>
      <c r="AUU67" s="94"/>
      <c r="AUV67" s="94"/>
      <c r="AUW67" s="94"/>
      <c r="AUX67" s="94"/>
      <c r="AUY67" s="94"/>
      <c r="AUZ67" s="94"/>
      <c r="AVA67" s="94"/>
      <c r="AVB67" s="94"/>
      <c r="AVC67" s="94"/>
      <c r="AVD67" s="94"/>
      <c r="AVE67" s="94"/>
      <c r="AVF67" s="94"/>
      <c r="AVG67" s="94"/>
      <c r="AVH67" s="94"/>
      <c r="AVI67" s="94"/>
      <c r="AVJ67" s="94"/>
      <c r="AVK67" s="94"/>
      <c r="AVL67" s="94"/>
      <c r="AVM67" s="94"/>
      <c r="AVN67" s="94"/>
      <c r="AVO67" s="94"/>
      <c r="AVP67" s="94"/>
      <c r="AVQ67" s="94"/>
      <c r="AVR67" s="94"/>
      <c r="AVS67" s="94"/>
      <c r="AVT67" s="94"/>
      <c r="AVU67" s="94"/>
      <c r="AVV67" s="94"/>
      <c r="AVW67" s="94"/>
      <c r="AVX67" s="94"/>
      <c r="AVY67" s="94"/>
      <c r="AVZ67" s="94"/>
      <c r="AWA67" s="94"/>
      <c r="AWB67" s="94"/>
      <c r="AWC67" s="94"/>
      <c r="AWD67" s="94"/>
      <c r="AWE67" s="94"/>
      <c r="AWF67" s="94"/>
      <c r="AWG67" s="94"/>
      <c r="AWH67" s="94"/>
      <c r="AWI67" s="94"/>
      <c r="AWJ67" s="94"/>
      <c r="AWK67" s="94"/>
      <c r="AWL67" s="94"/>
      <c r="AWM67" s="94"/>
      <c r="AWN67" s="94"/>
      <c r="AWO67" s="94"/>
      <c r="AWP67" s="94"/>
      <c r="AWQ67" s="94"/>
      <c r="AWR67" s="94"/>
      <c r="AWS67" s="94"/>
      <c r="AWT67" s="94"/>
      <c r="AWU67" s="94"/>
      <c r="AWV67" s="94"/>
      <c r="AWW67" s="94"/>
      <c r="AWX67" s="94"/>
      <c r="AWY67" s="94"/>
      <c r="AWZ67" s="94"/>
      <c r="AXA67" s="94"/>
      <c r="AXB67" s="94"/>
      <c r="AXC67" s="94"/>
      <c r="AXD67" s="94"/>
      <c r="AXE67" s="94"/>
      <c r="AXF67" s="94"/>
      <c r="AXG67" s="94"/>
      <c r="AXH67" s="94"/>
      <c r="AXI67" s="94"/>
      <c r="AXJ67" s="94"/>
      <c r="AXK67" s="94"/>
      <c r="AXL67" s="94"/>
      <c r="AXM67" s="94"/>
      <c r="AXN67" s="94"/>
      <c r="AXO67" s="94"/>
      <c r="AXP67" s="94"/>
      <c r="AXQ67" s="94"/>
      <c r="AXR67" s="94"/>
      <c r="AXS67" s="94"/>
      <c r="AXT67" s="94"/>
      <c r="AXU67" s="94"/>
      <c r="AXV67" s="94"/>
      <c r="AXW67" s="94"/>
      <c r="AXX67" s="94"/>
      <c r="AXY67" s="94"/>
      <c r="AXZ67" s="94"/>
      <c r="AYA67" s="94"/>
      <c r="AYB67" s="94"/>
      <c r="AYC67" s="94"/>
      <c r="AYD67" s="94"/>
      <c r="AYE67" s="94"/>
      <c r="AYF67" s="94"/>
      <c r="AYG67" s="94"/>
      <c r="AYH67" s="94"/>
      <c r="AYI67" s="94"/>
      <c r="AYJ67" s="94"/>
      <c r="AYK67" s="94"/>
      <c r="AYL67" s="94"/>
      <c r="AYM67" s="94"/>
      <c r="AYN67" s="94"/>
      <c r="AYO67" s="94"/>
      <c r="AYP67" s="94"/>
      <c r="AYQ67" s="94"/>
      <c r="AYR67" s="94"/>
      <c r="AYS67" s="94"/>
      <c r="AYT67" s="94"/>
      <c r="AYU67" s="94"/>
      <c r="AYV67" s="94"/>
      <c r="AYW67" s="94"/>
      <c r="AYX67" s="94"/>
      <c r="AYY67" s="94"/>
      <c r="AYZ67" s="94"/>
      <c r="AZA67" s="94"/>
      <c r="AZB67" s="94"/>
      <c r="AZC67" s="94"/>
      <c r="AZD67" s="94"/>
      <c r="AZE67" s="94"/>
      <c r="AZF67" s="94"/>
      <c r="AZG67" s="94"/>
      <c r="AZH67" s="94"/>
      <c r="AZI67" s="94"/>
      <c r="AZJ67" s="94"/>
      <c r="AZK67" s="94"/>
      <c r="AZL67" s="94"/>
      <c r="AZM67" s="94"/>
      <c r="AZN67" s="94"/>
      <c r="AZO67" s="94"/>
      <c r="AZP67" s="94"/>
      <c r="AZQ67" s="94"/>
      <c r="AZR67" s="94"/>
      <c r="AZS67" s="94"/>
      <c r="AZT67" s="94"/>
      <c r="AZU67" s="94"/>
      <c r="AZV67" s="94"/>
      <c r="AZW67" s="94"/>
      <c r="AZX67" s="94"/>
      <c r="AZY67" s="94"/>
      <c r="AZZ67" s="94"/>
      <c r="BAA67" s="94"/>
      <c r="BAB67" s="94"/>
      <c r="BAC67" s="94"/>
      <c r="BAD67" s="94"/>
      <c r="BAE67" s="94"/>
      <c r="BAF67" s="94"/>
      <c r="BAG67" s="94"/>
      <c r="BAH67" s="94"/>
      <c r="BAI67" s="94"/>
      <c r="BAJ67" s="94"/>
      <c r="BAK67" s="94"/>
      <c r="BAL67" s="94"/>
      <c r="BAM67" s="94"/>
      <c r="BAN67" s="94"/>
      <c r="BAO67" s="94"/>
      <c r="BAP67" s="94"/>
      <c r="BAQ67" s="94"/>
      <c r="BAR67" s="94"/>
      <c r="BAS67" s="94"/>
      <c r="BAT67" s="94"/>
      <c r="BAU67" s="94"/>
      <c r="BAV67" s="94"/>
      <c r="BAW67" s="94"/>
      <c r="BAX67" s="94"/>
      <c r="BAY67" s="94"/>
      <c r="BAZ67" s="94"/>
      <c r="BBA67" s="94"/>
      <c r="BBB67" s="94"/>
      <c r="BBC67" s="94"/>
      <c r="BBD67" s="94"/>
      <c r="BBE67" s="94"/>
      <c r="BBF67" s="94"/>
      <c r="BBG67" s="94"/>
      <c r="BBH67" s="94"/>
      <c r="BBI67" s="94"/>
      <c r="BBJ67" s="94"/>
      <c r="BBK67" s="94"/>
      <c r="BBL67" s="94"/>
      <c r="BBM67" s="94"/>
      <c r="BBN67" s="94"/>
      <c r="BBO67" s="94"/>
      <c r="BBP67" s="94"/>
      <c r="BBQ67" s="94"/>
      <c r="BBR67" s="94"/>
      <c r="BBS67" s="94"/>
      <c r="BBT67" s="94"/>
      <c r="BBU67" s="94"/>
      <c r="BBV67" s="94"/>
      <c r="BBW67" s="94"/>
      <c r="BBX67" s="94"/>
      <c r="BBY67" s="94"/>
      <c r="BBZ67" s="94"/>
      <c r="BCA67" s="94"/>
      <c r="BCB67" s="94"/>
      <c r="BCC67" s="94"/>
      <c r="BCD67" s="94"/>
      <c r="BCE67" s="94"/>
      <c r="BCF67" s="94"/>
      <c r="BCG67" s="94"/>
      <c r="BCH67" s="94"/>
      <c r="BCI67" s="94"/>
      <c r="BCJ67" s="94"/>
      <c r="BCK67" s="94"/>
      <c r="BCL67" s="94"/>
      <c r="BCM67" s="94"/>
      <c r="BCN67" s="94"/>
      <c r="BCO67" s="94"/>
      <c r="BCP67" s="94"/>
      <c r="BCQ67" s="94"/>
      <c r="BCR67" s="94"/>
      <c r="BCS67" s="94"/>
      <c r="BCT67" s="94"/>
      <c r="BCU67" s="94"/>
      <c r="BCV67" s="94"/>
      <c r="BCW67" s="94"/>
      <c r="BCX67" s="94"/>
      <c r="BCY67" s="94"/>
      <c r="BCZ67" s="94"/>
      <c r="BDA67" s="94"/>
      <c r="BDB67" s="94"/>
      <c r="BDC67" s="94"/>
      <c r="BDD67" s="94"/>
      <c r="BDE67" s="94"/>
      <c r="BDF67" s="94"/>
      <c r="BDG67" s="94"/>
      <c r="BDH67" s="94"/>
      <c r="BDI67" s="94"/>
      <c r="BDJ67" s="94"/>
      <c r="BDK67" s="94"/>
      <c r="BDL67" s="94"/>
      <c r="BDM67" s="94"/>
      <c r="BDN67" s="94"/>
      <c r="BDO67" s="94"/>
      <c r="BDP67" s="94"/>
      <c r="BDQ67" s="94"/>
      <c r="BDR67" s="94"/>
      <c r="BDS67" s="94"/>
      <c r="BDT67" s="94"/>
      <c r="BDU67" s="94"/>
      <c r="BDV67" s="94"/>
      <c r="BDW67" s="94"/>
      <c r="BDX67" s="94"/>
      <c r="BDY67" s="94"/>
      <c r="BDZ67" s="94"/>
      <c r="BEA67" s="94"/>
      <c r="BEB67" s="94"/>
      <c r="BEC67" s="94"/>
      <c r="BED67" s="94"/>
      <c r="BEE67" s="94"/>
      <c r="BEF67" s="94"/>
      <c r="BEG67" s="94"/>
      <c r="BEH67" s="94"/>
      <c r="BEI67" s="94"/>
      <c r="BEJ67" s="94"/>
      <c r="BEK67" s="94"/>
      <c r="BEL67" s="94"/>
      <c r="BEM67" s="94"/>
      <c r="BEN67" s="94"/>
      <c r="BEO67" s="94"/>
      <c r="BEP67" s="94"/>
      <c r="BEQ67" s="94"/>
      <c r="BER67" s="94"/>
      <c r="BES67" s="94"/>
      <c r="BET67" s="94"/>
      <c r="BEU67" s="94"/>
      <c r="BEV67" s="94"/>
      <c r="BEW67" s="94"/>
      <c r="BEX67" s="94"/>
      <c r="BEY67" s="94"/>
      <c r="BEZ67" s="94"/>
      <c r="BFA67" s="94"/>
      <c r="BFB67" s="94"/>
      <c r="BFC67" s="94"/>
      <c r="BFD67" s="94"/>
      <c r="BFE67" s="94"/>
      <c r="BFF67" s="94"/>
      <c r="BFG67" s="94"/>
      <c r="BFH67" s="94"/>
      <c r="BFI67" s="94"/>
      <c r="BFJ67" s="94"/>
      <c r="BFK67" s="94"/>
      <c r="BFL67" s="94"/>
      <c r="BFM67" s="94"/>
      <c r="BFN67" s="94"/>
      <c r="BFO67" s="94"/>
      <c r="BFP67" s="94"/>
      <c r="BFQ67" s="94"/>
      <c r="BFR67" s="94"/>
      <c r="BFS67" s="94"/>
      <c r="BFT67" s="94"/>
      <c r="BFU67" s="94"/>
      <c r="BFV67" s="94"/>
      <c r="BFW67" s="94"/>
      <c r="BFX67" s="94"/>
      <c r="BFY67" s="94"/>
      <c r="BFZ67" s="94"/>
      <c r="BGA67" s="94"/>
      <c r="BGB67" s="94"/>
      <c r="BGC67" s="94"/>
      <c r="BGD67" s="94"/>
      <c r="BGE67" s="94"/>
      <c r="BGF67" s="94"/>
      <c r="BGG67" s="94"/>
      <c r="BGH67" s="94"/>
      <c r="BGI67" s="94"/>
      <c r="BGJ67" s="94"/>
      <c r="BGK67" s="94"/>
      <c r="BGL67" s="94"/>
      <c r="BGM67" s="94"/>
      <c r="BGN67" s="94"/>
      <c r="BGO67" s="94"/>
      <c r="BGP67" s="94"/>
      <c r="BGQ67" s="94"/>
      <c r="BGR67" s="94"/>
      <c r="BGS67" s="94"/>
      <c r="BGT67" s="94"/>
      <c r="BGU67" s="94"/>
      <c r="BGV67" s="94"/>
      <c r="BGW67" s="94"/>
      <c r="BGX67" s="94"/>
      <c r="BGY67" s="94"/>
      <c r="BGZ67" s="94"/>
      <c r="BHA67" s="94"/>
      <c r="BHB67" s="94"/>
      <c r="BHC67" s="94"/>
      <c r="BHD67" s="94"/>
      <c r="BHE67" s="94"/>
      <c r="BHF67" s="94"/>
      <c r="BHG67" s="94"/>
      <c r="BHH67" s="94"/>
      <c r="BHI67" s="94"/>
      <c r="BHJ67" s="94"/>
      <c r="BHK67" s="94"/>
      <c r="BHL67" s="94"/>
      <c r="BHM67" s="94"/>
      <c r="BHN67" s="94"/>
      <c r="BHO67" s="94"/>
      <c r="BHP67" s="94"/>
      <c r="BHQ67" s="94"/>
      <c r="BHR67" s="94"/>
      <c r="BHS67" s="94"/>
      <c r="BHT67" s="94"/>
      <c r="BHU67" s="94"/>
      <c r="BHV67" s="94"/>
      <c r="BHW67" s="94"/>
      <c r="BHX67" s="94"/>
      <c r="BHY67" s="94"/>
      <c r="BHZ67" s="94"/>
      <c r="BIA67" s="94"/>
      <c r="BIB67" s="94"/>
      <c r="BIC67" s="94"/>
      <c r="BID67" s="94"/>
      <c r="BIE67" s="94"/>
      <c r="BIF67" s="94"/>
      <c r="BIG67" s="94"/>
      <c r="BIH67" s="94"/>
      <c r="BII67" s="94"/>
      <c r="BIJ67" s="94"/>
      <c r="BIK67" s="94"/>
      <c r="BIL67" s="94"/>
      <c r="BIM67" s="94"/>
      <c r="BIN67" s="94"/>
      <c r="BIO67" s="94"/>
      <c r="BIP67" s="94"/>
      <c r="BIQ67" s="94"/>
      <c r="BIR67" s="94"/>
      <c r="BIS67" s="94"/>
      <c r="BIT67" s="94"/>
      <c r="BIU67" s="94"/>
      <c r="BIV67" s="94"/>
      <c r="BIW67" s="94"/>
      <c r="BIX67" s="94"/>
      <c r="BIY67" s="94"/>
      <c r="BIZ67" s="94"/>
      <c r="BJA67" s="94"/>
      <c r="BJB67" s="94"/>
      <c r="BJC67" s="94"/>
      <c r="BJD67" s="94"/>
      <c r="BJE67" s="94"/>
      <c r="BJF67" s="94"/>
      <c r="BJG67" s="94"/>
      <c r="BJH67" s="94"/>
      <c r="BJI67" s="94"/>
      <c r="BJJ67" s="94"/>
      <c r="BJK67" s="94"/>
      <c r="BJL67" s="94"/>
      <c r="BJM67" s="94"/>
      <c r="BJN67" s="94"/>
      <c r="BJO67" s="94"/>
      <c r="BJP67" s="94"/>
      <c r="BJQ67" s="94"/>
      <c r="BJR67" s="94"/>
      <c r="BJS67" s="94"/>
      <c r="BJT67" s="94"/>
      <c r="BJU67" s="94"/>
      <c r="BJV67" s="94"/>
      <c r="BJW67" s="94"/>
      <c r="BJX67" s="94"/>
      <c r="BJY67" s="94"/>
      <c r="BJZ67" s="94"/>
      <c r="BKA67" s="94"/>
      <c r="BKB67" s="94"/>
      <c r="BKC67" s="94"/>
      <c r="BKD67" s="94"/>
      <c r="BKE67" s="94"/>
      <c r="BKF67" s="94"/>
      <c r="BKG67" s="94"/>
      <c r="BKH67" s="94"/>
      <c r="BKI67" s="94"/>
      <c r="BKJ67" s="94"/>
      <c r="BKK67" s="94"/>
      <c r="BKL67" s="94"/>
      <c r="BKM67" s="94"/>
      <c r="BKN67" s="94"/>
      <c r="BKO67" s="94"/>
      <c r="BKP67" s="94"/>
      <c r="BKQ67" s="94"/>
      <c r="BKR67" s="94"/>
      <c r="BKS67" s="94"/>
      <c r="BKT67" s="94"/>
      <c r="BKU67" s="94"/>
      <c r="BKV67" s="94"/>
      <c r="BKW67" s="94"/>
      <c r="BKX67" s="94"/>
      <c r="BKY67" s="94"/>
      <c r="BKZ67" s="94"/>
      <c r="BLA67" s="94"/>
      <c r="BLB67" s="94"/>
      <c r="BLC67" s="94"/>
      <c r="BLD67" s="94"/>
      <c r="BLE67" s="94"/>
      <c r="BLF67" s="94"/>
      <c r="BLG67" s="94"/>
      <c r="BLH67" s="94"/>
      <c r="BLI67" s="94"/>
      <c r="BLJ67" s="94"/>
      <c r="BLK67" s="94"/>
      <c r="BLL67" s="94"/>
      <c r="BLM67" s="94"/>
      <c r="BLN67" s="94"/>
      <c r="BLO67" s="94"/>
      <c r="BLP67" s="94"/>
      <c r="BLQ67" s="94"/>
      <c r="BLR67" s="94"/>
      <c r="BLS67" s="94"/>
      <c r="BLT67" s="94"/>
      <c r="BLU67" s="94"/>
      <c r="BLV67" s="94"/>
      <c r="BLW67" s="94"/>
      <c r="BLX67" s="94"/>
      <c r="BLY67" s="94"/>
      <c r="BLZ67" s="94"/>
      <c r="BMA67" s="94"/>
      <c r="BMB67" s="94"/>
      <c r="BMC67" s="94"/>
      <c r="BMD67" s="94"/>
      <c r="BME67" s="94"/>
      <c r="BMF67" s="94"/>
      <c r="BMG67" s="94"/>
      <c r="BMH67" s="94"/>
      <c r="BMI67" s="94"/>
      <c r="BMJ67" s="94"/>
      <c r="BMK67" s="94"/>
      <c r="BML67" s="94"/>
      <c r="BMM67" s="94"/>
      <c r="BMN67" s="94"/>
      <c r="BMO67" s="94"/>
      <c r="BMP67" s="94"/>
      <c r="BMQ67" s="94"/>
      <c r="BMR67" s="94"/>
      <c r="BMS67" s="94"/>
      <c r="BMT67" s="94"/>
      <c r="BMU67" s="94"/>
      <c r="BMV67" s="94"/>
      <c r="BMW67" s="94"/>
      <c r="BMX67" s="94"/>
      <c r="BMY67" s="94"/>
      <c r="BMZ67" s="94"/>
      <c r="BNA67" s="94"/>
      <c r="BNB67" s="94"/>
      <c r="BNC67" s="94"/>
      <c r="BND67" s="94"/>
      <c r="BNE67" s="94"/>
      <c r="BNF67" s="94"/>
      <c r="BNG67" s="94"/>
      <c r="BNH67" s="94"/>
      <c r="BNI67" s="94"/>
      <c r="BNJ67" s="94"/>
      <c r="BNK67" s="94"/>
      <c r="BNL67" s="94"/>
      <c r="BNM67" s="94"/>
      <c r="BNN67" s="94"/>
      <c r="BNO67" s="94"/>
      <c r="BNP67" s="94"/>
      <c r="BNQ67" s="94"/>
      <c r="BNR67" s="94"/>
      <c r="BNS67" s="94"/>
      <c r="BNT67" s="94"/>
      <c r="BNU67" s="94"/>
      <c r="BNV67" s="94"/>
      <c r="BNW67" s="94"/>
      <c r="BNX67" s="94"/>
      <c r="BNY67" s="94"/>
      <c r="BNZ67" s="94"/>
      <c r="BOA67" s="94"/>
      <c r="BOB67" s="94"/>
      <c r="BOC67" s="94"/>
      <c r="BOD67" s="94"/>
      <c r="BOE67" s="94"/>
      <c r="BOF67" s="94"/>
      <c r="BOG67" s="94"/>
      <c r="BOH67" s="94"/>
      <c r="BOI67" s="94"/>
      <c r="BOJ67" s="94"/>
      <c r="BOK67" s="94"/>
      <c r="BOL67" s="94"/>
      <c r="BOM67" s="94"/>
      <c r="BON67" s="94"/>
      <c r="BOO67" s="94"/>
      <c r="BOP67" s="94"/>
      <c r="BOQ67" s="94"/>
      <c r="BOR67" s="94"/>
      <c r="BOS67" s="94"/>
      <c r="BOT67" s="94"/>
      <c r="BOU67" s="94"/>
      <c r="BOV67" s="94"/>
      <c r="BOW67" s="94"/>
      <c r="BOX67" s="94"/>
      <c r="BOY67" s="94"/>
      <c r="BOZ67" s="94"/>
      <c r="BPA67" s="94"/>
      <c r="BPB67" s="94"/>
      <c r="BPC67" s="94"/>
      <c r="BPD67" s="94"/>
      <c r="BPE67" s="94"/>
      <c r="BPF67" s="94"/>
      <c r="BPG67" s="94"/>
      <c r="BPH67" s="94"/>
      <c r="BPI67" s="94"/>
      <c r="BPJ67" s="94"/>
      <c r="BPK67" s="94"/>
      <c r="BPL67" s="94"/>
      <c r="BPM67" s="94"/>
      <c r="BPN67" s="94"/>
      <c r="BPO67" s="94"/>
      <c r="BPP67" s="94"/>
      <c r="BPQ67" s="94"/>
      <c r="BPR67" s="94"/>
      <c r="BPS67" s="94"/>
      <c r="BPT67" s="94"/>
      <c r="BPU67" s="94"/>
      <c r="BPV67" s="94"/>
      <c r="BPW67" s="94"/>
      <c r="BPX67" s="94"/>
      <c r="BPY67" s="94"/>
      <c r="BPZ67" s="94"/>
      <c r="BQA67" s="94"/>
      <c r="BQB67" s="94"/>
      <c r="BQC67" s="94"/>
      <c r="BQD67" s="94"/>
      <c r="BQE67" s="94"/>
      <c r="BQF67" s="94"/>
      <c r="BQG67" s="94"/>
      <c r="BQH67" s="94"/>
      <c r="BQI67" s="94"/>
      <c r="BQJ67" s="94"/>
      <c r="BQK67" s="94"/>
      <c r="BQL67" s="94"/>
      <c r="BQM67" s="94"/>
      <c r="BQN67" s="94"/>
      <c r="BQO67" s="94"/>
      <c r="BQP67" s="94"/>
      <c r="BQQ67" s="94"/>
      <c r="BQR67" s="94"/>
      <c r="BQS67" s="94"/>
      <c r="BQT67" s="94"/>
      <c r="BQU67" s="94"/>
      <c r="BQV67" s="94"/>
      <c r="BQW67" s="94"/>
      <c r="BQX67" s="94"/>
      <c r="BQY67" s="94"/>
      <c r="BQZ67" s="94"/>
      <c r="BRA67" s="94"/>
      <c r="BRB67" s="94"/>
      <c r="BRC67" s="94"/>
      <c r="BRD67" s="94"/>
      <c r="BRE67" s="94"/>
      <c r="BRF67" s="94"/>
      <c r="BRG67" s="94"/>
      <c r="BRH67" s="94"/>
      <c r="BRI67" s="94"/>
      <c r="BRJ67" s="94"/>
      <c r="BRK67" s="94"/>
      <c r="BRL67" s="94"/>
      <c r="BRM67" s="94"/>
      <c r="BRN67" s="94"/>
      <c r="BRO67" s="94"/>
      <c r="BRP67" s="94"/>
      <c r="BRQ67" s="94"/>
      <c r="BRR67" s="94"/>
      <c r="BRS67" s="94"/>
      <c r="BRT67" s="94"/>
      <c r="BRU67" s="94"/>
      <c r="BRV67" s="94"/>
      <c r="BRW67" s="94"/>
      <c r="BRX67" s="94"/>
      <c r="BRY67" s="94"/>
      <c r="BRZ67" s="94"/>
      <c r="BSA67" s="94"/>
      <c r="BSB67" s="94"/>
      <c r="BSC67" s="94"/>
      <c r="BSD67" s="94"/>
      <c r="BSE67" s="94"/>
      <c r="BSF67" s="94"/>
      <c r="BSG67" s="94"/>
      <c r="BSH67" s="94"/>
      <c r="BSI67" s="94"/>
      <c r="BSJ67" s="94"/>
      <c r="BSK67" s="94"/>
      <c r="BSL67" s="94"/>
      <c r="BSM67" s="94"/>
      <c r="BSN67" s="94"/>
      <c r="BSO67" s="94"/>
      <c r="BSP67" s="94"/>
      <c r="BSQ67" s="94"/>
      <c r="BSR67" s="94"/>
      <c r="BSS67" s="94"/>
      <c r="BST67" s="94"/>
      <c r="BSU67" s="94"/>
      <c r="BSV67" s="94"/>
      <c r="BSW67" s="94"/>
      <c r="BSX67" s="94"/>
      <c r="BSY67" s="94"/>
      <c r="BSZ67" s="94"/>
      <c r="BTA67" s="94"/>
      <c r="BTB67" s="94"/>
      <c r="BTC67" s="94"/>
      <c r="BTD67" s="94"/>
      <c r="BTE67" s="94"/>
      <c r="BTF67" s="94"/>
      <c r="BTG67" s="94"/>
      <c r="BTH67" s="94"/>
      <c r="BTI67" s="94"/>
      <c r="BTJ67" s="94"/>
      <c r="BTK67" s="94"/>
      <c r="BTL67" s="94"/>
      <c r="BTM67" s="94"/>
      <c r="BTN67" s="94"/>
      <c r="BTO67" s="94"/>
      <c r="BTP67" s="94"/>
      <c r="BTQ67" s="94"/>
      <c r="BTR67" s="94"/>
      <c r="BTS67" s="94"/>
      <c r="BTT67" s="94"/>
      <c r="BTU67" s="94"/>
      <c r="BTV67" s="94"/>
      <c r="BTW67" s="94"/>
      <c r="BTX67" s="94"/>
      <c r="BTY67" s="94"/>
      <c r="BTZ67" s="94"/>
      <c r="BUA67" s="94"/>
      <c r="BUB67" s="94"/>
      <c r="BUC67" s="94"/>
      <c r="BUD67" s="94"/>
      <c r="BUE67" s="94"/>
      <c r="BUF67" s="94"/>
      <c r="BUG67" s="94"/>
      <c r="BUH67" s="94"/>
      <c r="BUI67" s="94"/>
      <c r="BUJ67" s="94"/>
      <c r="BUK67" s="94"/>
      <c r="BUL67" s="94"/>
      <c r="BUM67" s="94"/>
      <c r="BUN67" s="94"/>
      <c r="BUO67" s="94"/>
      <c r="BUP67" s="94"/>
      <c r="BUQ67" s="94"/>
      <c r="BUR67" s="94"/>
      <c r="BUS67" s="94"/>
      <c r="BUT67" s="94"/>
      <c r="BUU67" s="94"/>
      <c r="BUV67" s="94"/>
      <c r="BUW67" s="94"/>
      <c r="BUX67" s="94"/>
      <c r="BUY67" s="94"/>
      <c r="BUZ67" s="94"/>
      <c r="BVA67" s="94"/>
      <c r="BVB67" s="94"/>
      <c r="BVC67" s="94"/>
      <c r="BVD67" s="94"/>
      <c r="BVE67" s="94"/>
      <c r="BVF67" s="94"/>
      <c r="BVG67" s="94"/>
      <c r="BVH67" s="94"/>
      <c r="BVI67" s="94"/>
      <c r="BVJ67" s="94"/>
      <c r="BVK67" s="94"/>
      <c r="BVL67" s="94"/>
      <c r="BVM67" s="94"/>
      <c r="BVN67" s="94"/>
      <c r="BVO67" s="94"/>
      <c r="BVP67" s="94"/>
      <c r="BVQ67" s="94"/>
      <c r="BVR67" s="94"/>
      <c r="BVS67" s="94"/>
      <c r="BVT67" s="94"/>
      <c r="BVU67" s="94"/>
      <c r="BVV67" s="94"/>
      <c r="BVW67" s="94"/>
      <c r="BVX67" s="94"/>
      <c r="BVY67" s="94"/>
      <c r="BVZ67" s="94"/>
      <c r="BWA67" s="94"/>
      <c r="BWB67" s="94"/>
      <c r="BWC67" s="94"/>
      <c r="BWD67" s="94"/>
      <c r="BWE67" s="94"/>
      <c r="BWF67" s="94"/>
      <c r="BWG67" s="94"/>
      <c r="BWH67" s="94"/>
      <c r="BWI67" s="94"/>
      <c r="BWJ67" s="94"/>
      <c r="BWK67" s="94"/>
      <c r="BWL67" s="94"/>
      <c r="BWM67" s="94"/>
      <c r="BWN67" s="94"/>
      <c r="BWO67" s="94"/>
      <c r="BWP67" s="94"/>
      <c r="BWQ67" s="94"/>
      <c r="BWR67" s="94"/>
      <c r="BWS67" s="94"/>
      <c r="BWT67" s="94"/>
      <c r="BWU67" s="94"/>
      <c r="BWV67" s="94"/>
      <c r="BWW67" s="94"/>
      <c r="BWX67" s="94"/>
      <c r="BWY67" s="94"/>
      <c r="BWZ67" s="94"/>
      <c r="BXA67" s="94"/>
      <c r="BXB67" s="94"/>
      <c r="BXC67" s="94"/>
      <c r="BXD67" s="94"/>
      <c r="BXE67" s="94"/>
      <c r="BXF67" s="94"/>
      <c r="BXG67" s="94"/>
      <c r="BXH67" s="94"/>
      <c r="BXI67" s="94"/>
      <c r="BXJ67" s="94"/>
      <c r="BXK67" s="94"/>
      <c r="BXL67" s="94"/>
      <c r="BXM67" s="94"/>
      <c r="BXN67" s="94"/>
      <c r="BXO67" s="94"/>
      <c r="BXP67" s="94"/>
      <c r="BXQ67" s="94"/>
      <c r="BXR67" s="94"/>
      <c r="BXS67" s="94"/>
      <c r="BXT67" s="94"/>
      <c r="BXU67" s="94"/>
      <c r="BXV67" s="94"/>
      <c r="BXW67" s="94"/>
      <c r="BXX67" s="94"/>
      <c r="BXY67" s="94"/>
      <c r="BXZ67" s="94"/>
      <c r="BYA67" s="94"/>
      <c r="BYB67" s="94"/>
      <c r="BYC67" s="94"/>
      <c r="BYD67" s="94"/>
      <c r="BYE67" s="94"/>
      <c r="BYF67" s="94"/>
      <c r="BYG67" s="94"/>
    </row>
    <row r="68" spans="1:2009" s="94" customFormat="1" ht="9" customHeight="1" thickBot="1" x14ac:dyDescent="0.3">
      <c r="A68" s="658"/>
      <c r="B68" s="658"/>
      <c r="C68" s="430"/>
      <c r="D68" s="175"/>
      <c r="E68" s="175"/>
      <c r="F68" s="175"/>
      <c r="G68" s="635"/>
      <c r="H68" s="93"/>
      <c r="I68" s="544"/>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hidden="1" customHeight="1" x14ac:dyDescent="0.25">
      <c r="A69" s="797" t="s">
        <v>446</v>
      </c>
      <c r="B69" s="798"/>
      <c r="C69" s="804"/>
      <c r="D69" s="804"/>
      <c r="E69" s="818"/>
      <c r="F69" s="804"/>
      <c r="G69" s="816">
        <f>SUM(C69:F69)</f>
        <v>0</v>
      </c>
      <c r="H69" s="93"/>
      <c r="I69" s="544"/>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hidden="1" customHeight="1" x14ac:dyDescent="0.25">
      <c r="A70" s="801" t="s">
        <v>398</v>
      </c>
      <c r="B70" s="802"/>
      <c r="C70" s="805"/>
      <c r="D70" s="805"/>
      <c r="E70" s="805"/>
      <c r="F70" s="805"/>
      <c r="G70" s="817">
        <f>SUM(C70:F70)</f>
        <v>0</v>
      </c>
      <c r="H70" s="93"/>
      <c r="I70" s="544"/>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4" customFormat="1" ht="24.95" hidden="1" customHeight="1" thickBot="1" x14ac:dyDescent="0.3">
      <c r="A71" s="799"/>
      <c r="B71" s="803" t="s">
        <v>445</v>
      </c>
      <c r="C71" s="805">
        <f>C69+C70</f>
        <v>0</v>
      </c>
      <c r="D71" s="805">
        <f>D69+D70</f>
        <v>0</v>
      </c>
      <c r="E71" s="805"/>
      <c r="F71" s="805"/>
      <c r="G71" s="800">
        <f>SUM(C71:F71)</f>
        <v>0</v>
      </c>
      <c r="H71" s="93"/>
      <c r="I71" s="544"/>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2009" s="95" customFormat="1" ht="12.75" hidden="1" customHeight="1" thickBot="1" x14ac:dyDescent="0.3">
      <c r="A72" s="119"/>
      <c r="B72" s="119"/>
      <c r="C72" s="170"/>
      <c r="D72" s="170"/>
      <c r="E72" s="170"/>
      <c r="F72" s="170"/>
      <c r="G72" s="645"/>
      <c r="H72" s="93"/>
      <c r="I72" s="544"/>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226" customFormat="1" ht="24.95" customHeight="1" thickBot="1" x14ac:dyDescent="0.3">
      <c r="A73" s="225"/>
      <c r="B73" s="455" t="s">
        <v>610</v>
      </c>
      <c r="C73" s="278">
        <f>SUM(C8+C14+C23+C27+C32+C44+C56)+C36+C51+C60+C62+C58+C67+C65+C71</f>
        <v>162473.34000000003</v>
      </c>
      <c r="D73" s="278">
        <f>SUM(D8+D14+D23+D27+D32+D44+D56)+D36+D51+D60+D62+D58+D67+D65+D71+D64</f>
        <v>61083.68</v>
      </c>
      <c r="E73" s="278">
        <f>SUM(E8+E14+E23+E27+E32+E44+E56)+E36+E51+E60+E62+E65+E71+E64</f>
        <v>33395.06</v>
      </c>
      <c r="F73" s="278">
        <f>SUM(F8+F14+F23+F27+F32+F44+F56)+F36+F51+F60+F65+F71+F62+F64</f>
        <v>31840.560000000001</v>
      </c>
      <c r="G73" s="657">
        <f>SUM(G8+G14+G23+G27+G32+G44+G56)+G36+G51+G60+G62+G58+G67+G65+G71+G64</f>
        <v>288792.64</v>
      </c>
      <c r="H73" s="195"/>
      <c r="I73" s="544"/>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96"/>
      <c r="ALN73" s="196"/>
      <c r="ALO73" s="196"/>
      <c r="ALP73" s="196"/>
      <c r="ALQ73" s="196"/>
      <c r="ALR73" s="196"/>
      <c r="ALS73" s="196"/>
      <c r="ALT73" s="196"/>
      <c r="ALU73" s="196"/>
      <c r="ALV73" s="196"/>
      <c r="ALW73" s="196"/>
      <c r="ALX73" s="196"/>
      <c r="ALY73" s="196"/>
      <c r="ALZ73" s="196"/>
      <c r="AMA73" s="196"/>
      <c r="AMB73" s="196"/>
      <c r="AMC73" s="196"/>
      <c r="AMD73" s="196"/>
      <c r="AME73" s="196"/>
      <c r="AMF73" s="196"/>
      <c r="AMG73" s="196"/>
      <c r="AMH73" s="196"/>
      <c r="AMI73" s="196"/>
      <c r="AMJ73" s="196"/>
      <c r="AMK73" s="196"/>
      <c r="AML73" s="196"/>
      <c r="AMM73" s="196"/>
      <c r="AMN73" s="196"/>
      <c r="AMO73" s="196"/>
      <c r="AMP73" s="196"/>
      <c r="AMQ73" s="196"/>
      <c r="AMR73" s="196"/>
      <c r="AMS73" s="196"/>
      <c r="AMT73" s="196"/>
      <c r="AMU73" s="196"/>
      <c r="AMV73" s="196"/>
      <c r="AMW73" s="196"/>
      <c r="AMX73" s="196"/>
      <c r="AMY73" s="196"/>
      <c r="AMZ73" s="196"/>
      <c r="ANA73" s="196"/>
      <c r="ANB73" s="196"/>
      <c r="ANC73" s="196"/>
      <c r="AND73" s="196"/>
      <c r="ANE73" s="196"/>
      <c r="ANF73" s="196"/>
      <c r="ANG73" s="196"/>
      <c r="ANH73" s="196"/>
      <c r="ANI73" s="196"/>
      <c r="ANJ73" s="196"/>
      <c r="ANK73" s="196"/>
      <c r="ANL73" s="196"/>
      <c r="ANM73" s="196"/>
      <c r="ANN73" s="196"/>
      <c r="ANO73" s="196"/>
      <c r="ANP73" s="196"/>
      <c r="ANQ73" s="196"/>
      <c r="ANR73" s="196"/>
      <c r="ANS73" s="196"/>
      <c r="ANT73" s="196"/>
      <c r="ANU73" s="196"/>
      <c r="ANV73" s="196"/>
      <c r="ANW73" s="196"/>
      <c r="ANX73" s="196"/>
      <c r="ANY73" s="196"/>
      <c r="ANZ73" s="196"/>
      <c r="AOA73" s="196"/>
      <c r="AOB73" s="196"/>
      <c r="AOC73" s="196"/>
      <c r="AOD73" s="196"/>
      <c r="AOE73" s="196"/>
      <c r="AOF73" s="196"/>
      <c r="AOG73" s="196"/>
      <c r="AOH73" s="196"/>
      <c r="AOI73" s="196"/>
      <c r="AOJ73" s="196"/>
      <c r="AOK73" s="196"/>
      <c r="AOL73" s="196"/>
      <c r="AOM73" s="196"/>
      <c r="AON73" s="196"/>
      <c r="AOO73" s="196"/>
      <c r="AOP73" s="196"/>
      <c r="AOQ73" s="196"/>
      <c r="AOR73" s="196"/>
      <c r="AOS73" s="196"/>
      <c r="AOT73" s="196"/>
      <c r="AOU73" s="196"/>
      <c r="AOV73" s="196"/>
      <c r="AOW73" s="196"/>
      <c r="AOX73" s="196"/>
      <c r="AOY73" s="196"/>
      <c r="AOZ73" s="196"/>
      <c r="APA73" s="196"/>
      <c r="APB73" s="196"/>
      <c r="APC73" s="196"/>
      <c r="APD73" s="196"/>
      <c r="APE73" s="196"/>
      <c r="APF73" s="196"/>
      <c r="APG73" s="196"/>
      <c r="APH73" s="196"/>
      <c r="API73" s="196"/>
      <c r="APJ73" s="196"/>
      <c r="APK73" s="196"/>
      <c r="APL73" s="196"/>
      <c r="APM73" s="196"/>
      <c r="APN73" s="196"/>
      <c r="APO73" s="196"/>
      <c r="APP73" s="196"/>
      <c r="APQ73" s="196"/>
      <c r="APR73" s="196"/>
      <c r="APS73" s="196"/>
      <c r="APT73" s="196"/>
      <c r="APU73" s="196"/>
      <c r="APV73" s="196"/>
      <c r="APW73" s="196"/>
      <c r="APX73" s="196"/>
      <c r="APY73" s="196"/>
      <c r="APZ73" s="196"/>
      <c r="AQA73" s="196"/>
      <c r="AQB73" s="196"/>
      <c r="AQC73" s="196"/>
      <c r="AQD73" s="196"/>
      <c r="AQE73" s="196"/>
      <c r="AQF73" s="196"/>
      <c r="AQG73" s="196"/>
      <c r="AQH73" s="196"/>
      <c r="AQI73" s="196"/>
      <c r="AQJ73" s="196"/>
      <c r="AQK73" s="196"/>
      <c r="AQL73" s="196"/>
      <c r="AQM73" s="196"/>
      <c r="AQN73" s="196"/>
      <c r="AQO73" s="196"/>
      <c r="AQP73" s="196"/>
      <c r="AQQ73" s="196"/>
      <c r="AQR73" s="196"/>
      <c r="AQS73" s="196"/>
      <c r="AQT73" s="196"/>
      <c r="AQU73" s="196"/>
      <c r="AQV73" s="196"/>
      <c r="AQW73" s="196"/>
      <c r="AQX73" s="196"/>
      <c r="AQY73" s="196"/>
      <c r="AQZ73" s="196"/>
      <c r="ARA73" s="196"/>
      <c r="ARB73" s="196"/>
      <c r="ARC73" s="196"/>
      <c r="ARD73" s="196"/>
      <c r="ARE73" s="196"/>
      <c r="ARF73" s="196"/>
      <c r="ARG73" s="196"/>
      <c r="ARH73" s="196"/>
      <c r="ARI73" s="196"/>
      <c r="ARJ73" s="196"/>
      <c r="ARK73" s="196"/>
      <c r="ARL73" s="196"/>
      <c r="ARM73" s="196"/>
      <c r="ARN73" s="196"/>
      <c r="ARO73" s="196"/>
      <c r="ARP73" s="196"/>
      <c r="ARQ73" s="196"/>
      <c r="ARR73" s="196"/>
      <c r="ARS73" s="196"/>
      <c r="ART73" s="196"/>
      <c r="ARU73" s="196"/>
      <c r="ARV73" s="196"/>
      <c r="ARW73" s="196"/>
      <c r="ARX73" s="196"/>
      <c r="ARY73" s="196"/>
      <c r="ARZ73" s="196"/>
      <c r="ASA73" s="196"/>
      <c r="ASB73" s="196"/>
      <c r="ASC73" s="196"/>
      <c r="ASD73" s="196"/>
      <c r="ASE73" s="196"/>
      <c r="ASF73" s="196"/>
      <c r="ASG73" s="196"/>
      <c r="ASH73" s="196"/>
      <c r="ASI73" s="196"/>
      <c r="ASJ73" s="196"/>
      <c r="ASK73" s="196"/>
      <c r="ASL73" s="196"/>
      <c r="ASM73" s="196"/>
      <c r="ASN73" s="196"/>
      <c r="ASO73" s="196"/>
      <c r="ASP73" s="196"/>
      <c r="ASQ73" s="196"/>
      <c r="ASR73" s="196"/>
      <c r="ASS73" s="196"/>
      <c r="AST73" s="196"/>
      <c r="ASU73" s="196"/>
      <c r="ASV73" s="196"/>
      <c r="ASW73" s="196"/>
      <c r="ASX73" s="196"/>
      <c r="ASY73" s="196"/>
      <c r="ASZ73" s="196"/>
      <c r="ATA73" s="196"/>
      <c r="ATB73" s="196"/>
      <c r="ATC73" s="196"/>
      <c r="ATD73" s="196"/>
      <c r="ATE73" s="196"/>
      <c r="ATF73" s="196"/>
      <c r="ATG73" s="196"/>
      <c r="ATH73" s="196"/>
      <c r="ATI73" s="196"/>
      <c r="ATJ73" s="196"/>
      <c r="ATK73" s="196"/>
      <c r="ATL73" s="196"/>
      <c r="ATM73" s="196"/>
      <c r="ATN73" s="196"/>
      <c r="ATO73" s="196"/>
      <c r="ATP73" s="196"/>
      <c r="ATQ73" s="196"/>
      <c r="ATR73" s="196"/>
      <c r="ATS73" s="196"/>
      <c r="ATT73" s="196"/>
      <c r="ATU73" s="196"/>
      <c r="ATV73" s="196"/>
      <c r="ATW73" s="196"/>
      <c r="ATX73" s="196"/>
      <c r="ATY73" s="196"/>
      <c r="ATZ73" s="196"/>
      <c r="AUA73" s="196"/>
      <c r="AUB73" s="196"/>
      <c r="AUC73" s="196"/>
      <c r="AUD73" s="196"/>
      <c r="AUE73" s="196"/>
      <c r="AUF73" s="196"/>
      <c r="AUG73" s="196"/>
      <c r="AUH73" s="196"/>
      <c r="AUI73" s="196"/>
      <c r="AUJ73" s="196"/>
      <c r="AUK73" s="196"/>
      <c r="AUL73" s="196"/>
      <c r="AUM73" s="196"/>
      <c r="AUN73" s="196"/>
      <c r="AUO73" s="196"/>
      <c r="AUP73" s="196"/>
      <c r="AUQ73" s="196"/>
      <c r="AUR73" s="196"/>
      <c r="AUS73" s="196"/>
      <c r="AUT73" s="196"/>
      <c r="AUU73" s="196"/>
      <c r="AUV73" s="196"/>
      <c r="AUW73" s="196"/>
      <c r="AUX73" s="196"/>
      <c r="AUY73" s="196"/>
      <c r="AUZ73" s="196"/>
      <c r="AVA73" s="196"/>
      <c r="AVB73" s="196"/>
      <c r="AVC73" s="196"/>
      <c r="AVD73" s="196"/>
      <c r="AVE73" s="196"/>
      <c r="AVF73" s="196"/>
      <c r="AVG73" s="196"/>
      <c r="AVH73" s="196"/>
      <c r="AVI73" s="196"/>
      <c r="AVJ73" s="196"/>
      <c r="AVK73" s="196"/>
      <c r="AVL73" s="196"/>
      <c r="AVM73" s="196"/>
      <c r="AVN73" s="196"/>
      <c r="AVO73" s="196"/>
      <c r="AVP73" s="196"/>
      <c r="AVQ73" s="196"/>
      <c r="AVR73" s="196"/>
      <c r="AVS73" s="196"/>
      <c r="AVT73" s="196"/>
      <c r="AVU73" s="196"/>
      <c r="AVV73" s="196"/>
      <c r="AVW73" s="196"/>
      <c r="AVX73" s="196"/>
      <c r="AVY73" s="196"/>
      <c r="AVZ73" s="196"/>
      <c r="AWA73" s="196"/>
      <c r="AWB73" s="196"/>
      <c r="AWC73" s="196"/>
      <c r="AWD73" s="196"/>
      <c r="AWE73" s="196"/>
      <c r="AWF73" s="196"/>
      <c r="AWG73" s="196"/>
      <c r="AWH73" s="196"/>
      <c r="AWI73" s="196"/>
      <c r="AWJ73" s="196"/>
      <c r="AWK73" s="196"/>
      <c r="AWL73" s="196"/>
      <c r="AWM73" s="196"/>
      <c r="AWN73" s="196"/>
      <c r="AWO73" s="196"/>
      <c r="AWP73" s="196"/>
      <c r="AWQ73" s="196"/>
      <c r="AWR73" s="196"/>
      <c r="AWS73" s="196"/>
      <c r="AWT73" s="196"/>
      <c r="AWU73" s="196"/>
      <c r="AWV73" s="196"/>
      <c r="AWW73" s="196"/>
      <c r="AWX73" s="196"/>
      <c r="AWY73" s="196"/>
      <c r="AWZ73" s="196"/>
      <c r="AXA73" s="196"/>
      <c r="AXB73" s="196"/>
      <c r="AXC73" s="196"/>
      <c r="AXD73" s="196"/>
      <c r="AXE73" s="196"/>
      <c r="AXF73" s="196"/>
      <c r="AXG73" s="196"/>
      <c r="AXH73" s="196"/>
      <c r="AXI73" s="196"/>
      <c r="AXJ73" s="196"/>
      <c r="AXK73" s="196"/>
      <c r="AXL73" s="196"/>
      <c r="AXM73" s="196"/>
      <c r="AXN73" s="196"/>
      <c r="AXO73" s="196"/>
      <c r="AXP73" s="196"/>
      <c r="AXQ73" s="196"/>
      <c r="AXR73" s="196"/>
      <c r="AXS73" s="196"/>
      <c r="AXT73" s="196"/>
      <c r="AXU73" s="196"/>
      <c r="AXV73" s="196"/>
      <c r="AXW73" s="196"/>
      <c r="AXX73" s="196"/>
      <c r="AXY73" s="196"/>
      <c r="AXZ73" s="196"/>
      <c r="AYA73" s="196"/>
      <c r="AYB73" s="196"/>
      <c r="AYC73" s="196"/>
      <c r="AYD73" s="196"/>
      <c r="AYE73" s="196"/>
      <c r="AYF73" s="196"/>
      <c r="AYG73" s="196"/>
      <c r="AYH73" s="196"/>
      <c r="AYI73" s="196"/>
      <c r="AYJ73" s="196"/>
      <c r="AYK73" s="196"/>
      <c r="AYL73" s="196"/>
      <c r="AYM73" s="196"/>
      <c r="AYN73" s="196"/>
      <c r="AYO73" s="196"/>
      <c r="AYP73" s="196"/>
      <c r="AYQ73" s="196"/>
      <c r="AYR73" s="196"/>
      <c r="AYS73" s="196"/>
      <c r="AYT73" s="196"/>
      <c r="AYU73" s="196"/>
      <c r="AYV73" s="196"/>
      <c r="AYW73" s="196"/>
      <c r="AYX73" s="196"/>
      <c r="AYY73" s="196"/>
      <c r="AYZ73" s="196"/>
      <c r="AZA73" s="196"/>
      <c r="AZB73" s="196"/>
      <c r="AZC73" s="196"/>
      <c r="AZD73" s="196"/>
      <c r="AZE73" s="196"/>
      <c r="AZF73" s="196"/>
      <c r="AZG73" s="196"/>
      <c r="AZH73" s="196"/>
      <c r="AZI73" s="196"/>
      <c r="AZJ73" s="196"/>
      <c r="AZK73" s="196"/>
      <c r="AZL73" s="196"/>
      <c r="AZM73" s="196"/>
      <c r="AZN73" s="196"/>
      <c r="AZO73" s="196"/>
      <c r="AZP73" s="196"/>
      <c r="AZQ73" s="196"/>
      <c r="AZR73" s="196"/>
      <c r="AZS73" s="196"/>
      <c r="AZT73" s="196"/>
      <c r="AZU73" s="196"/>
      <c r="AZV73" s="196"/>
      <c r="AZW73" s="196"/>
      <c r="AZX73" s="196"/>
      <c r="AZY73" s="196"/>
      <c r="AZZ73" s="196"/>
      <c r="BAA73" s="196"/>
      <c r="BAB73" s="196"/>
      <c r="BAC73" s="196"/>
      <c r="BAD73" s="196"/>
      <c r="BAE73" s="196"/>
      <c r="BAF73" s="196"/>
      <c r="BAG73" s="196"/>
      <c r="BAH73" s="196"/>
      <c r="BAI73" s="196"/>
      <c r="BAJ73" s="196"/>
      <c r="BAK73" s="196"/>
      <c r="BAL73" s="196"/>
      <c r="BAM73" s="196"/>
      <c r="BAN73" s="196"/>
      <c r="BAO73" s="196"/>
      <c r="BAP73" s="196"/>
      <c r="BAQ73" s="196"/>
      <c r="BAR73" s="196"/>
      <c r="BAS73" s="196"/>
      <c r="BAT73" s="196"/>
      <c r="BAU73" s="196"/>
      <c r="BAV73" s="196"/>
      <c r="BAW73" s="196"/>
      <c r="BAX73" s="196"/>
      <c r="BAY73" s="196"/>
      <c r="BAZ73" s="196"/>
      <c r="BBA73" s="196"/>
      <c r="BBB73" s="196"/>
      <c r="BBC73" s="196"/>
      <c r="BBD73" s="196"/>
      <c r="BBE73" s="196"/>
      <c r="BBF73" s="196"/>
      <c r="BBG73" s="196"/>
      <c r="BBH73" s="196"/>
      <c r="BBI73" s="196"/>
      <c r="BBJ73" s="196"/>
      <c r="BBK73" s="196"/>
      <c r="BBL73" s="196"/>
      <c r="BBM73" s="196"/>
      <c r="BBN73" s="196"/>
      <c r="BBO73" s="196"/>
      <c r="BBP73" s="196"/>
      <c r="BBQ73" s="196"/>
      <c r="BBR73" s="196"/>
      <c r="BBS73" s="196"/>
      <c r="BBT73" s="196"/>
      <c r="BBU73" s="196"/>
      <c r="BBV73" s="196"/>
      <c r="BBW73" s="196"/>
      <c r="BBX73" s="196"/>
      <c r="BBY73" s="196"/>
      <c r="BBZ73" s="196"/>
      <c r="BCA73" s="196"/>
      <c r="BCB73" s="196"/>
      <c r="BCC73" s="196"/>
      <c r="BCD73" s="196"/>
      <c r="BCE73" s="196"/>
      <c r="BCF73" s="196"/>
      <c r="BCG73" s="196"/>
      <c r="BCH73" s="196"/>
      <c r="BCI73" s="196"/>
      <c r="BCJ73" s="196"/>
      <c r="BCK73" s="196"/>
      <c r="BCL73" s="196"/>
      <c r="BCM73" s="196"/>
      <c r="BCN73" s="196"/>
      <c r="BCO73" s="196"/>
      <c r="BCP73" s="196"/>
      <c r="BCQ73" s="196"/>
      <c r="BCR73" s="196"/>
      <c r="BCS73" s="196"/>
      <c r="BCT73" s="196"/>
      <c r="BCU73" s="196"/>
      <c r="BCV73" s="196"/>
      <c r="BCW73" s="196"/>
      <c r="BCX73" s="196"/>
      <c r="BCY73" s="196"/>
      <c r="BCZ73" s="196"/>
      <c r="BDA73" s="196"/>
      <c r="BDB73" s="196"/>
      <c r="BDC73" s="196"/>
      <c r="BDD73" s="196"/>
      <c r="BDE73" s="196"/>
      <c r="BDF73" s="196"/>
      <c r="BDG73" s="196"/>
      <c r="BDH73" s="196"/>
      <c r="BDI73" s="196"/>
      <c r="BDJ73" s="196"/>
      <c r="BDK73" s="196"/>
      <c r="BDL73" s="196"/>
      <c r="BDM73" s="196"/>
      <c r="BDN73" s="196"/>
      <c r="BDO73" s="196"/>
      <c r="BDP73" s="196"/>
      <c r="BDQ73" s="196"/>
      <c r="BDR73" s="196"/>
      <c r="BDS73" s="196"/>
      <c r="BDT73" s="196"/>
      <c r="BDU73" s="196"/>
      <c r="BDV73" s="196"/>
      <c r="BDW73" s="196"/>
      <c r="BDX73" s="196"/>
      <c r="BDY73" s="196"/>
      <c r="BDZ73" s="196"/>
      <c r="BEA73" s="196"/>
      <c r="BEB73" s="196"/>
      <c r="BEC73" s="196"/>
      <c r="BED73" s="196"/>
      <c r="BEE73" s="196"/>
      <c r="BEF73" s="196"/>
      <c r="BEG73" s="196"/>
      <c r="BEH73" s="196"/>
      <c r="BEI73" s="196"/>
      <c r="BEJ73" s="196"/>
      <c r="BEK73" s="196"/>
      <c r="BEL73" s="196"/>
      <c r="BEM73" s="196"/>
      <c r="BEN73" s="196"/>
      <c r="BEO73" s="196"/>
      <c r="BEP73" s="196"/>
      <c r="BEQ73" s="196"/>
      <c r="BER73" s="196"/>
      <c r="BES73" s="196"/>
      <c r="BET73" s="196"/>
      <c r="BEU73" s="196"/>
      <c r="BEV73" s="196"/>
      <c r="BEW73" s="196"/>
      <c r="BEX73" s="196"/>
      <c r="BEY73" s="196"/>
      <c r="BEZ73" s="196"/>
      <c r="BFA73" s="196"/>
      <c r="BFB73" s="196"/>
      <c r="BFC73" s="196"/>
      <c r="BFD73" s="196"/>
      <c r="BFE73" s="196"/>
      <c r="BFF73" s="196"/>
      <c r="BFG73" s="196"/>
      <c r="BFH73" s="196"/>
      <c r="BFI73" s="196"/>
      <c r="BFJ73" s="196"/>
      <c r="BFK73" s="196"/>
      <c r="BFL73" s="196"/>
      <c r="BFM73" s="196"/>
      <c r="BFN73" s="196"/>
      <c r="BFO73" s="196"/>
      <c r="BFP73" s="196"/>
      <c r="BFQ73" s="196"/>
      <c r="BFR73" s="196"/>
      <c r="BFS73" s="196"/>
      <c r="BFT73" s="196"/>
      <c r="BFU73" s="196"/>
      <c r="BFV73" s="196"/>
      <c r="BFW73" s="196"/>
      <c r="BFX73" s="196"/>
      <c r="BFY73" s="196"/>
      <c r="BFZ73" s="196"/>
      <c r="BGA73" s="196"/>
      <c r="BGB73" s="196"/>
      <c r="BGC73" s="196"/>
      <c r="BGD73" s="196"/>
      <c r="BGE73" s="196"/>
      <c r="BGF73" s="196"/>
      <c r="BGG73" s="196"/>
      <c r="BGH73" s="196"/>
      <c r="BGI73" s="196"/>
      <c r="BGJ73" s="196"/>
      <c r="BGK73" s="196"/>
      <c r="BGL73" s="196"/>
      <c r="BGM73" s="196"/>
      <c r="BGN73" s="196"/>
      <c r="BGO73" s="196"/>
      <c r="BGP73" s="196"/>
      <c r="BGQ73" s="196"/>
      <c r="BGR73" s="196"/>
      <c r="BGS73" s="196"/>
      <c r="BGT73" s="196"/>
      <c r="BGU73" s="196"/>
      <c r="BGV73" s="196"/>
      <c r="BGW73" s="196"/>
      <c r="BGX73" s="196"/>
      <c r="BGY73" s="196"/>
      <c r="BGZ73" s="196"/>
      <c r="BHA73" s="196"/>
      <c r="BHB73" s="196"/>
      <c r="BHC73" s="196"/>
      <c r="BHD73" s="196"/>
      <c r="BHE73" s="196"/>
      <c r="BHF73" s="196"/>
      <c r="BHG73" s="196"/>
      <c r="BHH73" s="196"/>
      <c r="BHI73" s="196"/>
      <c r="BHJ73" s="196"/>
      <c r="BHK73" s="196"/>
      <c r="BHL73" s="196"/>
      <c r="BHM73" s="196"/>
      <c r="BHN73" s="196"/>
      <c r="BHO73" s="196"/>
      <c r="BHP73" s="196"/>
      <c r="BHQ73" s="196"/>
      <c r="BHR73" s="196"/>
      <c r="BHS73" s="196"/>
      <c r="BHT73" s="196"/>
      <c r="BHU73" s="196"/>
      <c r="BHV73" s="196"/>
      <c r="BHW73" s="196"/>
      <c r="BHX73" s="196"/>
      <c r="BHY73" s="196"/>
      <c r="BHZ73" s="196"/>
      <c r="BIA73" s="196"/>
      <c r="BIB73" s="196"/>
      <c r="BIC73" s="196"/>
      <c r="BID73" s="196"/>
      <c r="BIE73" s="196"/>
      <c r="BIF73" s="196"/>
      <c r="BIG73" s="196"/>
      <c r="BIH73" s="196"/>
      <c r="BII73" s="196"/>
      <c r="BIJ73" s="196"/>
      <c r="BIK73" s="196"/>
      <c r="BIL73" s="196"/>
      <c r="BIM73" s="196"/>
      <c r="BIN73" s="196"/>
      <c r="BIO73" s="196"/>
      <c r="BIP73" s="196"/>
      <c r="BIQ73" s="196"/>
      <c r="BIR73" s="196"/>
      <c r="BIS73" s="196"/>
      <c r="BIT73" s="196"/>
      <c r="BIU73" s="196"/>
      <c r="BIV73" s="196"/>
      <c r="BIW73" s="196"/>
      <c r="BIX73" s="196"/>
      <c r="BIY73" s="196"/>
      <c r="BIZ73" s="196"/>
      <c r="BJA73" s="196"/>
      <c r="BJB73" s="196"/>
      <c r="BJC73" s="196"/>
      <c r="BJD73" s="196"/>
      <c r="BJE73" s="196"/>
      <c r="BJF73" s="196"/>
      <c r="BJG73" s="196"/>
      <c r="BJH73" s="196"/>
      <c r="BJI73" s="196"/>
      <c r="BJJ73" s="196"/>
      <c r="BJK73" s="196"/>
      <c r="BJL73" s="196"/>
      <c r="BJM73" s="196"/>
      <c r="BJN73" s="196"/>
      <c r="BJO73" s="196"/>
      <c r="BJP73" s="196"/>
      <c r="BJQ73" s="196"/>
      <c r="BJR73" s="196"/>
      <c r="BJS73" s="196"/>
      <c r="BJT73" s="196"/>
      <c r="BJU73" s="196"/>
      <c r="BJV73" s="196"/>
      <c r="BJW73" s="196"/>
      <c r="BJX73" s="196"/>
      <c r="BJY73" s="196"/>
      <c r="BJZ73" s="196"/>
      <c r="BKA73" s="196"/>
      <c r="BKB73" s="196"/>
      <c r="BKC73" s="196"/>
      <c r="BKD73" s="196"/>
      <c r="BKE73" s="196"/>
      <c r="BKF73" s="196"/>
      <c r="BKG73" s="196"/>
      <c r="BKH73" s="196"/>
      <c r="BKI73" s="196"/>
      <c r="BKJ73" s="196"/>
      <c r="BKK73" s="196"/>
      <c r="BKL73" s="196"/>
      <c r="BKM73" s="196"/>
      <c r="BKN73" s="196"/>
      <c r="BKO73" s="196"/>
      <c r="BKP73" s="196"/>
      <c r="BKQ73" s="196"/>
      <c r="BKR73" s="196"/>
      <c r="BKS73" s="196"/>
      <c r="BKT73" s="196"/>
      <c r="BKU73" s="196"/>
      <c r="BKV73" s="196"/>
      <c r="BKW73" s="196"/>
      <c r="BKX73" s="196"/>
      <c r="BKY73" s="196"/>
      <c r="BKZ73" s="196"/>
      <c r="BLA73" s="196"/>
      <c r="BLB73" s="196"/>
      <c r="BLC73" s="196"/>
      <c r="BLD73" s="196"/>
      <c r="BLE73" s="196"/>
      <c r="BLF73" s="196"/>
      <c r="BLG73" s="196"/>
      <c r="BLH73" s="196"/>
      <c r="BLI73" s="196"/>
      <c r="BLJ73" s="196"/>
      <c r="BLK73" s="196"/>
      <c r="BLL73" s="196"/>
      <c r="BLM73" s="196"/>
      <c r="BLN73" s="196"/>
      <c r="BLO73" s="196"/>
      <c r="BLP73" s="196"/>
      <c r="BLQ73" s="196"/>
      <c r="BLR73" s="196"/>
      <c r="BLS73" s="196"/>
      <c r="BLT73" s="196"/>
      <c r="BLU73" s="196"/>
      <c r="BLV73" s="196"/>
      <c r="BLW73" s="196"/>
      <c r="BLX73" s="196"/>
      <c r="BLY73" s="196"/>
      <c r="BLZ73" s="196"/>
      <c r="BMA73" s="196"/>
      <c r="BMB73" s="196"/>
      <c r="BMC73" s="196"/>
      <c r="BMD73" s="196"/>
      <c r="BME73" s="196"/>
      <c r="BMF73" s="196"/>
      <c r="BMG73" s="196"/>
      <c r="BMH73" s="196"/>
      <c r="BMI73" s="196"/>
      <c r="BMJ73" s="196"/>
      <c r="BMK73" s="196"/>
      <c r="BML73" s="196"/>
      <c r="BMM73" s="196"/>
      <c r="BMN73" s="196"/>
      <c r="BMO73" s="196"/>
      <c r="BMP73" s="196"/>
      <c r="BMQ73" s="196"/>
      <c r="BMR73" s="196"/>
      <c r="BMS73" s="196"/>
      <c r="BMT73" s="196"/>
      <c r="BMU73" s="196"/>
      <c r="BMV73" s="196"/>
      <c r="BMW73" s="196"/>
      <c r="BMX73" s="196"/>
      <c r="BMY73" s="196"/>
      <c r="BMZ73" s="196"/>
      <c r="BNA73" s="196"/>
      <c r="BNB73" s="196"/>
      <c r="BNC73" s="196"/>
      <c r="BND73" s="196"/>
      <c r="BNE73" s="196"/>
      <c r="BNF73" s="196"/>
      <c r="BNG73" s="196"/>
      <c r="BNH73" s="196"/>
      <c r="BNI73" s="196"/>
      <c r="BNJ73" s="196"/>
      <c r="BNK73" s="196"/>
      <c r="BNL73" s="196"/>
      <c r="BNM73" s="196"/>
      <c r="BNN73" s="196"/>
      <c r="BNO73" s="196"/>
      <c r="BNP73" s="196"/>
      <c r="BNQ73" s="196"/>
      <c r="BNR73" s="196"/>
      <c r="BNS73" s="196"/>
      <c r="BNT73" s="196"/>
      <c r="BNU73" s="196"/>
      <c r="BNV73" s="196"/>
      <c r="BNW73" s="196"/>
      <c r="BNX73" s="196"/>
      <c r="BNY73" s="196"/>
      <c r="BNZ73" s="196"/>
      <c r="BOA73" s="196"/>
      <c r="BOB73" s="196"/>
      <c r="BOC73" s="196"/>
      <c r="BOD73" s="196"/>
      <c r="BOE73" s="196"/>
      <c r="BOF73" s="196"/>
      <c r="BOG73" s="196"/>
      <c r="BOH73" s="196"/>
      <c r="BOI73" s="196"/>
      <c r="BOJ73" s="196"/>
      <c r="BOK73" s="196"/>
      <c r="BOL73" s="196"/>
      <c r="BOM73" s="196"/>
      <c r="BON73" s="196"/>
      <c r="BOO73" s="196"/>
      <c r="BOP73" s="196"/>
      <c r="BOQ73" s="196"/>
      <c r="BOR73" s="196"/>
      <c r="BOS73" s="196"/>
      <c r="BOT73" s="196"/>
      <c r="BOU73" s="196"/>
      <c r="BOV73" s="196"/>
      <c r="BOW73" s="196"/>
      <c r="BOX73" s="196"/>
      <c r="BOY73" s="196"/>
      <c r="BOZ73" s="196"/>
      <c r="BPA73" s="196"/>
      <c r="BPB73" s="196"/>
      <c r="BPC73" s="196"/>
      <c r="BPD73" s="196"/>
      <c r="BPE73" s="196"/>
      <c r="BPF73" s="196"/>
      <c r="BPG73" s="196"/>
      <c r="BPH73" s="196"/>
      <c r="BPI73" s="196"/>
      <c r="BPJ73" s="196"/>
      <c r="BPK73" s="196"/>
      <c r="BPL73" s="196"/>
      <c r="BPM73" s="196"/>
      <c r="BPN73" s="196"/>
      <c r="BPO73" s="196"/>
      <c r="BPP73" s="196"/>
      <c r="BPQ73" s="196"/>
      <c r="BPR73" s="196"/>
      <c r="BPS73" s="196"/>
      <c r="BPT73" s="196"/>
      <c r="BPU73" s="196"/>
      <c r="BPV73" s="196"/>
      <c r="BPW73" s="196"/>
      <c r="BPX73" s="196"/>
      <c r="BPY73" s="196"/>
      <c r="BPZ73" s="196"/>
      <c r="BQA73" s="196"/>
      <c r="BQB73" s="196"/>
      <c r="BQC73" s="196"/>
      <c r="BQD73" s="196"/>
      <c r="BQE73" s="196"/>
      <c r="BQF73" s="196"/>
      <c r="BQG73" s="196"/>
      <c r="BQH73" s="196"/>
      <c r="BQI73" s="196"/>
      <c r="BQJ73" s="196"/>
      <c r="BQK73" s="196"/>
      <c r="BQL73" s="196"/>
      <c r="BQM73" s="196"/>
      <c r="BQN73" s="196"/>
      <c r="BQO73" s="196"/>
      <c r="BQP73" s="196"/>
      <c r="BQQ73" s="196"/>
      <c r="BQR73" s="196"/>
      <c r="BQS73" s="196"/>
      <c r="BQT73" s="196"/>
      <c r="BQU73" s="196"/>
      <c r="BQV73" s="196"/>
      <c r="BQW73" s="196"/>
      <c r="BQX73" s="196"/>
      <c r="BQY73" s="196"/>
      <c r="BQZ73" s="196"/>
      <c r="BRA73" s="196"/>
      <c r="BRB73" s="196"/>
      <c r="BRC73" s="196"/>
      <c r="BRD73" s="196"/>
      <c r="BRE73" s="196"/>
      <c r="BRF73" s="196"/>
      <c r="BRG73" s="196"/>
      <c r="BRH73" s="196"/>
      <c r="BRI73" s="196"/>
      <c r="BRJ73" s="196"/>
      <c r="BRK73" s="196"/>
      <c r="BRL73" s="196"/>
      <c r="BRM73" s="196"/>
      <c r="BRN73" s="196"/>
      <c r="BRO73" s="196"/>
      <c r="BRP73" s="196"/>
      <c r="BRQ73" s="196"/>
      <c r="BRR73" s="196"/>
      <c r="BRS73" s="196"/>
      <c r="BRT73" s="196"/>
      <c r="BRU73" s="196"/>
      <c r="BRV73" s="196"/>
      <c r="BRW73" s="196"/>
      <c r="BRX73" s="196"/>
      <c r="BRY73" s="196"/>
      <c r="BRZ73" s="196"/>
      <c r="BSA73" s="196"/>
      <c r="BSB73" s="196"/>
      <c r="BSC73" s="196"/>
      <c r="BSD73" s="196"/>
      <c r="BSE73" s="196"/>
      <c r="BSF73" s="196"/>
      <c r="BSG73" s="196"/>
      <c r="BSH73" s="196"/>
      <c r="BSI73" s="196"/>
      <c r="BSJ73" s="196"/>
      <c r="BSK73" s="196"/>
      <c r="BSL73" s="196"/>
      <c r="BSM73" s="196"/>
      <c r="BSN73" s="196"/>
      <c r="BSO73" s="196"/>
      <c r="BSP73" s="196"/>
      <c r="BSQ73" s="196"/>
      <c r="BSR73" s="196"/>
      <c r="BSS73" s="196"/>
      <c r="BST73" s="196"/>
      <c r="BSU73" s="196"/>
      <c r="BSV73" s="196"/>
      <c r="BSW73" s="196"/>
      <c r="BSX73" s="196"/>
      <c r="BSY73" s="196"/>
      <c r="BSZ73" s="196"/>
      <c r="BTA73" s="196"/>
      <c r="BTB73" s="196"/>
      <c r="BTC73" s="196"/>
      <c r="BTD73" s="196"/>
      <c r="BTE73" s="196"/>
      <c r="BTF73" s="196"/>
      <c r="BTG73" s="196"/>
      <c r="BTH73" s="196"/>
      <c r="BTI73" s="196"/>
      <c r="BTJ73" s="196"/>
      <c r="BTK73" s="196"/>
      <c r="BTL73" s="196"/>
      <c r="BTM73" s="196"/>
      <c r="BTN73" s="196"/>
      <c r="BTO73" s="196"/>
      <c r="BTP73" s="196"/>
      <c r="BTQ73" s="196"/>
      <c r="BTR73" s="196"/>
      <c r="BTS73" s="196"/>
      <c r="BTT73" s="196"/>
      <c r="BTU73" s="196"/>
      <c r="BTV73" s="196"/>
      <c r="BTW73" s="196"/>
      <c r="BTX73" s="196"/>
      <c r="BTY73" s="196"/>
      <c r="BTZ73" s="196"/>
      <c r="BUA73" s="196"/>
      <c r="BUB73" s="196"/>
      <c r="BUC73" s="196"/>
      <c r="BUD73" s="196"/>
      <c r="BUE73" s="196"/>
      <c r="BUF73" s="196"/>
      <c r="BUG73" s="196"/>
      <c r="BUH73" s="196"/>
      <c r="BUI73" s="196"/>
      <c r="BUJ73" s="196"/>
      <c r="BUK73" s="196"/>
      <c r="BUL73" s="196"/>
      <c r="BUM73" s="196"/>
      <c r="BUN73" s="196"/>
      <c r="BUO73" s="196"/>
      <c r="BUP73" s="196"/>
      <c r="BUQ73" s="196"/>
      <c r="BUR73" s="196"/>
      <c r="BUS73" s="196"/>
      <c r="BUT73" s="196"/>
      <c r="BUU73" s="196"/>
      <c r="BUV73" s="196"/>
      <c r="BUW73" s="196"/>
      <c r="BUX73" s="196"/>
      <c r="BUY73" s="196"/>
      <c r="BUZ73" s="196"/>
      <c r="BVA73" s="196"/>
      <c r="BVB73" s="196"/>
      <c r="BVC73" s="196"/>
      <c r="BVD73" s="196"/>
      <c r="BVE73" s="196"/>
      <c r="BVF73" s="196"/>
      <c r="BVG73" s="196"/>
      <c r="BVH73" s="196"/>
      <c r="BVI73" s="196"/>
      <c r="BVJ73" s="196"/>
      <c r="BVK73" s="196"/>
      <c r="BVL73" s="196"/>
      <c r="BVM73" s="196"/>
      <c r="BVN73" s="196"/>
      <c r="BVO73" s="196"/>
      <c r="BVP73" s="196"/>
      <c r="BVQ73" s="196"/>
      <c r="BVR73" s="196"/>
      <c r="BVS73" s="196"/>
      <c r="BVT73" s="196"/>
      <c r="BVU73" s="196"/>
      <c r="BVV73" s="196"/>
      <c r="BVW73" s="196"/>
      <c r="BVX73" s="196"/>
      <c r="BVY73" s="196"/>
      <c r="BVZ73" s="196"/>
      <c r="BWA73" s="196"/>
      <c r="BWB73" s="196"/>
      <c r="BWC73" s="196"/>
      <c r="BWD73" s="196"/>
      <c r="BWE73" s="196"/>
      <c r="BWF73" s="196"/>
      <c r="BWG73" s="196"/>
      <c r="BWH73" s="196"/>
      <c r="BWI73" s="196"/>
      <c r="BWJ73" s="196"/>
      <c r="BWK73" s="196"/>
      <c r="BWL73" s="196"/>
      <c r="BWM73" s="196"/>
      <c r="BWN73" s="196"/>
      <c r="BWO73" s="196"/>
      <c r="BWP73" s="196"/>
      <c r="BWQ73" s="196"/>
      <c r="BWR73" s="196"/>
      <c r="BWS73" s="196"/>
      <c r="BWT73" s="196"/>
      <c r="BWU73" s="196"/>
      <c r="BWV73" s="196"/>
      <c r="BWW73" s="196"/>
      <c r="BWX73" s="196"/>
      <c r="BWY73" s="196"/>
      <c r="BWZ73" s="196"/>
      <c r="BXA73" s="196"/>
      <c r="BXB73" s="196"/>
      <c r="BXC73" s="196"/>
      <c r="BXD73" s="196"/>
      <c r="BXE73" s="196"/>
      <c r="BXF73" s="196"/>
      <c r="BXG73" s="196"/>
      <c r="BXH73" s="196"/>
      <c r="BXI73" s="196"/>
      <c r="BXJ73" s="196"/>
      <c r="BXK73" s="196"/>
      <c r="BXL73" s="196"/>
      <c r="BXM73" s="196"/>
      <c r="BXN73" s="196"/>
      <c r="BXO73" s="196"/>
      <c r="BXP73" s="196"/>
      <c r="BXQ73" s="196"/>
      <c r="BXR73" s="196"/>
      <c r="BXS73" s="196"/>
      <c r="BXT73" s="196"/>
      <c r="BXU73" s="196"/>
      <c r="BXV73" s="196"/>
      <c r="BXW73" s="196"/>
      <c r="BXX73" s="196"/>
      <c r="BXY73" s="196"/>
      <c r="BXZ73" s="196"/>
      <c r="BYA73" s="196"/>
      <c r="BYB73" s="196"/>
      <c r="BYC73" s="196"/>
      <c r="BYD73" s="196"/>
      <c r="BYE73" s="196"/>
      <c r="BYF73" s="196"/>
      <c r="BYG73" s="196"/>
    </row>
    <row r="74" spans="1:2009" s="196" customFormat="1" ht="9" customHeight="1" x14ac:dyDescent="0.25">
      <c r="A74" s="675"/>
      <c r="B74" s="676"/>
      <c r="C74" s="677"/>
      <c r="D74" s="677"/>
      <c r="E74" s="677"/>
      <c r="F74" s="677"/>
      <c r="G74" s="678"/>
      <c r="H74" s="195"/>
      <c r="I74" s="544"/>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row>
    <row r="75" spans="1:2009" s="95" customFormat="1" ht="22.5" customHeight="1" x14ac:dyDescent="0.25">
      <c r="A75" s="121"/>
      <c r="B75" s="673" t="s">
        <v>359</v>
      </c>
      <c r="C75" s="674">
        <f>C73/G$73</f>
        <v>0.5625951547795679</v>
      </c>
      <c r="D75" s="674">
        <f>D73/$G73</f>
        <v>0.21151397764153546</v>
      </c>
      <c r="E75" s="674">
        <f t="shared" ref="E75:G75" si="4">E73/$G73</f>
        <v>0.11563681124283498</v>
      </c>
      <c r="F75" s="674">
        <f t="shared" si="4"/>
        <v>0.11025405633606175</v>
      </c>
      <c r="G75" s="674">
        <f t="shared" si="4"/>
        <v>1</v>
      </c>
      <c r="H75" s="93"/>
      <c r="I75" s="544"/>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s="95" customFormat="1" ht="10.5" customHeight="1" x14ac:dyDescent="0.25">
      <c r="A76" s="121"/>
      <c r="B76" s="121"/>
      <c r="C76" s="190"/>
      <c r="D76" s="190"/>
      <c r="E76" s="190"/>
      <c r="F76" s="190"/>
      <c r="G76" s="655"/>
      <c r="H76" s="93"/>
      <c r="I76" s="544"/>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4"/>
      <c r="LR76" s="94"/>
      <c r="LS76" s="94"/>
      <c r="LT76" s="94"/>
      <c r="LU76" s="94"/>
      <c r="LV76" s="94"/>
      <c r="LW76" s="94"/>
      <c r="LX76" s="94"/>
      <c r="LY76" s="94"/>
      <c r="LZ76" s="94"/>
      <c r="MA76" s="94"/>
      <c r="MB76" s="94"/>
      <c r="MC76" s="94"/>
      <c r="MD76" s="94"/>
      <c r="ME76" s="94"/>
      <c r="MF76" s="94"/>
      <c r="MG76" s="94"/>
      <c r="MH76" s="94"/>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4"/>
      <c r="SD76" s="94"/>
      <c r="SE76" s="94"/>
      <c r="SF76" s="94"/>
      <c r="SG76" s="94"/>
      <c r="SH76" s="94"/>
      <c r="SI76" s="94"/>
      <c r="SJ76" s="94"/>
      <c r="SK76" s="94"/>
      <c r="SL76" s="94"/>
      <c r="SM76" s="94"/>
      <c r="SN76" s="94"/>
      <c r="SO76" s="94"/>
      <c r="SP76" s="94"/>
      <c r="SQ76" s="94"/>
      <c r="SR76" s="94"/>
      <c r="SS76" s="94"/>
      <c r="ST76" s="94"/>
      <c r="SU76" s="94"/>
      <c r="SV76" s="94"/>
      <c r="SW76" s="94"/>
      <c r="SX76" s="94"/>
      <c r="SY76" s="94"/>
      <c r="SZ76" s="94"/>
      <c r="TA76" s="94"/>
      <c r="TB76" s="94"/>
      <c r="TC76" s="94"/>
      <c r="TD76" s="94"/>
      <c r="TE76" s="94"/>
      <c r="TF76" s="94"/>
      <c r="TG76" s="94"/>
      <c r="TH76" s="94"/>
      <c r="TI76" s="94"/>
      <c r="TJ76" s="94"/>
      <c r="TK76" s="94"/>
      <c r="TL76" s="94"/>
      <c r="TM76" s="94"/>
      <c r="TN76" s="94"/>
      <c r="TO76" s="94"/>
      <c r="TP76" s="94"/>
      <c r="TQ76" s="94"/>
      <c r="TR76" s="94"/>
      <c r="TS76" s="94"/>
      <c r="TT76" s="94"/>
      <c r="TU76" s="94"/>
      <c r="TV76" s="94"/>
      <c r="TW76" s="94"/>
      <c r="TX76" s="94"/>
      <c r="TY76" s="94"/>
      <c r="TZ76" s="94"/>
      <c r="UA76" s="94"/>
      <c r="UB76" s="94"/>
      <c r="UC76" s="94"/>
      <c r="UD76" s="94"/>
      <c r="UE76" s="94"/>
      <c r="UF76" s="94"/>
      <c r="UG76" s="94"/>
      <c r="UH76" s="94"/>
      <c r="UI76" s="94"/>
      <c r="UJ76" s="94"/>
      <c r="UK76" s="94"/>
      <c r="UL76" s="94"/>
      <c r="UM76" s="94"/>
      <c r="UN76" s="94"/>
      <c r="UO76" s="94"/>
      <c r="UP76" s="94"/>
      <c r="UQ76" s="94"/>
      <c r="UR76" s="94"/>
      <c r="US76" s="94"/>
      <c r="UT76" s="94"/>
      <c r="UU76" s="94"/>
      <c r="UV76" s="94"/>
      <c r="UW76" s="94"/>
      <c r="UX76" s="94"/>
      <c r="UY76" s="94"/>
      <c r="UZ76" s="94"/>
      <c r="VA76" s="94"/>
      <c r="VB76" s="94"/>
      <c r="VC76" s="94"/>
      <c r="VD76" s="94"/>
      <c r="VE76" s="94"/>
      <c r="VF76" s="94"/>
      <c r="VG76" s="94"/>
      <c r="VH76" s="94"/>
      <c r="VI76" s="94"/>
      <c r="VJ76" s="94"/>
      <c r="VK76" s="94"/>
      <c r="VL76" s="94"/>
      <c r="VM76" s="94"/>
      <c r="VN76" s="94"/>
      <c r="VO76" s="94"/>
      <c r="VP76" s="94"/>
      <c r="VQ76" s="94"/>
      <c r="VR76" s="94"/>
      <c r="VS76" s="94"/>
      <c r="VT76" s="94"/>
      <c r="VU76" s="94"/>
      <c r="VV76" s="94"/>
      <c r="VW76" s="94"/>
      <c r="VX76" s="94"/>
      <c r="VY76" s="94"/>
      <c r="VZ76" s="94"/>
      <c r="WA76" s="94"/>
      <c r="WB76" s="94"/>
      <c r="WC76" s="94"/>
      <c r="WD76" s="94"/>
      <c r="WE76" s="94"/>
      <c r="WF76" s="94"/>
      <c r="WG76" s="94"/>
      <c r="WH76" s="94"/>
      <c r="WI76" s="94"/>
      <c r="WJ76" s="94"/>
      <c r="WK76" s="94"/>
      <c r="WL76" s="94"/>
      <c r="WM76" s="94"/>
      <c r="WN76" s="94"/>
      <c r="WO76" s="94"/>
      <c r="WP76" s="94"/>
      <c r="WQ76" s="94"/>
      <c r="WR76" s="94"/>
      <c r="WS76" s="94"/>
      <c r="WT76" s="94"/>
      <c r="WU76" s="94"/>
      <c r="WV76" s="94"/>
      <c r="WW76" s="94"/>
      <c r="WX76" s="94"/>
      <c r="WY76" s="94"/>
      <c r="WZ76" s="94"/>
      <c r="XA76" s="94"/>
      <c r="XB76" s="94"/>
      <c r="XC76" s="94"/>
      <c r="XD76" s="94"/>
      <c r="XE76" s="94"/>
      <c r="XF76" s="94"/>
      <c r="XG76" s="94"/>
      <c r="XH76" s="94"/>
      <c r="XI76" s="94"/>
      <c r="XJ76" s="94"/>
      <c r="XK76" s="94"/>
      <c r="XL76" s="94"/>
      <c r="XM76" s="94"/>
      <c r="XN76" s="94"/>
      <c r="XO76" s="94"/>
      <c r="XP76" s="94"/>
      <c r="XQ76" s="94"/>
      <c r="XR76" s="94"/>
      <c r="XS76" s="94"/>
      <c r="XT76" s="94"/>
      <c r="XU76" s="94"/>
      <c r="XV76" s="94"/>
      <c r="XW76" s="94"/>
      <c r="XX76" s="94"/>
      <c r="XY76" s="94"/>
      <c r="XZ76" s="94"/>
      <c r="YA76" s="94"/>
      <c r="YB76" s="94"/>
      <c r="YC76" s="94"/>
      <c r="YD76" s="94"/>
      <c r="YE76" s="94"/>
      <c r="YF76" s="94"/>
      <c r="YG76" s="94"/>
      <c r="YH76" s="94"/>
      <c r="YI76" s="94"/>
      <c r="YJ76" s="94"/>
      <c r="YK76" s="94"/>
      <c r="YL76" s="94"/>
      <c r="YM76" s="94"/>
      <c r="YN76" s="94"/>
      <c r="YO76" s="94"/>
      <c r="YP76" s="94"/>
      <c r="YQ76" s="94"/>
      <c r="YR76" s="94"/>
      <c r="YS76" s="94"/>
      <c r="YT76" s="94"/>
      <c r="YU76" s="94"/>
      <c r="YV76" s="94"/>
      <c r="YW76" s="94"/>
      <c r="YX76" s="94"/>
      <c r="YY76" s="94"/>
      <c r="YZ76" s="94"/>
      <c r="ZA76" s="94"/>
      <c r="ZB76" s="94"/>
      <c r="ZC76" s="94"/>
      <c r="ZD76" s="94"/>
      <c r="ZE76" s="94"/>
      <c r="ZF76" s="94"/>
      <c r="ZG76" s="94"/>
      <c r="ZH76" s="94"/>
      <c r="ZI76" s="94"/>
      <c r="ZJ76" s="94"/>
      <c r="ZK76" s="94"/>
      <c r="ZL76" s="94"/>
      <c r="ZM76" s="94"/>
      <c r="ZN76" s="94"/>
      <c r="ZO76" s="94"/>
      <c r="ZP76" s="94"/>
      <c r="ZQ76" s="94"/>
      <c r="ZR76" s="94"/>
      <c r="ZS76" s="94"/>
      <c r="ZT76" s="94"/>
      <c r="ZU76" s="94"/>
      <c r="ZV76" s="94"/>
      <c r="ZW76" s="94"/>
      <c r="ZX76" s="94"/>
      <c r="ZY76" s="94"/>
      <c r="ZZ76" s="94"/>
      <c r="AAA76" s="94"/>
      <c r="AAB76" s="94"/>
      <c r="AAC76" s="94"/>
      <c r="AAD76" s="94"/>
      <c r="AAE76" s="94"/>
      <c r="AAF76" s="94"/>
      <c r="AAG76" s="94"/>
      <c r="AAH76" s="94"/>
      <c r="AAI76" s="94"/>
      <c r="AAJ76" s="94"/>
      <c r="AAK76" s="94"/>
      <c r="AAL76" s="94"/>
      <c r="AAM76" s="94"/>
      <c r="AAN76" s="94"/>
      <c r="AAO76" s="94"/>
      <c r="AAP76" s="94"/>
      <c r="AAQ76" s="94"/>
      <c r="AAR76" s="94"/>
      <c r="AAS76" s="94"/>
      <c r="AAT76" s="94"/>
      <c r="AAU76" s="94"/>
      <c r="AAV76" s="94"/>
      <c r="AAW76" s="94"/>
      <c r="AAX76" s="94"/>
      <c r="AAY76" s="94"/>
      <c r="AAZ76" s="94"/>
      <c r="ABA76" s="94"/>
      <c r="ABB76" s="94"/>
      <c r="ABC76" s="94"/>
      <c r="ABD76" s="94"/>
      <c r="ABE76" s="94"/>
      <c r="ABF76" s="94"/>
      <c r="ABG76" s="94"/>
      <c r="ABH76" s="94"/>
      <c r="ABI76" s="94"/>
      <c r="ABJ76" s="94"/>
      <c r="ABK76" s="94"/>
      <c r="ABL76" s="94"/>
      <c r="ABM76" s="94"/>
      <c r="ABN76" s="94"/>
      <c r="ABO76" s="94"/>
      <c r="ABP76" s="94"/>
      <c r="ABQ76" s="94"/>
      <c r="ABR76" s="94"/>
      <c r="ABS76" s="94"/>
      <c r="ABT76" s="94"/>
      <c r="ABU76" s="94"/>
      <c r="ABV76" s="94"/>
      <c r="ABW76" s="94"/>
      <c r="ABX76" s="94"/>
      <c r="ABY76" s="94"/>
      <c r="ABZ76" s="94"/>
      <c r="ACA76" s="94"/>
      <c r="ACB76" s="94"/>
      <c r="ACC76" s="94"/>
      <c r="ACD76" s="94"/>
      <c r="ACE76" s="94"/>
      <c r="ACF76" s="94"/>
      <c r="ACG76" s="94"/>
      <c r="ACH76" s="94"/>
      <c r="ACI76" s="94"/>
      <c r="ACJ76" s="94"/>
      <c r="ACK76" s="94"/>
      <c r="ACL76" s="94"/>
      <c r="ACM76" s="94"/>
      <c r="ACN76" s="94"/>
      <c r="ACO76" s="94"/>
      <c r="ACP76" s="94"/>
      <c r="ACQ76" s="94"/>
      <c r="ACR76" s="94"/>
      <c r="ACS76" s="94"/>
      <c r="ACT76" s="94"/>
      <c r="ACU76" s="94"/>
      <c r="ACV76" s="94"/>
      <c r="ACW76" s="94"/>
      <c r="ACX76" s="94"/>
      <c r="ACY76" s="94"/>
      <c r="ACZ76" s="94"/>
      <c r="ADA76" s="94"/>
      <c r="ADB76" s="94"/>
      <c r="ADC76" s="94"/>
      <c r="ADD76" s="94"/>
      <c r="ADE76" s="94"/>
      <c r="ADF76" s="94"/>
      <c r="ADG76" s="94"/>
      <c r="ADH76" s="94"/>
      <c r="ADI76" s="94"/>
      <c r="ADJ76" s="94"/>
      <c r="ADK76" s="94"/>
      <c r="ADL76" s="94"/>
      <c r="ADM76" s="94"/>
      <c r="ADN76" s="94"/>
      <c r="ADO76" s="94"/>
      <c r="ADP76" s="94"/>
      <c r="ADQ76" s="94"/>
      <c r="ADR76" s="94"/>
      <c r="ADS76" s="94"/>
      <c r="ADT76" s="94"/>
      <c r="ADU76" s="94"/>
      <c r="ADV76" s="94"/>
      <c r="ADW76" s="94"/>
      <c r="ADX76" s="94"/>
      <c r="ADY76" s="94"/>
      <c r="ADZ76" s="94"/>
      <c r="AEA76" s="94"/>
      <c r="AEB76" s="94"/>
      <c r="AEC76" s="94"/>
      <c r="AED76" s="94"/>
      <c r="AEE76" s="94"/>
      <c r="AEF76" s="94"/>
      <c r="AEG76" s="94"/>
      <c r="AEH76" s="94"/>
      <c r="AEI76" s="94"/>
      <c r="AEJ76" s="94"/>
      <c r="AEK76" s="94"/>
      <c r="AEL76" s="94"/>
      <c r="AEM76" s="94"/>
      <c r="AEN76" s="94"/>
      <c r="AEO76" s="94"/>
      <c r="AEP76" s="94"/>
      <c r="AEQ76" s="94"/>
      <c r="AER76" s="94"/>
      <c r="AES76" s="94"/>
      <c r="AET76" s="94"/>
      <c r="AEU76" s="94"/>
      <c r="AEV76" s="94"/>
      <c r="AEW76" s="94"/>
      <c r="AEX76" s="94"/>
      <c r="AEY76" s="94"/>
      <c r="AEZ76" s="94"/>
      <c r="AFA76" s="94"/>
      <c r="AFB76" s="94"/>
      <c r="AFC76" s="94"/>
      <c r="AFD76" s="94"/>
      <c r="AFE76" s="94"/>
      <c r="AFF76" s="94"/>
      <c r="AFG76" s="94"/>
      <c r="AFH76" s="94"/>
      <c r="AFI76" s="94"/>
      <c r="AFJ76" s="94"/>
      <c r="AFK76" s="94"/>
      <c r="AFL76" s="94"/>
      <c r="AFM76" s="94"/>
      <c r="AFN76" s="94"/>
      <c r="AFO76" s="94"/>
      <c r="AFP76" s="94"/>
      <c r="AFQ76" s="94"/>
      <c r="AFR76" s="94"/>
      <c r="AFS76" s="94"/>
      <c r="AFT76" s="94"/>
      <c r="AFU76" s="94"/>
      <c r="AFV76" s="94"/>
      <c r="AFW76" s="94"/>
      <c r="AFX76" s="94"/>
      <c r="AFY76" s="94"/>
      <c r="AFZ76" s="94"/>
      <c r="AGA76" s="94"/>
      <c r="AGB76" s="94"/>
      <c r="AGC76" s="94"/>
      <c r="AGD76" s="94"/>
      <c r="AGE76" s="94"/>
      <c r="AGF76" s="94"/>
      <c r="AGG76" s="94"/>
      <c r="AGH76" s="94"/>
      <c r="AGI76" s="94"/>
      <c r="AGJ76" s="94"/>
      <c r="AGK76" s="94"/>
      <c r="AGL76" s="94"/>
      <c r="AGM76" s="94"/>
      <c r="AGN76" s="94"/>
      <c r="AGO76" s="94"/>
      <c r="AGP76" s="94"/>
      <c r="AGQ76" s="94"/>
      <c r="AGR76" s="94"/>
      <c r="AGS76" s="94"/>
      <c r="AGT76" s="94"/>
      <c r="AGU76" s="94"/>
      <c r="AGV76" s="94"/>
      <c r="AGW76" s="94"/>
      <c r="AGX76" s="94"/>
      <c r="AGY76" s="94"/>
      <c r="AGZ76" s="94"/>
      <c r="AHA76" s="94"/>
      <c r="AHB76" s="94"/>
      <c r="AHC76" s="94"/>
      <c r="AHD76" s="94"/>
      <c r="AHE76" s="94"/>
      <c r="AHF76" s="94"/>
      <c r="AHG76" s="94"/>
      <c r="AHH76" s="94"/>
      <c r="AHI76" s="94"/>
      <c r="AHJ76" s="94"/>
      <c r="AHK76" s="94"/>
      <c r="AHL76" s="94"/>
      <c r="AHM76" s="94"/>
      <c r="AHN76" s="94"/>
      <c r="AHO76" s="94"/>
      <c r="AHP76" s="94"/>
      <c r="AHQ76" s="94"/>
      <c r="AHR76" s="94"/>
      <c r="AHS76" s="94"/>
      <c r="AHT76" s="94"/>
      <c r="AHU76" s="94"/>
      <c r="AHV76" s="94"/>
      <c r="AHW76" s="94"/>
      <c r="AHX76" s="94"/>
      <c r="AHY76" s="94"/>
      <c r="AHZ76" s="94"/>
      <c r="AIA76" s="94"/>
      <c r="AIB76" s="94"/>
      <c r="AIC76" s="94"/>
      <c r="AID76" s="94"/>
      <c r="AIE76" s="94"/>
      <c r="AIF76" s="94"/>
      <c r="AIG76" s="94"/>
      <c r="AIH76" s="94"/>
      <c r="AII76" s="94"/>
      <c r="AIJ76" s="94"/>
      <c r="AIK76" s="94"/>
      <c r="AIL76" s="94"/>
      <c r="AIM76" s="94"/>
      <c r="AIN76" s="94"/>
      <c r="AIO76" s="94"/>
      <c r="AIP76" s="94"/>
      <c r="AIQ76" s="94"/>
      <c r="AIR76" s="94"/>
      <c r="AIS76" s="94"/>
      <c r="AIT76" s="94"/>
      <c r="AIU76" s="94"/>
      <c r="AIV76" s="94"/>
      <c r="AIW76" s="94"/>
      <c r="AIX76" s="94"/>
      <c r="AIY76" s="94"/>
      <c r="AIZ76" s="94"/>
      <c r="AJA76" s="94"/>
      <c r="AJB76" s="94"/>
      <c r="AJC76" s="94"/>
      <c r="AJD76" s="94"/>
      <c r="AJE76" s="94"/>
      <c r="AJF76" s="94"/>
      <c r="AJG76" s="94"/>
      <c r="AJH76" s="94"/>
      <c r="AJI76" s="94"/>
      <c r="AJJ76" s="94"/>
      <c r="AJK76" s="94"/>
      <c r="AJL76" s="94"/>
      <c r="AJM76" s="94"/>
      <c r="AJN76" s="94"/>
      <c r="AJO76" s="94"/>
      <c r="AJP76" s="94"/>
      <c r="AJQ76" s="94"/>
      <c r="AJR76" s="94"/>
      <c r="AJS76" s="94"/>
      <c r="AJT76" s="94"/>
      <c r="AJU76" s="94"/>
      <c r="AJV76" s="94"/>
      <c r="AJW76" s="94"/>
      <c r="AJX76" s="94"/>
      <c r="AJY76" s="94"/>
      <c r="AJZ76" s="94"/>
      <c r="AKA76" s="94"/>
      <c r="AKB76" s="94"/>
      <c r="AKC76" s="94"/>
      <c r="AKD76" s="94"/>
      <c r="AKE76" s="94"/>
      <c r="AKF76" s="94"/>
      <c r="AKG76" s="94"/>
      <c r="AKH76" s="94"/>
      <c r="AKI76" s="94"/>
      <c r="AKJ76" s="94"/>
      <c r="AKK76" s="94"/>
      <c r="AKL76" s="94"/>
      <c r="AKM76" s="94"/>
      <c r="AKN76" s="94"/>
      <c r="AKO76" s="94"/>
      <c r="AKP76" s="94"/>
      <c r="AKQ76" s="94"/>
      <c r="AKR76" s="94"/>
      <c r="AKS76" s="94"/>
      <c r="AKT76" s="94"/>
      <c r="AKU76" s="94"/>
      <c r="AKV76" s="94"/>
      <c r="AKW76" s="94"/>
      <c r="AKX76" s="94"/>
      <c r="AKY76" s="94"/>
      <c r="AKZ76" s="94"/>
      <c r="ALA76" s="94"/>
      <c r="ALB76" s="94"/>
      <c r="ALC76" s="94"/>
      <c r="ALD76" s="94"/>
      <c r="ALE76" s="94"/>
      <c r="ALF76" s="94"/>
      <c r="ALG76" s="94"/>
      <c r="ALH76" s="94"/>
      <c r="ALI76" s="94"/>
      <c r="ALJ76" s="94"/>
      <c r="ALK76" s="94"/>
      <c r="ALL76" s="94"/>
      <c r="ALM76" s="94"/>
      <c r="ALN76" s="94"/>
      <c r="ALO76" s="94"/>
      <c r="ALP76" s="94"/>
      <c r="ALQ76" s="94"/>
      <c r="ALR76" s="94"/>
      <c r="ALS76" s="94"/>
      <c r="ALT76" s="94"/>
      <c r="ALU76" s="94"/>
      <c r="ALV76" s="94"/>
      <c r="ALW76" s="94"/>
      <c r="ALX76" s="94"/>
      <c r="ALY76" s="94"/>
      <c r="ALZ76" s="94"/>
      <c r="AMA76" s="94"/>
      <c r="AMB76" s="94"/>
      <c r="AMC76" s="94"/>
      <c r="AMD76" s="94"/>
      <c r="AME76" s="94"/>
      <c r="AMF76" s="94"/>
      <c r="AMG76" s="94"/>
      <c r="AMH76" s="94"/>
      <c r="AMI76" s="94"/>
      <c r="AMJ76" s="94"/>
      <c r="AMK76" s="94"/>
      <c r="AML76" s="94"/>
      <c r="AMM76" s="94"/>
      <c r="AMN76" s="94"/>
      <c r="AMO76" s="94"/>
      <c r="AMP76" s="94"/>
      <c r="AMQ76" s="94"/>
      <c r="AMR76" s="94"/>
      <c r="AMS76" s="94"/>
      <c r="AMT76" s="94"/>
      <c r="AMU76" s="94"/>
      <c r="AMV76" s="94"/>
      <c r="AMW76" s="94"/>
      <c r="AMX76" s="94"/>
      <c r="AMY76" s="94"/>
      <c r="AMZ76" s="94"/>
      <c r="ANA76" s="94"/>
      <c r="ANB76" s="94"/>
      <c r="ANC76" s="94"/>
      <c r="AND76" s="94"/>
      <c r="ANE76" s="94"/>
      <c r="ANF76" s="94"/>
      <c r="ANG76" s="94"/>
      <c r="ANH76" s="94"/>
      <c r="ANI76" s="94"/>
      <c r="ANJ76" s="94"/>
      <c r="ANK76" s="94"/>
      <c r="ANL76" s="94"/>
      <c r="ANM76" s="94"/>
      <c r="ANN76" s="94"/>
      <c r="ANO76" s="94"/>
      <c r="ANP76" s="94"/>
      <c r="ANQ76" s="94"/>
      <c r="ANR76" s="94"/>
      <c r="ANS76" s="94"/>
      <c r="ANT76" s="94"/>
      <c r="ANU76" s="94"/>
      <c r="ANV76" s="94"/>
      <c r="ANW76" s="94"/>
      <c r="ANX76" s="94"/>
      <c r="ANY76" s="94"/>
      <c r="ANZ76" s="94"/>
      <c r="AOA76" s="94"/>
      <c r="AOB76" s="94"/>
      <c r="AOC76" s="94"/>
      <c r="AOD76" s="94"/>
      <c r="AOE76" s="94"/>
      <c r="AOF76" s="94"/>
      <c r="AOG76" s="94"/>
      <c r="AOH76" s="94"/>
      <c r="AOI76" s="94"/>
      <c r="AOJ76" s="94"/>
      <c r="AOK76" s="94"/>
      <c r="AOL76" s="94"/>
      <c r="AOM76" s="94"/>
      <c r="AON76" s="94"/>
      <c r="AOO76" s="94"/>
      <c r="AOP76" s="94"/>
      <c r="AOQ76" s="94"/>
      <c r="AOR76" s="94"/>
      <c r="AOS76" s="94"/>
      <c r="AOT76" s="94"/>
      <c r="AOU76" s="94"/>
      <c r="AOV76" s="94"/>
      <c r="AOW76" s="94"/>
      <c r="AOX76" s="94"/>
      <c r="AOY76" s="94"/>
      <c r="AOZ76" s="94"/>
      <c r="APA76" s="94"/>
      <c r="APB76" s="94"/>
      <c r="APC76" s="94"/>
      <c r="APD76" s="94"/>
      <c r="APE76" s="94"/>
      <c r="APF76" s="94"/>
      <c r="APG76" s="94"/>
      <c r="APH76" s="94"/>
      <c r="API76" s="94"/>
      <c r="APJ76" s="94"/>
      <c r="APK76" s="94"/>
      <c r="APL76" s="94"/>
      <c r="APM76" s="94"/>
      <c r="APN76" s="94"/>
      <c r="APO76" s="94"/>
      <c r="APP76" s="94"/>
      <c r="APQ76" s="94"/>
      <c r="APR76" s="94"/>
      <c r="APS76" s="94"/>
      <c r="APT76" s="94"/>
      <c r="APU76" s="94"/>
      <c r="APV76" s="94"/>
      <c r="APW76" s="94"/>
      <c r="APX76" s="94"/>
      <c r="APY76" s="94"/>
      <c r="APZ76" s="94"/>
      <c r="AQA76" s="94"/>
      <c r="AQB76" s="94"/>
      <c r="AQC76" s="94"/>
      <c r="AQD76" s="94"/>
      <c r="AQE76" s="94"/>
      <c r="AQF76" s="94"/>
      <c r="AQG76" s="94"/>
      <c r="AQH76" s="94"/>
      <c r="AQI76" s="94"/>
      <c r="AQJ76" s="94"/>
      <c r="AQK76" s="94"/>
      <c r="AQL76" s="94"/>
      <c r="AQM76" s="94"/>
      <c r="AQN76" s="94"/>
      <c r="AQO76" s="94"/>
      <c r="AQP76" s="94"/>
      <c r="AQQ76" s="94"/>
      <c r="AQR76" s="94"/>
      <c r="AQS76" s="94"/>
      <c r="AQT76" s="94"/>
      <c r="AQU76" s="94"/>
      <c r="AQV76" s="94"/>
      <c r="AQW76" s="94"/>
      <c r="AQX76" s="94"/>
      <c r="AQY76" s="94"/>
      <c r="AQZ76" s="94"/>
      <c r="ARA76" s="94"/>
      <c r="ARB76" s="94"/>
      <c r="ARC76" s="94"/>
      <c r="ARD76" s="94"/>
      <c r="ARE76" s="94"/>
      <c r="ARF76" s="94"/>
      <c r="ARG76" s="94"/>
      <c r="ARH76" s="94"/>
      <c r="ARI76" s="94"/>
      <c r="ARJ76" s="94"/>
      <c r="ARK76" s="94"/>
      <c r="ARL76" s="94"/>
      <c r="ARM76" s="94"/>
      <c r="ARN76" s="94"/>
      <c r="ARO76" s="94"/>
      <c r="ARP76" s="94"/>
      <c r="ARQ76" s="94"/>
      <c r="ARR76" s="94"/>
      <c r="ARS76" s="94"/>
      <c r="ART76" s="94"/>
      <c r="ARU76" s="94"/>
      <c r="ARV76" s="94"/>
      <c r="ARW76" s="94"/>
      <c r="ARX76" s="94"/>
      <c r="ARY76" s="94"/>
      <c r="ARZ76" s="94"/>
      <c r="ASA76" s="94"/>
      <c r="ASB76" s="94"/>
      <c r="ASC76" s="94"/>
      <c r="ASD76" s="94"/>
      <c r="ASE76" s="94"/>
      <c r="ASF76" s="94"/>
      <c r="ASG76" s="94"/>
      <c r="ASH76" s="94"/>
      <c r="ASI76" s="94"/>
      <c r="ASJ76" s="94"/>
      <c r="ASK76" s="94"/>
      <c r="ASL76" s="94"/>
      <c r="ASM76" s="94"/>
      <c r="ASN76" s="94"/>
      <c r="ASO76" s="94"/>
      <c r="ASP76" s="94"/>
      <c r="ASQ76" s="94"/>
      <c r="ASR76" s="94"/>
      <c r="ASS76" s="94"/>
      <c r="AST76" s="94"/>
      <c r="ASU76" s="94"/>
      <c r="ASV76" s="94"/>
      <c r="ASW76" s="94"/>
      <c r="ASX76" s="94"/>
      <c r="ASY76" s="94"/>
      <c r="ASZ76" s="94"/>
      <c r="ATA76" s="94"/>
      <c r="ATB76" s="94"/>
      <c r="ATC76" s="94"/>
      <c r="ATD76" s="94"/>
      <c r="ATE76" s="94"/>
      <c r="ATF76" s="94"/>
      <c r="ATG76" s="94"/>
      <c r="ATH76" s="94"/>
      <c r="ATI76" s="94"/>
      <c r="ATJ76" s="94"/>
      <c r="ATK76" s="94"/>
      <c r="ATL76" s="94"/>
      <c r="ATM76" s="94"/>
      <c r="ATN76" s="94"/>
      <c r="ATO76" s="94"/>
      <c r="ATP76" s="94"/>
      <c r="ATQ76" s="94"/>
      <c r="ATR76" s="94"/>
      <c r="ATS76" s="94"/>
      <c r="ATT76" s="94"/>
      <c r="ATU76" s="94"/>
      <c r="ATV76" s="94"/>
      <c r="ATW76" s="94"/>
      <c r="ATX76" s="94"/>
      <c r="ATY76" s="94"/>
      <c r="ATZ76" s="94"/>
      <c r="AUA76" s="94"/>
      <c r="AUB76" s="94"/>
      <c r="AUC76" s="94"/>
      <c r="AUD76" s="94"/>
      <c r="AUE76" s="94"/>
      <c r="AUF76" s="94"/>
      <c r="AUG76" s="94"/>
      <c r="AUH76" s="94"/>
      <c r="AUI76" s="94"/>
      <c r="AUJ76" s="94"/>
      <c r="AUK76" s="94"/>
      <c r="AUL76" s="94"/>
      <c r="AUM76" s="94"/>
      <c r="AUN76" s="94"/>
      <c r="AUO76" s="94"/>
      <c r="AUP76" s="94"/>
      <c r="AUQ76" s="94"/>
      <c r="AUR76" s="94"/>
      <c r="AUS76" s="94"/>
      <c r="AUT76" s="94"/>
      <c r="AUU76" s="94"/>
      <c r="AUV76" s="94"/>
      <c r="AUW76" s="94"/>
      <c r="AUX76" s="94"/>
      <c r="AUY76" s="94"/>
      <c r="AUZ76" s="94"/>
      <c r="AVA76" s="94"/>
      <c r="AVB76" s="94"/>
      <c r="AVC76" s="94"/>
      <c r="AVD76" s="94"/>
      <c r="AVE76" s="94"/>
      <c r="AVF76" s="94"/>
      <c r="AVG76" s="94"/>
      <c r="AVH76" s="94"/>
      <c r="AVI76" s="94"/>
      <c r="AVJ76" s="94"/>
      <c r="AVK76" s="94"/>
      <c r="AVL76" s="94"/>
      <c r="AVM76" s="94"/>
      <c r="AVN76" s="94"/>
      <c r="AVO76" s="94"/>
      <c r="AVP76" s="94"/>
      <c r="AVQ76" s="94"/>
      <c r="AVR76" s="94"/>
      <c r="AVS76" s="94"/>
      <c r="AVT76" s="94"/>
      <c r="AVU76" s="94"/>
      <c r="AVV76" s="94"/>
      <c r="AVW76" s="94"/>
      <c r="AVX76" s="94"/>
      <c r="AVY76" s="94"/>
      <c r="AVZ76" s="94"/>
      <c r="AWA76" s="94"/>
      <c r="AWB76" s="94"/>
      <c r="AWC76" s="94"/>
      <c r="AWD76" s="94"/>
      <c r="AWE76" s="94"/>
      <c r="AWF76" s="94"/>
      <c r="AWG76" s="94"/>
      <c r="AWH76" s="94"/>
      <c r="AWI76" s="94"/>
      <c r="AWJ76" s="94"/>
      <c r="AWK76" s="94"/>
      <c r="AWL76" s="94"/>
      <c r="AWM76" s="94"/>
      <c r="AWN76" s="94"/>
      <c r="AWO76" s="94"/>
      <c r="AWP76" s="94"/>
      <c r="AWQ76" s="94"/>
      <c r="AWR76" s="94"/>
      <c r="AWS76" s="94"/>
      <c r="AWT76" s="94"/>
      <c r="AWU76" s="94"/>
      <c r="AWV76" s="94"/>
      <c r="AWW76" s="94"/>
      <c r="AWX76" s="94"/>
      <c r="AWY76" s="94"/>
      <c r="AWZ76" s="94"/>
      <c r="AXA76" s="94"/>
      <c r="AXB76" s="94"/>
      <c r="AXC76" s="94"/>
      <c r="AXD76" s="94"/>
      <c r="AXE76" s="94"/>
      <c r="AXF76" s="94"/>
      <c r="AXG76" s="94"/>
      <c r="AXH76" s="94"/>
      <c r="AXI76" s="94"/>
      <c r="AXJ76" s="94"/>
      <c r="AXK76" s="94"/>
      <c r="AXL76" s="94"/>
      <c r="AXM76" s="94"/>
      <c r="AXN76" s="94"/>
      <c r="AXO76" s="94"/>
      <c r="AXP76" s="94"/>
      <c r="AXQ76" s="94"/>
      <c r="AXR76" s="94"/>
      <c r="AXS76" s="94"/>
      <c r="AXT76" s="94"/>
      <c r="AXU76" s="94"/>
      <c r="AXV76" s="94"/>
      <c r="AXW76" s="94"/>
      <c r="AXX76" s="94"/>
      <c r="AXY76" s="94"/>
      <c r="AXZ76" s="94"/>
      <c r="AYA76" s="94"/>
      <c r="AYB76" s="94"/>
      <c r="AYC76" s="94"/>
      <c r="AYD76" s="94"/>
      <c r="AYE76" s="94"/>
      <c r="AYF76" s="94"/>
      <c r="AYG76" s="94"/>
      <c r="AYH76" s="94"/>
      <c r="AYI76" s="94"/>
      <c r="AYJ76" s="94"/>
      <c r="AYK76" s="94"/>
      <c r="AYL76" s="94"/>
      <c r="AYM76" s="94"/>
      <c r="AYN76" s="94"/>
      <c r="AYO76" s="94"/>
      <c r="AYP76" s="94"/>
      <c r="AYQ76" s="94"/>
      <c r="AYR76" s="94"/>
      <c r="AYS76" s="94"/>
      <c r="AYT76" s="94"/>
      <c r="AYU76" s="94"/>
      <c r="AYV76" s="94"/>
      <c r="AYW76" s="94"/>
      <c r="AYX76" s="94"/>
      <c r="AYY76" s="94"/>
      <c r="AYZ76" s="94"/>
      <c r="AZA76" s="94"/>
      <c r="AZB76" s="94"/>
      <c r="AZC76" s="94"/>
      <c r="AZD76" s="94"/>
      <c r="AZE76" s="94"/>
      <c r="AZF76" s="94"/>
      <c r="AZG76" s="94"/>
      <c r="AZH76" s="94"/>
      <c r="AZI76" s="94"/>
      <c r="AZJ76" s="94"/>
      <c r="AZK76" s="94"/>
      <c r="AZL76" s="94"/>
      <c r="AZM76" s="94"/>
      <c r="AZN76" s="94"/>
      <c r="AZO76" s="94"/>
      <c r="AZP76" s="94"/>
      <c r="AZQ76" s="94"/>
      <c r="AZR76" s="94"/>
      <c r="AZS76" s="94"/>
      <c r="AZT76" s="94"/>
      <c r="AZU76" s="94"/>
      <c r="AZV76" s="94"/>
      <c r="AZW76" s="94"/>
      <c r="AZX76" s="94"/>
      <c r="AZY76" s="94"/>
      <c r="AZZ76" s="94"/>
      <c r="BAA76" s="94"/>
      <c r="BAB76" s="94"/>
      <c r="BAC76" s="94"/>
      <c r="BAD76" s="94"/>
      <c r="BAE76" s="94"/>
      <c r="BAF76" s="94"/>
      <c r="BAG76" s="94"/>
      <c r="BAH76" s="94"/>
      <c r="BAI76" s="94"/>
      <c r="BAJ76" s="94"/>
      <c r="BAK76" s="94"/>
      <c r="BAL76" s="94"/>
      <c r="BAM76" s="94"/>
      <c r="BAN76" s="94"/>
      <c r="BAO76" s="94"/>
      <c r="BAP76" s="94"/>
      <c r="BAQ76" s="94"/>
      <c r="BAR76" s="94"/>
      <c r="BAS76" s="94"/>
      <c r="BAT76" s="94"/>
      <c r="BAU76" s="94"/>
      <c r="BAV76" s="94"/>
      <c r="BAW76" s="94"/>
      <c r="BAX76" s="94"/>
      <c r="BAY76" s="94"/>
      <c r="BAZ76" s="94"/>
      <c r="BBA76" s="94"/>
      <c r="BBB76" s="94"/>
      <c r="BBC76" s="94"/>
      <c r="BBD76" s="94"/>
      <c r="BBE76" s="94"/>
      <c r="BBF76" s="94"/>
      <c r="BBG76" s="94"/>
      <c r="BBH76" s="94"/>
      <c r="BBI76" s="94"/>
      <c r="BBJ76" s="94"/>
      <c r="BBK76" s="94"/>
      <c r="BBL76" s="94"/>
      <c r="BBM76" s="94"/>
      <c r="BBN76" s="94"/>
      <c r="BBO76" s="94"/>
      <c r="BBP76" s="94"/>
      <c r="BBQ76" s="94"/>
      <c r="BBR76" s="94"/>
      <c r="BBS76" s="94"/>
      <c r="BBT76" s="94"/>
      <c r="BBU76" s="94"/>
      <c r="BBV76" s="94"/>
      <c r="BBW76" s="94"/>
      <c r="BBX76" s="94"/>
      <c r="BBY76" s="94"/>
      <c r="BBZ76" s="94"/>
      <c r="BCA76" s="94"/>
      <c r="BCB76" s="94"/>
      <c r="BCC76" s="94"/>
      <c r="BCD76" s="94"/>
      <c r="BCE76" s="94"/>
      <c r="BCF76" s="94"/>
      <c r="BCG76" s="94"/>
      <c r="BCH76" s="94"/>
      <c r="BCI76" s="94"/>
      <c r="BCJ76" s="94"/>
      <c r="BCK76" s="94"/>
      <c r="BCL76" s="94"/>
      <c r="BCM76" s="94"/>
      <c r="BCN76" s="94"/>
      <c r="BCO76" s="94"/>
      <c r="BCP76" s="94"/>
      <c r="BCQ76" s="94"/>
      <c r="BCR76" s="94"/>
      <c r="BCS76" s="94"/>
      <c r="BCT76" s="94"/>
      <c r="BCU76" s="94"/>
      <c r="BCV76" s="94"/>
      <c r="BCW76" s="94"/>
      <c r="BCX76" s="94"/>
      <c r="BCY76" s="94"/>
      <c r="BCZ76" s="94"/>
      <c r="BDA76" s="94"/>
      <c r="BDB76" s="94"/>
      <c r="BDC76" s="94"/>
      <c r="BDD76" s="94"/>
      <c r="BDE76" s="94"/>
      <c r="BDF76" s="94"/>
      <c r="BDG76" s="94"/>
      <c r="BDH76" s="94"/>
      <c r="BDI76" s="94"/>
      <c r="BDJ76" s="94"/>
      <c r="BDK76" s="94"/>
      <c r="BDL76" s="94"/>
      <c r="BDM76" s="94"/>
      <c r="BDN76" s="94"/>
      <c r="BDO76" s="94"/>
      <c r="BDP76" s="94"/>
      <c r="BDQ76" s="94"/>
      <c r="BDR76" s="94"/>
      <c r="BDS76" s="94"/>
      <c r="BDT76" s="94"/>
      <c r="BDU76" s="94"/>
      <c r="BDV76" s="94"/>
      <c r="BDW76" s="94"/>
      <c r="BDX76" s="94"/>
      <c r="BDY76" s="94"/>
      <c r="BDZ76" s="94"/>
      <c r="BEA76" s="94"/>
      <c r="BEB76" s="94"/>
      <c r="BEC76" s="94"/>
      <c r="BED76" s="94"/>
      <c r="BEE76" s="94"/>
      <c r="BEF76" s="94"/>
      <c r="BEG76" s="94"/>
      <c r="BEH76" s="94"/>
      <c r="BEI76" s="94"/>
      <c r="BEJ76" s="94"/>
      <c r="BEK76" s="94"/>
      <c r="BEL76" s="94"/>
      <c r="BEM76" s="94"/>
      <c r="BEN76" s="94"/>
      <c r="BEO76" s="94"/>
      <c r="BEP76" s="94"/>
      <c r="BEQ76" s="94"/>
      <c r="BER76" s="94"/>
      <c r="BES76" s="94"/>
      <c r="BET76" s="94"/>
      <c r="BEU76" s="94"/>
      <c r="BEV76" s="94"/>
      <c r="BEW76" s="94"/>
      <c r="BEX76" s="94"/>
      <c r="BEY76" s="94"/>
      <c r="BEZ76" s="94"/>
      <c r="BFA76" s="94"/>
      <c r="BFB76" s="94"/>
      <c r="BFC76" s="94"/>
      <c r="BFD76" s="94"/>
      <c r="BFE76" s="94"/>
      <c r="BFF76" s="94"/>
      <c r="BFG76" s="94"/>
      <c r="BFH76" s="94"/>
      <c r="BFI76" s="94"/>
      <c r="BFJ76" s="94"/>
      <c r="BFK76" s="94"/>
      <c r="BFL76" s="94"/>
      <c r="BFM76" s="94"/>
      <c r="BFN76" s="94"/>
      <c r="BFO76" s="94"/>
      <c r="BFP76" s="94"/>
      <c r="BFQ76" s="94"/>
      <c r="BFR76" s="94"/>
      <c r="BFS76" s="94"/>
      <c r="BFT76" s="94"/>
      <c r="BFU76" s="94"/>
      <c r="BFV76" s="94"/>
      <c r="BFW76" s="94"/>
      <c r="BFX76" s="94"/>
      <c r="BFY76" s="94"/>
      <c r="BFZ76" s="94"/>
      <c r="BGA76" s="94"/>
      <c r="BGB76" s="94"/>
      <c r="BGC76" s="94"/>
      <c r="BGD76" s="94"/>
      <c r="BGE76" s="94"/>
      <c r="BGF76" s="94"/>
      <c r="BGG76" s="94"/>
      <c r="BGH76" s="94"/>
      <c r="BGI76" s="94"/>
      <c r="BGJ76" s="94"/>
      <c r="BGK76" s="94"/>
      <c r="BGL76" s="94"/>
      <c r="BGM76" s="94"/>
      <c r="BGN76" s="94"/>
      <c r="BGO76" s="94"/>
      <c r="BGP76" s="94"/>
      <c r="BGQ76" s="94"/>
      <c r="BGR76" s="94"/>
      <c r="BGS76" s="94"/>
      <c r="BGT76" s="94"/>
      <c r="BGU76" s="94"/>
      <c r="BGV76" s="94"/>
      <c r="BGW76" s="94"/>
      <c r="BGX76" s="94"/>
      <c r="BGY76" s="94"/>
      <c r="BGZ76" s="94"/>
      <c r="BHA76" s="94"/>
      <c r="BHB76" s="94"/>
      <c r="BHC76" s="94"/>
      <c r="BHD76" s="94"/>
      <c r="BHE76" s="94"/>
      <c r="BHF76" s="94"/>
      <c r="BHG76" s="94"/>
      <c r="BHH76" s="94"/>
      <c r="BHI76" s="94"/>
      <c r="BHJ76" s="94"/>
      <c r="BHK76" s="94"/>
      <c r="BHL76" s="94"/>
      <c r="BHM76" s="94"/>
      <c r="BHN76" s="94"/>
      <c r="BHO76" s="94"/>
      <c r="BHP76" s="94"/>
      <c r="BHQ76" s="94"/>
      <c r="BHR76" s="94"/>
      <c r="BHS76" s="94"/>
      <c r="BHT76" s="94"/>
      <c r="BHU76" s="94"/>
      <c r="BHV76" s="94"/>
      <c r="BHW76" s="94"/>
      <c r="BHX76" s="94"/>
      <c r="BHY76" s="94"/>
      <c r="BHZ76" s="94"/>
      <c r="BIA76" s="94"/>
      <c r="BIB76" s="94"/>
      <c r="BIC76" s="94"/>
      <c r="BID76" s="94"/>
      <c r="BIE76" s="94"/>
      <c r="BIF76" s="94"/>
      <c r="BIG76" s="94"/>
      <c r="BIH76" s="94"/>
      <c r="BII76" s="94"/>
      <c r="BIJ76" s="94"/>
      <c r="BIK76" s="94"/>
      <c r="BIL76" s="94"/>
      <c r="BIM76" s="94"/>
      <c r="BIN76" s="94"/>
      <c r="BIO76" s="94"/>
      <c r="BIP76" s="94"/>
      <c r="BIQ76" s="94"/>
      <c r="BIR76" s="94"/>
      <c r="BIS76" s="94"/>
      <c r="BIT76" s="94"/>
      <c r="BIU76" s="94"/>
      <c r="BIV76" s="94"/>
      <c r="BIW76" s="94"/>
      <c r="BIX76" s="94"/>
      <c r="BIY76" s="94"/>
      <c r="BIZ76" s="94"/>
      <c r="BJA76" s="94"/>
      <c r="BJB76" s="94"/>
      <c r="BJC76" s="94"/>
      <c r="BJD76" s="94"/>
      <c r="BJE76" s="94"/>
      <c r="BJF76" s="94"/>
      <c r="BJG76" s="94"/>
      <c r="BJH76" s="94"/>
      <c r="BJI76" s="94"/>
      <c r="BJJ76" s="94"/>
      <c r="BJK76" s="94"/>
      <c r="BJL76" s="94"/>
      <c r="BJM76" s="94"/>
      <c r="BJN76" s="94"/>
      <c r="BJO76" s="94"/>
      <c r="BJP76" s="94"/>
      <c r="BJQ76" s="94"/>
      <c r="BJR76" s="94"/>
      <c r="BJS76" s="94"/>
      <c r="BJT76" s="94"/>
      <c r="BJU76" s="94"/>
      <c r="BJV76" s="94"/>
      <c r="BJW76" s="94"/>
      <c r="BJX76" s="94"/>
      <c r="BJY76" s="94"/>
      <c r="BJZ76" s="94"/>
      <c r="BKA76" s="94"/>
      <c r="BKB76" s="94"/>
      <c r="BKC76" s="94"/>
      <c r="BKD76" s="94"/>
      <c r="BKE76" s="94"/>
      <c r="BKF76" s="94"/>
      <c r="BKG76" s="94"/>
      <c r="BKH76" s="94"/>
      <c r="BKI76" s="94"/>
      <c r="BKJ76" s="94"/>
      <c r="BKK76" s="94"/>
      <c r="BKL76" s="94"/>
      <c r="BKM76" s="94"/>
      <c r="BKN76" s="94"/>
      <c r="BKO76" s="94"/>
      <c r="BKP76" s="94"/>
      <c r="BKQ76" s="94"/>
      <c r="BKR76" s="94"/>
      <c r="BKS76" s="94"/>
      <c r="BKT76" s="94"/>
      <c r="BKU76" s="94"/>
      <c r="BKV76" s="94"/>
      <c r="BKW76" s="94"/>
      <c r="BKX76" s="94"/>
      <c r="BKY76" s="94"/>
      <c r="BKZ76" s="94"/>
      <c r="BLA76" s="94"/>
      <c r="BLB76" s="94"/>
      <c r="BLC76" s="94"/>
      <c r="BLD76" s="94"/>
      <c r="BLE76" s="94"/>
      <c r="BLF76" s="94"/>
      <c r="BLG76" s="94"/>
      <c r="BLH76" s="94"/>
      <c r="BLI76" s="94"/>
      <c r="BLJ76" s="94"/>
      <c r="BLK76" s="94"/>
      <c r="BLL76" s="94"/>
      <c r="BLM76" s="94"/>
      <c r="BLN76" s="94"/>
      <c r="BLO76" s="94"/>
      <c r="BLP76" s="94"/>
      <c r="BLQ76" s="94"/>
      <c r="BLR76" s="94"/>
      <c r="BLS76" s="94"/>
      <c r="BLT76" s="94"/>
      <c r="BLU76" s="94"/>
      <c r="BLV76" s="94"/>
      <c r="BLW76" s="94"/>
      <c r="BLX76" s="94"/>
      <c r="BLY76" s="94"/>
      <c r="BLZ76" s="94"/>
      <c r="BMA76" s="94"/>
      <c r="BMB76" s="94"/>
      <c r="BMC76" s="94"/>
      <c r="BMD76" s="94"/>
      <c r="BME76" s="94"/>
      <c r="BMF76" s="94"/>
      <c r="BMG76" s="94"/>
      <c r="BMH76" s="94"/>
      <c r="BMI76" s="94"/>
      <c r="BMJ76" s="94"/>
      <c r="BMK76" s="94"/>
      <c r="BML76" s="94"/>
      <c r="BMM76" s="94"/>
      <c r="BMN76" s="94"/>
      <c r="BMO76" s="94"/>
      <c r="BMP76" s="94"/>
      <c r="BMQ76" s="94"/>
      <c r="BMR76" s="94"/>
      <c r="BMS76" s="94"/>
      <c r="BMT76" s="94"/>
      <c r="BMU76" s="94"/>
      <c r="BMV76" s="94"/>
      <c r="BMW76" s="94"/>
      <c r="BMX76" s="94"/>
      <c r="BMY76" s="94"/>
      <c r="BMZ76" s="94"/>
      <c r="BNA76" s="94"/>
      <c r="BNB76" s="94"/>
      <c r="BNC76" s="94"/>
      <c r="BND76" s="94"/>
      <c r="BNE76" s="94"/>
      <c r="BNF76" s="94"/>
      <c r="BNG76" s="94"/>
      <c r="BNH76" s="94"/>
      <c r="BNI76" s="94"/>
      <c r="BNJ76" s="94"/>
      <c r="BNK76" s="94"/>
      <c r="BNL76" s="94"/>
      <c r="BNM76" s="94"/>
      <c r="BNN76" s="94"/>
      <c r="BNO76" s="94"/>
      <c r="BNP76" s="94"/>
      <c r="BNQ76" s="94"/>
      <c r="BNR76" s="94"/>
      <c r="BNS76" s="94"/>
      <c r="BNT76" s="94"/>
      <c r="BNU76" s="94"/>
      <c r="BNV76" s="94"/>
      <c r="BNW76" s="94"/>
      <c r="BNX76" s="94"/>
      <c r="BNY76" s="94"/>
      <c r="BNZ76" s="94"/>
      <c r="BOA76" s="94"/>
      <c r="BOB76" s="94"/>
      <c r="BOC76" s="94"/>
      <c r="BOD76" s="94"/>
      <c r="BOE76" s="94"/>
      <c r="BOF76" s="94"/>
      <c r="BOG76" s="94"/>
      <c r="BOH76" s="94"/>
      <c r="BOI76" s="94"/>
      <c r="BOJ76" s="94"/>
      <c r="BOK76" s="94"/>
      <c r="BOL76" s="94"/>
      <c r="BOM76" s="94"/>
      <c r="BON76" s="94"/>
      <c r="BOO76" s="94"/>
      <c r="BOP76" s="94"/>
      <c r="BOQ76" s="94"/>
      <c r="BOR76" s="94"/>
      <c r="BOS76" s="94"/>
      <c r="BOT76" s="94"/>
      <c r="BOU76" s="94"/>
      <c r="BOV76" s="94"/>
      <c r="BOW76" s="94"/>
      <c r="BOX76" s="94"/>
      <c r="BOY76" s="94"/>
      <c r="BOZ76" s="94"/>
      <c r="BPA76" s="94"/>
      <c r="BPB76" s="94"/>
      <c r="BPC76" s="94"/>
      <c r="BPD76" s="94"/>
      <c r="BPE76" s="94"/>
      <c r="BPF76" s="94"/>
      <c r="BPG76" s="94"/>
      <c r="BPH76" s="94"/>
      <c r="BPI76" s="94"/>
      <c r="BPJ76" s="94"/>
      <c r="BPK76" s="94"/>
      <c r="BPL76" s="94"/>
      <c r="BPM76" s="94"/>
      <c r="BPN76" s="94"/>
      <c r="BPO76" s="94"/>
      <c r="BPP76" s="94"/>
      <c r="BPQ76" s="94"/>
      <c r="BPR76" s="94"/>
      <c r="BPS76" s="94"/>
      <c r="BPT76" s="94"/>
      <c r="BPU76" s="94"/>
      <c r="BPV76" s="94"/>
      <c r="BPW76" s="94"/>
      <c r="BPX76" s="94"/>
      <c r="BPY76" s="94"/>
      <c r="BPZ76" s="94"/>
      <c r="BQA76" s="94"/>
      <c r="BQB76" s="94"/>
      <c r="BQC76" s="94"/>
      <c r="BQD76" s="94"/>
      <c r="BQE76" s="94"/>
      <c r="BQF76" s="94"/>
      <c r="BQG76" s="94"/>
      <c r="BQH76" s="94"/>
      <c r="BQI76" s="94"/>
      <c r="BQJ76" s="94"/>
      <c r="BQK76" s="94"/>
      <c r="BQL76" s="94"/>
      <c r="BQM76" s="94"/>
      <c r="BQN76" s="94"/>
      <c r="BQO76" s="94"/>
      <c r="BQP76" s="94"/>
      <c r="BQQ76" s="94"/>
      <c r="BQR76" s="94"/>
      <c r="BQS76" s="94"/>
      <c r="BQT76" s="94"/>
      <c r="BQU76" s="94"/>
      <c r="BQV76" s="94"/>
      <c r="BQW76" s="94"/>
      <c r="BQX76" s="94"/>
      <c r="BQY76" s="94"/>
      <c r="BQZ76" s="94"/>
      <c r="BRA76" s="94"/>
      <c r="BRB76" s="94"/>
      <c r="BRC76" s="94"/>
      <c r="BRD76" s="94"/>
      <c r="BRE76" s="94"/>
      <c r="BRF76" s="94"/>
      <c r="BRG76" s="94"/>
      <c r="BRH76" s="94"/>
      <c r="BRI76" s="94"/>
      <c r="BRJ76" s="94"/>
      <c r="BRK76" s="94"/>
      <c r="BRL76" s="94"/>
      <c r="BRM76" s="94"/>
      <c r="BRN76" s="94"/>
      <c r="BRO76" s="94"/>
      <c r="BRP76" s="94"/>
      <c r="BRQ76" s="94"/>
      <c r="BRR76" s="94"/>
      <c r="BRS76" s="94"/>
      <c r="BRT76" s="94"/>
      <c r="BRU76" s="94"/>
      <c r="BRV76" s="94"/>
      <c r="BRW76" s="94"/>
      <c r="BRX76" s="94"/>
      <c r="BRY76" s="94"/>
      <c r="BRZ76" s="94"/>
      <c r="BSA76" s="94"/>
      <c r="BSB76" s="94"/>
      <c r="BSC76" s="94"/>
      <c r="BSD76" s="94"/>
      <c r="BSE76" s="94"/>
      <c r="BSF76" s="94"/>
      <c r="BSG76" s="94"/>
      <c r="BSH76" s="94"/>
      <c r="BSI76" s="94"/>
      <c r="BSJ76" s="94"/>
      <c r="BSK76" s="94"/>
      <c r="BSL76" s="94"/>
      <c r="BSM76" s="94"/>
      <c r="BSN76" s="94"/>
      <c r="BSO76" s="94"/>
      <c r="BSP76" s="94"/>
      <c r="BSQ76" s="94"/>
      <c r="BSR76" s="94"/>
      <c r="BSS76" s="94"/>
      <c r="BST76" s="94"/>
      <c r="BSU76" s="94"/>
      <c r="BSV76" s="94"/>
      <c r="BSW76" s="94"/>
      <c r="BSX76" s="94"/>
      <c r="BSY76" s="94"/>
      <c r="BSZ76" s="94"/>
      <c r="BTA76" s="94"/>
      <c r="BTB76" s="94"/>
      <c r="BTC76" s="94"/>
      <c r="BTD76" s="94"/>
      <c r="BTE76" s="94"/>
      <c r="BTF76" s="94"/>
      <c r="BTG76" s="94"/>
      <c r="BTH76" s="94"/>
      <c r="BTI76" s="94"/>
      <c r="BTJ76" s="94"/>
      <c r="BTK76" s="94"/>
      <c r="BTL76" s="94"/>
      <c r="BTM76" s="94"/>
      <c r="BTN76" s="94"/>
      <c r="BTO76" s="94"/>
      <c r="BTP76" s="94"/>
      <c r="BTQ76" s="94"/>
      <c r="BTR76" s="94"/>
      <c r="BTS76" s="94"/>
      <c r="BTT76" s="94"/>
      <c r="BTU76" s="94"/>
      <c r="BTV76" s="94"/>
      <c r="BTW76" s="94"/>
      <c r="BTX76" s="94"/>
      <c r="BTY76" s="94"/>
      <c r="BTZ76" s="94"/>
      <c r="BUA76" s="94"/>
      <c r="BUB76" s="94"/>
      <c r="BUC76" s="94"/>
      <c r="BUD76" s="94"/>
      <c r="BUE76" s="94"/>
      <c r="BUF76" s="94"/>
      <c r="BUG76" s="94"/>
      <c r="BUH76" s="94"/>
      <c r="BUI76" s="94"/>
      <c r="BUJ76" s="94"/>
      <c r="BUK76" s="94"/>
      <c r="BUL76" s="94"/>
      <c r="BUM76" s="94"/>
      <c r="BUN76" s="94"/>
      <c r="BUO76" s="94"/>
      <c r="BUP76" s="94"/>
      <c r="BUQ76" s="94"/>
      <c r="BUR76" s="94"/>
      <c r="BUS76" s="94"/>
      <c r="BUT76" s="94"/>
      <c r="BUU76" s="94"/>
      <c r="BUV76" s="94"/>
      <c r="BUW76" s="94"/>
      <c r="BUX76" s="94"/>
      <c r="BUY76" s="94"/>
      <c r="BUZ76" s="94"/>
      <c r="BVA76" s="94"/>
      <c r="BVB76" s="94"/>
      <c r="BVC76" s="94"/>
      <c r="BVD76" s="94"/>
      <c r="BVE76" s="94"/>
      <c r="BVF76" s="94"/>
      <c r="BVG76" s="94"/>
      <c r="BVH76" s="94"/>
      <c r="BVI76" s="94"/>
      <c r="BVJ76" s="94"/>
      <c r="BVK76" s="94"/>
      <c r="BVL76" s="94"/>
      <c r="BVM76" s="94"/>
      <c r="BVN76" s="94"/>
      <c r="BVO76" s="94"/>
      <c r="BVP76" s="94"/>
      <c r="BVQ76" s="94"/>
      <c r="BVR76" s="94"/>
      <c r="BVS76" s="94"/>
      <c r="BVT76" s="94"/>
      <c r="BVU76" s="94"/>
      <c r="BVV76" s="94"/>
      <c r="BVW76" s="94"/>
      <c r="BVX76" s="94"/>
      <c r="BVY76" s="94"/>
      <c r="BVZ76" s="94"/>
      <c r="BWA76" s="94"/>
      <c r="BWB76" s="94"/>
      <c r="BWC76" s="94"/>
      <c r="BWD76" s="94"/>
      <c r="BWE76" s="94"/>
      <c r="BWF76" s="94"/>
      <c r="BWG76" s="94"/>
      <c r="BWH76" s="94"/>
      <c r="BWI76" s="94"/>
      <c r="BWJ76" s="94"/>
      <c r="BWK76" s="94"/>
      <c r="BWL76" s="94"/>
      <c r="BWM76" s="94"/>
      <c r="BWN76" s="94"/>
      <c r="BWO76" s="94"/>
      <c r="BWP76" s="94"/>
      <c r="BWQ76" s="94"/>
      <c r="BWR76" s="94"/>
      <c r="BWS76" s="94"/>
      <c r="BWT76" s="94"/>
      <c r="BWU76" s="94"/>
      <c r="BWV76" s="94"/>
      <c r="BWW76" s="94"/>
      <c r="BWX76" s="94"/>
      <c r="BWY76" s="94"/>
      <c r="BWZ76" s="94"/>
      <c r="BXA76" s="94"/>
      <c r="BXB76" s="94"/>
      <c r="BXC76" s="94"/>
      <c r="BXD76" s="94"/>
      <c r="BXE76" s="94"/>
      <c r="BXF76" s="94"/>
      <c r="BXG76" s="94"/>
      <c r="BXH76" s="94"/>
      <c r="BXI76" s="94"/>
      <c r="BXJ76" s="94"/>
      <c r="BXK76" s="94"/>
      <c r="BXL76" s="94"/>
      <c r="BXM76" s="94"/>
      <c r="BXN76" s="94"/>
      <c r="BXO76" s="94"/>
      <c r="BXP76" s="94"/>
      <c r="BXQ76" s="94"/>
      <c r="BXR76" s="94"/>
      <c r="BXS76" s="94"/>
      <c r="BXT76" s="94"/>
      <c r="BXU76" s="94"/>
      <c r="BXV76" s="94"/>
      <c r="BXW76" s="94"/>
      <c r="BXX76" s="94"/>
      <c r="BXY76" s="94"/>
      <c r="BXZ76" s="94"/>
      <c r="BYA76" s="94"/>
      <c r="BYB76" s="94"/>
      <c r="BYC76" s="94"/>
      <c r="BYD76" s="94"/>
      <c r="BYE76" s="94"/>
      <c r="BYF76" s="94"/>
      <c r="BYG76" s="94"/>
    </row>
    <row r="77" spans="1:2009" ht="15" customHeight="1" x14ac:dyDescent="0.25">
      <c r="A77" s="122"/>
      <c r="B77" s="312" t="s">
        <v>622</v>
      </c>
      <c r="C77" s="191"/>
      <c r="D77" s="191"/>
      <c r="E77" s="191"/>
      <c r="F77" s="191"/>
      <c r="G77" s="656"/>
    </row>
    <row r="78" spans="1:2009" ht="8.25" customHeight="1" x14ac:dyDescent="0.25">
      <c r="A78" s="122"/>
      <c r="B78" s="160"/>
      <c r="C78" s="599"/>
      <c r="D78" s="191"/>
      <c r="E78" s="191"/>
      <c r="F78" s="191"/>
      <c r="G78" s="656"/>
    </row>
    <row r="79" spans="1:2009" ht="14.25" customHeight="1" x14ac:dyDescent="0.25">
      <c r="A79" s="122"/>
      <c r="B79" s="545" t="s">
        <v>44</v>
      </c>
      <c r="C79" s="590">
        <v>11459.76</v>
      </c>
      <c r="D79" s="599"/>
      <c r="E79" s="191"/>
      <c r="F79" s="191"/>
      <c r="G79" s="656"/>
    </row>
    <row r="80" spans="1:2009" ht="14.25" hidden="1" customHeight="1" x14ac:dyDescent="0.25">
      <c r="A80" s="122"/>
      <c r="B80" s="545" t="s">
        <v>567</v>
      </c>
      <c r="C80" s="590"/>
      <c r="D80" s="599"/>
      <c r="E80" s="191"/>
      <c r="F80" s="191"/>
      <c r="G80" s="656"/>
    </row>
    <row r="81" spans="1:7" ht="14.25" hidden="1" customHeight="1" x14ac:dyDescent="0.25">
      <c r="A81" s="122"/>
      <c r="B81" s="545" t="s">
        <v>606</v>
      </c>
      <c r="C81" s="590"/>
      <c r="D81" s="599"/>
      <c r="E81" s="191"/>
      <c r="F81" s="191"/>
      <c r="G81" s="656"/>
    </row>
    <row r="82" spans="1:7" ht="14.25" hidden="1" customHeight="1" x14ac:dyDescent="0.25">
      <c r="A82" s="122"/>
      <c r="B82" s="545" t="s">
        <v>607</v>
      </c>
      <c r="C82" s="590"/>
      <c r="D82" s="599"/>
      <c r="E82" s="191"/>
      <c r="F82" s="191"/>
      <c r="G82" s="656"/>
    </row>
    <row r="83" spans="1:7" ht="14.25" customHeight="1" x14ac:dyDescent="0.25">
      <c r="A83" s="122"/>
      <c r="B83" s="545" t="s">
        <v>614</v>
      </c>
      <c r="C83" s="590">
        <v>26085.02</v>
      </c>
      <c r="D83" s="599"/>
      <c r="E83" s="191"/>
      <c r="F83" s="191"/>
      <c r="G83" s="656"/>
    </row>
    <row r="84" spans="1:7" ht="14.25" hidden="1" customHeight="1" x14ac:dyDescent="0.25">
      <c r="A84" s="122"/>
      <c r="B84" s="545" t="s">
        <v>568</v>
      </c>
      <c r="C84" s="590"/>
      <c r="D84" s="599"/>
      <c r="E84" s="191"/>
      <c r="F84" s="191"/>
      <c r="G84" s="656"/>
    </row>
    <row r="85" spans="1:7" ht="14.25" hidden="1" customHeight="1" x14ac:dyDescent="0.25">
      <c r="A85" s="122"/>
      <c r="B85" s="545" t="s">
        <v>601</v>
      </c>
      <c r="C85" s="590"/>
      <c r="D85" s="599"/>
      <c r="E85" s="191"/>
      <c r="F85" s="191"/>
      <c r="G85" s="656"/>
    </row>
    <row r="86" spans="1:7" ht="14.25" customHeight="1" x14ac:dyDescent="0.25">
      <c r="A86" s="122"/>
      <c r="B86" s="545" t="s">
        <v>613</v>
      </c>
      <c r="C86" s="590">
        <v>676.81</v>
      </c>
      <c r="D86" s="599"/>
      <c r="E86" s="191"/>
      <c r="F86" s="191"/>
      <c r="G86" s="656"/>
    </row>
    <row r="87" spans="1:7" ht="14.25" hidden="1" customHeight="1" x14ac:dyDescent="0.25">
      <c r="A87" s="122"/>
      <c r="B87" s="545" t="s">
        <v>608</v>
      </c>
      <c r="C87" s="590"/>
      <c r="D87" s="599"/>
      <c r="E87" s="191"/>
      <c r="F87" s="191"/>
      <c r="G87" s="656"/>
    </row>
    <row r="88" spans="1:7" ht="14.25" hidden="1" customHeight="1" x14ac:dyDescent="0.25">
      <c r="A88" s="122"/>
      <c r="B88" s="545" t="s">
        <v>565</v>
      </c>
      <c r="C88" s="590"/>
      <c r="D88" s="599"/>
      <c r="E88" s="191"/>
      <c r="F88" s="191"/>
      <c r="G88" s="656"/>
    </row>
    <row r="89" spans="1:7" ht="14.25" customHeight="1" x14ac:dyDescent="0.25">
      <c r="A89" s="122"/>
      <c r="B89" s="545" t="s">
        <v>566</v>
      </c>
      <c r="C89" s="590">
        <v>1581.67</v>
      </c>
      <c r="D89" s="599"/>
      <c r="E89" s="191"/>
      <c r="F89" s="191"/>
      <c r="G89" s="656"/>
    </row>
    <row r="90" spans="1:7" ht="14.25" customHeight="1" x14ac:dyDescent="0.25">
      <c r="A90" s="122"/>
      <c r="B90" s="545" t="s">
        <v>615</v>
      </c>
      <c r="C90" s="590">
        <v>325.54000000000002</v>
      </c>
      <c r="D90" s="599"/>
      <c r="E90" s="191"/>
      <c r="F90" s="191"/>
      <c r="G90" s="656"/>
    </row>
    <row r="91" spans="1:7" ht="14.25" hidden="1" customHeight="1" x14ac:dyDescent="0.25">
      <c r="A91" s="122"/>
      <c r="B91" s="545" t="s">
        <v>454</v>
      </c>
      <c r="C91" s="590"/>
      <c r="D91" s="599"/>
      <c r="E91" s="191"/>
      <c r="F91" s="191"/>
      <c r="G91" s="656"/>
    </row>
    <row r="92" spans="1:7" ht="14.25" hidden="1" customHeight="1" x14ac:dyDescent="0.25">
      <c r="A92" s="122"/>
      <c r="B92" s="545" t="s">
        <v>602</v>
      </c>
      <c r="C92" s="590"/>
      <c r="D92" s="599"/>
      <c r="E92" s="191"/>
      <c r="F92" s="191"/>
      <c r="G92" s="656"/>
    </row>
    <row r="93" spans="1:7" ht="14.25" hidden="1" customHeight="1" x14ac:dyDescent="0.25">
      <c r="A93" s="122"/>
      <c r="B93" s="545" t="s">
        <v>603</v>
      </c>
      <c r="C93" s="590"/>
      <c r="D93" s="599"/>
      <c r="E93" s="191"/>
      <c r="F93" s="191"/>
      <c r="G93" s="656"/>
    </row>
    <row r="94" spans="1:7" ht="14.25" hidden="1" customHeight="1" x14ac:dyDescent="0.25">
      <c r="A94" s="122"/>
      <c r="B94" s="545" t="s">
        <v>587</v>
      </c>
      <c r="C94" s="590"/>
      <c r="D94" s="599"/>
      <c r="E94" s="191"/>
      <c r="F94" s="191"/>
      <c r="G94" s="656"/>
    </row>
    <row r="95" spans="1:7" ht="14.25" hidden="1" customHeight="1" x14ac:dyDescent="0.25">
      <c r="A95" s="122"/>
      <c r="B95" s="545" t="s">
        <v>588</v>
      </c>
      <c r="C95" s="590"/>
      <c r="D95" s="599"/>
      <c r="E95" s="191"/>
      <c r="F95" s="191"/>
      <c r="G95" s="656"/>
    </row>
    <row r="96" spans="1:7" ht="14.25" customHeight="1" x14ac:dyDescent="0.25">
      <c r="A96" s="122"/>
      <c r="B96" s="545" t="s">
        <v>612</v>
      </c>
      <c r="C96" s="590">
        <v>50000</v>
      </c>
      <c r="D96" s="599"/>
      <c r="E96" s="191"/>
      <c r="F96" s="191"/>
      <c r="G96" s="656"/>
    </row>
    <row r="97" spans="1:7" ht="14.25" customHeight="1" x14ac:dyDescent="0.25">
      <c r="A97" s="122"/>
      <c r="B97" s="545"/>
      <c r="C97" s="590"/>
      <c r="D97" s="191"/>
      <c r="E97" s="191"/>
      <c r="F97" s="191"/>
      <c r="G97" s="656"/>
    </row>
    <row r="98" spans="1:7" ht="15" x14ac:dyDescent="0.25">
      <c r="A98" s="397"/>
      <c r="B98" s="161" t="s">
        <v>621</v>
      </c>
      <c r="C98" s="352">
        <f>SUM(C78:C97)</f>
        <v>90128.799999999988</v>
      </c>
      <c r="D98" s="192"/>
      <c r="E98" s="192"/>
      <c r="F98" s="192"/>
    </row>
    <row r="99" spans="1:7" ht="5.25" customHeight="1" x14ac:dyDescent="0.2">
      <c r="C99" s="192"/>
      <c r="D99" s="192"/>
      <c r="E99" s="192"/>
      <c r="F99" s="192"/>
    </row>
    <row r="100" spans="1:7" ht="15.75" thickBot="1" x14ac:dyDescent="0.3">
      <c r="B100" s="161" t="s">
        <v>611</v>
      </c>
      <c r="C100" s="383">
        <f>G73-C98</f>
        <v>198663.84000000003</v>
      </c>
      <c r="D100" s="192"/>
      <c r="E100" s="192"/>
      <c r="F100" s="192"/>
    </row>
    <row r="101" spans="1:7" ht="12" customHeight="1" thickTop="1" x14ac:dyDescent="0.2">
      <c r="C101" s="192"/>
      <c r="D101" s="192"/>
      <c r="E101" s="192"/>
      <c r="F101" s="192"/>
    </row>
    <row r="102" spans="1:7" ht="15.75" x14ac:dyDescent="0.25">
      <c r="B102" s="312" t="s">
        <v>174</v>
      </c>
      <c r="C102" s="192"/>
      <c r="D102" s="192"/>
      <c r="E102" s="192"/>
      <c r="F102" s="192"/>
    </row>
    <row r="103" spans="1:7" ht="16.5" customHeight="1" x14ac:dyDescent="0.2">
      <c r="B103" s="546" t="s">
        <v>617</v>
      </c>
      <c r="C103" s="547">
        <v>50000</v>
      </c>
      <c r="D103" s="192"/>
      <c r="E103" s="192"/>
      <c r="F103" s="192"/>
    </row>
    <row r="104" spans="1:7" ht="16.5" hidden="1" customHeight="1" x14ac:dyDescent="0.2">
      <c r="B104" s="546"/>
      <c r="C104" s="547"/>
      <c r="D104" s="192"/>
      <c r="E104" s="192"/>
      <c r="F104" s="192"/>
    </row>
    <row r="105" spans="1:7" ht="16.5" hidden="1" customHeight="1" x14ac:dyDescent="0.2">
      <c r="B105" s="546"/>
      <c r="C105" s="547"/>
      <c r="D105" s="192"/>
      <c r="E105" s="192"/>
      <c r="F105" s="192"/>
    </row>
    <row r="106" spans="1:7" ht="16.5" hidden="1" customHeight="1" x14ac:dyDescent="0.2">
      <c r="B106" s="546"/>
      <c r="C106" s="547"/>
      <c r="D106" s="192"/>
      <c r="E106" s="192"/>
      <c r="F106" s="192"/>
    </row>
    <row r="107" spans="1:7" ht="15" hidden="1" x14ac:dyDescent="0.2">
      <c r="B107" s="522"/>
      <c r="C107" s="192"/>
      <c r="D107" s="192"/>
      <c r="E107" s="192"/>
      <c r="F107" s="192"/>
    </row>
    <row r="108" spans="1:7" hidden="1" x14ac:dyDescent="0.2">
      <c r="B108" s="425"/>
      <c r="C108" s="192"/>
      <c r="D108" s="192"/>
      <c r="E108" s="192"/>
      <c r="F108" s="192"/>
    </row>
    <row r="109" spans="1:7" hidden="1" x14ac:dyDescent="0.2">
      <c r="B109" s="425"/>
      <c r="C109" s="192"/>
      <c r="D109" s="192"/>
      <c r="E109" s="192"/>
      <c r="F109" s="192"/>
    </row>
    <row r="110" spans="1:7" hidden="1" x14ac:dyDescent="0.2">
      <c r="B110" s="425"/>
      <c r="C110" s="192"/>
      <c r="D110" s="192"/>
      <c r="E110" s="192"/>
      <c r="F110" s="192"/>
    </row>
    <row r="111" spans="1:7" hidden="1" x14ac:dyDescent="0.2">
      <c r="B111" s="425"/>
      <c r="C111" s="192"/>
      <c r="D111" s="192"/>
      <c r="E111" s="192"/>
      <c r="F111" s="192"/>
    </row>
    <row r="112" spans="1:7" hidden="1" x14ac:dyDescent="0.2">
      <c r="B112" s="425"/>
      <c r="C112" s="192"/>
      <c r="D112" s="192"/>
      <c r="E112" s="192"/>
      <c r="F112" s="192"/>
    </row>
    <row r="113" spans="2:6" hidden="1" x14ac:dyDescent="0.2">
      <c r="B113" s="425"/>
      <c r="C113" s="357"/>
      <c r="D113" s="192"/>
      <c r="E113" s="192"/>
      <c r="F113" s="192"/>
    </row>
    <row r="114" spans="2:6" hidden="1" x14ac:dyDescent="0.2">
      <c r="B114" s="425"/>
      <c r="C114" s="357"/>
      <c r="D114" s="192"/>
      <c r="E114" s="192"/>
      <c r="F114" s="192"/>
    </row>
    <row r="115" spans="2:6" hidden="1" x14ac:dyDescent="0.2">
      <c r="B115" s="425"/>
      <c r="C115" s="357"/>
      <c r="D115" s="192"/>
      <c r="E115" s="192"/>
      <c r="F115" s="192"/>
    </row>
    <row r="116" spans="2:6" hidden="1" x14ac:dyDescent="0.2">
      <c r="B116" s="425"/>
      <c r="C116" s="357"/>
      <c r="D116" s="192"/>
      <c r="E116" s="192"/>
      <c r="F116" s="192"/>
    </row>
    <row r="117" spans="2:6" hidden="1" x14ac:dyDescent="0.2">
      <c r="B117" s="425"/>
      <c r="C117" s="357"/>
      <c r="D117" s="192"/>
      <c r="E117" s="192"/>
      <c r="F117" s="192"/>
    </row>
    <row r="118" spans="2:6" hidden="1" x14ac:dyDescent="0.2">
      <c r="B118" s="425"/>
      <c r="C118" s="357"/>
      <c r="D118" s="192"/>
      <c r="E118" s="192"/>
      <c r="F118" s="192"/>
    </row>
    <row r="119" spans="2:6" hidden="1" x14ac:dyDescent="0.2">
      <c r="B119" s="425"/>
      <c r="C119" s="357"/>
      <c r="D119" s="192"/>
      <c r="E119" s="192"/>
      <c r="F119" s="192"/>
    </row>
    <row r="120" spans="2:6" hidden="1" x14ac:dyDescent="0.2">
      <c r="B120" s="425"/>
      <c r="C120" s="357"/>
      <c r="D120" s="192"/>
      <c r="E120" s="192"/>
      <c r="F120" s="192"/>
    </row>
    <row r="121" spans="2:6" hidden="1" x14ac:dyDescent="0.2">
      <c r="B121" s="425"/>
      <c r="C121" s="357"/>
      <c r="D121" s="192"/>
      <c r="E121" s="192"/>
      <c r="F121" s="192"/>
    </row>
    <row r="122" spans="2:6" hidden="1" x14ac:dyDescent="0.2">
      <c r="B122" s="425"/>
      <c r="C122" s="357"/>
      <c r="D122" s="192"/>
      <c r="E122" s="192"/>
      <c r="F122" s="192"/>
    </row>
    <row r="123" spans="2:6" hidden="1" x14ac:dyDescent="0.2">
      <c r="B123" s="425"/>
      <c r="C123" s="357"/>
      <c r="D123" s="192"/>
      <c r="E123" s="192"/>
      <c r="F123" s="192"/>
    </row>
    <row r="124" spans="2:6" x14ac:dyDescent="0.2">
      <c r="B124" s="425"/>
      <c r="C124" s="357"/>
      <c r="D124" s="192"/>
      <c r="E124" s="192"/>
      <c r="F124" s="192"/>
    </row>
    <row r="125" spans="2:6" ht="16.5" customHeight="1" x14ac:dyDescent="0.25">
      <c r="B125" s="433" t="s">
        <v>276</v>
      </c>
      <c r="C125" s="357"/>
      <c r="D125" s="192"/>
      <c r="E125" s="192"/>
      <c r="F125" s="192"/>
    </row>
    <row r="126" spans="2:6" ht="16.5" hidden="1" customHeight="1" x14ac:dyDescent="0.25">
      <c r="B126" s="545" t="s">
        <v>589</v>
      </c>
      <c r="C126" s="547">
        <f>D7</f>
        <v>0</v>
      </c>
      <c r="D126" s="192"/>
      <c r="E126" s="192"/>
      <c r="F126" s="192"/>
    </row>
    <row r="127" spans="2:6" ht="16.5" hidden="1" customHeight="1" x14ac:dyDescent="0.25">
      <c r="B127" s="545" t="s">
        <v>453</v>
      </c>
      <c r="C127" s="547"/>
      <c r="D127" s="192"/>
      <c r="E127" s="192"/>
      <c r="F127" s="192"/>
    </row>
    <row r="128" spans="2:6" ht="16.5" customHeight="1" x14ac:dyDescent="0.25">
      <c r="B128" s="545" t="s">
        <v>619</v>
      </c>
      <c r="C128" s="547">
        <v>18794.18</v>
      </c>
      <c r="D128" s="192"/>
      <c r="E128" s="192"/>
      <c r="F128" s="192"/>
    </row>
    <row r="129" spans="2:6" ht="16.5" customHeight="1" x14ac:dyDescent="0.25">
      <c r="B129" s="545" t="s">
        <v>620</v>
      </c>
      <c r="C129" s="547">
        <v>22628.05</v>
      </c>
      <c r="D129" s="192"/>
      <c r="E129" s="192"/>
      <c r="F129" s="192"/>
    </row>
    <row r="130" spans="2:6" ht="16.5" hidden="1" customHeight="1" x14ac:dyDescent="0.25">
      <c r="B130" s="545" t="s">
        <v>618</v>
      </c>
      <c r="C130" s="192"/>
      <c r="D130" s="192"/>
      <c r="E130" s="192"/>
      <c r="F130" s="192"/>
    </row>
    <row r="131" spans="2:6" ht="16.5" hidden="1" customHeight="1" x14ac:dyDescent="0.25">
      <c r="B131" s="545" t="s">
        <v>604</v>
      </c>
      <c r="C131" s="192"/>
      <c r="D131" s="192"/>
      <c r="E131" s="192"/>
      <c r="F131" s="192"/>
    </row>
    <row r="132" spans="2:6" ht="16.5" hidden="1" customHeight="1" x14ac:dyDescent="0.25">
      <c r="B132" s="545" t="s">
        <v>472</v>
      </c>
      <c r="C132" s="192"/>
      <c r="D132" s="192"/>
      <c r="E132" s="192"/>
      <c r="F132" s="192"/>
    </row>
    <row r="133" spans="2:6" ht="18.75" hidden="1" customHeight="1" x14ac:dyDescent="0.25">
      <c r="B133" s="545" t="s">
        <v>605</v>
      </c>
      <c r="C133" s="192"/>
      <c r="D133" s="192"/>
      <c r="E133" s="192"/>
      <c r="F133" s="192"/>
    </row>
    <row r="134" spans="2:6" ht="17.25" customHeight="1" thickBot="1" x14ac:dyDescent="0.3">
      <c r="B134" s="545" t="s">
        <v>481</v>
      </c>
      <c r="C134" s="611">
        <f>SUM(C126:C133)</f>
        <v>41422.229999999996</v>
      </c>
      <c r="D134" s="192"/>
      <c r="E134" s="192"/>
      <c r="F134" s="192"/>
    </row>
    <row r="135" spans="2:6" ht="12" customHeight="1" thickTop="1" x14ac:dyDescent="0.2">
      <c r="C135" s="192"/>
      <c r="D135" s="192"/>
      <c r="E135" s="192"/>
      <c r="F135" s="192"/>
    </row>
    <row r="136" spans="2:6" ht="12" customHeight="1" x14ac:dyDescent="0.2">
      <c r="C136" s="192"/>
      <c r="D136" s="192"/>
      <c r="E136" s="192"/>
      <c r="F136" s="192"/>
    </row>
    <row r="137" spans="2:6" ht="12" customHeight="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14" ht="12" customHeight="1" x14ac:dyDescent="0.2">
      <c r="C193" s="192"/>
      <c r="D193" s="192"/>
      <c r="E193" s="192"/>
      <c r="F193" s="192"/>
    </row>
    <row r="194" spans="2:14" ht="12" customHeight="1" x14ac:dyDescent="0.2">
      <c r="C194" s="192"/>
      <c r="D194" s="192"/>
      <c r="E194" s="192"/>
      <c r="F194" s="192"/>
    </row>
    <row r="195" spans="2:14" ht="12" customHeight="1" x14ac:dyDescent="0.2">
      <c r="C195" s="192"/>
      <c r="D195" s="192"/>
      <c r="E195" s="192"/>
      <c r="F195" s="192"/>
    </row>
    <row r="196" spans="2:14" ht="12" customHeight="1" x14ac:dyDescent="0.2">
      <c r="C196" s="192"/>
      <c r="D196" s="192"/>
      <c r="E196" s="192"/>
      <c r="F196" s="192"/>
    </row>
    <row r="197" spans="2:14" ht="14.25" customHeight="1" x14ac:dyDescent="0.2"/>
    <row r="198" spans="2:14" ht="15.75" hidden="1" x14ac:dyDescent="0.25">
      <c r="B198" s="351"/>
      <c r="C198" s="227"/>
    </row>
    <row r="199" spans="2:14" ht="15" hidden="1" x14ac:dyDescent="0.25">
      <c r="B199" s="313"/>
      <c r="C199" s="353"/>
    </row>
    <row r="200" spans="2:14" ht="15" hidden="1" x14ac:dyDescent="0.25">
      <c r="B200" s="313"/>
      <c r="C200" s="357"/>
    </row>
    <row r="201" spans="2:14" ht="15" hidden="1" x14ac:dyDescent="0.25">
      <c r="B201" s="313"/>
      <c r="C201" s="192"/>
    </row>
    <row r="202" spans="2:14" hidden="1" x14ac:dyDescent="0.2">
      <c r="B202" s="279"/>
    </row>
    <row r="203" spans="2:14" hidden="1" x14ac:dyDescent="0.2">
      <c r="B203" s="279"/>
    </row>
    <row r="204" spans="2:14" hidden="1" x14ac:dyDescent="0.2">
      <c r="B204" s="279"/>
    </row>
    <row r="205" spans="2:14" hidden="1" x14ac:dyDescent="0.2"/>
    <row r="206" spans="2:14" hidden="1" x14ac:dyDescent="0.2"/>
    <row r="207" spans="2:14" hidden="1" x14ac:dyDescent="0.2">
      <c r="C207" s="310">
        <v>41698</v>
      </c>
      <c r="D207" s="310">
        <v>41609</v>
      </c>
      <c r="E207" s="310">
        <v>41548</v>
      </c>
      <c r="F207" s="310">
        <v>41487</v>
      </c>
      <c r="G207" s="624">
        <v>41426</v>
      </c>
      <c r="H207" s="310">
        <v>41365</v>
      </c>
      <c r="I207" s="723">
        <v>41306</v>
      </c>
      <c r="J207" s="310">
        <v>41274</v>
      </c>
      <c r="K207" s="310">
        <v>41213</v>
      </c>
      <c r="L207" s="310">
        <v>41152</v>
      </c>
      <c r="M207" s="311">
        <v>41090</v>
      </c>
      <c r="N207" s="310">
        <v>41029</v>
      </c>
    </row>
    <row r="208" spans="2:14" hidden="1" x14ac:dyDescent="0.2">
      <c r="B208" s="57" t="s">
        <v>131</v>
      </c>
      <c r="C208" s="227">
        <f>C73</f>
        <v>162473.34000000003</v>
      </c>
      <c r="D208" s="227">
        <f>105452.64+311868.06-305987</f>
        <v>111333.70000000001</v>
      </c>
      <c r="E208" s="227">
        <v>85798.300000000017</v>
      </c>
      <c r="F208" s="192">
        <f>53253.08+18642.89</f>
        <v>71895.97</v>
      </c>
      <c r="G208" s="624">
        <v>126315</v>
      </c>
      <c r="H208" s="192">
        <v>69404</v>
      </c>
      <c r="I208" s="723">
        <v>75744</v>
      </c>
      <c r="J208" s="192">
        <v>119840.47</v>
      </c>
      <c r="K208" s="192">
        <v>120024</v>
      </c>
      <c r="L208" s="192">
        <v>109142</v>
      </c>
      <c r="M208" s="309">
        <v>142216.66</v>
      </c>
      <c r="N208" s="192">
        <v>104785.62</v>
      </c>
    </row>
    <row r="209" spans="2:14" hidden="1" x14ac:dyDescent="0.2">
      <c r="B209" s="57" t="s">
        <v>132</v>
      </c>
      <c r="C209" s="227">
        <f>D73</f>
        <v>61083.68</v>
      </c>
      <c r="D209" s="227">
        <f>74767.18-13600.56</f>
        <v>61166.619999999995</v>
      </c>
      <c r="E209" s="227">
        <v>86248.31</v>
      </c>
      <c r="F209" s="192">
        <v>43187.16</v>
      </c>
      <c r="G209" s="624">
        <v>60049</v>
      </c>
      <c r="H209" s="192">
        <v>101941</v>
      </c>
      <c r="I209" s="723">
        <v>43152</v>
      </c>
      <c r="J209" s="192">
        <v>58938.2</v>
      </c>
      <c r="K209" s="192">
        <v>85767</v>
      </c>
      <c r="L209" s="192">
        <v>119436</v>
      </c>
      <c r="M209" s="309">
        <v>73223.850000000006</v>
      </c>
      <c r="N209" s="192">
        <v>86907.23</v>
      </c>
    </row>
    <row r="210" spans="2:14" hidden="1" x14ac:dyDescent="0.2">
      <c r="B210" s="57" t="s">
        <v>133</v>
      </c>
      <c r="C210" s="227">
        <f>E73</f>
        <v>33395.06</v>
      </c>
      <c r="D210" s="227">
        <f>66720.93-13675.33</f>
        <v>53045.599999999991</v>
      </c>
      <c r="E210" s="227">
        <v>32950.589999999997</v>
      </c>
      <c r="F210" s="192">
        <v>65970.55</v>
      </c>
      <c r="G210" s="624">
        <v>18719</v>
      </c>
      <c r="H210" s="192">
        <v>3668</v>
      </c>
      <c r="I210" s="723">
        <v>50430</v>
      </c>
      <c r="J210" s="192">
        <v>88408.17</v>
      </c>
      <c r="K210" s="192">
        <v>26680</v>
      </c>
      <c r="L210" s="192">
        <v>51922</v>
      </c>
      <c r="M210" s="309">
        <v>77261.37</v>
      </c>
      <c r="N210" s="192">
        <v>11021.67</v>
      </c>
    </row>
    <row r="211" spans="2:14" hidden="1" x14ac:dyDescent="0.2">
      <c r="B211" s="57" t="s">
        <v>134</v>
      </c>
      <c r="C211" s="227">
        <f>F73</f>
        <v>31840.560000000001</v>
      </c>
      <c r="D211" s="227">
        <v>86322.43</v>
      </c>
      <c r="E211" s="227">
        <v>66109.450000000012</v>
      </c>
      <c r="F211" s="192">
        <v>56011.13</v>
      </c>
      <c r="G211" s="624">
        <v>1250</v>
      </c>
      <c r="H211" s="192">
        <v>0</v>
      </c>
      <c r="I211" s="723">
        <v>9959</v>
      </c>
      <c r="J211" s="192">
        <v>18374.45</v>
      </c>
      <c r="K211" s="192">
        <v>22103</v>
      </c>
      <c r="L211" s="192">
        <v>71168</v>
      </c>
      <c r="M211" s="309">
        <v>55167.87</v>
      </c>
      <c r="N211" s="192"/>
    </row>
    <row r="212" spans="2:14" hidden="1" x14ac:dyDescent="0.2">
      <c r="C212" s="227">
        <f>SUM(C208:C211)</f>
        <v>288792.64</v>
      </c>
      <c r="D212" s="227">
        <f>SUM(D208:D211)</f>
        <v>311868.34999999998</v>
      </c>
      <c r="E212" s="227">
        <v>271106.65000000002</v>
      </c>
      <c r="F212" s="192">
        <f>SUM(F208:F211)</f>
        <v>237064.81</v>
      </c>
      <c r="G212" s="624">
        <f t="shared" ref="G212:N212" si="5">SUM(G208:G211)</f>
        <v>206333</v>
      </c>
      <c r="H212" s="192">
        <f t="shared" si="5"/>
        <v>175013</v>
      </c>
      <c r="I212" s="723">
        <f t="shared" si="5"/>
        <v>179285</v>
      </c>
      <c r="J212" s="192">
        <f t="shared" si="5"/>
        <v>285561.28999999998</v>
      </c>
      <c r="K212" s="192">
        <f t="shared" si="5"/>
        <v>254574</v>
      </c>
      <c r="L212" s="192">
        <f t="shared" si="5"/>
        <v>351668</v>
      </c>
      <c r="M212" s="192">
        <f t="shared" si="5"/>
        <v>347869.75</v>
      </c>
      <c r="N212" s="192">
        <f t="shared" si="5"/>
        <v>202714.52</v>
      </c>
    </row>
    <row r="213" spans="2:14" hidden="1" x14ac:dyDescent="0.2">
      <c r="D213" s="192"/>
      <c r="E213" s="192"/>
      <c r="F213" s="192"/>
      <c r="H213" s="192"/>
      <c r="I213" s="723"/>
      <c r="J213" s="192"/>
      <c r="K213" s="192"/>
      <c r="L213" s="309"/>
    </row>
    <row r="214" spans="2:14" hidden="1" x14ac:dyDescent="0.2">
      <c r="C214" s="192"/>
      <c r="D214" s="192"/>
      <c r="E214" s="192"/>
      <c r="F214" s="192"/>
      <c r="H214" s="309"/>
      <c r="J214" s="309"/>
      <c r="K214" s="309"/>
    </row>
    <row r="215" spans="2:14" hidden="1" x14ac:dyDescent="0.2">
      <c r="C215" s="192"/>
      <c r="D215" s="192"/>
      <c r="E215" s="192"/>
      <c r="F215" s="192"/>
      <c r="H215" s="309"/>
      <c r="J215" s="309"/>
      <c r="K215" s="309"/>
    </row>
    <row r="216" spans="2:14" hidden="1" x14ac:dyDescent="0.2"/>
    <row r="217" spans="2:14" hidden="1" x14ac:dyDescent="0.2"/>
    <row r="218" spans="2:14" hidden="1" x14ac:dyDescent="0.2"/>
    <row r="219" spans="2:14" hidden="1" x14ac:dyDescent="0.2"/>
    <row r="220" spans="2:14" hidden="1" x14ac:dyDescent="0.2"/>
    <row r="221" spans="2:14" hidden="1" x14ac:dyDescent="0.2"/>
    <row r="222" spans="2:14" hidden="1" x14ac:dyDescent="0.2"/>
    <row r="223" spans="2:14" hidden="1" x14ac:dyDescent="0.2"/>
    <row r="224" spans="2: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7"/>
  <sheetViews>
    <sheetView topLeftCell="A25" zoomScale="70" zoomScaleNormal="70" workbookViewId="0">
      <selection activeCell="L45" sqref="L45"/>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985" t="s">
        <v>49</v>
      </c>
      <c r="I6" s="985"/>
      <c r="J6" s="985"/>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45107</v>
      </c>
      <c r="I8" s="281"/>
      <c r="J8" s="281">
        <v>44926</v>
      </c>
      <c r="K8" s="71"/>
      <c r="L8" s="281">
        <f>H8-366+1</f>
        <v>44742</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76</v>
      </c>
      <c r="E11" s="75"/>
      <c r="F11" s="75"/>
      <c r="G11" s="261"/>
      <c r="H11" s="261" t="s">
        <v>99</v>
      </c>
      <c r="I11" s="261"/>
      <c r="J11" s="261" t="s">
        <v>99</v>
      </c>
      <c r="K11" s="76"/>
      <c r="L11" s="261" t="s">
        <v>99</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77</v>
      </c>
      <c r="E12" s="75"/>
      <c r="F12" s="75"/>
      <c r="G12" s="261"/>
      <c r="H12" s="261" t="s">
        <v>99</v>
      </c>
      <c r="I12" s="261"/>
      <c r="J12" s="261" t="s">
        <v>99</v>
      </c>
      <c r="K12" s="76"/>
      <c r="L12" s="261" t="s">
        <v>99</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177</v>
      </c>
      <c r="E13" s="75"/>
      <c r="F13" s="75"/>
      <c r="G13" s="244"/>
      <c r="H13" s="244">
        <v>407781.99</v>
      </c>
      <c r="I13" s="244"/>
      <c r="J13" s="244">
        <v>432400.88</v>
      </c>
      <c r="K13" s="76"/>
      <c r="L13" s="244">
        <v>387706.98</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178</v>
      </c>
      <c r="E14" s="75"/>
      <c r="F14" s="75"/>
      <c r="G14" s="234"/>
      <c r="H14" s="234">
        <v>200</v>
      </c>
      <c r="I14" s="234"/>
      <c r="J14" s="234">
        <v>220.4</v>
      </c>
      <c r="K14" s="76"/>
      <c r="L14" s="234">
        <v>200.04</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78</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408181.99</v>
      </c>
      <c r="I16" s="236"/>
      <c r="J16" s="236">
        <f>SUM(J13:J15)</f>
        <v>432821.28</v>
      </c>
      <c r="K16" s="68"/>
      <c r="L16" s="236">
        <f>ROUND(SUM(L10:L15),5)</f>
        <v>388107.02</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148</v>
      </c>
      <c r="E19" s="79"/>
      <c r="F19" s="79"/>
      <c r="G19" s="280"/>
      <c r="H19" s="280">
        <f>'June''23 AR Aging '!G73</f>
        <v>288792.64</v>
      </c>
      <c r="I19" s="280"/>
      <c r="J19" s="280">
        <v>362006.45</v>
      </c>
      <c r="K19" s="247"/>
      <c r="L19" s="280">
        <v>274391.32</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89"/>
      <c r="B20" s="391"/>
      <c r="C20" s="79"/>
      <c r="D20" s="79" t="s">
        <v>160</v>
      </c>
      <c r="E20" s="79"/>
      <c r="F20" s="79"/>
      <c r="G20" s="280"/>
      <c r="H20" s="232">
        <v>0</v>
      </c>
      <c r="I20" s="232"/>
      <c r="J20" s="232"/>
      <c r="K20" s="247"/>
      <c r="L20" s="232"/>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1"/>
      <c r="C21" s="75"/>
      <c r="D21" s="75" t="s">
        <v>212</v>
      </c>
      <c r="E21" s="75"/>
      <c r="F21" s="75"/>
      <c r="G21" s="234"/>
      <c r="H21" s="234">
        <v>408061</v>
      </c>
      <c r="I21" s="234"/>
      <c r="J21" s="234">
        <v>385735.14</v>
      </c>
      <c r="K21" s="247"/>
      <c r="L21" s="234">
        <v>378955.05</v>
      </c>
      <c r="M21" s="76"/>
      <c r="N21" s="76"/>
      <c r="O21" s="76"/>
      <c r="P21" s="247"/>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1"/>
      <c r="C22" s="78"/>
      <c r="D22" s="78" t="s">
        <v>79</v>
      </c>
      <c r="E22" s="78"/>
      <c r="F22" s="78"/>
      <c r="G22" s="232"/>
      <c r="H22" s="235">
        <v>4590.79</v>
      </c>
      <c r="I22" s="232"/>
      <c r="J22" s="398">
        <v>5781.31</v>
      </c>
      <c r="K22" s="247"/>
      <c r="L22" s="235">
        <v>6602.73</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701444.43</v>
      </c>
      <c r="I23" s="237"/>
      <c r="J23" s="237">
        <f>SUM(J19:J22)</f>
        <v>753522.90000000014</v>
      </c>
      <c r="K23" s="262"/>
      <c r="L23" s="237">
        <f>SUM(L19:L22)</f>
        <v>659949.1</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24">
        <f>H16+H23</f>
        <v>1109626.42</v>
      </c>
      <c r="I25" s="237"/>
      <c r="J25" s="724">
        <f>J16+J23</f>
        <v>1186344.1800000002</v>
      </c>
      <c r="K25" s="68"/>
      <c r="L25" s="724">
        <f>L16+L23</f>
        <v>1048056.12</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4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1"/>
      <c r="C28" s="75"/>
      <c r="D28" s="75" t="s">
        <v>80</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1"/>
      <c r="C29" s="75"/>
      <c r="D29" s="75" t="s">
        <v>81</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1"/>
      <c r="C30" s="75"/>
      <c r="D30" s="75" t="s">
        <v>82</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83</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326</v>
      </c>
      <c r="C32" s="80"/>
      <c r="D32" s="80"/>
      <c r="E32" s="80"/>
      <c r="F32" s="80"/>
      <c r="G32" s="237"/>
      <c r="H32" s="239">
        <f>136544.08+99936</f>
        <v>236480.08</v>
      </c>
      <c r="I32" s="237"/>
      <c r="J32" s="239">
        <v>151755.57999999999</v>
      </c>
      <c r="K32" s="68"/>
      <c r="L32" s="239">
        <v>114066.33</v>
      </c>
      <c r="M32" s="68"/>
      <c r="N32" s="68"/>
      <c r="O32" s="68"/>
      <c r="P32" s="237"/>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t="s">
        <v>561</v>
      </c>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1346106.5</v>
      </c>
      <c r="I35" s="269"/>
      <c r="J35" s="245">
        <f>J25+J32</f>
        <v>1338099.7600000002</v>
      </c>
      <c r="K35" s="82"/>
      <c r="L35" s="245">
        <f>L25+L32</f>
        <v>1162122.45</v>
      </c>
      <c r="M35" s="82"/>
      <c r="N35" s="82"/>
      <c r="O35" s="82"/>
      <c r="P35" s="618"/>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1"/>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149</v>
      </c>
      <c r="F42" s="75"/>
      <c r="G42" s="246"/>
      <c r="H42" s="246">
        <f>13819.13+0.52</f>
        <v>13819.65</v>
      </c>
      <c r="I42" s="246"/>
      <c r="J42" s="246">
        <v>21456.58</v>
      </c>
      <c r="K42" s="379"/>
      <c r="L42" s="246">
        <f>32819.6+26.78</f>
        <v>32846.379999999997</v>
      </c>
      <c r="M42" s="76"/>
      <c r="N42" s="379"/>
      <c r="O42" s="76"/>
      <c r="P42" s="725"/>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96</v>
      </c>
      <c r="F43" s="75"/>
      <c r="G43" s="232"/>
      <c r="H43" s="232">
        <v>215.81</v>
      </c>
      <c r="I43" s="232"/>
      <c r="J43" s="232">
        <v>484.79</v>
      </c>
      <c r="K43" s="76"/>
      <c r="L43" s="232">
        <v>2802.96</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hidden="1" x14ac:dyDescent="0.2">
      <c r="A44" s="420"/>
      <c r="B44" s="420"/>
      <c r="C44" s="420"/>
      <c r="D44" s="420" t="s">
        <v>406</v>
      </c>
      <c r="F44" s="420"/>
      <c r="G44" s="232"/>
      <c r="H44" s="232">
        <v>0</v>
      </c>
      <c r="I44" s="232"/>
      <c r="J44" s="232"/>
      <c r="K44" s="76"/>
      <c r="L44" s="232"/>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420"/>
      <c r="B45" s="420"/>
      <c r="C45" s="420"/>
      <c r="D45" s="1050" t="s">
        <v>482</v>
      </c>
      <c r="E45" s="1050"/>
      <c r="F45" s="1050"/>
      <c r="G45" s="232"/>
      <c r="H45" s="232">
        <f>25222.06+2452+99936</f>
        <v>127610.06</v>
      </c>
      <c r="I45" s="232"/>
      <c r="J45" s="232">
        <v>53584.59</v>
      </c>
      <c r="K45" s="76"/>
      <c r="L45" s="232"/>
      <c r="M45" s="76"/>
      <c r="N45" s="76"/>
      <c r="O45" s="76"/>
      <c r="P45" s="232"/>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x14ac:dyDescent="0.2">
      <c r="A46" s="75"/>
      <c r="B46" s="75"/>
      <c r="C46" s="75"/>
      <c r="D46" s="79" t="s">
        <v>84</v>
      </c>
      <c r="F46" s="75"/>
      <c r="G46" s="232"/>
      <c r="H46" s="234">
        <v>0</v>
      </c>
      <c r="I46" s="234"/>
      <c r="J46" s="234">
        <v>30370</v>
      </c>
      <c r="K46" s="76"/>
      <c r="L46" s="234"/>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hidden="1" x14ac:dyDescent="0.2">
      <c r="A47" s="75"/>
      <c r="B47" s="75"/>
      <c r="C47" s="75"/>
      <c r="D47" s="79" t="s">
        <v>156</v>
      </c>
      <c r="F47" s="75"/>
      <c r="G47" s="232"/>
      <c r="H47" s="234">
        <v>0</v>
      </c>
      <c r="I47" s="234"/>
      <c r="J47" s="234">
        <v>0</v>
      </c>
      <c r="K47" s="76"/>
      <c r="L47" s="234">
        <v>0</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75"/>
      <c r="D48" s="78" t="s">
        <v>95</v>
      </c>
      <c r="E48" s="152"/>
      <c r="F48" s="78"/>
      <c r="G48" s="232"/>
      <c r="H48" s="234">
        <f>'June''23 Revenues &amp; Expenses'!L59</f>
        <v>132420.98000000001</v>
      </c>
      <c r="I48" s="322"/>
      <c r="J48" s="234">
        <v>181336.19</v>
      </c>
      <c r="K48" s="247"/>
      <c r="L48" s="234">
        <v>131586.79999999999</v>
      </c>
      <c r="M48" s="76"/>
      <c r="N48" s="76"/>
      <c r="O48" s="76"/>
      <c r="P48" s="247"/>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20.25" x14ac:dyDescent="0.2">
      <c r="A49" s="75"/>
      <c r="B49" s="75"/>
      <c r="C49" s="80" t="s">
        <v>71</v>
      </c>
      <c r="D49" s="75"/>
      <c r="F49" s="75"/>
      <c r="G49" s="232"/>
      <c r="H49" s="242">
        <f>SUM(H42:H48)</f>
        <v>274066.5</v>
      </c>
      <c r="I49" s="322"/>
      <c r="J49" s="242">
        <f>SUM(J42:J48)</f>
        <v>287232.15000000002</v>
      </c>
      <c r="K49" s="76"/>
      <c r="L49" s="242">
        <f>SUM(L42:L48)</f>
        <v>167236.13999999998</v>
      </c>
      <c r="M49" s="76"/>
      <c r="N49" s="76"/>
      <c r="O49" s="76"/>
      <c r="P49" s="725"/>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9.75" customHeight="1" x14ac:dyDescent="0.2">
      <c r="A50" s="75"/>
      <c r="B50" s="75"/>
      <c r="C50" s="75"/>
      <c r="D50" s="75"/>
      <c r="E50" s="75"/>
      <c r="F50" s="75"/>
      <c r="G50" s="232"/>
      <c r="H50" s="234"/>
      <c r="I50" s="322"/>
      <c r="J50" s="234"/>
      <c r="K50" s="76"/>
      <c r="L50" s="234"/>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88" t="s">
        <v>73</v>
      </c>
      <c r="D51" s="88"/>
      <c r="E51" s="152"/>
      <c r="F51" s="152"/>
      <c r="G51" s="232"/>
      <c r="H51" s="235"/>
      <c r="I51" s="322"/>
      <c r="J51" s="235"/>
      <c r="K51" s="76"/>
      <c r="L51" s="235"/>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87</v>
      </c>
      <c r="E52" s="75"/>
      <c r="F52" s="75"/>
      <c r="G52" s="232"/>
      <c r="H52" s="232">
        <f>37720.07+7869.69-H54-H55</f>
        <v>43424.780000000006</v>
      </c>
      <c r="I52" s="322"/>
      <c r="J52" s="232">
        <f>44806.79+3180.29-J54-J55</f>
        <v>45342.560000000005</v>
      </c>
      <c r="K52" s="76"/>
      <c r="L52" s="232">
        <f>38352.98+4142.54-L54-L55</f>
        <v>40055.94</v>
      </c>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88</v>
      </c>
      <c r="E53" s="75"/>
      <c r="F53" s="75"/>
      <c r="G53" s="232"/>
      <c r="H53" s="232">
        <v>29952.05</v>
      </c>
      <c r="I53" s="322"/>
      <c r="J53" s="232">
        <v>23300.52</v>
      </c>
      <c r="K53" s="76"/>
      <c r="L53" s="232">
        <v>39737.18</v>
      </c>
      <c r="M53" s="76"/>
      <c r="N53" s="76"/>
      <c r="O53" s="76"/>
      <c r="P53" s="76"/>
      <c r="Q53" s="247"/>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89</v>
      </c>
      <c r="E54" s="75"/>
      <c r="F54" s="75"/>
      <c r="G54" s="232"/>
      <c r="H54" s="234">
        <v>1708.88</v>
      </c>
      <c r="I54" s="322"/>
      <c r="J54" s="234">
        <v>2469.14</v>
      </c>
      <c r="K54" s="76"/>
      <c r="L54" s="234">
        <v>2279.98</v>
      </c>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75"/>
      <c r="D55" s="75" t="s">
        <v>90</v>
      </c>
      <c r="E55" s="75"/>
      <c r="F55" s="75"/>
      <c r="G55" s="232"/>
      <c r="H55" s="235">
        <v>456.1</v>
      </c>
      <c r="I55" s="322"/>
      <c r="J55" s="235">
        <v>175.38</v>
      </c>
      <c r="K55" s="76"/>
      <c r="L55" s="235">
        <v>159.6</v>
      </c>
      <c r="M55" s="76"/>
      <c r="N55" s="76"/>
      <c r="O55" s="76"/>
      <c r="P55" s="76"/>
      <c r="Q55" s="247"/>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20.25" x14ac:dyDescent="0.2">
      <c r="A56" s="75"/>
      <c r="B56" s="75"/>
      <c r="C56" s="67" t="s">
        <v>72</v>
      </c>
      <c r="D56" s="75"/>
      <c r="F56" s="79"/>
      <c r="G56" s="232"/>
      <c r="H56" s="232">
        <f>ROUND(SUM(H51:H55),5)</f>
        <v>75541.81</v>
      </c>
      <c r="I56" s="322"/>
      <c r="J56" s="232">
        <f>SUM(J52:J55)</f>
        <v>71287.600000000006</v>
      </c>
      <c r="K56" s="76"/>
      <c r="L56" s="232">
        <f>ROUND(SUM(L51:L55),5)</f>
        <v>82232.7</v>
      </c>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7" customFormat="1" ht="7.5" customHeight="1" x14ac:dyDescent="0.2">
      <c r="A57" s="75"/>
      <c r="B57" s="75"/>
      <c r="C57" s="78"/>
      <c r="D57" s="78"/>
      <c r="E57" s="78"/>
      <c r="F57" s="78"/>
      <c r="G57" s="232"/>
      <c r="H57" s="235"/>
      <c r="I57" s="322"/>
      <c r="J57" s="235"/>
      <c r="K57" s="76"/>
      <c r="L57" s="235"/>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row>
    <row r="58" spans="1:61" s="74" customFormat="1" ht="20.25" x14ac:dyDescent="0.2">
      <c r="A58" s="73"/>
      <c r="B58" s="73"/>
      <c r="C58" s="73" t="s">
        <v>74</v>
      </c>
      <c r="D58" s="73"/>
      <c r="E58" s="73"/>
      <c r="F58" s="73"/>
      <c r="G58" s="237"/>
      <c r="H58" s="236">
        <f>H49+H56</f>
        <v>349608.31</v>
      </c>
      <c r="I58" s="384"/>
      <c r="J58" s="236">
        <f>J49+J56</f>
        <v>358519.75</v>
      </c>
      <c r="K58" s="262"/>
      <c r="L58" s="236">
        <f>L49+L56</f>
        <v>249468.83999999997</v>
      </c>
      <c r="M58" s="68"/>
      <c r="N58" s="341"/>
      <c r="O58" s="68"/>
      <c r="P58" s="341"/>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18.75" customHeight="1" x14ac:dyDescent="0.2">
      <c r="A59" s="73"/>
      <c r="B59" s="73"/>
      <c r="C59" s="73"/>
      <c r="D59" s="73"/>
      <c r="E59" s="73"/>
      <c r="F59" s="73"/>
      <c r="G59" s="237"/>
      <c r="H59" s="236"/>
      <c r="I59" s="384"/>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4" customFormat="1" ht="24" thickBot="1" x14ac:dyDescent="0.25">
      <c r="A60" s="73"/>
      <c r="B60" s="86" t="s">
        <v>62</v>
      </c>
      <c r="C60" s="87"/>
      <c r="D60" s="87"/>
      <c r="E60" s="87"/>
      <c r="F60" s="87"/>
      <c r="G60" s="232"/>
      <c r="H60" s="241"/>
      <c r="I60" s="322"/>
      <c r="J60" s="241"/>
      <c r="K60" s="68"/>
      <c r="L60" s="241"/>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row>
    <row r="61" spans="1:61" s="77" customFormat="1" ht="20.25" x14ac:dyDescent="0.2">
      <c r="A61" s="75"/>
      <c r="B61" s="75"/>
      <c r="D61" s="75" t="s">
        <v>329</v>
      </c>
      <c r="E61" s="75"/>
      <c r="F61" s="75"/>
      <c r="G61" s="232"/>
      <c r="H61" s="234">
        <f>855214.12+35972.48+12500</f>
        <v>903686.6</v>
      </c>
      <c r="I61" s="322"/>
      <c r="J61" s="234">
        <f>893975.11+35972.48+12500</f>
        <v>942447.59</v>
      </c>
      <c r="K61" s="247"/>
      <c r="L61" s="234">
        <f>893975.11+35972.48+12500</f>
        <v>942447.59</v>
      </c>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7" customFormat="1" ht="20.25" x14ac:dyDescent="0.2">
      <c r="A62" s="75"/>
      <c r="B62" s="75"/>
      <c r="D62" s="75" t="s">
        <v>330</v>
      </c>
      <c r="E62" s="75"/>
      <c r="F62" s="75"/>
      <c r="G62" s="232"/>
      <c r="H62" s="234">
        <f>'June''23 Revenues &amp; Expenses'!L79-0.5</f>
        <v>125149.84999999999</v>
      </c>
      <c r="I62" s="322"/>
      <c r="J62" s="234">
        <v>75893.41</v>
      </c>
      <c r="K62" s="247"/>
      <c r="L62" s="234">
        <v>64038.47</v>
      </c>
      <c r="M62" s="76"/>
      <c r="N62" s="76"/>
      <c r="O62" s="247"/>
      <c r="P62" s="247"/>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row>
    <row r="63" spans="1:61" s="74" customFormat="1" ht="21" thickBot="1" x14ac:dyDescent="0.25">
      <c r="A63" s="73"/>
      <c r="B63" s="73"/>
      <c r="D63" s="75" t="s">
        <v>129</v>
      </c>
      <c r="E63" s="73"/>
      <c r="F63" s="87"/>
      <c r="G63" s="322"/>
      <c r="H63" s="241">
        <f>'June''23 State of Activities'!G57</f>
        <v>-32337.39999999979</v>
      </c>
      <c r="I63" s="322"/>
      <c r="J63" s="241">
        <v>-38760.99</v>
      </c>
      <c r="K63" s="68"/>
      <c r="L63" s="241">
        <f>'June''23 State of Activities'!J57</f>
        <v>-93832.45000000007</v>
      </c>
      <c r="M63" s="68"/>
      <c r="N63" s="68"/>
      <c r="O63" s="68"/>
      <c r="P63" s="38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23.25" x14ac:dyDescent="0.2">
      <c r="A64" s="73"/>
      <c r="B64" s="89" t="s">
        <v>63</v>
      </c>
      <c r="C64" s="90"/>
      <c r="D64" s="90"/>
      <c r="E64" s="90"/>
      <c r="F64" s="67"/>
      <c r="G64" s="384"/>
      <c r="H64" s="237">
        <f>ROUND(SUM(H60:H63),5)</f>
        <v>996499.05</v>
      </c>
      <c r="I64" s="384"/>
      <c r="J64" s="237">
        <f>ROUND(SUM(J60:J63),5)</f>
        <v>979580.01</v>
      </c>
      <c r="K64" s="68"/>
      <c r="L64" s="237">
        <f>ROUND(SUM(L60:L63),5)</f>
        <v>912653.61</v>
      </c>
      <c r="M64" s="68"/>
      <c r="N64" s="68"/>
      <c r="O64" s="68"/>
      <c r="P64" s="38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74" customFormat="1" ht="12.75" customHeight="1" x14ac:dyDescent="0.2">
      <c r="A65" s="73"/>
      <c r="B65" s="73"/>
      <c r="C65" s="73"/>
      <c r="D65" s="73"/>
      <c r="E65" s="73"/>
      <c r="F65" s="73"/>
      <c r="G65" s="322"/>
      <c r="H65" s="235"/>
      <c r="I65" s="322"/>
      <c r="J65" s="235"/>
      <c r="K65" s="68"/>
      <c r="L65" s="235"/>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row>
    <row r="66" spans="1:61" s="91" customFormat="1" ht="27" thickBot="1" x14ac:dyDescent="0.25">
      <c r="A66" s="81" t="s">
        <v>64</v>
      </c>
      <c r="B66" s="81"/>
      <c r="C66" s="81"/>
      <c r="D66" s="81"/>
      <c r="E66" s="81"/>
      <c r="F66" s="81"/>
      <c r="G66" s="385"/>
      <c r="H66" s="354">
        <f>SUM(H58+H64)</f>
        <v>1346107.36</v>
      </c>
      <c r="I66" s="385"/>
      <c r="J66" s="354">
        <f>SUM(J58+J64)</f>
        <v>1338099.76</v>
      </c>
      <c r="K66" s="82"/>
      <c r="L66" s="354">
        <f>SUM(L58+L64)</f>
        <v>1162122.45</v>
      </c>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ht="15" thickTop="1" x14ac:dyDescent="0.2">
      <c r="D67" s="342"/>
      <c r="G67" s="1"/>
      <c r="I67" s="1"/>
    </row>
    <row r="68" spans="1:61" hidden="1" x14ac:dyDescent="0.2">
      <c r="G68" s="386"/>
      <c r="H68" s="249"/>
      <c r="I68" s="249"/>
      <c r="J68" s="249"/>
      <c r="L68" s="249"/>
    </row>
    <row r="69" spans="1:61" ht="14.25" customHeight="1" x14ac:dyDescent="0.2">
      <c r="C69" s="1049" t="s">
        <v>198</v>
      </c>
      <c r="D69" s="1049"/>
      <c r="E69" s="1049"/>
      <c r="F69" s="1049"/>
      <c r="G69" s="1"/>
      <c r="H69" s="435">
        <f>(H19+H16)/H58</f>
        <v>1.9935871375597451</v>
      </c>
      <c r="J69" s="435">
        <v>3.7805007540674778</v>
      </c>
      <c r="K69" s="262"/>
      <c r="L69" s="435">
        <f>(L19+L16)/L58</f>
        <v>2.6556356296842529</v>
      </c>
    </row>
    <row r="72" spans="1:61" x14ac:dyDescent="0.2">
      <c r="G72" s="272"/>
      <c r="H72" s="249">
        <f>H64-'June''23 State of Activities'!G71</f>
        <v>0</v>
      </c>
      <c r="I72" s="272"/>
      <c r="J72" s="249"/>
      <c r="L72" s="249">
        <f>L66-L35</f>
        <v>0</v>
      </c>
    </row>
    <row r="73" spans="1:61" x14ac:dyDescent="0.2">
      <c r="L73" s="600"/>
    </row>
    <row r="77" spans="1:61" x14ac:dyDescent="0.2">
      <c r="H77" s="272"/>
      <c r="J77" s="272"/>
    </row>
  </sheetData>
  <mergeCells count="3">
    <mergeCell ref="C69:F69"/>
    <mergeCell ref="H6:J6"/>
    <mergeCell ref="D45:F45"/>
  </mergeCells>
  <pageMargins left="0.7" right="0.45" top="0.25" bottom="0" header="0.3" footer="0"/>
  <pageSetup scale="7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3"/>
  <sheetViews>
    <sheetView topLeftCell="A37" zoomScale="70" zoomScaleNormal="70" workbookViewId="0">
      <selection activeCell="J68" sqref="J68"/>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4.25" style="18" customWidth="1"/>
    <col min="9" max="9" width="1.625" style="18" customWidth="1"/>
    <col min="10" max="10" width="23" style="18" customWidth="1"/>
    <col min="11" max="11" width="1.875" style="366" customWidth="1"/>
    <col min="12" max="12" width="17.25" style="18" customWidth="1"/>
    <col min="13" max="13" width="10.75" style="18" bestFit="1" customWidth="1"/>
    <col min="14" max="14" width="72.625" style="530"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94</v>
      </c>
      <c r="B1" s="59"/>
      <c r="C1" s="60"/>
      <c r="D1" s="60"/>
      <c r="E1" s="60"/>
      <c r="F1" s="59"/>
      <c r="G1" s="230"/>
      <c r="H1" s="59"/>
      <c r="I1" s="59"/>
      <c r="J1" s="59"/>
      <c r="K1" s="358"/>
      <c r="L1" s="59"/>
      <c r="M1" s="59"/>
      <c r="N1" s="523"/>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332</v>
      </c>
      <c r="B2" s="59"/>
      <c r="C2" s="60"/>
      <c r="D2" s="60"/>
      <c r="E2" s="60"/>
      <c r="F2" s="59"/>
      <c r="G2" s="230"/>
      <c r="H2" s="59"/>
      <c r="I2" s="59"/>
      <c r="J2" s="230"/>
      <c r="K2" s="358"/>
      <c r="L2" s="59"/>
      <c r="M2" s="59"/>
      <c r="N2" s="523"/>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628</v>
      </c>
      <c r="B3" s="59"/>
      <c r="C3" s="60"/>
      <c r="D3" s="60"/>
      <c r="E3" s="60"/>
      <c r="F3" s="59"/>
      <c r="G3" s="230"/>
      <c r="H3" s="59"/>
      <c r="I3" s="59"/>
      <c r="J3" s="59"/>
      <c r="K3" s="358"/>
      <c r="L3" s="59"/>
      <c r="M3" s="59"/>
      <c r="N3" s="523"/>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596</v>
      </c>
      <c r="B4" s="59"/>
      <c r="C4" s="60"/>
      <c r="D4" s="60"/>
      <c r="E4" s="60"/>
      <c r="F4" s="59"/>
      <c r="G4" s="230"/>
      <c r="H4" s="59"/>
      <c r="I4" s="59"/>
      <c r="J4" s="59"/>
      <c r="K4" s="358"/>
      <c r="L4" s="59"/>
      <c r="M4" s="59"/>
      <c r="N4" s="523"/>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59"/>
      <c r="L5" s="62"/>
      <c r="M5" s="62"/>
      <c r="N5" s="524"/>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108</v>
      </c>
      <c r="B6" s="64"/>
      <c r="C6" s="64"/>
      <c r="D6" s="64"/>
      <c r="E6" s="64"/>
      <c r="F6" s="64"/>
      <c r="G6" s="985" t="s">
        <v>49</v>
      </c>
      <c r="H6" s="985"/>
      <c r="I6" s="985"/>
      <c r="J6" s="985"/>
      <c r="K6" s="607"/>
      <c r="L6" s="412" t="s">
        <v>181</v>
      </c>
      <c r="M6" s="412" t="s">
        <v>193</v>
      </c>
      <c r="N6" s="607" t="s">
        <v>180</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1"/>
      <c r="N7" s="525"/>
    </row>
    <row r="8" spans="1:113" s="72" customFormat="1" ht="21" thickBot="1" x14ac:dyDescent="0.35">
      <c r="A8" s="69"/>
      <c r="B8" s="153" t="s">
        <v>100</v>
      </c>
      <c r="C8" s="153"/>
      <c r="D8" s="153"/>
      <c r="E8" s="153"/>
      <c r="F8" s="153"/>
      <c r="G8" s="281">
        <f>'June''23 Financial Position'!H8</f>
        <v>45107</v>
      </c>
      <c r="H8" s="281">
        <v>44926</v>
      </c>
      <c r="I8" s="323"/>
      <c r="J8" s="281">
        <f>G8-365</f>
        <v>44742</v>
      </c>
      <c r="K8" s="362"/>
      <c r="L8" s="1051" t="s">
        <v>629</v>
      </c>
      <c r="M8" s="1051"/>
      <c r="N8" s="807"/>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101</v>
      </c>
      <c r="D9" s="75"/>
      <c r="E9" s="75"/>
      <c r="F9" s="73"/>
      <c r="G9" s="263">
        <v>342102.72</v>
      </c>
      <c r="H9" s="263">
        <v>803443.93</v>
      </c>
      <c r="I9" s="326"/>
      <c r="J9" s="263">
        <v>413292.62</v>
      </c>
      <c r="K9" s="361"/>
      <c r="L9" s="378">
        <f>G9-J9</f>
        <v>-71189.900000000023</v>
      </c>
      <c r="M9" s="436">
        <f>L9/H9</f>
        <v>-8.8605934206261311E-2</v>
      </c>
      <c r="N9" s="526" t="s">
        <v>656</v>
      </c>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2"/>
      <c r="C10" s="75" t="s">
        <v>150</v>
      </c>
      <c r="D10" s="75"/>
      <c r="E10" s="75"/>
      <c r="F10" s="73"/>
      <c r="G10" s="264">
        <v>64292.55</v>
      </c>
      <c r="H10" s="264">
        <v>84477.91</v>
      </c>
      <c r="I10" s="322"/>
      <c r="J10" s="264">
        <v>42103.25</v>
      </c>
      <c r="K10" s="361"/>
      <c r="L10" s="275">
        <f>G10-J10</f>
        <v>22189.300000000003</v>
      </c>
      <c r="M10" s="436">
        <f>L10/H10</f>
        <v>0.26266393190835335</v>
      </c>
      <c r="N10" s="525"/>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hidden="1" x14ac:dyDescent="0.2">
      <c r="A11" s="73"/>
      <c r="B11" s="392"/>
      <c r="C11" s="420" t="s">
        <v>477</v>
      </c>
      <c r="D11" s="420"/>
      <c r="E11" s="420"/>
      <c r="F11" s="73"/>
      <c r="G11" s="264">
        <v>0</v>
      </c>
      <c r="H11" s="264">
        <v>0</v>
      </c>
      <c r="I11" s="322"/>
      <c r="J11" s="264">
        <v>0</v>
      </c>
      <c r="K11" s="361"/>
      <c r="L11" s="275">
        <f>G11-J11</f>
        <v>0</v>
      </c>
      <c r="M11" s="436"/>
      <c r="N11" s="525"/>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2"/>
      <c r="C12" s="75" t="s">
        <v>179</v>
      </c>
      <c r="D12" s="75"/>
      <c r="E12" s="75"/>
      <c r="F12" s="73"/>
      <c r="G12" s="264">
        <v>25599.14</v>
      </c>
      <c r="H12" s="264">
        <v>37478.050000000003</v>
      </c>
      <c r="I12" s="322"/>
      <c r="J12" s="264">
        <v>18873.05</v>
      </c>
      <c r="K12" s="361"/>
      <c r="L12" s="275">
        <f>G12-J12</f>
        <v>6726.09</v>
      </c>
      <c r="M12" s="436">
        <f>L12/H12</f>
        <v>0.17946744827972638</v>
      </c>
      <c r="N12" s="525"/>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2"/>
      <c r="C13" s="420" t="s">
        <v>562</v>
      </c>
      <c r="D13" s="420"/>
      <c r="E13" s="420"/>
      <c r="F13" s="73"/>
      <c r="G13" s="264"/>
      <c r="H13" s="264">
        <f>15040+289.34</f>
        <v>15329.34</v>
      </c>
      <c r="I13" s="322"/>
      <c r="J13" s="264">
        <v>7040</v>
      </c>
      <c r="K13" s="361"/>
      <c r="L13" s="275">
        <f>G13-J13</f>
        <v>-7040</v>
      </c>
      <c r="M13" s="436"/>
      <c r="N13" s="525" t="s">
        <v>657</v>
      </c>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2"/>
      <c r="C14" s="75" t="s">
        <v>102</v>
      </c>
      <c r="D14" s="75"/>
      <c r="E14" s="75"/>
      <c r="F14" s="73"/>
      <c r="G14" s="264"/>
      <c r="H14" s="264"/>
      <c r="I14" s="322"/>
      <c r="J14" s="264"/>
      <c r="K14" s="361"/>
      <c r="L14" s="275"/>
      <c r="M14" s="436"/>
      <c r="N14" s="525"/>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2"/>
      <c r="C15" s="77"/>
      <c r="D15" s="75" t="s">
        <v>139</v>
      </c>
      <c r="E15" s="75"/>
      <c r="F15" s="73"/>
      <c r="G15" s="264">
        <v>99072.07</v>
      </c>
      <c r="H15" s="264">
        <v>207422.59</v>
      </c>
      <c r="I15" s="322"/>
      <c r="J15" s="264">
        <v>106927.2</v>
      </c>
      <c r="K15" s="361"/>
      <c r="L15" s="275">
        <f t="shared" ref="L15:L27" si="0">G15-J15</f>
        <v>-7855.1299999999901</v>
      </c>
      <c r="M15" s="436">
        <f t="shared" ref="M15:M28" si="1">L15/H15</f>
        <v>-3.787017604977351E-2</v>
      </c>
      <c r="N15" s="525"/>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2"/>
      <c r="C16" s="77"/>
      <c r="D16" s="75" t="s">
        <v>159</v>
      </c>
      <c r="E16" s="75"/>
      <c r="F16" s="73"/>
      <c r="G16" s="264">
        <v>9000</v>
      </c>
      <c r="H16" s="264">
        <v>18000</v>
      </c>
      <c r="I16" s="322"/>
      <c r="J16" s="264">
        <f>G16</f>
        <v>9000</v>
      </c>
      <c r="K16" s="361"/>
      <c r="L16" s="275">
        <f t="shared" si="0"/>
        <v>0</v>
      </c>
      <c r="M16" s="436">
        <f t="shared" si="1"/>
        <v>0</v>
      </c>
      <c r="N16" s="525"/>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2"/>
      <c r="C17" s="77"/>
      <c r="D17" s="420" t="s">
        <v>403</v>
      </c>
      <c r="E17" s="420"/>
      <c r="F17" s="73"/>
      <c r="G17" s="264">
        <v>29597.8</v>
      </c>
      <c r="H17" s="264">
        <v>267630.43</v>
      </c>
      <c r="I17" s="322"/>
      <c r="J17" s="264">
        <v>206092.59</v>
      </c>
      <c r="K17" s="361"/>
      <c r="L17" s="275">
        <f t="shared" si="0"/>
        <v>-176494.79</v>
      </c>
      <c r="M17" s="436">
        <f t="shared" si="1"/>
        <v>-0.65947205629793293</v>
      </c>
      <c r="N17" s="525" t="s">
        <v>593</v>
      </c>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2"/>
      <c r="C18" s="75" t="s">
        <v>103</v>
      </c>
      <c r="D18" s="75"/>
      <c r="E18" s="75"/>
      <c r="F18" s="73"/>
      <c r="G18" s="264">
        <f>'June''23 Revenues &amp; Expenses'!J70</f>
        <v>13087.07</v>
      </c>
      <c r="H18" s="264">
        <v>17485.37</v>
      </c>
      <c r="I18" s="322"/>
      <c r="J18" s="264">
        <v>7735.85</v>
      </c>
      <c r="K18" s="361"/>
      <c r="L18" s="275">
        <f t="shared" si="0"/>
        <v>5351.2199999999993</v>
      </c>
      <c r="M18" s="436">
        <f t="shared" si="1"/>
        <v>0.3060398493140265</v>
      </c>
      <c r="N18" s="526"/>
      <c r="O18" s="68"/>
      <c r="P18" s="68"/>
      <c r="Q18" s="2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2"/>
      <c r="C19" s="389" t="s">
        <v>161</v>
      </c>
      <c r="D19" s="389"/>
      <c r="E19" s="389"/>
      <c r="F19" s="73"/>
      <c r="G19" s="264">
        <v>272.52</v>
      </c>
      <c r="H19" s="264">
        <v>125</v>
      </c>
      <c r="I19" s="322"/>
      <c r="J19" s="264">
        <v>0</v>
      </c>
      <c r="K19" s="361"/>
      <c r="L19" s="275">
        <f t="shared" si="0"/>
        <v>272.52</v>
      </c>
      <c r="M19" s="436">
        <f t="shared" si="1"/>
        <v>2.1801599999999999</v>
      </c>
      <c r="N19" s="526"/>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2"/>
      <c r="C20" s="75" t="s">
        <v>110</v>
      </c>
      <c r="D20" s="75"/>
      <c r="E20" s="75"/>
      <c r="F20" s="73"/>
      <c r="G20" s="264">
        <v>234.31</v>
      </c>
      <c r="H20" s="264">
        <v>433.36</v>
      </c>
      <c r="I20" s="322"/>
      <c r="J20" s="264">
        <v>207.15</v>
      </c>
      <c r="K20" s="361"/>
      <c r="L20" s="275">
        <f t="shared" si="0"/>
        <v>27.159999999999997</v>
      </c>
      <c r="M20" s="436">
        <f t="shared" si="1"/>
        <v>6.2673066272844732E-2</v>
      </c>
      <c r="N20" s="525"/>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2"/>
      <c r="C21" s="389" t="s">
        <v>237</v>
      </c>
      <c r="D21" s="389"/>
      <c r="E21" s="389"/>
      <c r="F21" s="73"/>
      <c r="G21" s="264">
        <v>1148.0999999999999</v>
      </c>
      <c r="H21" s="264">
        <v>12684.73</v>
      </c>
      <c r="I21" s="322"/>
      <c r="J21" s="264">
        <v>181.43</v>
      </c>
      <c r="K21" s="361"/>
      <c r="L21" s="275">
        <f t="shared" si="0"/>
        <v>966.66999999999985</v>
      </c>
      <c r="M21" s="436">
        <f t="shared" si="1"/>
        <v>7.6207376901203244E-2</v>
      </c>
      <c r="N21" s="525"/>
      <c r="O21" s="68"/>
      <c r="P21" s="68"/>
      <c r="Q21" s="2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2"/>
      <c r="C22" s="75" t="s">
        <v>302</v>
      </c>
      <c r="D22" s="75"/>
      <c r="E22" s="75"/>
      <c r="F22" s="73"/>
      <c r="G22" s="264">
        <v>21177.759999999998</v>
      </c>
      <c r="H22" s="264">
        <v>-61396.13</v>
      </c>
      <c r="I22" s="322"/>
      <c r="J22" s="264">
        <v>-55672.92</v>
      </c>
      <c r="K22" s="361"/>
      <c r="L22" s="275">
        <f t="shared" si="0"/>
        <v>76850.679999999993</v>
      </c>
      <c r="M22" s="436">
        <f t="shared" si="1"/>
        <v>-1.2517186343829814</v>
      </c>
      <c r="N22" s="525"/>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2"/>
      <c r="C23" s="75" t="s">
        <v>451</v>
      </c>
      <c r="D23" s="75"/>
      <c r="E23" s="75"/>
      <c r="F23" s="73"/>
      <c r="G23" s="264">
        <f>60058.04-7142.85</f>
        <v>52915.19</v>
      </c>
      <c r="H23" s="264">
        <v>168020.75</v>
      </c>
      <c r="I23" s="322"/>
      <c r="J23" s="264">
        <v>29356.14</v>
      </c>
      <c r="K23" s="361"/>
      <c r="L23" s="275">
        <f t="shared" si="0"/>
        <v>23559.050000000003</v>
      </c>
      <c r="M23" s="436">
        <f t="shared" si="1"/>
        <v>0.14021512223936627</v>
      </c>
      <c r="N23" s="525"/>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2"/>
      <c r="C24" s="75" t="s">
        <v>145</v>
      </c>
      <c r="D24" s="75"/>
      <c r="E24" s="75"/>
      <c r="F24" s="73"/>
      <c r="G24" s="264">
        <v>6521.12</v>
      </c>
      <c r="H24" s="264">
        <v>27117.68</v>
      </c>
      <c r="I24" s="322"/>
      <c r="J24" s="264">
        <v>19079.41</v>
      </c>
      <c r="K24" s="361"/>
      <c r="L24" s="275">
        <f t="shared" si="0"/>
        <v>-12558.29</v>
      </c>
      <c r="M24" s="436">
        <f t="shared" si="1"/>
        <v>-0.46310340707612158</v>
      </c>
      <c r="N24" s="621"/>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1" thickBot="1" x14ac:dyDescent="0.25">
      <c r="A25" s="73"/>
      <c r="B25" s="392"/>
      <c r="C25" s="75" t="s">
        <v>109</v>
      </c>
      <c r="D25" s="75"/>
      <c r="E25" s="75"/>
      <c r="F25" s="73"/>
      <c r="G25" s="265">
        <v>26370</v>
      </c>
      <c r="H25" s="265">
        <v>52740</v>
      </c>
      <c r="I25" s="322"/>
      <c r="J25" s="265">
        <f>G25</f>
        <v>26370</v>
      </c>
      <c r="K25" s="361"/>
      <c r="L25" s="377">
        <f>G25-J25</f>
        <v>0</v>
      </c>
      <c r="M25" s="463">
        <f t="shared" si="1"/>
        <v>0</v>
      </c>
      <c r="N25" s="525"/>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0.25" x14ac:dyDescent="0.2">
      <c r="A26" s="73"/>
      <c r="B26" s="392"/>
      <c r="C26" s="75"/>
      <c r="D26" s="73" t="s">
        <v>105</v>
      </c>
      <c r="E26" s="75"/>
      <c r="F26" s="73"/>
      <c r="G26" s="264">
        <f>SUM(G9:G25)</f>
        <v>691390.35</v>
      </c>
      <c r="H26" s="264">
        <f>SUM(H9:H25)</f>
        <v>1650993.0100000002</v>
      </c>
      <c r="I26" s="232"/>
      <c r="J26" s="234">
        <f>SUM(J9:J25)</f>
        <v>830585.77</v>
      </c>
      <c r="K26" s="361"/>
      <c r="L26" s="234">
        <f t="shared" si="0"/>
        <v>-139195.42000000004</v>
      </c>
      <c r="M26" s="436">
        <f t="shared" si="1"/>
        <v>-8.4310120731522678E-2</v>
      </c>
      <c r="N26" s="525"/>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1" thickBot="1" x14ac:dyDescent="0.25">
      <c r="A27" s="73"/>
      <c r="B27" s="392"/>
      <c r="C27" s="73" t="s">
        <v>106</v>
      </c>
      <c r="D27" s="75"/>
      <c r="E27" s="75"/>
      <c r="F27" s="73"/>
      <c r="G27" s="265">
        <f>66634.02+7142.85</f>
        <v>73776.87000000001</v>
      </c>
      <c r="H27" s="265">
        <v>99372.18</v>
      </c>
      <c r="I27" s="232"/>
      <c r="J27" s="241">
        <v>51577.120000000003</v>
      </c>
      <c r="K27" s="361"/>
      <c r="L27" s="241">
        <f t="shared" si="0"/>
        <v>22199.750000000007</v>
      </c>
      <c r="M27" s="463">
        <f t="shared" si="1"/>
        <v>0.22340005019513517</v>
      </c>
      <c r="N27" s="526"/>
      <c r="O27" s="68"/>
      <c r="P27" s="68"/>
      <c r="Q27" s="34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0.25" x14ac:dyDescent="0.2">
      <c r="A28" s="73"/>
      <c r="B28" s="392"/>
      <c r="C28" s="75"/>
      <c r="D28" s="73" t="s">
        <v>107</v>
      </c>
      <c r="E28" s="75"/>
      <c r="F28" s="73"/>
      <c r="G28" s="234">
        <f>SUM(G26:G27)</f>
        <v>765167.22</v>
      </c>
      <c r="H28" s="234">
        <f>SUM(H26:H27)</f>
        <v>1750365.1900000002</v>
      </c>
      <c r="I28" s="232"/>
      <c r="J28" s="234">
        <f>SUM(J26:J27)</f>
        <v>882162.89</v>
      </c>
      <c r="K28" s="262"/>
      <c r="L28" s="234">
        <f>SUM(L26:L27)</f>
        <v>-116995.67000000004</v>
      </c>
      <c r="M28" s="436">
        <f t="shared" si="1"/>
        <v>-6.6840720249926835E-2</v>
      </c>
      <c r="N28" s="526"/>
      <c r="O28" s="262"/>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6" customHeight="1" x14ac:dyDescent="0.2">
      <c r="A29" s="73"/>
      <c r="B29" s="392"/>
      <c r="C29" s="75"/>
      <c r="D29" s="73"/>
      <c r="E29" s="75"/>
      <c r="F29" s="73"/>
      <c r="G29" s="234"/>
      <c r="H29" s="234"/>
      <c r="I29" s="232"/>
      <c r="J29" s="234"/>
      <c r="K29" s="361"/>
      <c r="L29" s="402"/>
      <c r="M29" s="510"/>
      <c r="N29" s="525"/>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21" thickBot="1" x14ac:dyDescent="0.25">
      <c r="A30" s="73"/>
      <c r="B30" s="393" t="s">
        <v>111</v>
      </c>
      <c r="C30" s="87"/>
      <c r="D30" s="87"/>
      <c r="E30" s="87"/>
      <c r="F30" s="87"/>
      <c r="G30" s="241"/>
      <c r="H30" s="241"/>
      <c r="I30" s="68"/>
      <c r="J30" s="241"/>
      <c r="K30" s="361"/>
      <c r="L30" s="402"/>
      <c r="M30" s="510"/>
      <c r="N30" s="526"/>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68" customFormat="1" ht="20.25" x14ac:dyDescent="0.2">
      <c r="A31" s="67"/>
      <c r="B31" s="394"/>
      <c r="C31" s="79" t="s">
        <v>112</v>
      </c>
      <c r="D31" s="79"/>
      <c r="E31" s="79"/>
      <c r="F31" s="79"/>
      <c r="G31" s="232">
        <v>480914.48</v>
      </c>
      <c r="H31" s="232">
        <v>1007778.19</v>
      </c>
      <c r="I31" s="275"/>
      <c r="J31" s="232">
        <v>497094.85</v>
      </c>
      <c r="K31" s="361"/>
      <c r="L31" s="275">
        <f t="shared" ref="L31:L53" si="2">G31-J31</f>
        <v>-16180.369999999995</v>
      </c>
      <c r="M31" s="436">
        <f t="shared" ref="M31:M42" si="3">L31/H31</f>
        <v>-1.605548736870362E-2</v>
      </c>
      <c r="N31" s="526"/>
    </row>
    <row r="32" spans="1:46" s="68" customFormat="1" ht="20.25" x14ac:dyDescent="0.2">
      <c r="A32" s="67"/>
      <c r="B32" s="394"/>
      <c r="C32" s="79" t="s">
        <v>113</v>
      </c>
      <c r="D32" s="79"/>
      <c r="E32" s="79"/>
      <c r="F32" s="79"/>
      <c r="G32" s="232">
        <v>96537.4</v>
      </c>
      <c r="H32" s="232">
        <v>220461.1</v>
      </c>
      <c r="I32" s="275"/>
      <c r="J32" s="232">
        <v>110116.65</v>
      </c>
      <c r="K32" s="361"/>
      <c r="L32" s="275">
        <f t="shared" si="2"/>
        <v>-13579.25</v>
      </c>
      <c r="M32" s="436">
        <f t="shared" si="3"/>
        <v>-6.1594766605083617E-2</v>
      </c>
      <c r="N32" s="718" t="s">
        <v>655</v>
      </c>
    </row>
    <row r="33" spans="1:16" s="68" customFormat="1" ht="20.25" x14ac:dyDescent="0.2">
      <c r="A33" s="67"/>
      <c r="B33" s="394"/>
      <c r="C33" s="79" t="s">
        <v>114</v>
      </c>
      <c r="D33" s="79"/>
      <c r="E33" s="79"/>
      <c r="F33" s="79"/>
      <c r="G33" s="232">
        <f>150*6</f>
        <v>900</v>
      </c>
      <c r="H33" s="232">
        <f>150*12</f>
        <v>1800</v>
      </c>
      <c r="I33" s="275"/>
      <c r="J33" s="232">
        <f>G33</f>
        <v>900</v>
      </c>
      <c r="K33" s="361"/>
      <c r="L33" s="275">
        <f t="shared" si="2"/>
        <v>0</v>
      </c>
      <c r="M33" s="436">
        <f t="shared" si="3"/>
        <v>0</v>
      </c>
      <c r="N33" s="670"/>
    </row>
    <row r="34" spans="1:16" s="68" customFormat="1" ht="20.25" x14ac:dyDescent="0.2">
      <c r="A34" s="67"/>
      <c r="B34" s="394"/>
      <c r="C34" s="79" t="s">
        <v>104</v>
      </c>
      <c r="D34" s="79"/>
      <c r="E34" s="79"/>
      <c r="F34" s="79"/>
      <c r="G34" s="232">
        <f>G25</f>
        <v>26370</v>
      </c>
      <c r="H34" s="232">
        <f>H25</f>
        <v>52740</v>
      </c>
      <c r="I34" s="275"/>
      <c r="J34" s="232">
        <f>J25</f>
        <v>26370</v>
      </c>
      <c r="K34" s="361"/>
      <c r="L34" s="275">
        <f t="shared" si="2"/>
        <v>0</v>
      </c>
      <c r="M34" s="436">
        <f t="shared" si="3"/>
        <v>0</v>
      </c>
      <c r="N34" s="670"/>
    </row>
    <row r="35" spans="1:16" s="68" customFormat="1" ht="20.25" x14ac:dyDescent="0.2">
      <c r="A35" s="67"/>
      <c r="B35" s="394"/>
      <c r="C35" s="79" t="s">
        <v>115</v>
      </c>
      <c r="D35" s="79"/>
      <c r="E35" s="79"/>
      <c r="F35" s="79"/>
      <c r="G35" s="232">
        <v>9742.2000000000007</v>
      </c>
      <c r="H35" s="232">
        <v>21455.64</v>
      </c>
      <c r="I35" s="275"/>
      <c r="J35" s="232">
        <v>10601.49</v>
      </c>
      <c r="K35" s="361"/>
      <c r="L35" s="275">
        <f t="shared" si="2"/>
        <v>-859.28999999999905</v>
      </c>
      <c r="M35" s="436">
        <f t="shared" si="3"/>
        <v>-4.0049609333489895E-2</v>
      </c>
      <c r="N35" s="670"/>
    </row>
    <row r="36" spans="1:16" s="68" customFormat="1" ht="20.25" x14ac:dyDescent="0.2">
      <c r="A36" s="67"/>
      <c r="B36" s="394"/>
      <c r="C36" s="79" t="s">
        <v>116</v>
      </c>
      <c r="D36" s="79"/>
      <c r="E36" s="79"/>
      <c r="F36" s="79"/>
      <c r="G36" s="232">
        <v>1463.62</v>
      </c>
      <c r="H36" s="232">
        <v>2520.5300000000002</v>
      </c>
      <c r="I36" s="275"/>
      <c r="J36" s="232">
        <v>1483.23</v>
      </c>
      <c r="K36" s="361"/>
      <c r="L36" s="275">
        <f t="shared" si="2"/>
        <v>-19.610000000000127</v>
      </c>
      <c r="M36" s="436">
        <f t="shared" si="3"/>
        <v>-7.7801097388248211E-3</v>
      </c>
      <c r="N36" s="670"/>
    </row>
    <row r="37" spans="1:16" s="68" customFormat="1" ht="20.25" x14ac:dyDescent="0.2">
      <c r="A37" s="67"/>
      <c r="B37" s="394"/>
      <c r="C37" s="79" t="s">
        <v>117</v>
      </c>
      <c r="D37" s="79"/>
      <c r="E37" s="79"/>
      <c r="F37" s="79"/>
      <c r="G37" s="232">
        <v>3094.2</v>
      </c>
      <c r="H37" s="232">
        <v>3693.23</v>
      </c>
      <c r="I37" s="275"/>
      <c r="J37" s="232">
        <v>1830.84</v>
      </c>
      <c r="K37" s="361"/>
      <c r="L37" s="275">
        <f t="shared" si="2"/>
        <v>1263.3599999999999</v>
      </c>
      <c r="M37" s="436">
        <f t="shared" si="3"/>
        <v>0.34207455262737491</v>
      </c>
      <c r="N37" s="670"/>
    </row>
    <row r="38" spans="1:16" s="68" customFormat="1" ht="20.25" x14ac:dyDescent="0.2">
      <c r="A38" s="67"/>
      <c r="B38" s="394"/>
      <c r="C38" s="79" t="s">
        <v>118</v>
      </c>
      <c r="D38" s="79"/>
      <c r="E38" s="79"/>
      <c r="F38" s="79"/>
      <c r="G38" s="232">
        <v>4893.93</v>
      </c>
      <c r="H38" s="232">
        <v>9996.52</v>
      </c>
      <c r="I38" s="275"/>
      <c r="J38" s="232">
        <v>7278.03</v>
      </c>
      <c r="K38" s="361"/>
      <c r="L38" s="275">
        <f t="shared" si="2"/>
        <v>-2384.0999999999995</v>
      </c>
      <c r="M38" s="436">
        <f t="shared" si="3"/>
        <v>-0.23849299556245568</v>
      </c>
      <c r="N38" s="670"/>
    </row>
    <row r="39" spans="1:16" s="68" customFormat="1" ht="20.25" x14ac:dyDescent="0.2">
      <c r="A39" s="67"/>
      <c r="B39" s="394"/>
      <c r="C39" s="79" t="s">
        <v>119</v>
      </c>
      <c r="D39" s="79"/>
      <c r="E39" s="79"/>
      <c r="F39" s="79"/>
      <c r="G39" s="232">
        <f>17561.3+7583.41</f>
        <v>25144.71</v>
      </c>
      <c r="H39" s="232">
        <f>30529.33+14188.56</f>
        <v>44717.89</v>
      </c>
      <c r="I39" s="275"/>
      <c r="J39" s="232">
        <f>16189.49+8250.7</f>
        <v>24440.190000000002</v>
      </c>
      <c r="K39" s="361"/>
      <c r="L39" s="275">
        <f t="shared" si="2"/>
        <v>704.5199999999968</v>
      </c>
      <c r="M39" s="436">
        <f t="shared" si="3"/>
        <v>1.575476839358916E-2</v>
      </c>
      <c r="N39" s="670"/>
    </row>
    <row r="40" spans="1:16" s="68" customFormat="1" ht="20.25" x14ac:dyDescent="0.2">
      <c r="A40" s="67"/>
      <c r="B40" s="394"/>
      <c r="C40" s="79" t="s">
        <v>120</v>
      </c>
      <c r="D40" s="79"/>
      <c r="E40" s="79"/>
      <c r="F40" s="79"/>
      <c r="G40" s="232">
        <v>2202.15</v>
      </c>
      <c r="H40" s="232">
        <v>4597.3500000000004</v>
      </c>
      <c r="I40" s="275"/>
      <c r="J40" s="232">
        <v>2198.3000000000002</v>
      </c>
      <c r="K40" s="361"/>
      <c r="L40" s="275">
        <f t="shared" si="2"/>
        <v>3.8499999999999091</v>
      </c>
      <c r="M40" s="436">
        <f t="shared" si="3"/>
        <v>8.3743895940050438E-4</v>
      </c>
      <c r="N40" s="670"/>
    </row>
    <row r="41" spans="1:16" s="68" customFormat="1" ht="20.25" x14ac:dyDescent="0.2">
      <c r="A41" s="67"/>
      <c r="B41" s="394"/>
      <c r="C41" s="79" t="s">
        <v>121</v>
      </c>
      <c r="D41" s="79"/>
      <c r="E41" s="79"/>
      <c r="F41" s="79"/>
      <c r="G41" s="232">
        <v>401.36</v>
      </c>
      <c r="H41" s="232">
        <v>1250.1300000000001</v>
      </c>
      <c r="I41" s="275"/>
      <c r="J41" s="232">
        <v>388.98</v>
      </c>
      <c r="K41" s="361"/>
      <c r="L41" s="275">
        <f t="shared" si="2"/>
        <v>12.379999999999995</v>
      </c>
      <c r="M41" s="436">
        <f t="shared" si="3"/>
        <v>9.9029700911105207E-3</v>
      </c>
      <c r="N41" s="670"/>
    </row>
    <row r="42" spans="1:16" s="68" customFormat="1" ht="20.25" x14ac:dyDescent="0.2">
      <c r="A42" s="67"/>
      <c r="B42" s="394"/>
      <c r="C42" s="79" t="s">
        <v>166</v>
      </c>
      <c r="D42" s="79"/>
      <c r="E42" s="79"/>
      <c r="F42" s="79"/>
      <c r="G42" s="232">
        <v>7050</v>
      </c>
      <c r="H42" s="232">
        <v>22675</v>
      </c>
      <c r="I42" s="275"/>
      <c r="J42" s="232">
        <v>10500</v>
      </c>
      <c r="K42" s="361"/>
      <c r="L42" s="275">
        <f t="shared" si="2"/>
        <v>-3450</v>
      </c>
      <c r="M42" s="436">
        <f t="shared" si="3"/>
        <v>-0.15214994487320838</v>
      </c>
      <c r="N42" s="670"/>
    </row>
    <row r="43" spans="1:16" s="68" customFormat="1" ht="20.25" hidden="1" x14ac:dyDescent="0.2">
      <c r="A43" s="67"/>
      <c r="B43" s="394"/>
      <c r="C43" s="987" t="s">
        <v>324</v>
      </c>
      <c r="D43" s="987"/>
      <c r="E43" s="987"/>
      <c r="F43" s="987"/>
      <c r="G43" s="232"/>
      <c r="H43" s="232"/>
      <c r="I43" s="275"/>
      <c r="J43" s="232"/>
      <c r="K43" s="361"/>
      <c r="L43" s="275">
        <f t="shared" si="2"/>
        <v>0</v>
      </c>
      <c r="M43" s="436">
        <v>1</v>
      </c>
      <c r="N43" s="670"/>
    </row>
    <row r="44" spans="1:16" s="76" customFormat="1" ht="20.25" x14ac:dyDescent="0.2">
      <c r="A44" s="79"/>
      <c r="B44" s="390"/>
      <c r="C44" s="79" t="s">
        <v>122</v>
      </c>
      <c r="D44" s="79"/>
      <c r="E44" s="79"/>
      <c r="F44" s="79"/>
      <c r="G44" s="322">
        <v>12708.83</v>
      </c>
      <c r="H44" s="322">
        <v>23073.200000000001</v>
      </c>
      <c r="I44" s="400"/>
      <c r="J44" s="322">
        <v>11444.73</v>
      </c>
      <c r="K44" s="363"/>
      <c r="L44" s="275">
        <f t="shared" si="2"/>
        <v>1264.1000000000004</v>
      </c>
      <c r="M44" s="436">
        <f t="shared" ref="M44:M53" si="4">L44/H44</f>
        <v>5.4786505556229749E-2</v>
      </c>
      <c r="N44" s="670"/>
    </row>
    <row r="45" spans="1:16" s="76" customFormat="1" ht="20.25" x14ac:dyDescent="0.2">
      <c r="A45" s="79"/>
      <c r="B45" s="390"/>
      <c r="C45" s="79" t="s">
        <v>123</v>
      </c>
      <c r="D45" s="79"/>
      <c r="E45" s="79"/>
      <c r="F45" s="79"/>
      <c r="G45" s="322">
        <v>12967.71</v>
      </c>
      <c r="H45" s="322">
        <v>12215.08</v>
      </c>
      <c r="I45" s="232"/>
      <c r="J45" s="232">
        <v>6906.2</v>
      </c>
      <c r="K45" s="363"/>
      <c r="L45" s="275">
        <f t="shared" si="2"/>
        <v>6061.5099999999993</v>
      </c>
      <c r="M45" s="436">
        <f t="shared" si="4"/>
        <v>0.49623170703753061</v>
      </c>
      <c r="N45" s="527"/>
    </row>
    <row r="46" spans="1:16" s="76" customFormat="1" ht="20.25" x14ac:dyDescent="0.2">
      <c r="A46" s="79"/>
      <c r="B46" s="390"/>
      <c r="C46" s="79" t="s">
        <v>130</v>
      </c>
      <c r="D46" s="79"/>
      <c r="E46" s="79"/>
      <c r="F46" s="79"/>
      <c r="G46" s="232">
        <v>260</v>
      </c>
      <c r="H46" s="232">
        <f>1999.96</f>
        <v>1999.96</v>
      </c>
      <c r="I46" s="232"/>
      <c r="J46" s="232">
        <v>514.99</v>
      </c>
      <c r="K46" s="363"/>
      <c r="L46" s="275">
        <f t="shared" si="2"/>
        <v>-254.99</v>
      </c>
      <c r="M46" s="436">
        <f t="shared" si="4"/>
        <v>-0.12749754995099902</v>
      </c>
      <c r="P46" s="247"/>
    </row>
    <row r="47" spans="1:16" s="76" customFormat="1" ht="20.25" x14ac:dyDescent="0.2">
      <c r="A47" s="79"/>
      <c r="B47" s="390"/>
      <c r="C47" s="79" t="s">
        <v>124</v>
      </c>
      <c r="D47" s="79"/>
      <c r="E47" s="79"/>
      <c r="F47" s="79"/>
      <c r="G47" s="322">
        <v>2281.9299999999998</v>
      </c>
      <c r="H47" s="322">
        <v>6581.01</v>
      </c>
      <c r="I47" s="232"/>
      <c r="J47" s="322">
        <v>2738.16</v>
      </c>
      <c r="K47" s="363"/>
      <c r="L47" s="275">
        <f t="shared" si="2"/>
        <v>-456.23</v>
      </c>
      <c r="M47" s="436">
        <f t="shared" si="4"/>
        <v>-6.9325225155409273E-2</v>
      </c>
      <c r="N47" s="670"/>
      <c r="P47" s="247"/>
    </row>
    <row r="48" spans="1:16" s="68" customFormat="1" ht="20.25" x14ac:dyDescent="0.2">
      <c r="A48" s="67"/>
      <c r="B48" s="394"/>
      <c r="C48" s="79" t="s">
        <v>199</v>
      </c>
      <c r="D48" s="79"/>
      <c r="E48" s="79"/>
      <c r="F48" s="79"/>
      <c r="G48" s="232">
        <v>3388.27</v>
      </c>
      <c r="H48" s="232">
        <v>8352.76</v>
      </c>
      <c r="I48" s="232"/>
      <c r="J48" s="232">
        <v>5589.68</v>
      </c>
      <c r="K48" s="361"/>
      <c r="L48" s="275">
        <f t="shared" si="2"/>
        <v>-2201.4100000000003</v>
      </c>
      <c r="M48" s="436">
        <f t="shared" si="4"/>
        <v>-0.26355480104779738</v>
      </c>
      <c r="N48" s="670"/>
    </row>
    <row r="49" spans="1:18" s="76" customFormat="1" ht="20.25" x14ac:dyDescent="0.2">
      <c r="A49" s="79"/>
      <c r="B49" s="390"/>
      <c r="C49" s="79" t="s">
        <v>483</v>
      </c>
      <c r="D49" s="79"/>
      <c r="E49" s="79"/>
      <c r="F49" s="79"/>
      <c r="G49" s="322">
        <v>17038.5</v>
      </c>
      <c r="H49" s="322">
        <v>38909</v>
      </c>
      <c r="I49" s="232"/>
      <c r="J49" s="322">
        <v>18856</v>
      </c>
      <c r="K49" s="363"/>
      <c r="L49" s="275">
        <f t="shared" si="2"/>
        <v>-1817.5</v>
      </c>
      <c r="M49" s="436">
        <f t="shared" si="4"/>
        <v>-4.6711557737284436E-2</v>
      </c>
      <c r="N49" s="527"/>
    </row>
    <row r="50" spans="1:18" s="76" customFormat="1" ht="20.25" x14ac:dyDescent="0.2">
      <c r="A50" s="79"/>
      <c r="B50" s="390"/>
      <c r="C50" s="79" t="s">
        <v>126</v>
      </c>
      <c r="D50" s="79"/>
      <c r="E50" s="79"/>
      <c r="F50" s="79"/>
      <c r="G50" s="322">
        <v>9848.9699999999993</v>
      </c>
      <c r="H50" s="322">
        <f>11900+130658.19+3300+6607.12</f>
        <v>152465.31</v>
      </c>
      <c r="I50" s="232"/>
      <c r="J50" s="322">
        <f>9750+127761.95+2100+6007.12</f>
        <v>145619.07</v>
      </c>
      <c r="K50" s="363"/>
      <c r="L50" s="275">
        <f t="shared" si="2"/>
        <v>-135770.1</v>
      </c>
      <c r="M50" s="436">
        <f t="shared" si="4"/>
        <v>-0.89049830417161779</v>
      </c>
      <c r="N50" s="525" t="s">
        <v>592</v>
      </c>
    </row>
    <row r="51" spans="1:18" s="76" customFormat="1" ht="20.25" x14ac:dyDescent="0.2">
      <c r="A51" s="79"/>
      <c r="B51" s="390"/>
      <c r="C51" s="79" t="s">
        <v>165</v>
      </c>
      <c r="D51" s="79"/>
      <c r="E51" s="79"/>
      <c r="F51" s="79"/>
      <c r="G51" s="232">
        <v>32257.34</v>
      </c>
      <c r="H51" s="232">
        <v>74987.45</v>
      </c>
      <c r="I51" s="232"/>
      <c r="J51" s="232">
        <v>36284.980000000003</v>
      </c>
      <c r="K51" s="363"/>
      <c r="L51" s="275">
        <f t="shared" si="2"/>
        <v>-4027.6400000000031</v>
      </c>
      <c r="M51" s="436">
        <f t="shared" si="4"/>
        <v>-5.3710854282950055E-2</v>
      </c>
      <c r="N51" s="670"/>
    </row>
    <row r="52" spans="1:18" s="76" customFormat="1" ht="20.25" x14ac:dyDescent="0.2">
      <c r="A52" s="79"/>
      <c r="B52" s="390"/>
      <c r="C52" s="79" t="s">
        <v>127</v>
      </c>
      <c r="D52" s="79"/>
      <c r="E52" s="79"/>
      <c r="F52" s="79"/>
      <c r="G52" s="232">
        <f>37280+7966.83</f>
        <v>45246.83</v>
      </c>
      <c r="H52" s="232">
        <f>1237.48+74988.02</f>
        <v>76225.5</v>
      </c>
      <c r="I52" s="232"/>
      <c r="J52" s="232">
        <f>1027.48+53811.49</f>
        <v>54838.97</v>
      </c>
      <c r="K52" s="363"/>
      <c r="L52" s="275">
        <f t="shared" si="2"/>
        <v>-9592.14</v>
      </c>
      <c r="M52" s="436">
        <f t="shared" si="4"/>
        <v>-0.12583899088887576</v>
      </c>
      <c r="N52" s="670"/>
    </row>
    <row r="53" spans="1:18" s="76" customFormat="1" ht="21" thickBot="1" x14ac:dyDescent="0.25">
      <c r="A53" s="79"/>
      <c r="B53" s="390"/>
      <c r="C53" s="79" t="s">
        <v>484</v>
      </c>
      <c r="D53" s="79"/>
      <c r="E53" s="79"/>
      <c r="F53" s="79"/>
      <c r="G53" s="265">
        <f>350-8.81+2451</f>
        <v>2792.19</v>
      </c>
      <c r="H53" s="241">
        <f>585.52+45.81+0.5</f>
        <v>631.82999999999993</v>
      </c>
      <c r="I53" s="232"/>
      <c r="J53" s="241">
        <v>0</v>
      </c>
      <c r="K53" s="662"/>
      <c r="L53" s="377">
        <f t="shared" si="2"/>
        <v>2792.19</v>
      </c>
      <c r="M53" s="463">
        <f t="shared" si="4"/>
        <v>4.4192108636816867</v>
      </c>
      <c r="N53" s="670"/>
    </row>
    <row r="54" spans="1:18" s="76" customFormat="1" ht="21" hidden="1" thickBot="1" x14ac:dyDescent="0.25">
      <c r="A54" s="79"/>
      <c r="B54" s="390"/>
      <c r="C54" s="79"/>
      <c r="D54" s="79"/>
      <c r="E54" s="79"/>
      <c r="F54" s="79"/>
      <c r="G54" s="241"/>
      <c r="H54" s="241"/>
      <c r="I54" s="232"/>
      <c r="J54" s="241"/>
      <c r="K54" s="363"/>
      <c r="L54" s="377"/>
      <c r="M54" s="463"/>
      <c r="N54" s="525"/>
    </row>
    <row r="55" spans="1:18" s="68" customFormat="1" ht="20.25" x14ac:dyDescent="0.2">
      <c r="A55" s="67"/>
      <c r="B55" s="394"/>
      <c r="C55" s="67"/>
      <c r="D55" s="73" t="s">
        <v>128</v>
      </c>
      <c r="E55" s="67"/>
      <c r="F55" s="67"/>
      <c r="G55" s="237">
        <f>SUM(G31:G53)</f>
        <v>797504.61999999976</v>
      </c>
      <c r="H55" s="237">
        <f>SUM(H31:H53)</f>
        <v>1789126.68</v>
      </c>
      <c r="I55" s="232"/>
      <c r="J55" s="237">
        <f>SUM(J31:J53)</f>
        <v>975995.34000000008</v>
      </c>
      <c r="K55" s="361"/>
      <c r="L55" s="234">
        <f>SUM(L31:L53)</f>
        <v>-178490.72000000003</v>
      </c>
      <c r="M55" s="436">
        <f>L55/H55</f>
        <v>-9.9764159796666849E-2</v>
      </c>
      <c r="N55" s="528"/>
    </row>
    <row r="56" spans="1:18" s="68" customFormat="1" ht="10.5" customHeight="1" thickBot="1" x14ac:dyDescent="0.25">
      <c r="A56" s="67"/>
      <c r="B56" s="394"/>
      <c r="C56" s="67"/>
      <c r="D56" s="73"/>
      <c r="E56" s="67"/>
      <c r="F56" s="67"/>
      <c r="G56" s="241"/>
      <c r="H56" s="241"/>
      <c r="I56" s="232"/>
      <c r="J56" s="241"/>
      <c r="K56" s="361"/>
      <c r="L56" s="404"/>
      <c r="M56" s="511"/>
      <c r="N56" s="528"/>
    </row>
    <row r="57" spans="1:18" s="68" customFormat="1" ht="21" thickBot="1" x14ac:dyDescent="0.25">
      <c r="A57" s="67"/>
      <c r="B57" s="394"/>
      <c r="C57" s="67"/>
      <c r="D57" s="67" t="s">
        <v>129</v>
      </c>
      <c r="E57" s="67"/>
      <c r="F57" s="67"/>
      <c r="G57" s="241">
        <f>G28-G55</f>
        <v>-32337.39999999979</v>
      </c>
      <c r="H57" s="241">
        <f>H28-H55</f>
        <v>-38761.489999999758</v>
      </c>
      <c r="I57" s="232"/>
      <c r="J57" s="241">
        <f>J28-J55</f>
        <v>-93832.45000000007</v>
      </c>
      <c r="K57" s="361"/>
      <c r="L57" s="241">
        <f>L28-L55</f>
        <v>61495.049999999988</v>
      </c>
      <c r="M57" s="505">
        <f>L57/H57</f>
        <v>-1.5864986098315719</v>
      </c>
      <c r="N57" s="528"/>
    </row>
    <row r="58" spans="1:18" s="68" customFormat="1" ht="11.25" customHeight="1" x14ac:dyDescent="0.2">
      <c r="A58" s="67"/>
      <c r="B58" s="394"/>
      <c r="C58" s="67"/>
      <c r="D58" s="67"/>
      <c r="E58" s="67"/>
      <c r="F58" s="67"/>
      <c r="G58" s="232"/>
      <c r="H58" s="232"/>
      <c r="I58" s="232"/>
      <c r="J58" s="232"/>
      <c r="K58" s="361"/>
      <c r="L58" s="402"/>
      <c r="M58" s="510"/>
      <c r="N58" s="525"/>
    </row>
    <row r="59" spans="1:18" s="76" customFormat="1" ht="21" thickBot="1" x14ac:dyDescent="0.25">
      <c r="A59" s="79"/>
      <c r="B59" s="393" t="s">
        <v>334</v>
      </c>
      <c r="C59" s="87"/>
      <c r="D59" s="87"/>
      <c r="E59" s="87"/>
      <c r="F59" s="87"/>
      <c r="G59" s="661"/>
      <c r="H59" s="661"/>
      <c r="I59" s="232"/>
      <c r="J59" s="241"/>
      <c r="K59" s="363"/>
      <c r="L59" s="402"/>
      <c r="M59" s="510"/>
      <c r="N59" s="525"/>
    </row>
    <row r="60" spans="1:18" s="76" customFormat="1" ht="20.25" x14ac:dyDescent="0.2">
      <c r="A60" s="79"/>
      <c r="B60" s="394"/>
      <c r="C60" s="67"/>
      <c r="D60" s="67" t="s">
        <v>141</v>
      </c>
      <c r="E60" s="67"/>
      <c r="F60" s="67"/>
      <c r="G60" s="232"/>
      <c r="H60" s="232"/>
      <c r="I60" s="232"/>
      <c r="J60" s="232"/>
      <c r="K60" s="363"/>
      <c r="L60" s="402"/>
      <c r="M60" s="510"/>
      <c r="N60" s="525"/>
    </row>
    <row r="61" spans="1:18" s="76" customFormat="1" ht="20.25" x14ac:dyDescent="0.2">
      <c r="A61" s="79"/>
      <c r="B61" s="394"/>
      <c r="C61" s="67"/>
      <c r="D61" s="67"/>
      <c r="E61" s="79" t="s">
        <v>142</v>
      </c>
      <c r="F61" s="67"/>
      <c r="G61" s="232">
        <v>52000</v>
      </c>
      <c r="H61" s="232">
        <f>52000+10400</f>
        <v>62400</v>
      </c>
      <c r="I61" s="232"/>
      <c r="J61" s="232">
        <v>62400</v>
      </c>
      <c r="K61" s="363"/>
      <c r="L61" s="275">
        <f t="shared" ref="L61:L65" si="5">G61-J61</f>
        <v>-10400</v>
      </c>
      <c r="M61" s="436">
        <f>L61/H61</f>
        <v>-0.16666666666666666</v>
      </c>
      <c r="N61" s="525" t="s">
        <v>595</v>
      </c>
      <c r="R61" s="247"/>
    </row>
    <row r="62" spans="1:18" s="76" customFormat="1" ht="20.25" x14ac:dyDescent="0.2">
      <c r="A62" s="79"/>
      <c r="B62" s="394"/>
      <c r="C62" s="67"/>
      <c r="D62" s="67"/>
      <c r="E62" s="79" t="s">
        <v>169</v>
      </c>
      <c r="F62" s="67"/>
      <c r="G62" s="232">
        <v>21000</v>
      </c>
      <c r="H62" s="232">
        <f>20000</f>
        <v>20000</v>
      </c>
      <c r="I62" s="232"/>
      <c r="J62" s="232">
        <v>20000</v>
      </c>
      <c r="K62" s="363"/>
      <c r="L62" s="275">
        <f t="shared" si="5"/>
        <v>1000</v>
      </c>
      <c r="M62" s="436">
        <f>L62/H62</f>
        <v>0.05</v>
      </c>
      <c r="N62" s="525"/>
    </row>
    <row r="63" spans="1:18" s="76" customFormat="1" ht="20.25" x14ac:dyDescent="0.2">
      <c r="A63" s="79"/>
      <c r="B63" s="394"/>
      <c r="C63" s="67"/>
      <c r="D63" s="67"/>
      <c r="E63" s="79" t="s">
        <v>630</v>
      </c>
      <c r="F63" s="67"/>
      <c r="G63" s="232">
        <v>50000</v>
      </c>
      <c r="H63" s="232">
        <v>50000</v>
      </c>
      <c r="I63" s="232"/>
      <c r="J63" s="232"/>
      <c r="K63" s="363"/>
      <c r="L63" s="275">
        <f t="shared" si="5"/>
        <v>50000</v>
      </c>
      <c r="M63" s="436"/>
      <c r="N63" s="525"/>
    </row>
    <row r="64" spans="1:18" s="76" customFormat="1" ht="21" thickBot="1" x14ac:dyDescent="0.25">
      <c r="A64" s="79"/>
      <c r="B64" s="394"/>
      <c r="C64" s="67"/>
      <c r="D64" s="67"/>
      <c r="E64" s="79" t="s">
        <v>140</v>
      </c>
      <c r="F64" s="67"/>
      <c r="G64" s="235">
        <v>33.81</v>
      </c>
      <c r="H64" s="235">
        <f>29650-1</f>
        <v>29649</v>
      </c>
      <c r="I64" s="235"/>
      <c r="J64" s="235">
        <v>20000</v>
      </c>
      <c r="K64" s="616"/>
      <c r="L64" s="377">
        <f t="shared" si="5"/>
        <v>-19966.189999999999</v>
      </c>
      <c r="M64" s="508">
        <f>L64/H64</f>
        <v>-0.67341866504772496</v>
      </c>
      <c r="N64" s="525" t="s">
        <v>594</v>
      </c>
    </row>
    <row r="65" spans="1:14" s="76" customFormat="1" ht="21" thickBot="1" x14ac:dyDescent="0.25">
      <c r="A65" s="79"/>
      <c r="B65" s="394"/>
      <c r="C65" s="67"/>
      <c r="D65" s="67" t="s">
        <v>106</v>
      </c>
      <c r="E65" s="67"/>
      <c r="F65" s="67"/>
      <c r="G65" s="241">
        <f>-G27</f>
        <v>-73776.87000000001</v>
      </c>
      <c r="H65" s="241">
        <f>-H27</f>
        <v>-99372.18</v>
      </c>
      <c r="I65" s="232"/>
      <c r="J65" s="241">
        <f>-J27</f>
        <v>-51577.120000000003</v>
      </c>
      <c r="K65" s="363"/>
      <c r="L65" s="377">
        <f t="shared" si="5"/>
        <v>-22199.750000000007</v>
      </c>
      <c r="M65" s="463">
        <f>L65/H65</f>
        <v>0.22340005019513517</v>
      </c>
      <c r="N65" s="525"/>
    </row>
    <row r="66" spans="1:14" s="76" customFormat="1" ht="21" thickBot="1" x14ac:dyDescent="0.25">
      <c r="A66" s="79"/>
      <c r="B66" s="394"/>
      <c r="C66" s="67"/>
      <c r="D66" s="67"/>
      <c r="E66" s="67" t="s">
        <v>333</v>
      </c>
      <c r="F66" s="67"/>
      <c r="G66" s="241">
        <f>SUM(G60:G65)</f>
        <v>49256.939999999988</v>
      </c>
      <c r="H66" s="241">
        <f>SUM(H60:H65)</f>
        <v>62676.820000000007</v>
      </c>
      <c r="I66" s="232"/>
      <c r="J66" s="241">
        <f>SUM(J60:J65)</f>
        <v>50822.879999999997</v>
      </c>
      <c r="K66" s="363"/>
      <c r="L66" s="241">
        <f>SUM(L61:L65)</f>
        <v>-1565.940000000006</v>
      </c>
      <c r="M66" s="463">
        <f>L66/H66</f>
        <v>-2.4984356258023394E-2</v>
      </c>
      <c r="N66" s="525"/>
    </row>
    <row r="67" spans="1:14" s="68" customFormat="1" ht="7.5" customHeight="1" x14ac:dyDescent="0.2">
      <c r="A67" s="67"/>
      <c r="B67" s="394"/>
      <c r="C67" s="67"/>
      <c r="D67" s="67"/>
      <c r="E67" s="67"/>
      <c r="F67" s="67"/>
      <c r="G67" s="273"/>
      <c r="H67" s="273"/>
      <c r="I67" s="273"/>
      <c r="J67" s="273"/>
      <c r="K67" s="361"/>
      <c r="L67" s="402"/>
      <c r="M67" s="402"/>
      <c r="N67" s="525"/>
    </row>
    <row r="68" spans="1:14" s="68" customFormat="1" ht="20.25" x14ac:dyDescent="0.2">
      <c r="A68" s="67"/>
      <c r="B68" s="394"/>
      <c r="C68" s="67"/>
      <c r="D68" s="67"/>
      <c r="E68" s="67" t="s">
        <v>86</v>
      </c>
      <c r="F68" s="67"/>
      <c r="G68" s="237">
        <f>G57+G66</f>
        <v>16919.540000000197</v>
      </c>
      <c r="H68" s="237">
        <f>H57+H66</f>
        <v>23915.330000000249</v>
      </c>
      <c r="I68" s="237"/>
      <c r="J68" s="237">
        <f>J57+J66</f>
        <v>-43009.570000000072</v>
      </c>
      <c r="K68" s="361"/>
      <c r="L68" s="237">
        <f>L57+L66</f>
        <v>59929.109999999986</v>
      </c>
      <c r="M68" s="237"/>
      <c r="N68" s="525"/>
    </row>
    <row r="69" spans="1:14" s="68" customFormat="1" ht="8.25" customHeight="1" x14ac:dyDescent="0.2">
      <c r="A69" s="67"/>
      <c r="B69" s="394"/>
      <c r="C69" s="67"/>
      <c r="D69" s="67"/>
      <c r="E69" s="67"/>
      <c r="F69" s="67"/>
      <c r="G69" s="232"/>
      <c r="H69" s="232"/>
      <c r="I69" s="232"/>
      <c r="J69" s="232"/>
      <c r="K69" s="361"/>
      <c r="L69" s="402"/>
      <c r="M69" s="402"/>
      <c r="N69" s="525"/>
    </row>
    <row r="70" spans="1:14" s="82" customFormat="1" ht="26.25" x14ac:dyDescent="0.2">
      <c r="A70" s="268"/>
      <c r="B70" s="395"/>
      <c r="C70" s="67"/>
      <c r="D70" s="67" t="s">
        <v>144</v>
      </c>
      <c r="E70" s="67"/>
      <c r="F70" s="67"/>
      <c r="G70" s="237">
        <f>979580.01-0.5</f>
        <v>979579.51</v>
      </c>
      <c r="H70" s="237">
        <f>955663.18+1</f>
        <v>955664.18</v>
      </c>
      <c r="I70" s="237"/>
      <c r="J70" s="237">
        <f>H70-0.4</f>
        <v>955663.78</v>
      </c>
      <c r="K70" s="364"/>
      <c r="L70" s="403"/>
      <c r="M70" s="403"/>
      <c r="N70" s="529"/>
    </row>
    <row r="71" spans="1:14" s="84" customFormat="1" ht="21" thickBot="1" x14ac:dyDescent="0.25">
      <c r="A71" s="67"/>
      <c r="B71" s="394"/>
      <c r="C71" s="67"/>
      <c r="E71" s="67" t="s">
        <v>143</v>
      </c>
      <c r="F71" s="67"/>
      <c r="G71" s="321">
        <f>G68+G70</f>
        <v>996499.05000000016</v>
      </c>
      <c r="H71" s="321">
        <f>H68+H70</f>
        <v>979579.51000000024</v>
      </c>
      <c r="I71" s="273"/>
      <c r="J71" s="321">
        <f>J68+J70</f>
        <v>912654.21</v>
      </c>
      <c r="K71" s="365"/>
      <c r="L71" s="273"/>
      <c r="M71" s="403"/>
      <c r="N71" s="529"/>
    </row>
    <row r="72" spans="1:14" s="65" customFormat="1" ht="6.75" customHeight="1" thickTop="1" x14ac:dyDescent="0.2">
      <c r="A72" s="268"/>
      <c r="B72" s="395"/>
      <c r="C72" s="67"/>
      <c r="D72" s="268"/>
      <c r="E72" s="268"/>
      <c r="F72" s="268"/>
      <c r="G72" s="270"/>
      <c r="H72" s="270"/>
      <c r="I72" s="232"/>
      <c r="J72" s="232"/>
      <c r="K72" s="360"/>
      <c r="L72" s="402"/>
      <c r="M72" s="402"/>
      <c r="N72" s="525"/>
    </row>
    <row r="73" spans="1:14" s="68" customFormat="1" ht="16.5" customHeight="1" x14ac:dyDescent="0.2">
      <c r="A73" s="67"/>
      <c r="B73" s="394"/>
      <c r="D73" s="342"/>
      <c r="E73" s="67"/>
      <c r="G73" s="232"/>
      <c r="H73" s="232"/>
      <c r="I73" s="232"/>
      <c r="J73" s="232"/>
      <c r="K73" s="361"/>
      <c r="L73" s="402"/>
      <c r="M73" s="402"/>
      <c r="N73" s="525"/>
    </row>
    <row r="74" spans="1:14" s="68" customFormat="1" ht="23.25" x14ac:dyDescent="0.2">
      <c r="A74" s="67"/>
      <c r="B74" s="396"/>
      <c r="C74" s="67"/>
      <c r="D74" s="67"/>
      <c r="E74" s="67"/>
      <c r="F74" s="67"/>
      <c r="G74" s="232"/>
      <c r="H74" s="232"/>
      <c r="I74" s="232"/>
      <c r="J74" s="232"/>
      <c r="K74" s="361"/>
      <c r="L74" s="402"/>
      <c r="M74" s="402"/>
      <c r="N74" s="525"/>
    </row>
    <row r="75" spans="1:14" s="68" customFormat="1" ht="20.25" x14ac:dyDescent="0.2">
      <c r="A75" s="67"/>
      <c r="B75" s="394"/>
      <c r="C75" s="67"/>
      <c r="D75" s="67"/>
      <c r="E75" s="67"/>
      <c r="F75" s="67"/>
      <c r="G75" s="232"/>
      <c r="H75" s="232"/>
      <c r="I75" s="232"/>
      <c r="J75" s="232"/>
      <c r="K75" s="361"/>
      <c r="L75" s="402"/>
      <c r="M75" s="402"/>
      <c r="N75" s="525"/>
    </row>
    <row r="76" spans="1:14" s="76" customFormat="1" ht="20.25" x14ac:dyDescent="0.2">
      <c r="A76" s="79"/>
      <c r="B76" s="390"/>
      <c r="C76" s="79"/>
      <c r="D76" s="79"/>
      <c r="F76" s="79"/>
      <c r="G76" s="246"/>
      <c r="H76" s="232"/>
      <c r="I76" s="232"/>
      <c r="J76" s="232"/>
      <c r="K76" s="363"/>
      <c r="L76" s="402"/>
      <c r="M76" s="402"/>
      <c r="N76" s="525"/>
    </row>
    <row r="77" spans="1:14" s="76" customFormat="1" ht="20.25" x14ac:dyDescent="0.2">
      <c r="A77" s="79"/>
      <c r="B77" s="390"/>
      <c r="C77" s="79"/>
      <c r="D77" s="79"/>
      <c r="F77" s="79"/>
      <c r="G77" s="232"/>
      <c r="H77" s="232"/>
      <c r="I77" s="232"/>
      <c r="J77" s="232"/>
      <c r="K77" s="363"/>
      <c r="L77" s="402"/>
      <c r="M77" s="402"/>
      <c r="N77" s="525"/>
    </row>
    <row r="78" spans="1:14" s="76" customFormat="1" ht="20.25" x14ac:dyDescent="0.2">
      <c r="A78" s="79"/>
      <c r="B78" s="390"/>
      <c r="C78" s="79"/>
      <c r="D78" s="79"/>
      <c r="F78" s="79"/>
      <c r="G78" s="232"/>
      <c r="H78" s="232"/>
      <c r="I78" s="232"/>
      <c r="J78" s="232"/>
      <c r="K78" s="363"/>
      <c r="L78" s="402"/>
      <c r="M78" s="402"/>
      <c r="N78" s="525"/>
    </row>
    <row r="79" spans="1:14" s="76" customFormat="1" ht="20.25" x14ac:dyDescent="0.2">
      <c r="A79" s="79"/>
      <c r="B79" s="79"/>
      <c r="C79" s="79"/>
      <c r="D79" s="79"/>
      <c r="F79" s="79"/>
      <c r="G79" s="232"/>
      <c r="H79" s="232"/>
      <c r="I79" s="232"/>
      <c r="J79" s="232"/>
      <c r="K79" s="363"/>
      <c r="L79" s="402"/>
      <c r="M79" s="402"/>
      <c r="N79" s="525"/>
    </row>
    <row r="80" spans="1:14" s="76" customFormat="1" ht="20.25" x14ac:dyDescent="0.2">
      <c r="A80" s="79"/>
      <c r="B80" s="79"/>
      <c r="C80" s="79"/>
      <c r="D80" s="79"/>
      <c r="F80" s="79"/>
      <c r="G80" s="232"/>
      <c r="H80" s="232"/>
      <c r="I80" s="232"/>
      <c r="J80" s="232"/>
      <c r="K80" s="363"/>
      <c r="L80" s="402"/>
      <c r="M80" s="402"/>
      <c r="N80" s="525"/>
    </row>
    <row r="81" spans="1:14" s="76" customFormat="1" ht="20.25" x14ac:dyDescent="0.2">
      <c r="A81" s="79"/>
      <c r="B81" s="79"/>
      <c r="C81" s="79"/>
      <c r="D81" s="79"/>
      <c r="F81" s="79"/>
      <c r="G81" s="232"/>
      <c r="H81" s="232"/>
      <c r="I81" s="232"/>
      <c r="J81" s="232"/>
      <c r="K81" s="363"/>
      <c r="L81" s="402"/>
      <c r="M81" s="402"/>
      <c r="N81" s="525"/>
    </row>
    <row r="82" spans="1:14" s="76" customFormat="1" ht="20.25" x14ac:dyDescent="0.2">
      <c r="A82" s="79"/>
      <c r="B82" s="79"/>
      <c r="C82" s="67"/>
      <c r="D82" s="79"/>
      <c r="F82" s="79"/>
      <c r="G82" s="232"/>
      <c r="H82" s="232"/>
      <c r="I82" s="232"/>
      <c r="J82" s="232"/>
      <c r="K82" s="363"/>
      <c r="L82" s="402"/>
      <c r="M82" s="402"/>
      <c r="N82" s="525"/>
    </row>
    <row r="83" spans="1:14" s="76" customFormat="1" ht="20.25" x14ac:dyDescent="0.2">
      <c r="A83" s="79"/>
      <c r="B83" s="79"/>
      <c r="C83" s="79"/>
      <c r="D83" s="79"/>
      <c r="E83" s="79"/>
      <c r="F83" s="79"/>
      <c r="G83" s="232"/>
      <c r="H83" s="232"/>
      <c r="I83" s="232"/>
      <c r="J83" s="232"/>
      <c r="K83" s="363"/>
      <c r="L83" s="402"/>
      <c r="M83" s="402"/>
      <c r="N83" s="525"/>
    </row>
    <row r="84" spans="1:14" s="76" customFormat="1" ht="20.25" x14ac:dyDescent="0.2">
      <c r="A84" s="79"/>
      <c r="B84" s="79"/>
      <c r="C84" s="67"/>
      <c r="D84" s="67"/>
      <c r="G84" s="232"/>
      <c r="H84" s="232"/>
      <c r="I84" s="232"/>
      <c r="J84" s="232"/>
      <c r="K84" s="363"/>
      <c r="L84" s="402"/>
      <c r="M84" s="402"/>
      <c r="N84" s="525"/>
    </row>
    <row r="85" spans="1:14" s="76" customFormat="1" ht="20.25" x14ac:dyDescent="0.2">
      <c r="A85" s="79"/>
      <c r="B85" s="79"/>
      <c r="C85" s="79"/>
      <c r="D85" s="79"/>
      <c r="E85" s="79"/>
      <c r="F85" s="79"/>
      <c r="G85" s="232"/>
      <c r="H85" s="232"/>
      <c r="I85" s="232"/>
      <c r="J85" s="232"/>
      <c r="K85" s="363"/>
      <c r="L85" s="402"/>
      <c r="M85" s="402"/>
      <c r="N85" s="525"/>
    </row>
    <row r="86" spans="1:14" s="76" customFormat="1" ht="20.25" x14ac:dyDescent="0.2">
      <c r="A86" s="79"/>
      <c r="B86" s="79"/>
      <c r="C86" s="79"/>
      <c r="D86" s="79"/>
      <c r="E86" s="79"/>
      <c r="F86" s="79"/>
      <c r="G86" s="232"/>
      <c r="H86" s="232"/>
      <c r="I86" s="232"/>
      <c r="J86" s="232"/>
      <c r="K86" s="363"/>
      <c r="L86" s="402"/>
      <c r="M86" s="402"/>
      <c r="N86" s="525"/>
    </row>
    <row r="87" spans="1:14" s="76" customFormat="1" ht="20.25" x14ac:dyDescent="0.2">
      <c r="A87" s="79"/>
      <c r="B87" s="79"/>
      <c r="C87" s="79"/>
      <c r="D87" s="79"/>
      <c r="E87" s="79"/>
      <c r="F87" s="79"/>
      <c r="G87" s="232"/>
      <c r="H87" s="232"/>
      <c r="I87" s="232"/>
      <c r="J87" s="232"/>
      <c r="K87" s="363"/>
      <c r="L87" s="402"/>
      <c r="M87" s="402"/>
      <c r="N87" s="525"/>
    </row>
    <row r="88" spans="1:14" s="76" customFormat="1" ht="20.25" x14ac:dyDescent="0.2">
      <c r="A88" s="79"/>
      <c r="B88" s="79"/>
      <c r="C88" s="79"/>
      <c r="D88" s="79"/>
      <c r="E88" s="79"/>
      <c r="F88" s="79"/>
      <c r="G88" s="232"/>
      <c r="H88" s="232"/>
      <c r="I88" s="232"/>
      <c r="J88" s="232"/>
      <c r="K88" s="363"/>
      <c r="L88" s="402"/>
      <c r="M88" s="402"/>
      <c r="N88" s="525"/>
    </row>
    <row r="89" spans="1:14" s="76" customFormat="1" ht="20.25" x14ac:dyDescent="0.2">
      <c r="A89" s="79"/>
      <c r="B89" s="79"/>
      <c r="C89" s="67"/>
      <c r="D89" s="79"/>
      <c r="F89" s="79"/>
      <c r="G89" s="232"/>
      <c r="H89" s="232"/>
      <c r="I89" s="232"/>
      <c r="J89" s="232"/>
      <c r="K89" s="363"/>
      <c r="L89" s="402"/>
      <c r="M89" s="402"/>
      <c r="N89" s="525"/>
    </row>
    <row r="90" spans="1:14" s="76" customFormat="1" ht="20.25" x14ac:dyDescent="0.2">
      <c r="A90" s="79"/>
      <c r="B90" s="79"/>
      <c r="C90" s="79"/>
      <c r="D90" s="79"/>
      <c r="E90" s="79"/>
      <c r="F90" s="79"/>
      <c r="G90" s="232"/>
      <c r="H90" s="232"/>
      <c r="I90" s="232"/>
      <c r="J90" s="232"/>
      <c r="K90" s="363"/>
      <c r="L90" s="402"/>
      <c r="M90" s="402"/>
      <c r="N90" s="525"/>
    </row>
    <row r="91" spans="1:14" s="68" customFormat="1" ht="20.25" x14ac:dyDescent="0.2">
      <c r="A91" s="67"/>
      <c r="B91" s="67"/>
      <c r="C91" s="67"/>
      <c r="D91" s="67"/>
      <c r="E91" s="67"/>
      <c r="F91" s="67"/>
      <c r="G91" s="237"/>
      <c r="H91" s="237"/>
      <c r="I91" s="237"/>
      <c r="J91" s="237"/>
      <c r="K91" s="361"/>
      <c r="N91" s="525"/>
    </row>
    <row r="92" spans="1:14" s="68" customFormat="1" ht="20.25" x14ac:dyDescent="0.2">
      <c r="A92" s="67"/>
      <c r="B92" s="67"/>
      <c r="C92" s="67"/>
      <c r="D92" s="67"/>
      <c r="E92" s="67"/>
      <c r="F92" s="67"/>
      <c r="G92" s="237"/>
      <c r="H92" s="237"/>
      <c r="I92" s="237"/>
      <c r="J92" s="237"/>
      <c r="K92" s="361"/>
      <c r="N92" s="525"/>
    </row>
    <row r="93" spans="1:14" s="68" customFormat="1" ht="23.25" x14ac:dyDescent="0.2">
      <c r="A93" s="67"/>
      <c r="B93" s="271"/>
      <c r="C93" s="67"/>
      <c r="D93" s="67"/>
      <c r="E93" s="67"/>
      <c r="F93" s="67"/>
      <c r="G93" s="232"/>
      <c r="H93" s="232"/>
      <c r="I93" s="232"/>
      <c r="J93" s="232"/>
      <c r="K93" s="361"/>
      <c r="N93" s="525"/>
    </row>
    <row r="94" spans="1:14" s="76" customFormat="1" ht="20.25" x14ac:dyDescent="0.2">
      <c r="A94" s="79"/>
      <c r="B94" s="79"/>
      <c r="D94" s="79"/>
      <c r="E94" s="79"/>
      <c r="F94" s="79"/>
      <c r="G94" s="232"/>
      <c r="H94" s="232"/>
      <c r="I94" s="232"/>
      <c r="J94" s="232"/>
      <c r="K94" s="363"/>
      <c r="N94" s="525"/>
    </row>
    <row r="95" spans="1:14" s="76" customFormat="1" ht="20.25" x14ac:dyDescent="0.2">
      <c r="A95" s="79"/>
      <c r="B95" s="79"/>
      <c r="D95" s="79"/>
      <c r="E95" s="79"/>
      <c r="F95" s="79"/>
      <c r="G95" s="232"/>
      <c r="H95" s="232"/>
      <c r="I95" s="232"/>
      <c r="J95" s="232"/>
      <c r="K95" s="363"/>
      <c r="N95" s="525"/>
    </row>
    <row r="96" spans="1:14" s="68" customFormat="1" ht="20.25" x14ac:dyDescent="0.2">
      <c r="A96" s="67"/>
      <c r="B96" s="67"/>
      <c r="D96" s="79"/>
      <c r="E96" s="67"/>
      <c r="F96" s="67"/>
      <c r="G96" s="232"/>
      <c r="H96" s="232"/>
      <c r="I96" s="232"/>
      <c r="J96" s="232"/>
      <c r="K96" s="361"/>
      <c r="N96" s="525"/>
    </row>
    <row r="97" spans="1:14" s="68" customFormat="1" ht="23.25" x14ac:dyDescent="0.2">
      <c r="A97" s="67"/>
      <c r="B97" s="271"/>
      <c r="C97" s="67"/>
      <c r="D97" s="67"/>
      <c r="E97" s="67"/>
      <c r="F97" s="67"/>
      <c r="G97" s="237"/>
      <c r="H97" s="237"/>
      <c r="I97" s="237"/>
      <c r="J97" s="237"/>
      <c r="K97" s="361"/>
      <c r="N97" s="525"/>
    </row>
    <row r="98" spans="1:14" s="68" customFormat="1" ht="20.25" x14ac:dyDescent="0.2">
      <c r="A98" s="67"/>
      <c r="B98" s="67"/>
      <c r="C98" s="67"/>
      <c r="D98" s="67"/>
      <c r="E98" s="67"/>
      <c r="F98" s="67"/>
      <c r="G98" s="232"/>
      <c r="H98" s="232"/>
      <c r="I98" s="232"/>
      <c r="J98" s="232"/>
      <c r="K98" s="361"/>
      <c r="N98" s="525"/>
    </row>
    <row r="99" spans="1:14" s="82" customFormat="1" ht="26.25" x14ac:dyDescent="0.2">
      <c r="A99" s="268"/>
      <c r="B99" s="268"/>
      <c r="C99" s="268"/>
      <c r="D99" s="268"/>
      <c r="E99" s="268"/>
      <c r="F99" s="268"/>
      <c r="G99" s="269"/>
      <c r="H99" s="237"/>
      <c r="I99" s="237"/>
      <c r="J99" s="237"/>
      <c r="K99" s="364"/>
      <c r="N99" s="529"/>
    </row>
    <row r="100" spans="1:14" s="18" customFormat="1" ht="20.25" x14ac:dyDescent="0.3">
      <c r="A100" s="122"/>
      <c r="B100" s="122"/>
      <c r="C100" s="122"/>
      <c r="D100" s="122"/>
      <c r="E100" s="122"/>
      <c r="F100" s="122"/>
      <c r="G100" s="272"/>
      <c r="H100" s="277"/>
      <c r="I100" s="277"/>
      <c r="J100" s="277"/>
      <c r="K100" s="366"/>
      <c r="N100" s="530"/>
    </row>
    <row r="101" spans="1:14" ht="20.25" x14ac:dyDescent="0.3">
      <c r="H101" s="277"/>
      <c r="I101" s="277"/>
      <c r="J101" s="277"/>
    </row>
    <row r="102" spans="1:14" ht="20.25" x14ac:dyDescent="0.3">
      <c r="H102" s="277"/>
      <c r="I102" s="277"/>
      <c r="J102" s="277"/>
    </row>
    <row r="103" spans="1:14" ht="20.25" x14ac:dyDescent="0.3">
      <c r="H103" s="274"/>
      <c r="I103" s="274"/>
      <c r="J103" s="274"/>
    </row>
  </sheetData>
  <mergeCells count="3">
    <mergeCell ref="L8:M8"/>
    <mergeCell ref="G6:J6"/>
    <mergeCell ref="C43:F43"/>
  </mergeCells>
  <pageMargins left="0.65" right="0.15" top="0.25" bottom="0.25" header="0.3" footer="0.3"/>
  <pageSetup scale="4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5"/>
  <sheetViews>
    <sheetView topLeftCell="A37" zoomScale="75" zoomScaleNormal="75" workbookViewId="0">
      <selection activeCell="A64" sqref="A64:XFD6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'June''23 State of Activities'!A3</f>
        <v>Six Months Ended June 30, 2023 and 2022</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'June''23 State of Activities'!A4</f>
        <v>For the Years Ended December 31, 2022</v>
      </c>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62"/>
      <c r="H6" s="240" t="s">
        <v>49</v>
      </c>
      <c r="I6" s="240"/>
      <c r="J6" s="985" t="s">
        <v>49</v>
      </c>
      <c r="K6" s="985"/>
      <c r="L6" s="985"/>
      <c r="M6" s="985"/>
      <c r="N6" s="65"/>
      <c r="O6" s="415" t="s">
        <v>181</v>
      </c>
      <c r="P6" s="412"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67">
        <f>'June''23 State of Activities'!G8</f>
        <v>45107</v>
      </c>
      <c r="K8" s="668">
        <v>44926</v>
      </c>
      <c r="L8" s="669"/>
      <c r="M8" s="668">
        <f>'June''23 State of Activities'!J8</f>
        <v>44742</v>
      </c>
      <c r="N8" s="71"/>
      <c r="O8" s="1051" t="s">
        <v>591</v>
      </c>
      <c r="P8" s="105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150</v>
      </c>
      <c r="D9" s="420"/>
      <c r="E9" s="420"/>
      <c r="F9" s="73"/>
      <c r="G9" s="264">
        <v>127719</v>
      </c>
      <c r="H9" s="264">
        <v>67566.5</v>
      </c>
      <c r="I9" s="322"/>
      <c r="J9" s="326">
        <f>'June''23 State of Activities'!G10</f>
        <v>64292.55</v>
      </c>
      <c r="K9" s="326">
        <f>'June''23 State of Activities'!H10</f>
        <v>84477.91</v>
      </c>
      <c r="L9" s="326"/>
      <c r="M9" s="326">
        <f>'June''23 State of Activities'!J10</f>
        <v>42103.25</v>
      </c>
      <c r="N9" s="68"/>
      <c r="O9" s="378">
        <f>J9-M9</f>
        <v>22189.300000000003</v>
      </c>
      <c r="P9" s="413">
        <f>O9/K9</f>
        <v>0.26266393190835335</v>
      </c>
      <c r="Q9" s="68"/>
      <c r="R9" s="38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214</v>
      </c>
      <c r="D10" s="420"/>
      <c r="E10" s="420"/>
      <c r="F10" s="73"/>
      <c r="G10" s="263">
        <v>875436</v>
      </c>
      <c r="H10" s="263">
        <v>372424.1</v>
      </c>
      <c r="I10" s="326"/>
      <c r="J10" s="322">
        <v>2148</v>
      </c>
      <c r="K10" s="322">
        <v>13805.8</v>
      </c>
      <c r="L10" s="326"/>
      <c r="M10" s="322">
        <v>4415</v>
      </c>
      <c r="N10" s="68"/>
      <c r="O10" s="506">
        <f>J10-M10</f>
        <v>-2267</v>
      </c>
      <c r="P10" s="413">
        <f>O10/K10</f>
        <v>-0.16420634805661388</v>
      </c>
      <c r="Q10" s="68"/>
      <c r="R10" s="38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389</v>
      </c>
      <c r="D11" s="420"/>
      <c r="E11" s="420"/>
      <c r="F11" s="73"/>
      <c r="G11" s="263"/>
      <c r="H11" s="263"/>
      <c r="I11" s="326"/>
      <c r="J11" s="322">
        <v>0</v>
      </c>
      <c r="K11" s="322">
        <v>32978</v>
      </c>
      <c r="L11" s="326"/>
      <c r="M11" s="322">
        <v>29668</v>
      </c>
      <c r="N11" s="68"/>
      <c r="O11" s="506">
        <f>J11-M11</f>
        <v>-29668</v>
      </c>
      <c r="P11" s="413"/>
      <c r="Q11" s="68"/>
      <c r="R11" s="38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0" t="s">
        <v>102</v>
      </c>
      <c r="D12" s="420"/>
      <c r="E12" s="420"/>
      <c r="F12" s="73"/>
      <c r="G12" s="264"/>
      <c r="H12" s="264"/>
      <c r="I12" s="322"/>
      <c r="J12" s="322"/>
      <c r="K12" s="322"/>
      <c r="L12" s="322"/>
      <c r="M12" s="322"/>
      <c r="N12" s="68"/>
      <c r="O12" s="506"/>
      <c r="P12" s="424"/>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215</v>
      </c>
      <c r="E13" s="420"/>
      <c r="F13" s="73"/>
      <c r="G13" s="264">
        <v>94235.25</v>
      </c>
      <c r="H13" s="264">
        <v>37190.379999999997</v>
      </c>
      <c r="I13" s="322"/>
      <c r="J13" s="322">
        <f>'June''23 Revenues &amp; Expenses'!I23</f>
        <v>23750</v>
      </c>
      <c r="K13" s="322">
        <v>46000</v>
      </c>
      <c r="L13" s="322"/>
      <c r="M13" s="322">
        <v>22999.98</v>
      </c>
      <c r="N13" s="68"/>
      <c r="O13" s="506">
        <f t="shared" ref="O13:O28" si="0">J13-M13</f>
        <v>750.02000000000044</v>
      </c>
      <c r="P13" s="436">
        <f>O13/K13</f>
        <v>1.630478260869566E-2</v>
      </c>
      <c r="Q13" s="68"/>
      <c r="R13" s="844"/>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0" t="s">
        <v>159</v>
      </c>
      <c r="E14" s="420"/>
      <c r="F14" s="73"/>
      <c r="G14" s="264"/>
      <c r="H14" s="264"/>
      <c r="I14" s="322"/>
      <c r="J14" s="322">
        <f>'June''23 Revenues &amp; Expenses'!I32</f>
        <v>9000</v>
      </c>
      <c r="K14" s="322">
        <v>18000</v>
      </c>
      <c r="L14" s="322"/>
      <c r="M14" s="322">
        <f>'June''23 State of Activities'!J16</f>
        <v>9000</v>
      </c>
      <c r="N14" s="68"/>
      <c r="O14" s="506">
        <f t="shared" si="0"/>
        <v>0</v>
      </c>
      <c r="P14" s="436">
        <f>O14/K14</f>
        <v>0</v>
      </c>
      <c r="Q14" s="68"/>
      <c r="R14" s="68"/>
      <c r="S14" s="387"/>
      <c r="T14" s="470"/>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103</v>
      </c>
      <c r="D15" s="420"/>
      <c r="E15" s="420"/>
      <c r="F15" s="73"/>
      <c r="G15" s="264">
        <v>0</v>
      </c>
      <c r="H15" s="264">
        <v>3517</v>
      </c>
      <c r="I15" s="322"/>
      <c r="J15" s="322">
        <f>'June''23 State of Activities'!G18</f>
        <v>13087.07</v>
      </c>
      <c r="K15" s="322">
        <v>17485.37</v>
      </c>
      <c r="L15" s="322"/>
      <c r="M15" s="322">
        <f>'June''23 State of Activities'!J18</f>
        <v>7735.85</v>
      </c>
      <c r="N15" s="68"/>
      <c r="O15" s="506">
        <f t="shared" si="0"/>
        <v>5351.2199999999993</v>
      </c>
      <c r="P15" s="436">
        <f>O15/K15</f>
        <v>0.3060398493140265</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216</v>
      </c>
      <c r="D16" s="420"/>
      <c r="E16" s="420"/>
      <c r="F16" s="73"/>
      <c r="G16" s="264">
        <v>31459</v>
      </c>
      <c r="H16" s="264">
        <v>13920.35</v>
      </c>
      <c r="I16" s="322"/>
      <c r="J16" s="322">
        <f>'June''23 Revenues &amp; Expenses'!H48</f>
        <v>13472.43</v>
      </c>
      <c r="K16" s="322">
        <v>27500</v>
      </c>
      <c r="L16" s="322"/>
      <c r="M16" s="322">
        <v>12327</v>
      </c>
      <c r="N16" s="68"/>
      <c r="O16" s="506">
        <f t="shared" si="0"/>
        <v>1145.4300000000003</v>
      </c>
      <c r="P16" s="436">
        <f>O16/K16</f>
        <v>4.1652000000000008E-2</v>
      </c>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379</v>
      </c>
      <c r="D17" s="420"/>
      <c r="E17" s="420"/>
      <c r="F17" s="73"/>
      <c r="G17" s="264"/>
      <c r="H17" s="264"/>
      <c r="I17" s="322"/>
      <c r="J17" s="322">
        <v>11255.53</v>
      </c>
      <c r="K17" s="322">
        <v>3339.95</v>
      </c>
      <c r="L17" s="322"/>
      <c r="M17" s="322">
        <v>3402</v>
      </c>
      <c r="N17" s="68"/>
      <c r="O17" s="506">
        <f t="shared" si="0"/>
        <v>7853.5300000000007</v>
      </c>
      <c r="P17" s="413">
        <f>O17/K17</f>
        <v>2.3513914878965259</v>
      </c>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0" t="s">
        <v>391</v>
      </c>
      <c r="D18" s="420"/>
      <c r="E18" s="420"/>
      <c r="F18" s="73"/>
      <c r="G18" s="264"/>
      <c r="H18" s="264"/>
      <c r="I18" s="322"/>
      <c r="J18" s="322">
        <f>4166.67*6</f>
        <v>25000.02</v>
      </c>
      <c r="K18" s="322">
        <v>0</v>
      </c>
      <c r="L18" s="322"/>
      <c r="M18" s="322">
        <v>0</v>
      </c>
      <c r="N18" s="68"/>
      <c r="O18" s="506">
        <f t="shared" si="0"/>
        <v>25000.02</v>
      </c>
      <c r="P18" s="413"/>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0" t="s">
        <v>631</v>
      </c>
      <c r="D19" s="420"/>
      <c r="E19" s="420"/>
      <c r="F19" s="73"/>
      <c r="G19" s="264"/>
      <c r="H19" s="264"/>
      <c r="I19" s="322"/>
      <c r="J19" s="322">
        <f>7142.85*1</f>
        <v>7142.85</v>
      </c>
      <c r="K19" s="322">
        <v>0</v>
      </c>
      <c r="L19" s="322"/>
      <c r="M19" s="322"/>
      <c r="N19" s="68"/>
      <c r="O19" s="506">
        <f t="shared" si="0"/>
        <v>7142.85</v>
      </c>
      <c r="P19" s="436"/>
      <c r="Q19" s="68"/>
      <c r="R19" s="68"/>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hidden="1" x14ac:dyDescent="0.2">
      <c r="A20" s="73"/>
      <c r="B20" s="73"/>
      <c r="C20" s="420" t="s">
        <v>409</v>
      </c>
      <c r="D20" s="420"/>
      <c r="E20" s="420"/>
      <c r="F20" s="73"/>
      <c r="G20" s="264"/>
      <c r="H20" s="264"/>
      <c r="I20" s="322"/>
      <c r="J20" s="322">
        <v>0</v>
      </c>
      <c r="K20" s="322">
        <v>0</v>
      </c>
      <c r="L20" s="322"/>
      <c r="M20" s="322"/>
      <c r="N20" s="68"/>
      <c r="O20" s="506">
        <f t="shared" si="0"/>
        <v>0</v>
      </c>
      <c r="P20" s="436"/>
      <c r="Q20" s="68"/>
      <c r="R20" s="68"/>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x14ac:dyDescent="0.2">
      <c r="A21" s="73"/>
      <c r="B21" s="73"/>
      <c r="C21" s="420" t="s">
        <v>335</v>
      </c>
      <c r="D21" s="420"/>
      <c r="E21" s="420"/>
      <c r="F21" s="73"/>
      <c r="G21" s="264"/>
      <c r="H21" s="264"/>
      <c r="I21" s="322"/>
      <c r="J21" s="322">
        <v>90</v>
      </c>
      <c r="K21" s="322"/>
      <c r="L21" s="322"/>
      <c r="M21" s="322"/>
      <c r="N21" s="68"/>
      <c r="O21" s="506">
        <f t="shared" si="0"/>
        <v>90</v>
      </c>
      <c r="P21" s="436"/>
      <c r="Q21" s="68"/>
      <c r="R21" s="68"/>
      <c r="S21" s="387"/>
      <c r="T21" s="470"/>
      <c r="U21" s="361"/>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customHeight="1" x14ac:dyDescent="0.2">
      <c r="A22" s="73"/>
      <c r="B22" s="73"/>
      <c r="C22" s="1050" t="s">
        <v>632</v>
      </c>
      <c r="D22" s="1050"/>
      <c r="E22" s="1050"/>
      <c r="F22" s="1050"/>
      <c r="G22" s="264"/>
      <c r="H22" s="264"/>
      <c r="I22" s="322"/>
      <c r="J22" s="322">
        <v>529.88</v>
      </c>
      <c r="K22" s="322">
        <v>0</v>
      </c>
      <c r="L22" s="322"/>
      <c r="M22" s="322">
        <f>K22</f>
        <v>0</v>
      </c>
      <c r="N22" s="68"/>
      <c r="O22" s="506">
        <f t="shared" si="0"/>
        <v>529.88</v>
      </c>
      <c r="P22" s="436"/>
      <c r="Q22" s="68"/>
      <c r="R22" s="68"/>
      <c r="S22" s="387"/>
      <c r="T22" s="470"/>
      <c r="U22" s="361"/>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x14ac:dyDescent="0.2">
      <c r="A23" s="73"/>
      <c r="B23" s="73"/>
      <c r="C23" s="420" t="s">
        <v>344</v>
      </c>
      <c r="D23" s="420"/>
      <c r="E23" s="420"/>
      <c r="F23" s="73"/>
      <c r="G23" s="264">
        <v>1125</v>
      </c>
      <c r="H23" s="264">
        <v>6050</v>
      </c>
      <c r="I23" s="322"/>
      <c r="J23" s="322">
        <v>0</v>
      </c>
      <c r="K23" s="322">
        <v>0</v>
      </c>
      <c r="L23" s="322"/>
      <c r="M23" s="322">
        <v>0</v>
      </c>
      <c r="N23" s="68"/>
      <c r="O23" s="506">
        <f t="shared" si="0"/>
        <v>0</v>
      </c>
      <c r="P23" s="436"/>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420" t="s">
        <v>217</v>
      </c>
      <c r="D24" s="420"/>
      <c r="E24" s="420"/>
      <c r="F24" s="73"/>
      <c r="G24" s="265">
        <v>31250</v>
      </c>
      <c r="H24" s="265">
        <v>15624.98</v>
      </c>
      <c r="I24" s="322"/>
      <c r="J24" s="265">
        <f>'June''23 State of Activities'!G25*0.2</f>
        <v>5274</v>
      </c>
      <c r="K24" s="265">
        <f>'[3]December''21 State of Activities'!H26*0.2</f>
        <v>10548</v>
      </c>
      <c r="L24" s="322"/>
      <c r="M24" s="265">
        <f>'June''23 State of Activities'!J25*0.2</f>
        <v>5274</v>
      </c>
      <c r="N24" s="68"/>
      <c r="O24" s="377">
        <f t="shared" si="0"/>
        <v>0</v>
      </c>
      <c r="P24" s="414">
        <v>0</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0"/>
      <c r="D25" s="73" t="s">
        <v>105</v>
      </c>
      <c r="E25" s="420"/>
      <c r="F25" s="73"/>
      <c r="G25" s="234">
        <v>1161224.25</v>
      </c>
      <c r="H25" s="234">
        <v>516293.30999999994</v>
      </c>
      <c r="I25" s="232"/>
      <c r="J25" s="264">
        <f>SUM(J9:J24)</f>
        <v>175042.33</v>
      </c>
      <c r="K25" s="264">
        <f>SUM(K9:K24)</f>
        <v>254135.03000000003</v>
      </c>
      <c r="L25" s="322"/>
      <c r="M25" s="264">
        <f>SUM(M9:M24)</f>
        <v>136925.08000000002</v>
      </c>
      <c r="N25" s="68"/>
      <c r="O25" s="275">
        <f t="shared" si="0"/>
        <v>38117.249999999971</v>
      </c>
      <c r="P25" s="436">
        <f>O25/K25</f>
        <v>0.14998817754482713</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1" thickBot="1" x14ac:dyDescent="0.25">
      <c r="A26" s="73"/>
      <c r="B26" s="73"/>
      <c r="C26" s="73" t="s">
        <v>218</v>
      </c>
      <c r="D26" s="420"/>
      <c r="E26" s="420"/>
      <c r="F26" s="73"/>
      <c r="G26" s="241">
        <v>150176</v>
      </c>
      <c r="H26" s="241">
        <v>47700.27</v>
      </c>
      <c r="I26" s="232"/>
      <c r="J26" s="322">
        <f>21000/12*6</f>
        <v>10500</v>
      </c>
      <c r="K26" s="322">
        <v>20000</v>
      </c>
      <c r="L26" s="322"/>
      <c r="M26" s="322">
        <v>10000</v>
      </c>
      <c r="N26" s="68"/>
      <c r="O26" s="506">
        <f t="shared" si="0"/>
        <v>500</v>
      </c>
      <c r="P26" s="413">
        <f>O26/K26</f>
        <v>2.5000000000000001E-2</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219</v>
      </c>
      <c r="D27" s="420"/>
      <c r="E27" s="420"/>
      <c r="F27" s="73"/>
      <c r="G27" s="232"/>
      <c r="H27" s="232"/>
      <c r="I27" s="232"/>
      <c r="J27" s="265">
        <v>15097.54</v>
      </c>
      <c r="K27" s="265">
        <v>43041.19</v>
      </c>
      <c r="L27" s="322"/>
      <c r="M27" s="265">
        <v>22865</v>
      </c>
      <c r="N27" s="68"/>
      <c r="O27" s="377">
        <f t="shared" si="0"/>
        <v>-7767.4599999999991</v>
      </c>
      <c r="P27" s="463">
        <f>O27/K27</f>
        <v>-0.18046573526428983</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0.25" x14ac:dyDescent="0.2">
      <c r="A28" s="73"/>
      <c r="B28" s="73"/>
      <c r="C28" s="420"/>
      <c r="D28" s="73" t="s">
        <v>107</v>
      </c>
      <c r="E28" s="420"/>
      <c r="F28" s="73"/>
      <c r="G28" s="234">
        <v>1311400.25</v>
      </c>
      <c r="H28" s="234">
        <v>563993.57999999996</v>
      </c>
      <c r="I28" s="232"/>
      <c r="J28" s="264">
        <f>SUM(J25:J27)</f>
        <v>200639.87</v>
      </c>
      <c r="K28" s="264">
        <f>SUM(K25:K27)</f>
        <v>317176.22000000003</v>
      </c>
      <c r="L28" s="322"/>
      <c r="M28" s="264">
        <f>SUM(M25:M27)</f>
        <v>169790.08000000002</v>
      </c>
      <c r="N28" s="68"/>
      <c r="O28" s="275">
        <f t="shared" si="0"/>
        <v>30849.789999999979</v>
      </c>
      <c r="P28" s="436">
        <f>O28/K28</f>
        <v>9.7263880627620744E-2</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0"/>
      <c r="D29" s="73"/>
      <c r="E29" s="420"/>
      <c r="F29" s="73"/>
      <c r="G29" s="234"/>
      <c r="H29" s="234"/>
      <c r="I29" s="232"/>
      <c r="J29" s="322"/>
      <c r="K29" s="591"/>
      <c r="L29" s="322"/>
      <c r="M29" s="322"/>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1" thickBot="1" x14ac:dyDescent="0.25">
      <c r="A30" s="73"/>
      <c r="B30" s="87" t="s">
        <v>111</v>
      </c>
      <c r="C30" s="87"/>
      <c r="D30" s="87"/>
      <c r="E30" s="87"/>
      <c r="F30" s="87"/>
      <c r="G30" s="241"/>
      <c r="H30" s="68"/>
      <c r="I30" s="68"/>
      <c r="J30" s="322"/>
      <c r="K30" s="368"/>
      <c r="L30" s="368"/>
      <c r="M30" s="3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68" customFormat="1" ht="20.25" x14ac:dyDescent="0.2">
      <c r="A31" s="67"/>
      <c r="B31" s="67"/>
      <c r="C31" s="79" t="s">
        <v>220</v>
      </c>
      <c r="D31" s="79"/>
      <c r="E31" s="79"/>
      <c r="F31" s="79"/>
      <c r="G31" s="232">
        <v>733747.79999999993</v>
      </c>
      <c r="H31" s="275">
        <v>361976</v>
      </c>
      <c r="I31" s="275"/>
      <c r="J31" s="322"/>
      <c r="K31" s="399"/>
      <c r="L31" s="399"/>
      <c r="M31" s="399"/>
    </row>
    <row r="32" spans="1:61" s="68" customFormat="1" ht="20.25" x14ac:dyDescent="0.2">
      <c r="A32" s="67"/>
      <c r="B32" s="67"/>
      <c r="C32" s="79"/>
      <c r="D32" s="987" t="s">
        <v>221</v>
      </c>
      <c r="E32" s="987"/>
      <c r="F32" s="987"/>
      <c r="G32" s="232"/>
      <c r="H32" s="275"/>
      <c r="I32" s="275"/>
      <c r="J32" s="322">
        <v>116661.22</v>
      </c>
      <c r="K32" s="322">
        <v>205058.36</v>
      </c>
      <c r="L32" s="399"/>
      <c r="M32" s="322">
        <v>98590.58</v>
      </c>
      <c r="N32" s="368"/>
      <c r="O32" s="399">
        <f>J32-M32</f>
        <v>18070.64</v>
      </c>
      <c r="P32" s="436">
        <f>O32/K32</f>
        <v>8.812437590937526E-2</v>
      </c>
    </row>
    <row r="33" spans="1:18" s="68" customFormat="1" ht="20.25" x14ac:dyDescent="0.2">
      <c r="A33" s="67"/>
      <c r="B33" s="67"/>
      <c r="C33" s="79"/>
      <c r="D33" s="987" t="s">
        <v>222</v>
      </c>
      <c r="E33" s="987"/>
      <c r="F33" s="987"/>
      <c r="G33" s="232"/>
      <c r="H33" s="275"/>
      <c r="I33" s="275"/>
      <c r="J33" s="322">
        <f>24422.9+14066.9</f>
        <v>38489.800000000003</v>
      </c>
      <c r="K33" s="322">
        <v>78235.89</v>
      </c>
      <c r="L33" s="399"/>
      <c r="M33" s="322">
        <f>24713.55+13854.83</f>
        <v>38568.379999999997</v>
      </c>
      <c r="N33" s="368"/>
      <c r="O33" s="399">
        <f>J33-M33</f>
        <v>-78.57999999999447</v>
      </c>
      <c r="P33" s="436">
        <f>O33/K33</f>
        <v>-1.0043983649958412E-3</v>
      </c>
      <c r="R33" s="262"/>
    </row>
    <row r="34" spans="1:18" s="68" customFormat="1" ht="20.25" x14ac:dyDescent="0.2">
      <c r="A34" s="67"/>
      <c r="B34" s="67"/>
      <c r="C34" s="79"/>
      <c r="D34" s="987" t="s">
        <v>113</v>
      </c>
      <c r="E34" s="987"/>
      <c r="F34" s="987"/>
      <c r="G34" s="232"/>
      <c r="H34" s="275"/>
      <c r="I34" s="275"/>
      <c r="J34" s="322">
        <f>J32*0.213+J33*0.14</f>
        <v>30237.41186</v>
      </c>
      <c r="K34" s="322">
        <f>K32*0.213+K33*0.14</f>
        <v>54630.455279999995</v>
      </c>
      <c r="L34" s="399"/>
      <c r="M34" s="322">
        <f>M32*0.213+M33*0.14</f>
        <v>26399.366739999998</v>
      </c>
      <c r="N34" s="368"/>
      <c r="O34" s="399">
        <f>J34-M34</f>
        <v>3838.0451200000025</v>
      </c>
      <c r="P34" s="436">
        <f>O34/K34</f>
        <v>7.0254679378538812E-2</v>
      </c>
    </row>
    <row r="35" spans="1:18" s="68" customFormat="1" ht="20.25" x14ac:dyDescent="0.2">
      <c r="A35" s="67"/>
      <c r="B35" s="67"/>
      <c r="C35" s="79" t="s">
        <v>278</v>
      </c>
      <c r="D35" s="79"/>
      <c r="E35" s="79"/>
      <c r="F35" s="79"/>
      <c r="G35" s="232">
        <v>44745.18</v>
      </c>
      <c r="H35" s="232">
        <v>20974.21</v>
      </c>
      <c r="I35" s="232"/>
      <c r="J35" s="766"/>
      <c r="K35" s="766"/>
      <c r="L35" s="766"/>
      <c r="M35" s="766"/>
      <c r="N35" s="368"/>
      <c r="O35" s="823"/>
      <c r="P35" s="436"/>
    </row>
    <row r="36" spans="1:18" s="68" customFormat="1" ht="20.25" x14ac:dyDescent="0.2">
      <c r="A36" s="67"/>
      <c r="B36" s="67"/>
      <c r="C36" s="79"/>
      <c r="D36" s="987" t="s">
        <v>223</v>
      </c>
      <c r="E36" s="987"/>
      <c r="F36" s="987"/>
      <c r="G36" s="232"/>
      <c r="H36" s="232"/>
      <c r="I36" s="232"/>
      <c r="J36" s="322">
        <v>16535.79</v>
      </c>
      <c r="K36" s="322">
        <v>37936.65</v>
      </c>
      <c r="L36" s="322"/>
      <c r="M36" s="322">
        <v>18873.53</v>
      </c>
      <c r="N36" s="368"/>
      <c r="O36" s="399">
        <f t="shared" ref="O36:O54" si="1">J36-M36</f>
        <v>-2337.739999999998</v>
      </c>
      <c r="P36" s="436">
        <f t="shared" ref="P36:P43" si="2">O36/K36</f>
        <v>-6.1622204385468879E-2</v>
      </c>
    </row>
    <row r="37" spans="1:18" s="68" customFormat="1" ht="20.25" x14ac:dyDescent="0.2">
      <c r="A37" s="67"/>
      <c r="B37" s="67"/>
      <c r="C37" s="79"/>
      <c r="D37" s="987" t="s">
        <v>224</v>
      </c>
      <c r="E37" s="987"/>
      <c r="F37" s="987"/>
      <c r="G37" s="232"/>
      <c r="H37" s="232"/>
      <c r="I37" s="232"/>
      <c r="J37" s="322">
        <v>7701.43</v>
      </c>
      <c r="K37" s="322">
        <v>25355.23</v>
      </c>
      <c r="L37" s="322"/>
      <c r="M37" s="322">
        <v>11980.89</v>
      </c>
      <c r="N37" s="368"/>
      <c r="O37" s="399">
        <f t="shared" si="1"/>
        <v>-4279.4599999999991</v>
      </c>
      <c r="P37" s="436">
        <f t="shared" si="2"/>
        <v>-0.16878016882512994</v>
      </c>
    </row>
    <row r="38" spans="1:18" s="68" customFormat="1" ht="20.25" x14ac:dyDescent="0.2">
      <c r="A38" s="67"/>
      <c r="B38" s="67"/>
      <c r="C38" s="79"/>
      <c r="D38" s="987" t="s">
        <v>304</v>
      </c>
      <c r="E38" s="987"/>
      <c r="F38" s="987"/>
      <c r="G38" s="232"/>
      <c r="H38" s="232"/>
      <c r="I38" s="232"/>
      <c r="J38" s="322">
        <v>7462.62</v>
      </c>
      <c r="K38" s="322">
        <v>10951.57</v>
      </c>
      <c r="L38" s="322"/>
      <c r="M38" s="322">
        <v>5226.5600000000004</v>
      </c>
      <c r="N38" s="368"/>
      <c r="O38" s="399">
        <f t="shared" si="1"/>
        <v>2236.0599999999995</v>
      </c>
      <c r="P38" s="436">
        <f t="shared" si="2"/>
        <v>0.20417711798399676</v>
      </c>
    </row>
    <row r="39" spans="1:18" s="68" customFormat="1" ht="20.25" x14ac:dyDescent="0.2">
      <c r="A39" s="67"/>
      <c r="B39" s="67"/>
      <c r="C39" s="79"/>
      <c r="D39" s="987" t="s">
        <v>225</v>
      </c>
      <c r="E39" s="987"/>
      <c r="F39" s="987"/>
      <c r="G39" s="232"/>
      <c r="H39" s="232"/>
      <c r="I39" s="232"/>
      <c r="J39" s="322">
        <v>557.5</v>
      </c>
      <c r="K39" s="322">
        <v>744</v>
      </c>
      <c r="L39" s="322"/>
      <c r="M39" s="322">
        <v>204</v>
      </c>
      <c r="N39" s="368"/>
      <c r="O39" s="399">
        <f t="shared" si="1"/>
        <v>353.5</v>
      </c>
      <c r="P39" s="436">
        <f t="shared" si="2"/>
        <v>0.47513440860215056</v>
      </c>
    </row>
    <row r="40" spans="1:18" s="68" customFormat="1" ht="20.25" x14ac:dyDescent="0.2">
      <c r="A40" s="67"/>
      <c r="B40" s="67"/>
      <c r="C40" s="79" t="s">
        <v>485</v>
      </c>
      <c r="D40" s="79"/>
      <c r="E40" s="79"/>
      <c r="F40" s="79"/>
      <c r="G40" s="232">
        <v>27200</v>
      </c>
      <c r="H40" s="232">
        <v>11327</v>
      </c>
      <c r="I40" s="232"/>
      <c r="J40" s="322">
        <v>13648.5</v>
      </c>
      <c r="K40" s="322">
        <v>31133</v>
      </c>
      <c r="L40" s="322"/>
      <c r="M40" s="322">
        <v>14817</v>
      </c>
      <c r="N40" s="368"/>
      <c r="O40" s="399">
        <f t="shared" si="1"/>
        <v>-1168.5</v>
      </c>
      <c r="P40" s="436">
        <f t="shared" si="2"/>
        <v>-3.7532521761474966E-2</v>
      </c>
      <c r="R40" s="262"/>
    </row>
    <row r="41" spans="1:18" s="68" customFormat="1" ht="20.25" x14ac:dyDescent="0.2">
      <c r="A41" s="67"/>
      <c r="B41" s="67"/>
      <c r="C41" s="79" t="s">
        <v>104</v>
      </c>
      <c r="D41" s="79"/>
      <c r="E41" s="79"/>
      <c r="F41" s="79"/>
      <c r="G41" s="232">
        <v>150176</v>
      </c>
      <c r="H41" s="275">
        <v>47700.27</v>
      </c>
      <c r="I41" s="275"/>
      <c r="J41" s="322">
        <f>J24</f>
        <v>5274</v>
      </c>
      <c r="K41" s="322">
        <f>K24</f>
        <v>10548</v>
      </c>
      <c r="L41" s="399"/>
      <c r="M41" s="322">
        <f>M24</f>
        <v>5274</v>
      </c>
      <c r="N41" s="368"/>
      <c r="O41" s="399">
        <f t="shared" si="1"/>
        <v>0</v>
      </c>
      <c r="P41" s="436">
        <f t="shared" si="2"/>
        <v>0</v>
      </c>
    </row>
    <row r="42" spans="1:18" s="68" customFormat="1" ht="20.25" x14ac:dyDescent="0.2">
      <c r="A42" s="67"/>
      <c r="B42" s="67"/>
      <c r="C42" s="79" t="s">
        <v>313</v>
      </c>
      <c r="D42" s="79"/>
      <c r="E42" s="79"/>
      <c r="F42" s="79"/>
      <c r="G42" s="232"/>
      <c r="H42" s="275"/>
      <c r="I42" s="275"/>
      <c r="J42" s="322">
        <f>3319.32-J43</f>
        <v>2358.92</v>
      </c>
      <c r="K42" s="322">
        <v>4738.88</v>
      </c>
      <c r="L42" s="399"/>
      <c r="M42" s="322">
        <v>2324.94</v>
      </c>
      <c r="N42" s="368"/>
      <c r="O42" s="399">
        <f t="shared" si="1"/>
        <v>33.980000000000018</v>
      </c>
      <c r="P42" s="436">
        <f t="shared" si="2"/>
        <v>7.1704706597339489E-3</v>
      </c>
    </row>
    <row r="43" spans="1:18" s="68" customFormat="1" ht="20.25" x14ac:dyDescent="0.2">
      <c r="A43" s="67"/>
      <c r="B43" s="67"/>
      <c r="C43" s="79" t="s">
        <v>563</v>
      </c>
      <c r="D43" s="79"/>
      <c r="E43" s="79"/>
      <c r="F43" s="79"/>
      <c r="G43" s="232"/>
      <c r="H43" s="275"/>
      <c r="I43" s="275"/>
      <c r="J43" s="322">
        <f>149*5+215.4</f>
        <v>960.4</v>
      </c>
      <c r="K43" s="322">
        <v>447</v>
      </c>
      <c r="L43" s="399"/>
      <c r="M43" s="322"/>
      <c r="N43" s="368"/>
      <c r="O43" s="399">
        <f t="shared" si="1"/>
        <v>960.4</v>
      </c>
      <c r="P43" s="436">
        <f t="shared" si="2"/>
        <v>2.148545861297539</v>
      </c>
    </row>
    <row r="44" spans="1:18" s="68" customFormat="1" ht="20.25" x14ac:dyDescent="0.2">
      <c r="A44" s="67"/>
      <c r="B44" s="67"/>
      <c r="C44" s="79" t="s">
        <v>227</v>
      </c>
      <c r="D44" s="79"/>
      <c r="E44" s="79"/>
      <c r="F44" s="79"/>
      <c r="G44" s="232"/>
      <c r="H44" s="275"/>
      <c r="I44" s="275"/>
      <c r="J44" s="322">
        <f>140+673</f>
        <v>813</v>
      </c>
      <c r="K44" s="322">
        <v>2293</v>
      </c>
      <c r="L44" s="399"/>
      <c r="M44" s="322">
        <v>948</v>
      </c>
      <c r="N44" s="368"/>
      <c r="O44" s="399">
        <f t="shared" si="1"/>
        <v>-135</v>
      </c>
      <c r="P44" s="436">
        <f>O44/K44</f>
        <v>-5.8874836458787612E-2</v>
      </c>
    </row>
    <row r="45" spans="1:18" s="68" customFormat="1" ht="20.25" x14ac:dyDescent="0.2">
      <c r="A45" s="67"/>
      <c r="B45" s="67"/>
      <c r="C45" s="79" t="s">
        <v>382</v>
      </c>
      <c r="D45" s="79"/>
      <c r="E45" s="79"/>
      <c r="F45" s="79"/>
      <c r="G45" s="232">
        <v>10993.12</v>
      </c>
      <c r="H45" s="275">
        <v>4904.57</v>
      </c>
      <c r="I45" s="275"/>
      <c r="J45" s="322">
        <v>4125.41</v>
      </c>
      <c r="K45" s="322">
        <v>8658.77</v>
      </c>
      <c r="L45" s="399"/>
      <c r="M45" s="322">
        <v>4292</v>
      </c>
      <c r="N45" s="368"/>
      <c r="O45" s="399">
        <f t="shared" si="1"/>
        <v>-166.59000000000015</v>
      </c>
      <c r="P45" s="436">
        <f>O45/K45</f>
        <v>-1.9239453178684748E-2</v>
      </c>
    </row>
    <row r="46" spans="1:18" s="68" customFormat="1" ht="20.25" x14ac:dyDescent="0.2">
      <c r="A46" s="67"/>
      <c r="B46" s="67"/>
      <c r="C46" s="79" t="s">
        <v>228</v>
      </c>
      <c r="D46" s="79"/>
      <c r="E46" s="79"/>
      <c r="F46" s="79"/>
      <c r="G46" s="232">
        <v>10250.949999999999</v>
      </c>
      <c r="H46" s="275">
        <v>3982.99</v>
      </c>
      <c r="I46" s="275"/>
      <c r="J46" s="322">
        <f>759.4+448.66</f>
        <v>1208.06</v>
      </c>
      <c r="K46" s="322">
        <v>1733.64</v>
      </c>
      <c r="L46" s="399"/>
      <c r="M46" s="322">
        <v>323</v>
      </c>
      <c r="N46" s="368"/>
      <c r="O46" s="399">
        <f t="shared" si="1"/>
        <v>885.06</v>
      </c>
      <c r="P46" s="436">
        <f>O46/K46</f>
        <v>0.5105212154772617</v>
      </c>
    </row>
    <row r="47" spans="1:18" s="68" customFormat="1" ht="20.25" x14ac:dyDescent="0.2">
      <c r="A47" s="67"/>
      <c r="B47" s="67"/>
      <c r="C47" s="79" t="s">
        <v>122</v>
      </c>
      <c r="D47" s="79"/>
      <c r="E47" s="79"/>
      <c r="F47" s="79"/>
      <c r="G47" s="232">
        <v>4412.53</v>
      </c>
      <c r="H47" s="276">
        <v>5667</v>
      </c>
      <c r="I47" s="276"/>
      <c r="J47" s="322">
        <v>2955.81</v>
      </c>
      <c r="K47" s="322">
        <v>5036.8900000000003</v>
      </c>
      <c r="L47" s="400"/>
      <c r="M47" s="322">
        <v>2597</v>
      </c>
      <c r="N47" s="368"/>
      <c r="O47" s="399">
        <f t="shared" si="1"/>
        <v>358.80999999999995</v>
      </c>
      <c r="P47" s="436">
        <f>O47/K47</f>
        <v>7.1236417710134614E-2</v>
      </c>
    </row>
    <row r="48" spans="1:18" s="68" customFormat="1" ht="20.25" x14ac:dyDescent="0.2">
      <c r="A48" s="67"/>
      <c r="B48" s="67"/>
      <c r="C48" s="79" t="s">
        <v>120</v>
      </c>
      <c r="D48" s="79"/>
      <c r="E48" s="79"/>
      <c r="F48" s="79"/>
      <c r="G48" s="232">
        <v>7901</v>
      </c>
      <c r="H48" s="275">
        <v>4149.6000000000004</v>
      </c>
      <c r="I48" s="275"/>
      <c r="J48" s="322">
        <v>220.65</v>
      </c>
      <c r="K48" s="322">
        <v>658.61</v>
      </c>
      <c r="L48" s="399"/>
      <c r="M48" s="322">
        <v>251</v>
      </c>
      <c r="N48" s="368"/>
      <c r="O48" s="399">
        <f t="shared" si="1"/>
        <v>-30.349999999999994</v>
      </c>
      <c r="P48" s="436">
        <f>O48/K48</f>
        <v>-4.6081899758582456E-2</v>
      </c>
    </row>
    <row r="49" spans="1:18" s="68" customFormat="1" ht="20.25" hidden="1" x14ac:dyDescent="0.2">
      <c r="A49" s="67"/>
      <c r="B49" s="67"/>
      <c r="C49" s="79" t="s">
        <v>229</v>
      </c>
      <c r="D49" s="79"/>
      <c r="E49" s="79"/>
      <c r="F49" s="79"/>
      <c r="G49" s="232"/>
      <c r="H49" s="275"/>
      <c r="I49" s="275"/>
      <c r="J49" s="322"/>
      <c r="K49" s="322"/>
      <c r="L49" s="399"/>
      <c r="M49" s="322">
        <v>208.18</v>
      </c>
      <c r="N49" s="368"/>
      <c r="O49" s="399">
        <f t="shared" si="1"/>
        <v>-208.18</v>
      </c>
      <c r="P49" s="436"/>
    </row>
    <row r="50" spans="1:18" s="76" customFormat="1" ht="20.25" x14ac:dyDescent="0.2">
      <c r="A50" s="79"/>
      <c r="B50" s="79"/>
      <c r="C50" s="79" t="s">
        <v>116</v>
      </c>
      <c r="D50" s="79"/>
      <c r="E50" s="79"/>
      <c r="F50" s="79"/>
      <c r="G50" s="232">
        <v>5428.37</v>
      </c>
      <c r="H50" s="275">
        <v>2024.52</v>
      </c>
      <c r="I50" s="275"/>
      <c r="J50" s="322">
        <v>254</v>
      </c>
      <c r="K50" s="322">
        <v>277.69</v>
      </c>
      <c r="L50" s="399"/>
      <c r="M50" s="322">
        <v>208</v>
      </c>
      <c r="N50" s="367"/>
      <c r="O50" s="399">
        <f t="shared" si="1"/>
        <v>46</v>
      </c>
      <c r="P50" s="436">
        <f>O50/K50</f>
        <v>0.16565234614138069</v>
      </c>
    </row>
    <row r="51" spans="1:18" s="76" customFormat="1" ht="20.25" x14ac:dyDescent="0.2">
      <c r="A51" s="79"/>
      <c r="B51" s="79"/>
      <c r="C51" s="79" t="s">
        <v>32</v>
      </c>
      <c r="D51" s="79"/>
      <c r="E51" s="79"/>
      <c r="F51" s="79"/>
      <c r="G51" s="232"/>
      <c r="H51" s="275"/>
      <c r="I51" s="275"/>
      <c r="J51" s="322">
        <f>'June''23 State of Activities'!G53</f>
        <v>2792.19</v>
      </c>
      <c r="K51" s="322">
        <v>585.52</v>
      </c>
      <c r="L51" s="399"/>
      <c r="M51" s="322"/>
      <c r="N51" s="367"/>
      <c r="O51" s="399">
        <f t="shared" si="1"/>
        <v>2792.19</v>
      </c>
      <c r="P51" s="436">
        <f>O51/K51</f>
        <v>4.7687354829894799</v>
      </c>
    </row>
    <row r="52" spans="1:18" s="76" customFormat="1" ht="20.25" x14ac:dyDescent="0.2">
      <c r="A52" s="79"/>
      <c r="B52" s="79"/>
      <c r="C52" s="79" t="s">
        <v>230</v>
      </c>
      <c r="D52" s="79"/>
      <c r="E52" s="79"/>
      <c r="F52" s="79"/>
      <c r="G52" s="232">
        <v>83462.91</v>
      </c>
      <c r="H52" s="232">
        <v>18995.71</v>
      </c>
      <c r="I52" s="232"/>
      <c r="J52" s="398">
        <f>30.2+105</f>
        <v>135.19999999999999</v>
      </c>
      <c r="K52" s="398">
        <v>1269.29</v>
      </c>
      <c r="L52" s="322"/>
      <c r="M52" s="398">
        <v>135</v>
      </c>
      <c r="N52" s="367"/>
      <c r="O52" s="702">
        <f t="shared" si="1"/>
        <v>0.19999999999998863</v>
      </c>
      <c r="P52" s="508">
        <f>O52/K52</f>
        <v>1.5756840438354406E-4</v>
      </c>
    </row>
    <row r="53" spans="1:18" s="68" customFormat="1" ht="21" thickBot="1" x14ac:dyDescent="0.25">
      <c r="A53" s="67"/>
      <c r="B53" s="67"/>
      <c r="C53" s="67"/>
      <c r="D53" s="73" t="s">
        <v>128</v>
      </c>
      <c r="E53" s="67"/>
      <c r="F53" s="67"/>
      <c r="G53" s="241">
        <v>1078317.8599999999</v>
      </c>
      <c r="H53" s="241">
        <v>481701.87000000005</v>
      </c>
      <c r="I53" s="232"/>
      <c r="J53" s="465">
        <f>SUM(J32:J52)</f>
        <v>252391.91186000002</v>
      </c>
      <c r="K53" s="465">
        <f>SUM(K32:K52)</f>
        <v>480292.44528000004</v>
      </c>
      <c r="L53" s="322"/>
      <c r="M53" s="465">
        <f>SUM(M32:M52)</f>
        <v>231221.42673999997</v>
      </c>
      <c r="O53" s="465">
        <f t="shared" si="1"/>
        <v>21170.485120000056</v>
      </c>
      <c r="P53" s="463">
        <f>O53/K53</f>
        <v>4.4078322130713762E-2</v>
      </c>
      <c r="R53" s="341"/>
    </row>
    <row r="54" spans="1:18" s="68" customFormat="1" ht="21" thickBot="1" x14ac:dyDescent="0.25">
      <c r="A54" s="67"/>
      <c r="B54" s="67"/>
      <c r="C54" s="67"/>
      <c r="D54" s="67" t="s">
        <v>129</v>
      </c>
      <c r="E54" s="67"/>
      <c r="F54" s="67"/>
      <c r="G54" s="241">
        <v>233082.39000000013</v>
      </c>
      <c r="H54" s="241">
        <v>82291.709999999905</v>
      </c>
      <c r="I54" s="232"/>
      <c r="J54" s="466">
        <f>J28-J53</f>
        <v>-51752.041860000027</v>
      </c>
      <c r="K54" s="466">
        <f>K28-K53</f>
        <v>-163116.22528000001</v>
      </c>
      <c r="L54" s="322"/>
      <c r="M54" s="466">
        <f>M28-M53</f>
        <v>-61431.34673999995</v>
      </c>
      <c r="O54" s="377">
        <f t="shared" si="1"/>
        <v>9679.3048799999233</v>
      </c>
      <c r="P54" s="463">
        <f>O54/K54</f>
        <v>-5.933992687352066E-2</v>
      </c>
    </row>
    <row r="55" spans="1:18" s="68" customFormat="1" ht="20.25" x14ac:dyDescent="0.2">
      <c r="A55" s="67"/>
      <c r="B55" s="67"/>
      <c r="C55" s="67"/>
      <c r="D55" s="67"/>
      <c r="E55" s="67"/>
      <c r="F55" s="67"/>
      <c r="G55" s="232"/>
      <c r="H55" s="232"/>
      <c r="I55" s="232"/>
      <c r="J55" s="322"/>
      <c r="K55" s="322"/>
      <c r="L55" s="322"/>
      <c r="M55" s="322"/>
    </row>
    <row r="56" spans="1:18" s="65" customFormat="1" ht="26.25" x14ac:dyDescent="0.2">
      <c r="A56" s="268"/>
      <c r="B56" s="268"/>
      <c r="C56" s="79" t="s">
        <v>633</v>
      </c>
      <c r="E56" s="79"/>
      <c r="F56" s="79"/>
      <c r="G56" s="270"/>
      <c r="H56" s="232"/>
      <c r="I56" s="232"/>
      <c r="J56" s="322">
        <f>-28362.53+J51</f>
        <v>-25570.34</v>
      </c>
      <c r="K56" s="322"/>
      <c r="L56" s="322"/>
      <c r="M56" s="322"/>
      <c r="O56" s="275">
        <f>J56-M56</f>
        <v>-25570.34</v>
      </c>
      <c r="P56" s="413"/>
    </row>
    <row r="57" spans="1:18" s="68" customFormat="1" ht="20.25" x14ac:dyDescent="0.2">
      <c r="A57" s="67"/>
      <c r="B57" s="67"/>
      <c r="C57" s="79" t="s">
        <v>459</v>
      </c>
      <c r="E57" s="67"/>
      <c r="G57" s="232"/>
      <c r="H57" s="232"/>
      <c r="I57" s="232"/>
      <c r="J57" s="322">
        <f>J40</f>
        <v>13648.5</v>
      </c>
      <c r="K57" s="322">
        <f>K40</f>
        <v>31133</v>
      </c>
      <c r="L57" s="322"/>
      <c r="M57" s="322">
        <f>M40</f>
        <v>14817</v>
      </c>
      <c r="O57" s="275">
        <f>J57-M57</f>
        <v>-1168.5</v>
      </c>
      <c r="P57" s="413">
        <v>3.5414486921529216E-2</v>
      </c>
    </row>
    <row r="58" spans="1:18" s="68" customFormat="1" ht="24" thickBot="1" x14ac:dyDescent="0.25">
      <c r="A58" s="67"/>
      <c r="B58" s="396"/>
      <c r="C58" s="67"/>
      <c r="D58" s="990" t="s">
        <v>232</v>
      </c>
      <c r="E58" s="990"/>
      <c r="F58" s="990"/>
      <c r="G58" s="232"/>
      <c r="H58" s="232"/>
      <c r="I58" s="232"/>
      <c r="J58" s="467">
        <f>J54+J56+J57</f>
        <v>-63673.881860000023</v>
      </c>
      <c r="K58" s="467">
        <f>K54+K56+K57</f>
        <v>-131983.22528000001</v>
      </c>
      <c r="L58" s="326"/>
      <c r="M58" s="467">
        <f>M54+M56+M57</f>
        <v>-46614.34673999995</v>
      </c>
      <c r="N58" s="387"/>
      <c r="O58" s="464">
        <f>J58-M58</f>
        <v>-17059.535120000073</v>
      </c>
      <c r="P58" s="499">
        <v>2.1062768618503362E-2</v>
      </c>
    </row>
    <row r="59" spans="1:18" s="68" customFormat="1" ht="42" customHeight="1" thickTop="1" x14ac:dyDescent="0.2">
      <c r="A59" s="67"/>
      <c r="B59" s="67"/>
      <c r="C59" s="67"/>
      <c r="D59" s="67"/>
      <c r="E59" s="67"/>
      <c r="F59" s="67"/>
      <c r="G59" s="232"/>
      <c r="H59" s="232"/>
      <c r="I59" s="232"/>
      <c r="J59" s="322"/>
      <c r="K59" s="322"/>
      <c r="L59" s="322"/>
      <c r="M59" s="322"/>
    </row>
    <row r="60" spans="1:18" s="76" customFormat="1" ht="20.25" x14ac:dyDescent="0.2">
      <c r="A60" s="79"/>
      <c r="B60" s="79"/>
      <c r="C60" s="79"/>
      <c r="D60" s="79"/>
      <c r="F60" s="79" t="s">
        <v>309</v>
      </c>
      <c r="G60" s="246"/>
      <c r="H60" s="232"/>
      <c r="I60" s="232"/>
      <c r="J60" s="322">
        <v>126305</v>
      </c>
      <c r="K60" s="322">
        <v>227490</v>
      </c>
      <c r="L60" s="322"/>
      <c r="M60" s="322">
        <v>109237</v>
      </c>
      <c r="O60" s="247"/>
    </row>
    <row r="61" spans="1:18" s="76" customFormat="1" ht="21" thickBot="1" x14ac:dyDescent="0.25">
      <c r="A61" s="79"/>
      <c r="B61" s="79"/>
      <c r="C61" s="79"/>
      <c r="D61" s="79"/>
      <c r="F61" s="79" t="s">
        <v>314</v>
      </c>
      <c r="G61" s="232"/>
      <c r="H61" s="232"/>
      <c r="I61" s="232"/>
      <c r="J61" s="608">
        <f>(J53-J40-J41)/J60</f>
        <v>1.848457399627885</v>
      </c>
      <c r="K61" s="608">
        <f>(K53-K40-K41)/K60</f>
        <v>1.9280471461602711</v>
      </c>
      <c r="L61" s="609"/>
      <c r="M61" s="608">
        <f>(M53-M40-M41)/M60</f>
        <v>1.932773938683779</v>
      </c>
    </row>
    <row r="62" spans="1:18" s="76" customFormat="1" ht="20.25" x14ac:dyDescent="0.2">
      <c r="A62" s="79"/>
      <c r="B62" s="79"/>
      <c r="C62" s="79"/>
      <c r="D62" s="79"/>
      <c r="F62" s="79"/>
      <c r="G62" s="232"/>
      <c r="H62" s="232"/>
      <c r="I62" s="232"/>
      <c r="J62" s="322"/>
      <c r="K62" s="322"/>
      <c r="L62" s="322"/>
      <c r="M62" s="322"/>
    </row>
    <row r="63" spans="1:18" s="76" customFormat="1" ht="20.25" x14ac:dyDescent="0.2">
      <c r="A63" s="79"/>
      <c r="B63" s="79"/>
      <c r="C63" s="79"/>
      <c r="D63" s="79"/>
      <c r="F63" s="79" t="s">
        <v>310</v>
      </c>
      <c r="G63" s="232"/>
      <c r="H63" s="232"/>
      <c r="I63" s="232"/>
      <c r="J63" s="322">
        <v>6500</v>
      </c>
      <c r="K63" s="322">
        <v>11449</v>
      </c>
      <c r="L63" s="322"/>
      <c r="M63" s="322">
        <v>5510</v>
      </c>
      <c r="P63" s="247"/>
    </row>
    <row r="64" spans="1:18" s="76" customFormat="1" ht="21" thickBot="1" x14ac:dyDescent="0.25">
      <c r="A64" s="79"/>
      <c r="B64" s="79"/>
      <c r="C64" s="79"/>
      <c r="D64" s="79"/>
      <c r="F64" s="79" t="s">
        <v>371</v>
      </c>
      <c r="G64" s="232"/>
      <c r="H64" s="232"/>
      <c r="I64" s="232"/>
      <c r="J64" s="608">
        <f>(J53-J40-J41)/J63</f>
        <v>35.918371055384618</v>
      </c>
      <c r="K64" s="608">
        <f>(K53-K40-K41)/K63</f>
        <v>38.31002229714386</v>
      </c>
      <c r="L64" s="322"/>
      <c r="M64" s="608">
        <f>(M53-M40-M41)/M63</f>
        <v>38.317681803992734</v>
      </c>
    </row>
    <row r="65" spans="1:13" s="76" customFormat="1" ht="20.25" x14ac:dyDescent="0.2">
      <c r="A65" s="79"/>
      <c r="B65" s="79"/>
      <c r="C65" s="79"/>
      <c r="D65" s="79"/>
      <c r="F65" s="79"/>
      <c r="G65" s="232"/>
      <c r="H65" s="232"/>
      <c r="I65" s="232"/>
      <c r="J65" s="322"/>
      <c r="K65" s="322"/>
      <c r="L65" s="322"/>
      <c r="M65" s="322"/>
    </row>
    <row r="66" spans="1:13" s="76" customFormat="1" ht="20.25" x14ac:dyDescent="0.2">
      <c r="A66" s="79"/>
      <c r="B66" s="79"/>
      <c r="C66" s="67"/>
      <c r="D66" s="79"/>
      <c r="F66" s="79" t="s">
        <v>311</v>
      </c>
      <c r="G66" s="232"/>
      <c r="H66" s="232"/>
      <c r="I66" s="232"/>
      <c r="J66" s="322">
        <v>2037</v>
      </c>
      <c r="K66" s="322">
        <v>2840</v>
      </c>
      <c r="L66" s="322"/>
      <c r="M66" s="322">
        <v>1302</v>
      </c>
    </row>
    <row r="67" spans="1:13" s="76" customFormat="1" ht="21" thickBot="1" x14ac:dyDescent="0.25">
      <c r="A67" s="79"/>
      <c r="B67" s="79"/>
      <c r="C67" s="79"/>
      <c r="D67" s="79"/>
      <c r="E67" s="79"/>
      <c r="F67" s="79" t="s">
        <v>372</v>
      </c>
      <c r="G67" s="232"/>
      <c r="H67" s="232"/>
      <c r="I67" s="232"/>
      <c r="J67" s="608">
        <f>J9/J66</f>
        <v>31.562371134020619</v>
      </c>
      <c r="K67" s="608">
        <f>K9/K66</f>
        <v>29.745742957746479</v>
      </c>
      <c r="L67" s="322"/>
      <c r="M67" s="608">
        <f>M9/M66</f>
        <v>32.337365591397848</v>
      </c>
    </row>
    <row r="68" spans="1:13" s="76" customFormat="1" ht="20.25" x14ac:dyDescent="0.2">
      <c r="A68" s="79"/>
      <c r="B68" s="79"/>
      <c r="C68" s="67"/>
      <c r="D68" s="67"/>
      <c r="G68" s="232"/>
      <c r="H68" s="232"/>
      <c r="I68" s="232"/>
      <c r="J68" s="322"/>
      <c r="K68" s="322"/>
      <c r="L68" s="322"/>
      <c r="M68" s="322"/>
    </row>
    <row r="69" spans="1:13" s="76" customFormat="1" ht="20.25" x14ac:dyDescent="0.2">
      <c r="A69" s="79"/>
      <c r="B69" s="79"/>
      <c r="C69" s="79"/>
      <c r="D69" s="79"/>
      <c r="E69" s="79"/>
      <c r="F69" s="79"/>
      <c r="G69" s="232"/>
      <c r="H69" s="232"/>
      <c r="I69" s="232"/>
      <c r="J69" s="232"/>
      <c r="K69" s="232"/>
      <c r="L69" s="232"/>
      <c r="M69" s="232"/>
    </row>
    <row r="70" spans="1:13" s="76" customFormat="1" ht="20.25" x14ac:dyDescent="0.2">
      <c r="A70" s="79"/>
      <c r="B70" s="79"/>
      <c r="C70" s="79"/>
      <c r="D70" s="79"/>
      <c r="E70" s="79"/>
      <c r="F70" s="79"/>
      <c r="G70" s="232"/>
      <c r="H70" s="232"/>
      <c r="I70" s="232"/>
      <c r="J70" s="232"/>
      <c r="K70" s="232"/>
      <c r="L70" s="232"/>
      <c r="M70" s="232"/>
    </row>
    <row r="71" spans="1:13" s="76" customFormat="1" ht="20.25" x14ac:dyDescent="0.2">
      <c r="A71" s="79"/>
      <c r="B71" s="79"/>
      <c r="C71" s="67"/>
      <c r="D71" s="79"/>
      <c r="F71" s="79"/>
      <c r="G71" s="232"/>
      <c r="H71" s="232"/>
      <c r="I71" s="232"/>
      <c r="J71" s="232"/>
      <c r="K71" s="232"/>
      <c r="L71" s="232"/>
      <c r="M71" s="232"/>
    </row>
    <row r="72" spans="1:13" s="76" customFormat="1" ht="20.25" x14ac:dyDescent="0.2">
      <c r="A72" s="79"/>
      <c r="B72" s="79"/>
      <c r="C72" s="79"/>
      <c r="D72" s="79"/>
      <c r="E72" s="79"/>
      <c r="F72" s="79"/>
      <c r="G72" s="232"/>
      <c r="H72" s="232"/>
      <c r="I72" s="232"/>
      <c r="J72" s="232"/>
      <c r="K72" s="232"/>
      <c r="L72" s="232"/>
      <c r="M72" s="232"/>
    </row>
    <row r="73" spans="1:13" s="68" customFormat="1" ht="20.25" x14ac:dyDescent="0.2">
      <c r="A73" s="67"/>
      <c r="B73" s="67"/>
      <c r="C73" s="67"/>
      <c r="D73" s="67"/>
      <c r="E73" s="67"/>
      <c r="F73" s="67"/>
      <c r="G73" s="237"/>
      <c r="H73" s="237"/>
      <c r="I73" s="237"/>
      <c r="J73" s="237"/>
      <c r="K73" s="237"/>
      <c r="L73" s="237"/>
      <c r="M73" s="237"/>
    </row>
    <row r="74" spans="1:13" s="68" customFormat="1" ht="20.25" x14ac:dyDescent="0.2">
      <c r="A74" s="67"/>
      <c r="B74" s="67"/>
      <c r="C74" s="67"/>
      <c r="D74" s="67"/>
      <c r="E74" s="67"/>
      <c r="F74" s="67"/>
      <c r="G74" s="237"/>
      <c r="H74" s="237"/>
      <c r="I74" s="237"/>
      <c r="J74" s="237"/>
      <c r="K74" s="237"/>
      <c r="L74" s="237"/>
      <c r="M74" s="237"/>
    </row>
    <row r="75" spans="1:13" s="68" customFormat="1" ht="23.25" x14ac:dyDescent="0.2">
      <c r="A75" s="67"/>
      <c r="B75" s="271"/>
      <c r="C75" s="67"/>
      <c r="D75" s="67"/>
      <c r="E75" s="67"/>
      <c r="F75" s="67"/>
      <c r="G75" s="232"/>
      <c r="H75" s="232"/>
      <c r="I75" s="232"/>
      <c r="J75" s="232"/>
      <c r="K75" s="232"/>
      <c r="L75" s="232"/>
      <c r="M75" s="232"/>
    </row>
    <row r="76" spans="1:13" s="76" customFormat="1" ht="20.25" x14ac:dyDescent="0.2">
      <c r="A76" s="79"/>
      <c r="B76" s="79"/>
      <c r="D76" s="79"/>
      <c r="E76" s="79"/>
      <c r="F76" s="79"/>
      <c r="G76" s="232"/>
      <c r="H76" s="232"/>
      <c r="I76" s="232"/>
      <c r="J76" s="232"/>
      <c r="K76" s="232"/>
      <c r="L76" s="232"/>
      <c r="M76" s="232"/>
    </row>
    <row r="77" spans="1:13" s="76" customFormat="1" ht="20.25" x14ac:dyDescent="0.2">
      <c r="A77" s="79"/>
      <c r="B77" s="79"/>
      <c r="D77" s="79"/>
      <c r="E77" s="79"/>
      <c r="F77" s="79"/>
      <c r="G77" s="232"/>
      <c r="H77" s="232"/>
      <c r="I77" s="232"/>
      <c r="J77" s="232"/>
      <c r="K77" s="232"/>
      <c r="L77" s="232"/>
      <c r="M77" s="232"/>
    </row>
    <row r="78" spans="1:13" s="68" customFormat="1" ht="20.25" x14ac:dyDescent="0.2">
      <c r="A78" s="67"/>
      <c r="B78" s="67"/>
      <c r="D78" s="79"/>
      <c r="E78" s="67"/>
      <c r="F78" s="67"/>
      <c r="G78" s="232"/>
      <c r="H78" s="232"/>
      <c r="I78" s="232"/>
      <c r="J78" s="232"/>
      <c r="K78" s="232"/>
      <c r="L78" s="232"/>
      <c r="M78" s="232"/>
    </row>
    <row r="79" spans="1:13" s="68" customFormat="1" ht="23.25" x14ac:dyDescent="0.2">
      <c r="A79" s="67"/>
      <c r="B79" s="271"/>
      <c r="C79" s="67"/>
      <c r="D79" s="67"/>
      <c r="E79" s="67"/>
      <c r="F79" s="67"/>
      <c r="G79" s="237"/>
      <c r="H79" s="237"/>
      <c r="I79" s="237"/>
      <c r="J79" s="237"/>
      <c r="K79" s="237"/>
      <c r="L79" s="237"/>
      <c r="M79" s="237"/>
    </row>
    <row r="80" spans="1:13" s="68" customFormat="1" ht="20.25" x14ac:dyDescent="0.2">
      <c r="A80" s="67"/>
      <c r="B80" s="67"/>
      <c r="C80" s="67"/>
      <c r="D80" s="67"/>
      <c r="E80" s="67"/>
      <c r="F80" s="67"/>
      <c r="G80" s="232"/>
      <c r="H80" s="232"/>
      <c r="I80" s="232"/>
      <c r="J80" s="232"/>
      <c r="K80" s="232"/>
      <c r="L80" s="232"/>
      <c r="M80" s="232"/>
    </row>
    <row r="81" spans="1:13" s="82" customFormat="1" ht="26.25" x14ac:dyDescent="0.2">
      <c r="A81" s="268"/>
      <c r="B81" s="268"/>
      <c r="C81" s="268"/>
      <c r="D81" s="268"/>
      <c r="E81" s="268"/>
      <c r="F81" s="268"/>
      <c r="G81" s="269"/>
      <c r="H81" s="237"/>
      <c r="I81" s="237"/>
      <c r="J81" s="237"/>
      <c r="K81" s="237"/>
      <c r="L81" s="237"/>
      <c r="M81" s="237"/>
    </row>
    <row r="82" spans="1:13" s="18" customFormat="1" ht="20.25" x14ac:dyDescent="0.3">
      <c r="A82" s="122"/>
      <c r="B82" s="122"/>
      <c r="C82" s="122"/>
      <c r="D82" s="122"/>
      <c r="E82" s="122"/>
      <c r="F82" s="122"/>
      <c r="G82" s="272"/>
      <c r="H82" s="277"/>
      <c r="I82" s="277"/>
      <c r="J82" s="277"/>
      <c r="K82" s="277"/>
      <c r="L82" s="277"/>
      <c r="M82" s="277"/>
    </row>
    <row r="83" spans="1:13" ht="20.25" x14ac:dyDescent="0.3">
      <c r="H83" s="277"/>
      <c r="I83" s="277"/>
      <c r="J83" s="277"/>
      <c r="K83" s="277"/>
      <c r="L83" s="277"/>
      <c r="M83" s="277"/>
    </row>
    <row r="84" spans="1:13" ht="20.25" x14ac:dyDescent="0.3">
      <c r="H84" s="277"/>
      <c r="I84" s="277"/>
      <c r="J84" s="277"/>
      <c r="K84" s="277"/>
      <c r="L84" s="277"/>
      <c r="M84" s="277"/>
    </row>
    <row r="85" spans="1:13" ht="20.25" x14ac:dyDescent="0.3">
      <c r="H85" s="274"/>
      <c r="I85" s="274"/>
      <c r="J85" s="274"/>
      <c r="K85" s="274"/>
      <c r="L85" s="274"/>
      <c r="M85" s="274"/>
    </row>
  </sheetData>
  <mergeCells count="11">
    <mergeCell ref="J6:M6"/>
    <mergeCell ref="C22:F22"/>
    <mergeCell ref="D32:F32"/>
    <mergeCell ref="O8:P8"/>
    <mergeCell ref="D36:F36"/>
    <mergeCell ref="D58:F58"/>
    <mergeCell ref="D37:F37"/>
    <mergeCell ref="D38:F38"/>
    <mergeCell ref="D39:F39"/>
    <mergeCell ref="D33:F33"/>
    <mergeCell ref="D34:F34"/>
  </mergeCells>
  <pageMargins left="0.2" right="0.2" top="0.25" bottom="0.5" header="0.3" footer="0.3"/>
  <pageSetup scale="5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8"/>
  <sheetViews>
    <sheetView topLeftCell="A22" zoomScale="75" zoomScaleNormal="75" workbookViewId="0">
      <selection activeCell="M54" sqref="M5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customWidth="1"/>
    <col min="10" max="10" width="26.875" style="18" customWidth="1"/>
    <col min="11" max="11" width="24.5" style="18" customWidth="1"/>
    <col min="12" max="12" width="1.625" style="18" customWidth="1"/>
    <col min="13" max="13" width="23.125" style="18" customWidth="1"/>
    <col min="14" max="14" width="1.75" style="18" customWidth="1"/>
    <col min="15" max="15" width="19.75" style="18" bestFit="1" customWidth="1"/>
    <col min="16" max="16" width="15" style="18" customWidth="1"/>
    <col min="17" max="17" width="16.875" style="18" bestFit="1" customWidth="1"/>
    <col min="18" max="18" width="10" style="18" bestFit="1" customWidth="1"/>
    <col min="19" max="60" width="9" style="18"/>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127" ht="22.5" customHeight="1" x14ac:dyDescent="0.4">
      <c r="A1" s="5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row>
    <row r="2" spans="1:127" ht="22.5" customHeight="1" x14ac:dyDescent="0.4">
      <c r="A2" s="58" t="s">
        <v>646</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row>
    <row r="3" spans="1:127" ht="21.75" customHeight="1" x14ac:dyDescent="0.4">
      <c r="A3" s="58" t="s">
        <v>647</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row>
    <row r="4" spans="1:127" ht="22.5" customHeight="1" x14ac:dyDescent="0.35">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row>
    <row r="5" spans="1:127"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row>
    <row r="6" spans="1:127" s="66" customFormat="1" ht="24.75" customHeight="1" thickTop="1" thickBot="1" x14ac:dyDescent="0.25">
      <c r="A6" s="64" t="s">
        <v>108</v>
      </c>
      <c r="B6" s="64"/>
      <c r="C6" s="64"/>
      <c r="D6" s="64"/>
      <c r="E6" s="64"/>
      <c r="F6" s="64"/>
      <c r="G6" s="979"/>
      <c r="H6" s="240" t="s">
        <v>49</v>
      </c>
      <c r="I6" s="240"/>
      <c r="J6" s="985" t="s">
        <v>651</v>
      </c>
      <c r="K6" s="985"/>
      <c r="L6" s="985"/>
      <c r="M6" s="985"/>
      <c r="N6" s="65"/>
      <c r="O6" s="41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row>
    <row r="7" spans="1:127" s="68" customFormat="1" ht="21" customHeight="1" thickTop="1" x14ac:dyDescent="0.2">
      <c r="A7" s="67"/>
      <c r="B7" s="67"/>
      <c r="C7" s="67"/>
      <c r="D7" s="67"/>
      <c r="E7" s="67"/>
      <c r="F7" s="67"/>
      <c r="G7" s="232"/>
      <c r="J7" s="981" t="s">
        <v>641</v>
      </c>
      <c r="K7" s="981" t="s">
        <v>642</v>
      </c>
      <c r="M7" s="981" t="s">
        <v>648</v>
      </c>
    </row>
    <row r="8" spans="1:127" s="68" customFormat="1" ht="21" customHeight="1" x14ac:dyDescent="0.3">
      <c r="A8" s="67"/>
      <c r="B8" s="67"/>
      <c r="C8" s="67"/>
      <c r="D8" s="67"/>
      <c r="E8" s="67"/>
      <c r="F8" s="67"/>
      <c r="G8" s="232"/>
      <c r="J8" s="981" t="s">
        <v>643</v>
      </c>
      <c r="K8" s="981" t="s">
        <v>643</v>
      </c>
      <c r="M8" s="981" t="s">
        <v>649</v>
      </c>
      <c r="O8" s="983" t="s">
        <v>652</v>
      </c>
    </row>
    <row r="9" spans="1:127" s="72" customFormat="1" ht="21" thickBot="1" x14ac:dyDescent="0.35">
      <c r="A9" s="69"/>
      <c r="B9" s="153" t="s">
        <v>100</v>
      </c>
      <c r="C9" s="153"/>
      <c r="D9" s="153"/>
      <c r="E9" s="153"/>
      <c r="F9" s="153"/>
      <c r="G9" s="281">
        <v>41090</v>
      </c>
      <c r="H9" s="281">
        <v>41274</v>
      </c>
      <c r="I9" s="323"/>
      <c r="J9" s="667" t="s">
        <v>644</v>
      </c>
      <c r="K9" s="668" t="s">
        <v>645</v>
      </c>
      <c r="L9" s="669"/>
      <c r="M9" s="668" t="s">
        <v>650</v>
      </c>
      <c r="N9" s="71"/>
      <c r="O9" s="668" t="s">
        <v>650</v>
      </c>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row>
    <row r="10" spans="1:127" s="74" customFormat="1" ht="20.25" x14ac:dyDescent="0.2">
      <c r="A10" s="73"/>
      <c r="B10" s="73"/>
      <c r="C10" s="420" t="s">
        <v>150</v>
      </c>
      <c r="D10" s="420"/>
      <c r="E10" s="420"/>
      <c r="F10" s="73"/>
      <c r="G10" s="264">
        <v>127719</v>
      </c>
      <c r="H10" s="264">
        <v>67566.5</v>
      </c>
      <c r="I10" s="322"/>
      <c r="J10" s="326">
        <f>'June''23 State of Activities'!G10</f>
        <v>64292.55</v>
      </c>
      <c r="K10" s="326">
        <v>54000</v>
      </c>
      <c r="L10" s="326"/>
      <c r="M10" s="980">
        <f>J10+K10</f>
        <v>118292.55</v>
      </c>
      <c r="N10" s="68"/>
      <c r="O10" s="378">
        <v>92000</v>
      </c>
      <c r="P10" s="68"/>
      <c r="Q10" s="38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row>
    <row r="11" spans="1:127" s="74" customFormat="1" ht="20.25" x14ac:dyDescent="0.2">
      <c r="A11" s="73"/>
      <c r="B11" s="73"/>
      <c r="C11" s="420" t="s">
        <v>214</v>
      </c>
      <c r="D11" s="420"/>
      <c r="E11" s="420"/>
      <c r="F11" s="73"/>
      <c r="G11" s="263">
        <v>875436</v>
      </c>
      <c r="H11" s="263">
        <v>372424.1</v>
      </c>
      <c r="I11" s="326"/>
      <c r="J11" s="322">
        <v>2148</v>
      </c>
      <c r="K11" s="322">
        <f>4300-J11</f>
        <v>2152</v>
      </c>
      <c r="L11" s="326"/>
      <c r="M11" s="322">
        <f>J11+K11</f>
        <v>4300</v>
      </c>
      <c r="N11" s="68"/>
      <c r="O11" s="506">
        <v>4000</v>
      </c>
      <c r="P11" s="68"/>
      <c r="Q11" s="38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row>
    <row r="12" spans="1:127" s="74" customFormat="1" ht="20.25" x14ac:dyDescent="0.2">
      <c r="A12" s="73"/>
      <c r="B12" s="73"/>
      <c r="C12" s="420" t="s">
        <v>102</v>
      </c>
      <c r="D12" s="420"/>
      <c r="E12" s="420"/>
      <c r="F12" s="73"/>
      <c r="G12" s="264"/>
      <c r="H12" s="264"/>
      <c r="I12" s="322"/>
      <c r="J12" s="322"/>
      <c r="K12" s="322"/>
      <c r="L12" s="322"/>
      <c r="M12" s="322"/>
      <c r="N12" s="68"/>
      <c r="O12" s="506"/>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row>
    <row r="13" spans="1:127" s="74" customFormat="1" ht="20.25" x14ac:dyDescent="0.2">
      <c r="A13" s="73"/>
      <c r="B13" s="73"/>
      <c r="C13" s="77"/>
      <c r="D13" s="420" t="s">
        <v>215</v>
      </c>
      <c r="E13" s="420"/>
      <c r="F13" s="73"/>
      <c r="G13" s="264">
        <v>94235.25</v>
      </c>
      <c r="H13" s="264">
        <v>37190.379999999997</v>
      </c>
      <c r="I13" s="322"/>
      <c r="J13" s="322">
        <f>'June''23 Revenues &amp; Expenses'!I23</f>
        <v>23750</v>
      </c>
      <c r="K13" s="322">
        <f>J13</f>
        <v>23750</v>
      </c>
      <c r="L13" s="322"/>
      <c r="M13" s="322">
        <f t="shared" ref="M13:M23" si="0">J13+K13</f>
        <v>47500</v>
      </c>
      <c r="N13" s="68"/>
      <c r="O13" s="506">
        <v>47500</v>
      </c>
      <c r="P13" s="68"/>
      <c r="Q13" s="844"/>
      <c r="R13" s="469"/>
      <c r="S13" s="468"/>
      <c r="T13" s="4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row>
    <row r="14" spans="1:127" s="74" customFormat="1" ht="20.25" x14ac:dyDescent="0.2">
      <c r="A14" s="73"/>
      <c r="B14" s="73"/>
      <c r="C14" s="77"/>
      <c r="D14" s="420" t="s">
        <v>159</v>
      </c>
      <c r="E14" s="420"/>
      <c r="F14" s="73"/>
      <c r="G14" s="264"/>
      <c r="H14" s="264"/>
      <c r="I14" s="322"/>
      <c r="J14" s="322">
        <f>'June''23 Revenues &amp; Expenses'!I32</f>
        <v>9000</v>
      </c>
      <c r="K14" s="322">
        <f>J14</f>
        <v>9000</v>
      </c>
      <c r="L14" s="322"/>
      <c r="M14" s="322">
        <f t="shared" si="0"/>
        <v>18000</v>
      </c>
      <c r="N14" s="68"/>
      <c r="O14" s="506">
        <v>18000</v>
      </c>
      <c r="P14" s="68"/>
      <c r="Q14" s="68"/>
      <c r="R14" s="387"/>
      <c r="S14" s="470"/>
      <c r="T14" s="79"/>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row>
    <row r="15" spans="1:127" s="74" customFormat="1" ht="20.25" x14ac:dyDescent="0.2">
      <c r="A15" s="73"/>
      <c r="B15" s="73"/>
      <c r="C15" s="420" t="s">
        <v>103</v>
      </c>
      <c r="D15" s="420"/>
      <c r="E15" s="420"/>
      <c r="F15" s="73"/>
      <c r="G15" s="264">
        <v>0</v>
      </c>
      <c r="H15" s="264">
        <v>3517</v>
      </c>
      <c r="I15" s="322"/>
      <c r="J15" s="322">
        <f>'June''23 State of Activities'!G18</f>
        <v>13087.07</v>
      </c>
      <c r="K15" s="322">
        <v>10000</v>
      </c>
      <c r="L15" s="322"/>
      <c r="M15" s="322">
        <f t="shared" si="0"/>
        <v>23087.07</v>
      </c>
      <c r="N15" s="68"/>
      <c r="O15" s="506">
        <v>20000</v>
      </c>
      <c r="P15" s="68"/>
      <c r="Q15" s="68"/>
      <c r="R15" s="387"/>
      <c r="S15" s="470"/>
      <c r="T15" s="361"/>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row>
    <row r="16" spans="1:127" s="74" customFormat="1" ht="20.25" x14ac:dyDescent="0.2">
      <c r="A16" s="73"/>
      <c r="B16" s="73"/>
      <c r="C16" s="420" t="s">
        <v>653</v>
      </c>
      <c r="D16" s="420"/>
      <c r="E16" s="420"/>
      <c r="F16" s="73"/>
      <c r="G16" s="264"/>
      <c r="H16" s="264"/>
      <c r="I16" s="322"/>
      <c r="J16" s="322"/>
      <c r="K16" s="322">
        <v>15000</v>
      </c>
      <c r="L16" s="322"/>
      <c r="M16" s="843">
        <f t="shared" si="0"/>
        <v>15000</v>
      </c>
      <c r="N16" s="68"/>
      <c r="O16" s="506"/>
      <c r="P16" s="68"/>
      <c r="Q16" s="68"/>
      <c r="R16" s="387"/>
      <c r="S16" s="470"/>
      <c r="T16" s="361"/>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row>
    <row r="17" spans="1:60" s="74" customFormat="1" ht="20.25" x14ac:dyDescent="0.2">
      <c r="A17" s="73"/>
      <c r="B17" s="73"/>
      <c r="C17" s="420" t="s">
        <v>216</v>
      </c>
      <c r="D17" s="420"/>
      <c r="E17" s="420"/>
      <c r="F17" s="73"/>
      <c r="G17" s="264">
        <v>31459</v>
      </c>
      <c r="H17" s="264">
        <v>13920.35</v>
      </c>
      <c r="I17" s="322"/>
      <c r="J17" s="322">
        <f>'June''23 Revenues &amp; Expenses'!H48</f>
        <v>13472.43</v>
      </c>
      <c r="K17" s="322">
        <f>27500-J17</f>
        <v>14027.57</v>
      </c>
      <c r="L17" s="322"/>
      <c r="M17" s="322">
        <f t="shared" si="0"/>
        <v>27500</v>
      </c>
      <c r="N17" s="68"/>
      <c r="O17" s="506">
        <v>27500</v>
      </c>
      <c r="P17" s="68"/>
      <c r="Q17" s="68"/>
      <c r="R17" s="387"/>
      <c r="S17" s="470"/>
      <c r="T17" s="361"/>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row>
    <row r="18" spans="1:60" s="74" customFormat="1" ht="20.25" x14ac:dyDescent="0.2">
      <c r="A18" s="73"/>
      <c r="B18" s="73"/>
      <c r="C18" s="420" t="s">
        <v>379</v>
      </c>
      <c r="D18" s="420"/>
      <c r="E18" s="420"/>
      <c r="F18" s="73"/>
      <c r="G18" s="264"/>
      <c r="H18" s="264"/>
      <c r="I18" s="322"/>
      <c r="J18" s="322">
        <v>11255.53</v>
      </c>
      <c r="K18" s="322">
        <v>12500</v>
      </c>
      <c r="L18" s="322"/>
      <c r="M18" s="322">
        <f t="shared" si="0"/>
        <v>23755.53</v>
      </c>
      <c r="N18" s="68"/>
      <c r="O18" s="506">
        <v>25000</v>
      </c>
      <c r="P18" s="68"/>
      <c r="Q18" s="68"/>
      <c r="R18" s="387"/>
      <c r="S18" s="470"/>
      <c r="T18" s="361"/>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row>
    <row r="19" spans="1:60" s="74" customFormat="1" ht="20.25" x14ac:dyDescent="0.2">
      <c r="A19" s="73"/>
      <c r="B19" s="73"/>
      <c r="C19" s="420" t="s">
        <v>391</v>
      </c>
      <c r="D19" s="420"/>
      <c r="E19" s="420"/>
      <c r="F19" s="73"/>
      <c r="G19" s="264"/>
      <c r="H19" s="264"/>
      <c r="I19" s="322"/>
      <c r="J19" s="322">
        <f>4166.67*6</f>
        <v>25000.02</v>
      </c>
      <c r="K19" s="322">
        <f>J19</f>
        <v>25000.02</v>
      </c>
      <c r="L19" s="322"/>
      <c r="M19" s="322">
        <f t="shared" si="0"/>
        <v>50000.04</v>
      </c>
      <c r="N19" s="68"/>
      <c r="O19" s="506">
        <v>50000</v>
      </c>
      <c r="P19" s="68"/>
      <c r="Q19" s="68"/>
      <c r="R19" s="387"/>
      <c r="S19" s="470"/>
      <c r="T19" s="361"/>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row>
    <row r="20" spans="1:60" s="74" customFormat="1" ht="20.25" x14ac:dyDescent="0.2">
      <c r="A20" s="73"/>
      <c r="B20" s="73"/>
      <c r="C20" s="420" t="s">
        <v>631</v>
      </c>
      <c r="D20" s="420"/>
      <c r="E20" s="420"/>
      <c r="F20" s="73"/>
      <c r="G20" s="264"/>
      <c r="H20" s="264"/>
      <c r="I20" s="322"/>
      <c r="J20" s="322">
        <f>7142.85*1</f>
        <v>7142.85</v>
      </c>
      <c r="K20" s="322">
        <f>50000-J20</f>
        <v>42857.15</v>
      </c>
      <c r="L20" s="322"/>
      <c r="M20" s="843">
        <f t="shared" si="0"/>
        <v>50000</v>
      </c>
      <c r="N20" s="68"/>
      <c r="O20" s="506">
        <v>0</v>
      </c>
      <c r="P20" s="68"/>
      <c r="Q20" s="68"/>
      <c r="R20" s="387"/>
      <c r="S20" s="470"/>
      <c r="T20" s="361"/>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row>
    <row r="21" spans="1:60" s="74" customFormat="1" ht="20.25" hidden="1" x14ac:dyDescent="0.2">
      <c r="A21" s="73"/>
      <c r="B21" s="73"/>
      <c r="C21" s="420" t="s">
        <v>409</v>
      </c>
      <c r="D21" s="420"/>
      <c r="E21" s="420"/>
      <c r="F21" s="73"/>
      <c r="G21" s="264"/>
      <c r="H21" s="264"/>
      <c r="I21" s="322"/>
      <c r="J21" s="322">
        <v>0</v>
      </c>
      <c r="K21" s="322">
        <v>0</v>
      </c>
      <c r="L21" s="322"/>
      <c r="M21" s="322">
        <f t="shared" si="0"/>
        <v>0</v>
      </c>
      <c r="N21" s="68"/>
      <c r="O21" s="506"/>
      <c r="P21" s="68"/>
      <c r="Q21" s="68"/>
      <c r="R21" s="387"/>
      <c r="S21" s="470"/>
      <c r="T21" s="361"/>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row>
    <row r="22" spans="1:60" s="74" customFormat="1" ht="20.25" x14ac:dyDescent="0.2">
      <c r="A22" s="73"/>
      <c r="B22" s="73"/>
      <c r="C22" s="420" t="s">
        <v>335</v>
      </c>
      <c r="D22" s="420"/>
      <c r="E22" s="420"/>
      <c r="F22" s="73"/>
      <c r="G22" s="264"/>
      <c r="H22" s="264"/>
      <c r="I22" s="322"/>
      <c r="J22" s="322">
        <v>90</v>
      </c>
      <c r="K22" s="322">
        <v>90</v>
      </c>
      <c r="L22" s="322"/>
      <c r="M22" s="322">
        <f t="shared" si="0"/>
        <v>180</v>
      </c>
      <c r="N22" s="68"/>
      <c r="O22" s="506">
        <v>0</v>
      </c>
      <c r="P22" s="68"/>
      <c r="Q22" s="68"/>
      <c r="R22" s="387"/>
      <c r="S22" s="470"/>
      <c r="T22" s="361"/>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row>
    <row r="23" spans="1:60" s="74" customFormat="1" ht="20.25" customHeight="1" x14ac:dyDescent="0.2">
      <c r="A23" s="73"/>
      <c r="B23" s="73"/>
      <c r="C23" s="1050" t="s">
        <v>632</v>
      </c>
      <c r="D23" s="1050"/>
      <c r="E23" s="1050"/>
      <c r="F23" s="1050"/>
      <c r="G23" s="264"/>
      <c r="H23" s="264"/>
      <c r="I23" s="322"/>
      <c r="J23" s="322">
        <v>529.88</v>
      </c>
      <c r="K23" s="322">
        <v>0</v>
      </c>
      <c r="L23" s="322"/>
      <c r="M23" s="322">
        <f t="shared" si="0"/>
        <v>529.88</v>
      </c>
      <c r="N23" s="68"/>
      <c r="O23" s="506">
        <v>0</v>
      </c>
      <c r="P23" s="68"/>
      <c r="Q23" s="68"/>
      <c r="R23" s="387"/>
      <c r="S23" s="470"/>
      <c r="T23" s="361"/>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row>
    <row r="24" spans="1:60" s="74" customFormat="1" ht="21" thickBot="1" x14ac:dyDescent="0.25">
      <c r="A24" s="73"/>
      <c r="B24" s="73"/>
      <c r="C24" s="420" t="s">
        <v>217</v>
      </c>
      <c r="D24" s="420"/>
      <c r="E24" s="420"/>
      <c r="F24" s="73"/>
      <c r="G24" s="265">
        <v>31250</v>
      </c>
      <c r="H24" s="265">
        <v>15624.98</v>
      </c>
      <c r="I24" s="322"/>
      <c r="J24" s="265">
        <f>'June''23 State of Activities'!G25*0.2</f>
        <v>5274</v>
      </c>
      <c r="K24" s="265">
        <f>J24</f>
        <v>5274</v>
      </c>
      <c r="L24" s="322"/>
      <c r="M24" s="265">
        <f>J24+K24</f>
        <v>10548</v>
      </c>
      <c r="N24" s="68"/>
      <c r="O24" s="377">
        <f>M24</f>
        <v>10548</v>
      </c>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row>
    <row r="25" spans="1:60" s="74" customFormat="1" ht="20.25" x14ac:dyDescent="0.2">
      <c r="A25" s="73"/>
      <c r="B25" s="73"/>
      <c r="C25" s="420"/>
      <c r="D25" s="73" t="s">
        <v>105</v>
      </c>
      <c r="E25" s="420"/>
      <c r="F25" s="73"/>
      <c r="G25" s="234">
        <v>1161224.25</v>
      </c>
      <c r="H25" s="234">
        <v>516293.30999999994</v>
      </c>
      <c r="I25" s="232"/>
      <c r="J25" s="264">
        <f>SUM(J10:J24)</f>
        <v>175042.33</v>
      </c>
      <c r="K25" s="264">
        <f>SUM(K10:K24)</f>
        <v>213650.74</v>
      </c>
      <c r="L25" s="322"/>
      <c r="M25" s="264">
        <f>SUM(M10:M24)</f>
        <v>388693.07</v>
      </c>
      <c r="N25" s="68"/>
      <c r="O25" s="264">
        <f>SUM(O10:O24)</f>
        <v>294548</v>
      </c>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row>
    <row r="26" spans="1:60" s="74" customFormat="1" ht="21" thickBot="1" x14ac:dyDescent="0.25">
      <c r="A26" s="73"/>
      <c r="B26" s="73"/>
      <c r="C26" s="73" t="s">
        <v>218</v>
      </c>
      <c r="D26" s="420"/>
      <c r="E26" s="420"/>
      <c r="F26" s="73"/>
      <c r="G26" s="241">
        <v>150176</v>
      </c>
      <c r="H26" s="241">
        <v>47700.27</v>
      </c>
      <c r="I26" s="232"/>
      <c r="J26" s="322">
        <f>21000/12*6</f>
        <v>10500</v>
      </c>
      <c r="K26" s="322">
        <f>J26</f>
        <v>10500</v>
      </c>
      <c r="L26" s="322"/>
      <c r="M26" s="322">
        <f>J26+K26</f>
        <v>21000</v>
      </c>
      <c r="N26" s="68"/>
      <c r="O26" s="506">
        <v>20000</v>
      </c>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row>
    <row r="27" spans="1:60" s="74" customFormat="1" ht="21" thickBot="1" x14ac:dyDescent="0.25">
      <c r="A27" s="73"/>
      <c r="B27" s="73"/>
      <c r="C27" s="73" t="s">
        <v>219</v>
      </c>
      <c r="D27" s="420"/>
      <c r="E27" s="420"/>
      <c r="F27" s="73"/>
      <c r="G27" s="232"/>
      <c r="H27" s="232"/>
      <c r="I27" s="232"/>
      <c r="J27" s="265">
        <v>15097.54</v>
      </c>
      <c r="K27" s="265">
        <v>14500</v>
      </c>
      <c r="L27" s="322"/>
      <c r="M27" s="265">
        <f>J27+K27</f>
        <v>29597.54</v>
      </c>
      <c r="N27" s="68"/>
      <c r="O27" s="377">
        <v>26568</v>
      </c>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row>
    <row r="28" spans="1:60" s="74" customFormat="1" ht="20.25" x14ac:dyDescent="0.2">
      <c r="A28" s="73"/>
      <c r="B28" s="73"/>
      <c r="C28" s="420"/>
      <c r="D28" s="73" t="s">
        <v>107</v>
      </c>
      <c r="E28" s="420"/>
      <c r="F28" s="73"/>
      <c r="G28" s="234">
        <v>1311400.25</v>
      </c>
      <c r="H28" s="234">
        <v>563993.57999999996</v>
      </c>
      <c r="I28" s="232"/>
      <c r="J28" s="264">
        <f>SUM(J25:J27)</f>
        <v>200639.87</v>
      </c>
      <c r="K28" s="264">
        <f>SUM(K25:K27)</f>
        <v>238650.74</v>
      </c>
      <c r="L28" s="322"/>
      <c r="M28" s="264">
        <f>SUM(M25:M27)</f>
        <v>439290.61</v>
      </c>
      <c r="N28" s="68"/>
      <c r="O28" s="264">
        <f>SUM(O25:O27)</f>
        <v>341116</v>
      </c>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row>
    <row r="29" spans="1:60" s="74" customFormat="1" ht="20.25" x14ac:dyDescent="0.2">
      <c r="A29" s="73"/>
      <c r="B29" s="73"/>
      <c r="C29" s="420"/>
      <c r="D29" s="73"/>
      <c r="E29" s="420"/>
      <c r="F29" s="73"/>
      <c r="G29" s="234"/>
      <c r="H29" s="234"/>
      <c r="I29" s="232"/>
      <c r="J29" s="322"/>
      <c r="K29" s="591"/>
      <c r="L29" s="322"/>
      <c r="M29" s="322"/>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row>
    <row r="30" spans="1:60" s="74" customFormat="1" ht="21" thickBot="1" x14ac:dyDescent="0.25">
      <c r="A30" s="73"/>
      <c r="B30" s="87" t="s">
        <v>111</v>
      </c>
      <c r="C30" s="87"/>
      <c r="D30" s="87"/>
      <c r="E30" s="87"/>
      <c r="F30" s="87"/>
      <c r="G30" s="241"/>
      <c r="H30" s="68"/>
      <c r="I30" s="68"/>
      <c r="J30" s="322"/>
      <c r="K30" s="368"/>
      <c r="L30" s="368"/>
      <c r="M30" s="3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row>
    <row r="31" spans="1:60" s="68" customFormat="1" ht="20.25" x14ac:dyDescent="0.2">
      <c r="A31" s="67"/>
      <c r="B31" s="67"/>
      <c r="C31" s="79" t="s">
        <v>220</v>
      </c>
      <c r="D31" s="79"/>
      <c r="E31" s="79"/>
      <c r="F31" s="79"/>
      <c r="G31" s="232">
        <v>733747.79999999993</v>
      </c>
      <c r="H31" s="275">
        <v>361976</v>
      </c>
      <c r="I31" s="275"/>
      <c r="J31" s="322"/>
      <c r="K31" s="399"/>
      <c r="L31" s="399"/>
      <c r="M31" s="399"/>
    </row>
    <row r="32" spans="1:60" s="68" customFormat="1" ht="20.25" x14ac:dyDescent="0.2">
      <c r="A32" s="67"/>
      <c r="B32" s="67"/>
      <c r="C32" s="79"/>
      <c r="D32" s="987" t="s">
        <v>221</v>
      </c>
      <c r="E32" s="987"/>
      <c r="F32" s="987"/>
      <c r="G32" s="232"/>
      <c r="H32" s="275"/>
      <c r="I32" s="275"/>
      <c r="J32" s="322">
        <v>116661.22</v>
      </c>
      <c r="K32" s="322">
        <f>119814</f>
        <v>119814</v>
      </c>
      <c r="L32" s="399"/>
      <c r="M32" s="322">
        <f t="shared" ref="M32:M51" si="1">J32+K32</f>
        <v>236475.22</v>
      </c>
      <c r="N32" s="368"/>
      <c r="O32" s="399">
        <v>242550</v>
      </c>
    </row>
    <row r="33" spans="1:17" s="68" customFormat="1" ht="20.25" x14ac:dyDescent="0.2">
      <c r="A33" s="67"/>
      <c r="B33" s="67"/>
      <c r="C33" s="79"/>
      <c r="D33" s="987" t="s">
        <v>222</v>
      </c>
      <c r="E33" s="987"/>
      <c r="F33" s="987"/>
      <c r="G33" s="232"/>
      <c r="H33" s="275"/>
      <c r="I33" s="275"/>
      <c r="J33" s="322">
        <f>24422.9+14066.9</f>
        <v>38489.800000000003</v>
      </c>
      <c r="K33" s="322">
        <f>6240+24352+13838.5</f>
        <v>44430.5</v>
      </c>
      <c r="L33" s="399"/>
      <c r="M33" s="322">
        <f t="shared" si="1"/>
        <v>82920.3</v>
      </c>
      <c r="N33" s="368"/>
      <c r="O33" s="399">
        <v>88858</v>
      </c>
      <c r="Q33" s="262"/>
    </row>
    <row r="34" spans="1:17" s="68" customFormat="1" ht="20.25" x14ac:dyDescent="0.2">
      <c r="A34" s="67"/>
      <c r="B34" s="67"/>
      <c r="C34" s="79"/>
      <c r="D34" s="987" t="s">
        <v>113</v>
      </c>
      <c r="E34" s="987"/>
      <c r="F34" s="987"/>
      <c r="G34" s="232"/>
      <c r="H34" s="275"/>
      <c r="I34" s="275"/>
      <c r="J34" s="322">
        <f>J32*0.213+J33*0.14</f>
        <v>30237.41186</v>
      </c>
      <c r="K34" s="322">
        <f>23009.3+1310.4+4521.77+2750.44+400</f>
        <v>31991.91</v>
      </c>
      <c r="L34" s="399"/>
      <c r="M34" s="322">
        <f t="shared" si="1"/>
        <v>62229.321859999996</v>
      </c>
      <c r="N34" s="368"/>
      <c r="O34" s="399">
        <v>60758</v>
      </c>
    </row>
    <row r="35" spans="1:17" s="68" customFormat="1" ht="20.25" x14ac:dyDescent="0.2">
      <c r="A35" s="67"/>
      <c r="B35" s="67"/>
      <c r="C35" s="79" t="s">
        <v>278</v>
      </c>
      <c r="D35" s="79"/>
      <c r="E35" s="79"/>
      <c r="F35" s="79"/>
      <c r="G35" s="232">
        <v>44745.18</v>
      </c>
      <c r="H35" s="232">
        <v>20974.21</v>
      </c>
      <c r="I35" s="232"/>
      <c r="J35" s="766"/>
      <c r="K35" s="766"/>
      <c r="L35" s="766"/>
      <c r="M35" s="322">
        <f t="shared" si="1"/>
        <v>0</v>
      </c>
      <c r="N35" s="368"/>
      <c r="O35" s="823"/>
    </row>
    <row r="36" spans="1:17" s="68" customFormat="1" ht="20.25" x14ac:dyDescent="0.2">
      <c r="A36" s="67"/>
      <c r="B36" s="67"/>
      <c r="C36" s="79"/>
      <c r="D36" s="987" t="s">
        <v>223</v>
      </c>
      <c r="E36" s="987"/>
      <c r="F36" s="987"/>
      <c r="G36" s="232"/>
      <c r="H36" s="232"/>
      <c r="I36" s="232"/>
      <c r="J36" s="322">
        <v>16535.79</v>
      </c>
      <c r="K36" s="322">
        <v>18600</v>
      </c>
      <c r="L36" s="322"/>
      <c r="M36" s="322">
        <f t="shared" si="1"/>
        <v>35135.79</v>
      </c>
      <c r="N36" s="368"/>
      <c r="O36" s="399">
        <v>38000</v>
      </c>
    </row>
    <row r="37" spans="1:17" s="68" customFormat="1" ht="20.25" x14ac:dyDescent="0.2">
      <c r="A37" s="67"/>
      <c r="B37" s="67"/>
      <c r="C37" s="79"/>
      <c r="D37" s="987" t="s">
        <v>224</v>
      </c>
      <c r="E37" s="987"/>
      <c r="F37" s="987"/>
      <c r="G37" s="232"/>
      <c r="H37" s="232"/>
      <c r="I37" s="232"/>
      <c r="J37" s="322">
        <v>7701.43</v>
      </c>
      <c r="K37" s="322">
        <v>5590</v>
      </c>
      <c r="L37" s="322"/>
      <c r="M37" s="322">
        <f t="shared" si="1"/>
        <v>13291.43</v>
      </c>
      <c r="N37" s="368"/>
      <c r="O37" s="399">
        <v>26000</v>
      </c>
    </row>
    <row r="38" spans="1:17" s="68" customFormat="1" ht="20.25" x14ac:dyDescent="0.2">
      <c r="A38" s="67"/>
      <c r="B38" s="67"/>
      <c r="C38" s="79"/>
      <c r="D38" s="987" t="s">
        <v>304</v>
      </c>
      <c r="E38" s="987"/>
      <c r="F38" s="987"/>
      <c r="G38" s="232"/>
      <c r="H38" s="232"/>
      <c r="I38" s="232"/>
      <c r="J38" s="322">
        <v>7462.62</v>
      </c>
      <c r="K38" s="322">
        <v>5500</v>
      </c>
      <c r="L38" s="322"/>
      <c r="M38" s="322">
        <f t="shared" si="1"/>
        <v>12962.619999999999</v>
      </c>
      <c r="N38" s="368"/>
      <c r="O38" s="399">
        <v>7500</v>
      </c>
    </row>
    <row r="39" spans="1:17" s="68" customFormat="1" ht="20.25" x14ac:dyDescent="0.2">
      <c r="A39" s="67"/>
      <c r="B39" s="67"/>
      <c r="C39" s="79"/>
      <c r="D39" s="987" t="s">
        <v>225</v>
      </c>
      <c r="E39" s="987"/>
      <c r="F39" s="987"/>
      <c r="G39" s="232"/>
      <c r="H39" s="232"/>
      <c r="I39" s="232"/>
      <c r="J39" s="322">
        <v>557.5</v>
      </c>
      <c r="K39" s="322">
        <v>100</v>
      </c>
      <c r="L39" s="322"/>
      <c r="M39" s="322">
        <f t="shared" si="1"/>
        <v>657.5</v>
      </c>
      <c r="N39" s="368"/>
      <c r="O39" s="399">
        <v>275</v>
      </c>
    </row>
    <row r="40" spans="1:17" s="68" customFormat="1" ht="20.25" x14ac:dyDescent="0.2">
      <c r="A40" s="67"/>
      <c r="B40" s="67"/>
      <c r="C40" s="79" t="s">
        <v>485</v>
      </c>
      <c r="D40" s="79"/>
      <c r="E40" s="79"/>
      <c r="F40" s="79"/>
      <c r="G40" s="232">
        <v>27200</v>
      </c>
      <c r="H40" s="232">
        <v>11327</v>
      </c>
      <c r="I40" s="232"/>
      <c r="J40" s="322">
        <v>13648.5</v>
      </c>
      <c r="K40" s="322">
        <f>J40</f>
        <v>13648.5</v>
      </c>
      <c r="L40" s="322"/>
      <c r="M40" s="322">
        <f t="shared" si="1"/>
        <v>27297</v>
      </c>
      <c r="N40" s="368"/>
      <c r="O40" s="399">
        <v>19430</v>
      </c>
      <c r="Q40" s="262"/>
    </row>
    <row r="41" spans="1:17" s="68" customFormat="1" ht="20.25" x14ac:dyDescent="0.2">
      <c r="A41" s="67"/>
      <c r="B41" s="67"/>
      <c r="C41" s="79" t="s">
        <v>104</v>
      </c>
      <c r="D41" s="79"/>
      <c r="E41" s="79"/>
      <c r="F41" s="79"/>
      <c r="G41" s="232">
        <v>150176</v>
      </c>
      <c r="H41" s="275">
        <v>47700.27</v>
      </c>
      <c r="I41" s="275"/>
      <c r="J41" s="322">
        <f>J24</f>
        <v>5274</v>
      </c>
      <c r="K41" s="322">
        <f>J41</f>
        <v>5274</v>
      </c>
      <c r="L41" s="399"/>
      <c r="M41" s="322">
        <f t="shared" si="1"/>
        <v>10548</v>
      </c>
      <c r="N41" s="368"/>
      <c r="O41" s="399">
        <f>M41</f>
        <v>10548</v>
      </c>
    </row>
    <row r="42" spans="1:17" s="68" customFormat="1" ht="20.25" x14ac:dyDescent="0.2">
      <c r="A42" s="67"/>
      <c r="B42" s="67"/>
      <c r="C42" s="79" t="s">
        <v>313</v>
      </c>
      <c r="D42" s="79"/>
      <c r="E42" s="79"/>
      <c r="F42" s="79"/>
      <c r="G42" s="232"/>
      <c r="H42" s="275"/>
      <c r="I42" s="275"/>
      <c r="J42" s="322">
        <f>3319.32-J43</f>
        <v>2358.92</v>
      </c>
      <c r="K42" s="322">
        <f>350*6</f>
        <v>2100</v>
      </c>
      <c r="L42" s="399"/>
      <c r="M42" s="322">
        <f t="shared" si="1"/>
        <v>4458.92</v>
      </c>
      <c r="N42" s="368"/>
      <c r="O42" s="399">
        <f>5020-O43</f>
        <v>3232</v>
      </c>
      <c r="P42" s="262"/>
    </row>
    <row r="43" spans="1:17" s="68" customFormat="1" ht="20.25" x14ac:dyDescent="0.2">
      <c r="A43" s="67"/>
      <c r="B43" s="67"/>
      <c r="C43" s="79" t="s">
        <v>563</v>
      </c>
      <c r="D43" s="79"/>
      <c r="E43" s="79"/>
      <c r="F43" s="79"/>
      <c r="G43" s="232"/>
      <c r="H43" s="275"/>
      <c r="I43" s="275"/>
      <c r="J43" s="322">
        <f>149*5+215.4</f>
        <v>960.4</v>
      </c>
      <c r="K43" s="322">
        <f>149*6</f>
        <v>894</v>
      </c>
      <c r="L43" s="399"/>
      <c r="M43" s="322">
        <f t="shared" si="1"/>
        <v>1854.4</v>
      </c>
      <c r="N43" s="368"/>
      <c r="O43" s="399">
        <f>149*12</f>
        <v>1788</v>
      </c>
    </row>
    <row r="44" spans="1:17" s="68" customFormat="1" ht="20.25" x14ac:dyDescent="0.2">
      <c r="A44" s="67"/>
      <c r="B44" s="67"/>
      <c r="C44" s="79" t="s">
        <v>227</v>
      </c>
      <c r="D44" s="79"/>
      <c r="E44" s="79"/>
      <c r="F44" s="79"/>
      <c r="G44" s="232"/>
      <c r="H44" s="275"/>
      <c r="I44" s="275"/>
      <c r="J44" s="322">
        <f>140+673</f>
        <v>813</v>
      </c>
      <c r="K44" s="322">
        <v>0</v>
      </c>
      <c r="L44" s="399"/>
      <c r="M44" s="322">
        <f t="shared" si="1"/>
        <v>813</v>
      </c>
      <c r="N44" s="368"/>
      <c r="O44" s="399">
        <v>1525</v>
      </c>
    </row>
    <row r="45" spans="1:17" s="68" customFormat="1" ht="20.25" x14ac:dyDescent="0.2">
      <c r="A45" s="67"/>
      <c r="B45" s="67"/>
      <c r="C45" s="79" t="s">
        <v>382</v>
      </c>
      <c r="D45" s="79"/>
      <c r="E45" s="79"/>
      <c r="F45" s="79"/>
      <c r="G45" s="232">
        <v>10993.12</v>
      </c>
      <c r="H45" s="275">
        <v>4904.57</v>
      </c>
      <c r="I45" s="275"/>
      <c r="J45" s="322">
        <v>4125.41</v>
      </c>
      <c r="K45" s="322">
        <f>J45</f>
        <v>4125.41</v>
      </c>
      <c r="L45" s="399"/>
      <c r="M45" s="322">
        <f t="shared" si="1"/>
        <v>8250.82</v>
      </c>
      <c r="N45" s="368"/>
      <c r="O45" s="399">
        <v>8600</v>
      </c>
    </row>
    <row r="46" spans="1:17" s="68" customFormat="1" ht="20.25" x14ac:dyDescent="0.2">
      <c r="A46" s="67"/>
      <c r="B46" s="67"/>
      <c r="C46" s="79" t="s">
        <v>228</v>
      </c>
      <c r="D46" s="79"/>
      <c r="E46" s="79"/>
      <c r="F46" s="79"/>
      <c r="G46" s="232">
        <v>10250.949999999999</v>
      </c>
      <c r="H46" s="275">
        <v>3982.99</v>
      </c>
      <c r="I46" s="275"/>
      <c r="J46" s="322">
        <f>759.4+448.66</f>
        <v>1208.06</v>
      </c>
      <c r="K46" s="322">
        <v>1000</v>
      </c>
      <c r="L46" s="399"/>
      <c r="M46" s="322">
        <f t="shared" si="1"/>
        <v>2208.06</v>
      </c>
      <c r="N46" s="368"/>
      <c r="O46" s="399">
        <v>2110</v>
      </c>
    </row>
    <row r="47" spans="1:17" s="68" customFormat="1" ht="20.25" x14ac:dyDescent="0.2">
      <c r="A47" s="67"/>
      <c r="B47" s="67"/>
      <c r="C47" s="79" t="s">
        <v>122</v>
      </c>
      <c r="D47" s="79"/>
      <c r="E47" s="79"/>
      <c r="F47" s="79"/>
      <c r="G47" s="232">
        <v>4412.53</v>
      </c>
      <c r="H47" s="276">
        <v>5667</v>
      </c>
      <c r="I47" s="276"/>
      <c r="J47" s="322">
        <v>2955.81</v>
      </c>
      <c r="K47" s="322">
        <f>J47+900</f>
        <v>3855.81</v>
      </c>
      <c r="L47" s="400"/>
      <c r="M47" s="322">
        <f t="shared" si="1"/>
        <v>6811.62</v>
      </c>
      <c r="N47" s="368"/>
      <c r="O47" s="399">
        <v>4061</v>
      </c>
    </row>
    <row r="48" spans="1:17" s="68" customFormat="1" ht="20.25" x14ac:dyDescent="0.2">
      <c r="A48" s="67"/>
      <c r="B48" s="67"/>
      <c r="C48" s="79" t="s">
        <v>120</v>
      </c>
      <c r="D48" s="79"/>
      <c r="E48" s="79"/>
      <c r="F48" s="79"/>
      <c r="G48" s="232">
        <v>7901</v>
      </c>
      <c r="H48" s="275">
        <v>4149.6000000000004</v>
      </c>
      <c r="I48" s="275"/>
      <c r="J48" s="322">
        <v>220.65</v>
      </c>
      <c r="K48" s="322">
        <v>250</v>
      </c>
      <c r="L48" s="399"/>
      <c r="M48" s="322">
        <f t="shared" si="1"/>
        <v>470.65</v>
      </c>
      <c r="N48" s="368"/>
      <c r="O48" s="399">
        <v>530</v>
      </c>
    </row>
    <row r="49" spans="1:17" s="68" customFormat="1" ht="20.25" hidden="1" x14ac:dyDescent="0.2">
      <c r="A49" s="67"/>
      <c r="B49" s="67"/>
      <c r="C49" s="79" t="s">
        <v>229</v>
      </c>
      <c r="D49" s="79"/>
      <c r="E49" s="79"/>
      <c r="F49" s="79"/>
      <c r="G49" s="232"/>
      <c r="H49" s="275"/>
      <c r="I49" s="275"/>
      <c r="J49" s="322"/>
      <c r="K49" s="322"/>
      <c r="L49" s="399"/>
      <c r="M49" s="322">
        <f t="shared" si="1"/>
        <v>0</v>
      </c>
      <c r="N49" s="368"/>
      <c r="O49" s="399"/>
    </row>
    <row r="50" spans="1:17" s="76" customFormat="1" ht="20.25" x14ac:dyDescent="0.2">
      <c r="A50" s="79"/>
      <c r="B50" s="79"/>
      <c r="C50" s="79" t="s">
        <v>116</v>
      </c>
      <c r="D50" s="79"/>
      <c r="E50" s="79"/>
      <c r="F50" s="79"/>
      <c r="G50" s="232">
        <v>5428.37</v>
      </c>
      <c r="H50" s="275">
        <v>2024.52</v>
      </c>
      <c r="I50" s="275"/>
      <c r="J50" s="322">
        <v>254</v>
      </c>
      <c r="K50" s="322">
        <f>J50</f>
        <v>254</v>
      </c>
      <c r="L50" s="399"/>
      <c r="M50" s="322">
        <f t="shared" si="1"/>
        <v>508</v>
      </c>
      <c r="N50" s="367"/>
      <c r="O50" s="399">
        <v>340</v>
      </c>
    </row>
    <row r="51" spans="1:17" s="76" customFormat="1" ht="20.25" x14ac:dyDescent="0.2">
      <c r="A51" s="79"/>
      <c r="B51" s="79"/>
      <c r="C51" s="79" t="s">
        <v>32</v>
      </c>
      <c r="D51" s="79"/>
      <c r="E51" s="79"/>
      <c r="F51" s="79"/>
      <c r="G51" s="232"/>
      <c r="H51" s="275"/>
      <c r="I51" s="275"/>
      <c r="J51" s="322">
        <f>'June''23 State of Activities'!G53</f>
        <v>2792.19</v>
      </c>
      <c r="K51" s="322">
        <f>624.49*6</f>
        <v>3746.94</v>
      </c>
      <c r="L51" s="399"/>
      <c r="M51" s="322">
        <f t="shared" si="1"/>
        <v>6539.13</v>
      </c>
      <c r="N51" s="367"/>
      <c r="O51" s="399">
        <v>5933</v>
      </c>
    </row>
    <row r="52" spans="1:17" s="76" customFormat="1" ht="20.25" x14ac:dyDescent="0.2">
      <c r="A52" s="79"/>
      <c r="B52" s="79"/>
      <c r="C52" s="79" t="s">
        <v>230</v>
      </c>
      <c r="D52" s="79"/>
      <c r="E52" s="79"/>
      <c r="F52" s="79"/>
      <c r="G52" s="232">
        <v>83462.91</v>
      </c>
      <c r="H52" s="232">
        <v>18995.71</v>
      </c>
      <c r="I52" s="232"/>
      <c r="J52" s="398">
        <f>30.2+105</f>
        <v>135.19999999999999</v>
      </c>
      <c r="K52" s="398">
        <v>1000</v>
      </c>
      <c r="L52" s="322"/>
      <c r="M52" s="398">
        <f>J52+K52</f>
        <v>1135.2</v>
      </c>
      <c r="N52" s="367"/>
      <c r="O52" s="702">
        <v>33</v>
      </c>
    </row>
    <row r="53" spans="1:17" s="68" customFormat="1" ht="21" thickBot="1" x14ac:dyDescent="0.25">
      <c r="A53" s="67"/>
      <c r="B53" s="67"/>
      <c r="C53" s="67"/>
      <c r="D53" s="73" t="s">
        <v>128</v>
      </c>
      <c r="E53" s="67"/>
      <c r="F53" s="67"/>
      <c r="G53" s="241">
        <v>1078317.8599999999</v>
      </c>
      <c r="H53" s="241">
        <v>481701.87000000005</v>
      </c>
      <c r="I53" s="232"/>
      <c r="J53" s="465">
        <f>SUM(J32:J52)</f>
        <v>252391.91186000002</v>
      </c>
      <c r="K53" s="465">
        <f>SUM(K32:K52)</f>
        <v>262175.07</v>
      </c>
      <c r="L53" s="322"/>
      <c r="M53" s="465">
        <f>SUM(M32:M52)</f>
        <v>514566.98186000006</v>
      </c>
      <c r="O53" s="465">
        <f>SUM(O32:O52)</f>
        <v>522071</v>
      </c>
      <c r="Q53" s="341"/>
    </row>
    <row r="54" spans="1:17" s="68" customFormat="1" ht="21" thickBot="1" x14ac:dyDescent="0.25">
      <c r="A54" s="67"/>
      <c r="B54" s="67"/>
      <c r="C54" s="67"/>
      <c r="D54" s="67" t="s">
        <v>129</v>
      </c>
      <c r="E54" s="67"/>
      <c r="F54" s="67"/>
      <c r="G54" s="241">
        <v>233082.39000000013</v>
      </c>
      <c r="H54" s="241">
        <v>82291.709999999905</v>
      </c>
      <c r="I54" s="232"/>
      <c r="J54" s="466">
        <f>J28-J53</f>
        <v>-51752.041860000027</v>
      </c>
      <c r="K54" s="466">
        <f>K28-K53</f>
        <v>-23524.330000000016</v>
      </c>
      <c r="L54" s="322"/>
      <c r="M54" s="984">
        <f>M28-M53</f>
        <v>-75276.371860000072</v>
      </c>
      <c r="O54" s="984">
        <f>O28-O53</f>
        <v>-180955</v>
      </c>
    </row>
    <row r="55" spans="1:17" s="68" customFormat="1" ht="20.25" x14ac:dyDescent="0.2">
      <c r="A55" s="67"/>
      <c r="B55" s="67"/>
      <c r="C55" s="67"/>
      <c r="D55" s="67"/>
      <c r="E55" s="67"/>
      <c r="F55" s="67"/>
      <c r="G55" s="232"/>
      <c r="H55" s="232"/>
      <c r="I55" s="232"/>
      <c r="J55" s="322"/>
      <c r="K55" s="322"/>
      <c r="L55" s="322"/>
      <c r="M55" s="322"/>
    </row>
    <row r="56" spans="1:17" s="65" customFormat="1" ht="26.25" x14ac:dyDescent="0.2">
      <c r="A56" s="268"/>
      <c r="B56" s="268"/>
      <c r="C56" s="79" t="s">
        <v>633</v>
      </c>
      <c r="E56" s="79"/>
      <c r="F56" s="79"/>
      <c r="G56" s="270"/>
      <c r="H56" s="232"/>
      <c r="I56" s="232"/>
      <c r="J56" s="322">
        <f>-28362.53+J51</f>
        <v>-25570.34</v>
      </c>
      <c r="K56" s="982">
        <f>(2917*-6)+K51</f>
        <v>-13755.06</v>
      </c>
      <c r="L56" s="322"/>
      <c r="M56" s="322">
        <f>J56+K56</f>
        <v>-39325.4</v>
      </c>
      <c r="O56" s="275">
        <f>-21875</f>
        <v>-21875</v>
      </c>
    </row>
    <row r="57" spans="1:17" s="68" customFormat="1" ht="20.25" x14ac:dyDescent="0.2">
      <c r="A57" s="67"/>
      <c r="B57" s="67"/>
      <c r="C57" s="79" t="s">
        <v>459</v>
      </c>
      <c r="E57" s="67"/>
      <c r="G57" s="232"/>
      <c r="H57" s="232"/>
      <c r="I57" s="232"/>
      <c r="J57" s="322">
        <f>J40</f>
        <v>13648.5</v>
      </c>
      <c r="K57" s="322">
        <f>K40</f>
        <v>13648.5</v>
      </c>
      <c r="L57" s="322"/>
      <c r="M57" s="322">
        <f>M40</f>
        <v>27297</v>
      </c>
      <c r="O57" s="275">
        <f>O40</f>
        <v>19430</v>
      </c>
    </row>
    <row r="58" spans="1:17" s="68" customFormat="1" ht="24" thickBot="1" x14ac:dyDescent="0.25">
      <c r="A58" s="67"/>
      <c r="B58" s="396"/>
      <c r="C58" s="67"/>
      <c r="D58" s="990" t="s">
        <v>232</v>
      </c>
      <c r="E58" s="990"/>
      <c r="F58" s="990"/>
      <c r="G58" s="232"/>
      <c r="H58" s="232"/>
      <c r="I58" s="232"/>
      <c r="J58" s="467">
        <f>J54+J56+J57</f>
        <v>-63673.881860000023</v>
      </c>
      <c r="K58" s="467">
        <f>K54+K56+K57</f>
        <v>-23630.890000000014</v>
      </c>
      <c r="L58" s="326"/>
      <c r="M58" s="467">
        <f>M54+M56+M57</f>
        <v>-87304.771860000066</v>
      </c>
      <c r="N58" s="387"/>
      <c r="O58" s="467">
        <f>O54+O56+O57</f>
        <v>-183400</v>
      </c>
    </row>
    <row r="59" spans="1:17" s="68" customFormat="1" ht="42" customHeight="1" thickTop="1" x14ac:dyDescent="0.2">
      <c r="A59" s="67"/>
      <c r="B59" s="67"/>
      <c r="C59" s="67"/>
      <c r="D59" s="67"/>
      <c r="E59" s="67"/>
      <c r="F59" s="67"/>
      <c r="G59" s="232"/>
      <c r="H59" s="232"/>
      <c r="I59" s="232"/>
      <c r="J59" s="322"/>
      <c r="K59" s="322"/>
      <c r="L59" s="322"/>
      <c r="M59" s="322"/>
    </row>
    <row r="60" spans="1:17" s="76" customFormat="1" ht="20.25" x14ac:dyDescent="0.2">
      <c r="A60" s="79"/>
      <c r="B60" s="79"/>
      <c r="C60" s="79" t="s">
        <v>654</v>
      </c>
      <c r="D60" s="79"/>
      <c r="E60" s="79"/>
      <c r="F60" s="79"/>
      <c r="G60" s="232"/>
      <c r="H60" s="232"/>
      <c r="I60" s="232"/>
      <c r="J60" s="232"/>
      <c r="K60" s="232"/>
      <c r="L60" s="232"/>
      <c r="M60" s="232"/>
    </row>
    <row r="61" spans="1:17" s="76" customFormat="1" ht="20.25" x14ac:dyDescent="0.3">
      <c r="A61" s="79"/>
      <c r="B61" s="79"/>
      <c r="C61" s="862" t="s">
        <v>499</v>
      </c>
      <c r="D61" s="57"/>
      <c r="E61" s="57"/>
      <c r="F61" s="760"/>
      <c r="G61" s="277"/>
      <c r="H61" s="277"/>
      <c r="I61" s="859"/>
      <c r="J61" s="232"/>
      <c r="K61" s="232"/>
      <c r="L61" s="232"/>
      <c r="M61" s="232"/>
    </row>
    <row r="62" spans="1:17" s="76" customFormat="1" ht="20.25" customHeight="1" x14ac:dyDescent="0.2">
      <c r="A62" s="79"/>
      <c r="B62" s="79"/>
      <c r="C62" s="988" t="s">
        <v>500</v>
      </c>
      <c r="D62" s="988"/>
      <c r="E62" s="988"/>
      <c r="F62" s="988"/>
      <c r="G62" s="988"/>
      <c r="H62" s="988"/>
      <c r="I62" s="988"/>
      <c r="J62" s="988"/>
      <c r="K62" s="988"/>
      <c r="L62" s="988"/>
      <c r="M62" s="988"/>
      <c r="N62" s="988"/>
      <c r="O62" s="988"/>
    </row>
    <row r="63" spans="1:17" s="76" customFormat="1" ht="29.25" customHeight="1" x14ac:dyDescent="0.2">
      <c r="A63" s="79"/>
      <c r="B63" s="79"/>
      <c r="C63" s="989" t="s">
        <v>543</v>
      </c>
      <c r="D63" s="989"/>
      <c r="E63" s="989"/>
      <c r="F63" s="989"/>
      <c r="G63" s="989"/>
      <c r="H63" s="989"/>
      <c r="I63" s="989"/>
      <c r="J63" s="989"/>
      <c r="K63" s="989"/>
      <c r="L63" s="989"/>
      <c r="M63" s="989"/>
      <c r="N63" s="989"/>
      <c r="O63" s="989"/>
    </row>
    <row r="64" spans="1:17" s="68" customFormat="1" ht="20.25" x14ac:dyDescent="0.25">
      <c r="A64" s="67"/>
      <c r="B64" s="67"/>
      <c r="C64" s="861" t="s">
        <v>501</v>
      </c>
      <c r="D64" s="57"/>
      <c r="E64" s="57"/>
      <c r="F64" s="760"/>
      <c r="G64" s="859"/>
      <c r="H64" s="859"/>
      <c r="I64" s="859"/>
      <c r="J64" s="237"/>
      <c r="K64" s="237"/>
      <c r="L64" s="237"/>
      <c r="M64" s="237"/>
    </row>
    <row r="65" spans="1:15" s="68" customFormat="1" ht="20.25" x14ac:dyDescent="0.25">
      <c r="A65" s="67"/>
      <c r="B65" s="67"/>
      <c r="C65" s="861" t="s">
        <v>541</v>
      </c>
      <c r="D65" s="57"/>
      <c r="E65" s="57"/>
      <c r="F65" s="760"/>
      <c r="G65" s="859"/>
      <c r="H65" s="859"/>
      <c r="I65" s="859"/>
      <c r="J65" s="237"/>
      <c r="K65" s="237"/>
      <c r="L65" s="237"/>
      <c r="M65" s="237"/>
    </row>
    <row r="66" spans="1:15" s="68" customFormat="1" ht="23.25" customHeight="1" x14ac:dyDescent="0.2">
      <c r="A66" s="67"/>
      <c r="B66" s="271"/>
      <c r="C66" s="988" t="s">
        <v>542</v>
      </c>
      <c r="D66" s="988"/>
      <c r="E66" s="988"/>
      <c r="F66" s="988"/>
      <c r="G66" s="988"/>
      <c r="H66" s="988"/>
      <c r="I66" s="988"/>
      <c r="J66" s="988"/>
      <c r="K66" s="988"/>
      <c r="L66" s="988"/>
      <c r="M66" s="988"/>
      <c r="N66" s="988"/>
      <c r="O66" s="988"/>
    </row>
    <row r="67" spans="1:15" s="76" customFormat="1" ht="20.25" x14ac:dyDescent="0.25">
      <c r="A67" s="79"/>
      <c r="B67" s="79"/>
      <c r="C67" s="279" t="s">
        <v>532</v>
      </c>
      <c r="D67" s="57"/>
      <c r="E67" s="57"/>
      <c r="F67" s="760"/>
      <c r="G67" s="859"/>
      <c r="H67" s="859"/>
      <c r="I67" s="859"/>
      <c r="J67" s="232"/>
      <c r="K67" s="232"/>
      <c r="L67" s="232"/>
      <c r="M67" s="232"/>
    </row>
    <row r="68" spans="1:15" s="76" customFormat="1" ht="20.25" x14ac:dyDescent="0.25">
      <c r="A68" s="79"/>
      <c r="B68" s="79"/>
      <c r="C68" s="279">
        <v>1</v>
      </c>
      <c r="D68" s="279" t="s">
        <v>533</v>
      </c>
      <c r="E68" s="57"/>
      <c r="F68" s="760"/>
      <c r="G68" s="859"/>
      <c r="H68" s="859"/>
      <c r="I68" s="859"/>
      <c r="J68" s="232"/>
      <c r="K68" s="232"/>
      <c r="L68" s="232"/>
      <c r="M68" s="232"/>
    </row>
    <row r="69" spans="1:15" s="68" customFormat="1" ht="20.25" x14ac:dyDescent="0.25">
      <c r="A69" s="67"/>
      <c r="B69" s="67"/>
      <c r="C69" s="279">
        <v>2</v>
      </c>
      <c r="D69" s="279" t="s">
        <v>539</v>
      </c>
      <c r="E69" s="57"/>
      <c r="F69" s="760"/>
      <c r="G69" s="18"/>
      <c r="H69" s="18"/>
      <c r="I69" s="18"/>
      <c r="J69" s="232"/>
      <c r="K69" s="232"/>
      <c r="L69" s="232"/>
      <c r="M69" s="232"/>
    </row>
    <row r="70" spans="1:15" s="68" customFormat="1" ht="23.25" x14ac:dyDescent="0.25">
      <c r="A70" s="67"/>
      <c r="B70" s="271"/>
      <c r="C70" s="279">
        <v>3</v>
      </c>
      <c r="D70" s="279" t="s">
        <v>540</v>
      </c>
      <c r="E70" s="57"/>
      <c r="F70" s="760"/>
      <c r="G70" s="18"/>
      <c r="H70" s="18"/>
      <c r="I70" s="18"/>
      <c r="J70" s="237"/>
      <c r="K70" s="237"/>
      <c r="L70" s="237"/>
      <c r="M70" s="237"/>
    </row>
    <row r="71" spans="1:15" s="68" customFormat="1" ht="20.25" x14ac:dyDescent="0.25">
      <c r="A71" s="67"/>
      <c r="B71" s="67"/>
      <c r="C71" s="279">
        <v>4</v>
      </c>
      <c r="D71" s="279" t="s">
        <v>535</v>
      </c>
      <c r="E71" s="57"/>
      <c r="F71" s="760"/>
      <c r="G71" s="18"/>
      <c r="H71" s="18"/>
      <c r="I71" s="18"/>
      <c r="J71" s="232"/>
      <c r="K71" s="232"/>
      <c r="L71" s="232"/>
      <c r="M71" s="232"/>
    </row>
    <row r="72" spans="1:15" s="82" customFormat="1" ht="26.25" x14ac:dyDescent="0.25">
      <c r="A72" s="268"/>
      <c r="B72" s="268"/>
      <c r="C72" s="279" t="s">
        <v>534</v>
      </c>
      <c r="D72" s="279"/>
      <c r="E72" s="57"/>
      <c r="F72" s="760"/>
      <c r="G72" s="18"/>
      <c r="H72" s="18"/>
      <c r="I72" s="18"/>
      <c r="J72" s="237"/>
      <c r="K72" s="237"/>
      <c r="L72" s="237"/>
      <c r="M72" s="237"/>
    </row>
    <row r="73" spans="1:15" s="18" customFormat="1" ht="20.25" x14ac:dyDescent="0.3">
      <c r="A73" s="122"/>
      <c r="B73" s="122"/>
      <c r="C73" s="279" t="s">
        <v>537</v>
      </c>
      <c r="D73" s="279"/>
      <c r="E73" s="57"/>
      <c r="F73" s="760"/>
      <c r="J73" s="277"/>
      <c r="K73" s="277"/>
      <c r="L73" s="277"/>
      <c r="M73" s="277"/>
    </row>
    <row r="74" spans="1:15" ht="20.25" x14ac:dyDescent="0.3">
      <c r="C74" s="279">
        <v>1</v>
      </c>
      <c r="D74" s="279" t="s">
        <v>536</v>
      </c>
      <c r="F74" s="761"/>
      <c r="G74" s="18"/>
      <c r="J74" s="277"/>
      <c r="K74" s="277"/>
      <c r="L74" s="277"/>
      <c r="M74" s="277"/>
    </row>
    <row r="75" spans="1:15" ht="20.25" x14ac:dyDescent="0.3">
      <c r="C75" s="279">
        <v>2</v>
      </c>
      <c r="D75" s="279" t="s">
        <v>538</v>
      </c>
      <c r="F75" s="761"/>
      <c r="G75" s="18"/>
      <c r="J75" s="277"/>
      <c r="K75" s="277"/>
      <c r="L75" s="277"/>
      <c r="M75" s="277"/>
    </row>
    <row r="76" spans="1:15" ht="20.25" x14ac:dyDescent="0.3">
      <c r="C76" s="279" t="s">
        <v>534</v>
      </c>
      <c r="D76" s="279"/>
      <c r="G76" s="18"/>
      <c r="J76" s="274"/>
      <c r="K76" s="274"/>
      <c r="L76" s="274"/>
      <c r="M76" s="274"/>
    </row>
    <row r="77" spans="1:15" x14ac:dyDescent="0.2">
      <c r="C77" s="279" t="s">
        <v>550</v>
      </c>
      <c r="D77" s="279"/>
      <c r="G77" s="18"/>
    </row>
    <row r="78" spans="1:15" x14ac:dyDescent="0.2">
      <c r="C78" s="279" t="s">
        <v>551</v>
      </c>
      <c r="D78" s="279"/>
      <c r="G78" s="1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58" t="s">
        <v>94</v>
      </c>
      <c r="B1" s="59"/>
      <c r="C1" s="60"/>
      <c r="D1" s="60"/>
      <c r="E1" s="60"/>
      <c r="F1" s="59"/>
      <c r="G1" s="59"/>
      <c r="H1" s="59"/>
      <c r="I1" s="59"/>
      <c r="J1" s="59"/>
      <c r="K1" s="59"/>
    </row>
    <row r="2" spans="1:11" ht="26.25" x14ac:dyDescent="0.4">
      <c r="A2" s="58" t="s">
        <v>213</v>
      </c>
      <c r="B2" s="59"/>
      <c r="C2" s="60"/>
      <c r="D2" s="60"/>
      <c r="E2" s="60"/>
      <c r="F2" s="59"/>
      <c r="G2" s="59"/>
      <c r="H2" s="59"/>
      <c r="I2" s="59"/>
      <c r="J2" s="59"/>
      <c r="K2" s="59"/>
    </row>
    <row r="3" spans="1:11" ht="26.25" x14ac:dyDescent="0.4">
      <c r="A3" s="58" t="s">
        <v>502</v>
      </c>
      <c r="B3" s="59"/>
      <c r="C3" s="60"/>
      <c r="D3" s="60"/>
      <c r="E3" s="60"/>
      <c r="F3" s="59"/>
      <c r="G3" s="59"/>
      <c r="H3" s="59"/>
      <c r="I3" s="59"/>
      <c r="J3" s="59"/>
      <c r="K3" s="59"/>
    </row>
    <row r="4" spans="1:11" ht="21" thickBot="1" x14ac:dyDescent="0.25">
      <c r="A4" s="61"/>
      <c r="B4" s="61"/>
      <c r="C4" s="61"/>
      <c r="D4" s="61"/>
      <c r="E4" s="61"/>
      <c r="F4" s="61"/>
      <c r="G4" s="61"/>
      <c r="H4" s="61"/>
      <c r="I4" s="61"/>
      <c r="J4" s="62"/>
      <c r="K4" s="320"/>
    </row>
    <row r="5" spans="1:11" ht="27.75" thickTop="1" thickBot="1" x14ac:dyDescent="0.25">
      <c r="A5" s="64" t="s">
        <v>108</v>
      </c>
      <c r="B5" s="64"/>
      <c r="C5" s="64"/>
      <c r="D5" s="64"/>
      <c r="E5" s="64"/>
      <c r="F5" s="64"/>
      <c r="G5" s="64"/>
      <c r="H5" s="64"/>
      <c r="I5" s="64"/>
      <c r="J5" s="973"/>
      <c r="K5" s="870"/>
    </row>
    <row r="6" spans="1:11" ht="21" thickTop="1" x14ac:dyDescent="0.2">
      <c r="A6" s="67"/>
      <c r="B6" s="67"/>
      <c r="C6" s="67"/>
      <c r="D6" s="67"/>
      <c r="E6" s="67"/>
      <c r="F6" s="67"/>
      <c r="G6" s="67"/>
      <c r="H6" s="67"/>
      <c r="I6" s="67"/>
      <c r="J6" s="68"/>
      <c r="K6" s="68"/>
    </row>
    <row r="7" spans="1:11" ht="21" thickBot="1" x14ac:dyDescent="0.35">
      <c r="A7" s="69"/>
      <c r="B7" s="153" t="s">
        <v>100</v>
      </c>
      <c r="C7" s="153"/>
      <c r="D7" s="153"/>
      <c r="E7" s="153"/>
      <c r="F7" s="153"/>
      <c r="G7" s="668">
        <v>43465</v>
      </c>
      <c r="H7" s="668">
        <v>43830</v>
      </c>
      <c r="I7" s="668">
        <v>44196</v>
      </c>
      <c r="J7" s="668">
        <v>44561</v>
      </c>
      <c r="K7" s="668">
        <v>44926</v>
      </c>
    </row>
    <row r="8" spans="1:11" ht="20.25" x14ac:dyDescent="0.2">
      <c r="A8" s="73"/>
      <c r="B8" s="73"/>
      <c r="C8" s="420" t="s">
        <v>150</v>
      </c>
      <c r="D8" s="420"/>
      <c r="E8" s="420"/>
      <c r="F8" s="73"/>
      <c r="G8" s="326">
        <f>153461+3123</f>
        <v>156584</v>
      </c>
      <c r="H8" s="326">
        <v>158721</v>
      </c>
      <c r="I8" s="326">
        <f>68070.06</f>
        <v>68070.06</v>
      </c>
      <c r="J8" s="326">
        <v>85646.89</v>
      </c>
      <c r="K8" s="326">
        <v>84478</v>
      </c>
    </row>
    <row r="9" spans="1:11" ht="20.25" x14ac:dyDescent="0.2">
      <c r="A9" s="73"/>
      <c r="B9" s="73"/>
      <c r="C9" s="420" t="s">
        <v>214</v>
      </c>
      <c r="D9" s="420"/>
      <c r="E9" s="420"/>
      <c r="F9" s="73"/>
      <c r="G9" s="322">
        <v>20332</v>
      </c>
      <c r="H9" s="322">
        <v>12278.42</v>
      </c>
      <c r="I9" s="322">
        <v>16169.1</v>
      </c>
      <c r="J9" s="322">
        <v>34505.879999999997</v>
      </c>
      <c r="K9" s="322">
        <v>13806</v>
      </c>
    </row>
    <row r="10" spans="1:11" ht="20.25" x14ac:dyDescent="0.2">
      <c r="A10" s="73"/>
      <c r="B10" s="73"/>
      <c r="C10" s="420" t="s">
        <v>389</v>
      </c>
      <c r="D10" s="420"/>
      <c r="E10" s="420"/>
      <c r="F10" s="73"/>
      <c r="G10" s="322"/>
      <c r="H10" s="322">
        <v>10616</v>
      </c>
      <c r="I10" s="322">
        <v>3260</v>
      </c>
      <c r="J10" s="322">
        <v>0</v>
      </c>
      <c r="K10" s="322">
        <v>32978</v>
      </c>
    </row>
    <row r="11" spans="1:11" ht="20.25" x14ac:dyDescent="0.2">
      <c r="A11" s="73"/>
      <c r="B11" s="73"/>
      <c r="C11" s="420" t="s">
        <v>102</v>
      </c>
      <c r="D11" s="420"/>
      <c r="E11" s="420"/>
      <c r="F11" s="73"/>
      <c r="G11" s="322"/>
      <c r="H11" s="322"/>
      <c r="I11" s="322"/>
      <c r="J11" s="322"/>
      <c r="K11" s="322"/>
    </row>
    <row r="12" spans="1:11" ht="20.25" x14ac:dyDescent="0.2">
      <c r="A12" s="73"/>
      <c r="B12" s="73"/>
      <c r="C12" s="77"/>
      <c r="D12" s="420" t="s">
        <v>215</v>
      </c>
      <c r="E12" s="420"/>
      <c r="F12" s="73"/>
      <c r="G12" s="322">
        <v>42500</v>
      </c>
      <c r="H12" s="322">
        <v>44499.96</v>
      </c>
      <c r="I12" s="322">
        <f>3750*12</f>
        <v>45000</v>
      </c>
      <c r="J12" s="322">
        <v>45500</v>
      </c>
      <c r="K12" s="322">
        <v>46000</v>
      </c>
    </row>
    <row r="13" spans="1:11" ht="20.25" x14ac:dyDescent="0.2">
      <c r="A13" s="73"/>
      <c r="B13" s="73"/>
      <c r="C13" s="77"/>
      <c r="D13" s="420" t="s">
        <v>159</v>
      </c>
      <c r="E13" s="420"/>
      <c r="F13" s="73"/>
      <c r="G13" s="322">
        <v>9000</v>
      </c>
      <c r="H13" s="322">
        <v>13000</v>
      </c>
      <c r="I13" s="322">
        <v>18000</v>
      </c>
      <c r="J13" s="322">
        <v>18000</v>
      </c>
      <c r="K13" s="322">
        <v>18000</v>
      </c>
    </row>
    <row r="14" spans="1:11" ht="20.25" x14ac:dyDescent="0.2">
      <c r="A14" s="73"/>
      <c r="B14" s="73"/>
      <c r="C14" s="420" t="s">
        <v>103</v>
      </c>
      <c r="D14" s="420"/>
      <c r="E14" s="420"/>
      <c r="F14" s="73"/>
      <c r="G14" s="322">
        <v>12796</v>
      </c>
      <c r="H14" s="322">
        <v>13071.46</v>
      </c>
      <c r="I14" s="322">
        <v>12695.06</v>
      </c>
      <c r="J14" s="322">
        <v>17445.740000000002</v>
      </c>
      <c r="K14" s="322">
        <v>17485</v>
      </c>
    </row>
    <row r="15" spans="1:11" ht="20.25" x14ac:dyDescent="0.2">
      <c r="A15" s="73"/>
      <c r="B15" s="73"/>
      <c r="C15" s="420" t="s">
        <v>503</v>
      </c>
      <c r="D15" s="420"/>
      <c r="E15" s="420"/>
      <c r="F15" s="73"/>
      <c r="G15" s="322">
        <f>25000</f>
        <v>25000</v>
      </c>
      <c r="H15" s="322">
        <v>71886</v>
      </c>
      <c r="I15" s="322">
        <v>77911.459999999992</v>
      </c>
      <c r="J15" s="322">
        <v>80378.48</v>
      </c>
      <c r="K15" s="322">
        <f>27500+3340</f>
        <v>30840</v>
      </c>
    </row>
    <row r="16" spans="1:11" ht="20.25" x14ac:dyDescent="0.2">
      <c r="A16" s="73"/>
      <c r="B16" s="73"/>
      <c r="C16" s="420" t="s">
        <v>350</v>
      </c>
      <c r="D16" s="420"/>
      <c r="E16" s="420"/>
      <c r="F16" s="73"/>
      <c r="G16" s="322">
        <f>659</f>
        <v>659</v>
      </c>
      <c r="H16" s="322">
        <v>7946</v>
      </c>
      <c r="I16" s="322">
        <v>255.74</v>
      </c>
      <c r="J16" s="322">
        <v>3312.47</v>
      </c>
      <c r="K16" s="322"/>
    </row>
    <row r="17" spans="1:11" ht="21" thickBot="1" x14ac:dyDescent="0.25">
      <c r="A17" s="73"/>
      <c r="B17" s="73"/>
      <c r="C17" s="420" t="s">
        <v>217</v>
      </c>
      <c r="D17" s="420"/>
      <c r="E17" s="420"/>
      <c r="F17" s="73"/>
      <c r="G17" s="265">
        <v>9315</v>
      </c>
      <c r="H17" s="265">
        <v>9315</v>
      </c>
      <c r="I17" s="265">
        <v>9315</v>
      </c>
      <c r="J17" s="265">
        <v>10548</v>
      </c>
      <c r="K17" s="265">
        <v>10548</v>
      </c>
    </row>
    <row r="18" spans="1:11" ht="20.25" x14ac:dyDescent="0.2">
      <c r="A18" s="73"/>
      <c r="B18" s="73"/>
      <c r="C18" s="420"/>
      <c r="D18" s="73" t="s">
        <v>105</v>
      </c>
      <c r="E18" s="420"/>
      <c r="F18" s="73"/>
      <c r="G18" s="264">
        <f>SUM(G8:G17)</f>
        <v>276186</v>
      </c>
      <c r="H18" s="264">
        <f>SUM(H8:H17)</f>
        <v>341333.83999999997</v>
      </c>
      <c r="I18" s="264">
        <f>SUM(I8:I17)</f>
        <v>250676.41999999998</v>
      </c>
      <c r="J18" s="264">
        <f>SUM(J8:J17)</f>
        <v>295337.45999999996</v>
      </c>
      <c r="K18" s="264">
        <f>SUM(K8:K17)</f>
        <v>254135</v>
      </c>
    </row>
    <row r="19" spans="1:11" ht="20.25" x14ac:dyDescent="0.2">
      <c r="A19" s="73"/>
      <c r="B19" s="73"/>
      <c r="C19" s="73" t="s">
        <v>218</v>
      </c>
      <c r="D19" s="420"/>
      <c r="E19" s="420"/>
      <c r="F19" s="73"/>
      <c r="G19" s="322">
        <v>19000</v>
      </c>
      <c r="H19" s="322">
        <v>19000</v>
      </c>
      <c r="I19" s="322">
        <v>19000</v>
      </c>
      <c r="J19" s="322">
        <v>18500</v>
      </c>
      <c r="K19" s="322">
        <f>13333/8*12</f>
        <v>19999.5</v>
      </c>
    </row>
    <row r="20" spans="1:11" ht="21" thickBot="1" x14ac:dyDescent="0.25">
      <c r="A20" s="73"/>
      <c r="B20" s="73"/>
      <c r="C20" s="73" t="s">
        <v>219</v>
      </c>
      <c r="D20" s="420"/>
      <c r="E20" s="420"/>
      <c r="F20" s="73"/>
      <c r="G20" s="265">
        <v>37641</v>
      </c>
      <c r="H20" s="265">
        <v>37834</v>
      </c>
      <c r="I20" s="265">
        <v>34669.31</v>
      </c>
      <c r="J20" s="265">
        <v>26400.720000000001</v>
      </c>
      <c r="K20" s="265">
        <v>43041</v>
      </c>
    </row>
    <row r="21" spans="1:11" ht="20.25" x14ac:dyDescent="0.2">
      <c r="A21" s="73"/>
      <c r="B21" s="73"/>
      <c r="C21" s="420"/>
      <c r="D21" s="73" t="s">
        <v>107</v>
      </c>
      <c r="E21" s="420"/>
      <c r="F21" s="73"/>
      <c r="G21" s="264">
        <f>SUM(G18:G20)</f>
        <v>332827</v>
      </c>
      <c r="H21" s="264">
        <f>SUM(H18:H20)</f>
        <v>398167.83999999997</v>
      </c>
      <c r="I21" s="264">
        <f>SUM(I18:I20)</f>
        <v>304345.73</v>
      </c>
      <c r="J21" s="264">
        <f>SUM(J18:J20)</f>
        <v>340238.17999999993</v>
      </c>
      <c r="K21" s="264">
        <f>SUM(K18:K20)</f>
        <v>317175.5</v>
      </c>
    </row>
    <row r="22" spans="1:11" ht="20.25" x14ac:dyDescent="0.2">
      <c r="A22" s="73"/>
      <c r="B22" s="73"/>
      <c r="C22" s="420"/>
      <c r="D22" s="73"/>
      <c r="E22" s="420"/>
      <c r="F22" s="73" t="s">
        <v>504</v>
      </c>
      <c r="G22" s="264"/>
      <c r="H22" s="264">
        <v>-46886</v>
      </c>
      <c r="I22" s="264"/>
      <c r="J22" s="264"/>
      <c r="K22" s="264"/>
    </row>
    <row r="23" spans="1:11" ht="20.25" x14ac:dyDescent="0.2">
      <c r="A23" s="73"/>
      <c r="B23" s="73"/>
      <c r="C23" s="420"/>
      <c r="D23" s="73" t="s">
        <v>505</v>
      </c>
      <c r="E23" s="420"/>
      <c r="F23" s="73"/>
      <c r="G23" s="264"/>
      <c r="H23" s="264">
        <f>SUM(H21:H22)</f>
        <v>351281.83999999997</v>
      </c>
      <c r="I23" s="264"/>
      <c r="J23" s="264"/>
      <c r="K23" s="264"/>
    </row>
    <row r="24" spans="1:11" ht="20.25" x14ac:dyDescent="0.2">
      <c r="A24" s="73"/>
      <c r="B24" s="73"/>
      <c r="C24" s="420"/>
      <c r="D24" s="73"/>
      <c r="E24" s="420"/>
      <c r="F24" s="73"/>
      <c r="G24" s="73"/>
      <c r="H24" s="73"/>
      <c r="I24" s="73"/>
      <c r="J24" s="591"/>
      <c r="K24" s="591"/>
    </row>
    <row r="25" spans="1:11" ht="21" thickBot="1" x14ac:dyDescent="0.25">
      <c r="A25" s="73"/>
      <c r="B25" s="87" t="s">
        <v>111</v>
      </c>
      <c r="C25" s="87"/>
      <c r="D25" s="87"/>
      <c r="E25" s="87"/>
      <c r="F25" s="87"/>
      <c r="G25" s="67"/>
      <c r="H25" s="67"/>
      <c r="I25" s="67"/>
      <c r="J25" s="368"/>
      <c r="K25" s="368"/>
    </row>
    <row r="26" spans="1:11" ht="20.25" x14ac:dyDescent="0.2">
      <c r="A26" s="67"/>
      <c r="B26" s="67"/>
      <c r="C26" s="79" t="s">
        <v>220</v>
      </c>
      <c r="D26" s="79"/>
      <c r="E26" s="79"/>
      <c r="F26" s="79"/>
      <c r="G26" s="79"/>
      <c r="H26" s="79"/>
      <c r="I26" s="79"/>
      <c r="J26" s="399"/>
      <c r="K26" s="399"/>
    </row>
    <row r="27" spans="1:11" ht="20.25" x14ac:dyDescent="0.2">
      <c r="A27" s="67"/>
      <c r="B27" s="67"/>
      <c r="C27" s="79"/>
      <c r="D27" s="987" t="s">
        <v>221</v>
      </c>
      <c r="E27" s="987"/>
      <c r="F27" s="987"/>
      <c r="G27" s="322">
        <v>146508</v>
      </c>
      <c r="H27" s="322">
        <v>162253.75</v>
      </c>
      <c r="I27" s="322">
        <v>133830.65</v>
      </c>
      <c r="J27" s="322">
        <v>155035.70000000001</v>
      </c>
      <c r="K27" s="322">
        <v>205058</v>
      </c>
    </row>
    <row r="28" spans="1:11" ht="20.25" x14ac:dyDescent="0.2">
      <c r="A28" s="67"/>
      <c r="B28" s="67"/>
      <c r="C28" s="79"/>
      <c r="D28" s="987" t="s">
        <v>222</v>
      </c>
      <c r="E28" s="987"/>
      <c r="F28" s="987"/>
      <c r="G28" s="322">
        <v>59928</v>
      </c>
      <c r="H28" s="322">
        <f>37966.12+23862.63+605.03+106.59</f>
        <v>62540.369999999995</v>
      </c>
      <c r="I28" s="322">
        <f>44061.17+21220.39</f>
        <v>65281.56</v>
      </c>
      <c r="J28" s="322">
        <f>43631.85+27917.65</f>
        <v>71549.5</v>
      </c>
      <c r="K28" s="322">
        <v>78236</v>
      </c>
    </row>
    <row r="29" spans="1:11" ht="20.25" x14ac:dyDescent="0.2">
      <c r="A29" s="67"/>
      <c r="B29" s="67"/>
      <c r="C29" s="79"/>
      <c r="D29" s="987" t="s">
        <v>113</v>
      </c>
      <c r="E29" s="987"/>
      <c r="F29" s="987"/>
      <c r="G29" s="322">
        <v>39636</v>
      </c>
      <c r="H29" s="322">
        <v>42279.58</v>
      </c>
      <c r="I29" s="322">
        <v>36601</v>
      </c>
      <c r="J29" s="322">
        <f>J27*0.213+J28*0.14</f>
        <v>43039.534100000004</v>
      </c>
      <c r="K29" s="322">
        <f>K27*0.213+K28*0.14</f>
        <v>54630.394</v>
      </c>
    </row>
    <row r="30" spans="1:11" ht="20.25" x14ac:dyDescent="0.2">
      <c r="A30" s="67"/>
      <c r="B30" s="67"/>
      <c r="C30" s="79" t="s">
        <v>278</v>
      </c>
      <c r="D30" s="79"/>
      <c r="E30" s="79"/>
      <c r="F30" s="79"/>
      <c r="G30" s="766"/>
      <c r="H30" s="766"/>
      <c r="I30" s="766"/>
      <c r="J30" s="766"/>
      <c r="K30" s="766"/>
    </row>
    <row r="31" spans="1:11" ht="20.25" x14ac:dyDescent="0.2">
      <c r="A31" s="67"/>
      <c r="B31" s="67"/>
      <c r="C31" s="79"/>
      <c r="D31" s="987" t="s">
        <v>223</v>
      </c>
      <c r="E31" s="987"/>
      <c r="F31" s="987"/>
      <c r="G31" s="322">
        <v>27184</v>
      </c>
      <c r="H31" s="322">
        <v>25472.83</v>
      </c>
      <c r="I31" s="322">
        <v>15135.29</v>
      </c>
      <c r="J31" s="322">
        <v>25112.19</v>
      </c>
      <c r="K31" s="322">
        <v>37937</v>
      </c>
    </row>
    <row r="32" spans="1:11" ht="20.25" x14ac:dyDescent="0.2">
      <c r="A32" s="67"/>
      <c r="B32" s="67"/>
      <c r="C32" s="79"/>
      <c r="D32" s="987" t="s">
        <v>224</v>
      </c>
      <c r="E32" s="987"/>
      <c r="F32" s="987"/>
      <c r="G32" s="322">
        <v>15511</v>
      </c>
      <c r="H32" s="322">
        <v>17989.87</v>
      </c>
      <c r="I32" s="322">
        <v>22636.98</v>
      </c>
      <c r="J32" s="322">
        <v>23957.25</v>
      </c>
      <c r="K32" s="322">
        <v>25355</v>
      </c>
    </row>
    <row r="33" spans="1:11" ht="20.25" x14ac:dyDescent="0.2">
      <c r="A33" s="67"/>
      <c r="B33" s="67"/>
      <c r="C33" s="79"/>
      <c r="D33" s="987" t="s">
        <v>304</v>
      </c>
      <c r="E33" s="987"/>
      <c r="F33" s="987"/>
      <c r="G33" s="322">
        <v>12450</v>
      </c>
      <c r="H33" s="322">
        <v>16090.9</v>
      </c>
      <c r="I33" s="322">
        <v>11030.88</v>
      </c>
      <c r="J33" s="322">
        <v>19504.66</v>
      </c>
      <c r="K33" s="322">
        <v>10952</v>
      </c>
    </row>
    <row r="34" spans="1:11" ht="20.25" x14ac:dyDescent="0.2">
      <c r="A34" s="67"/>
      <c r="B34" s="67"/>
      <c r="C34" s="79"/>
      <c r="D34" s="987" t="s">
        <v>225</v>
      </c>
      <c r="E34" s="987"/>
      <c r="F34" s="987"/>
      <c r="G34" s="322">
        <v>377</v>
      </c>
      <c r="H34" s="322">
        <v>1427.75</v>
      </c>
      <c r="I34" s="322">
        <v>397</v>
      </c>
      <c r="J34" s="322">
        <v>663</v>
      </c>
      <c r="K34" s="322">
        <v>744</v>
      </c>
    </row>
    <row r="35" spans="1:11" ht="20.25" x14ac:dyDescent="0.2">
      <c r="A35" s="67"/>
      <c r="B35" s="67"/>
      <c r="C35" s="79" t="s">
        <v>485</v>
      </c>
      <c r="D35" s="79"/>
      <c r="E35" s="79"/>
      <c r="F35" s="79"/>
      <c r="G35" s="322">
        <v>25080</v>
      </c>
      <c r="H35" s="322">
        <f>22438.68+1591</f>
        <v>24029.68</v>
      </c>
      <c r="I35" s="322">
        <f>29909+1860</f>
        <v>31769</v>
      </c>
      <c r="J35" s="322">
        <f>1903+28481</f>
        <v>30384</v>
      </c>
      <c r="K35" s="322">
        <v>31133</v>
      </c>
    </row>
    <row r="36" spans="1:11" ht="20.25" x14ac:dyDescent="0.2">
      <c r="A36" s="67"/>
      <c r="B36" s="67"/>
      <c r="C36" s="79" t="s">
        <v>104</v>
      </c>
      <c r="D36" s="79"/>
      <c r="E36" s="79"/>
      <c r="F36" s="79"/>
      <c r="G36" s="322">
        <f>G17</f>
        <v>9315</v>
      </c>
      <c r="H36" s="322">
        <f>H17</f>
        <v>9315</v>
      </c>
      <c r="I36" s="322">
        <f>I17</f>
        <v>9315</v>
      </c>
      <c r="J36" s="322">
        <f>J17</f>
        <v>10548</v>
      </c>
      <c r="K36" s="322">
        <f>K17</f>
        <v>10548</v>
      </c>
    </row>
    <row r="37" spans="1:11" ht="20.25" x14ac:dyDescent="0.2">
      <c r="A37" s="67"/>
      <c r="B37" s="67"/>
      <c r="C37" s="79" t="s">
        <v>597</v>
      </c>
      <c r="D37" s="79"/>
      <c r="E37" s="79"/>
      <c r="F37" s="79"/>
      <c r="G37" s="322">
        <v>4075</v>
      </c>
      <c r="H37" s="322">
        <v>4497</v>
      </c>
      <c r="I37" s="322">
        <v>4682.25</v>
      </c>
      <c r="J37" s="322">
        <v>4231.88</v>
      </c>
      <c r="K37" s="322">
        <f>3948.9+400+400+447</f>
        <v>5195.8999999999996</v>
      </c>
    </row>
    <row r="38" spans="1:11" ht="20.25" x14ac:dyDescent="0.2">
      <c r="A38" s="67"/>
      <c r="B38" s="67"/>
      <c r="C38" s="79" t="s">
        <v>227</v>
      </c>
      <c r="D38" s="79"/>
      <c r="E38" s="79"/>
      <c r="F38" s="79"/>
      <c r="G38" s="322">
        <v>1496</v>
      </c>
      <c r="H38" s="322">
        <f>75+874</f>
        <v>949</v>
      </c>
      <c r="I38" s="322">
        <v>982</v>
      </c>
      <c r="J38" s="322">
        <f>99+937</f>
        <v>1036</v>
      </c>
      <c r="K38" s="322">
        <v>2293</v>
      </c>
    </row>
    <row r="39" spans="1:11" ht="20.25" x14ac:dyDescent="0.2">
      <c r="A39" s="67"/>
      <c r="B39" s="67"/>
      <c r="C39" s="79" t="s">
        <v>382</v>
      </c>
      <c r="D39" s="79"/>
      <c r="E39" s="79"/>
      <c r="F39" s="79"/>
      <c r="G39" s="322">
        <v>3430</v>
      </c>
      <c r="H39" s="322">
        <v>4436.1400000000003</v>
      </c>
      <c r="I39" s="322">
        <v>7774.44</v>
      </c>
      <c r="J39" s="322">
        <f>7884.62+184.74</f>
        <v>8069.36</v>
      </c>
      <c r="K39" s="322">
        <v>8659</v>
      </c>
    </row>
    <row r="40" spans="1:11" ht="20.25" x14ac:dyDescent="0.2">
      <c r="A40" s="67"/>
      <c r="B40" s="67"/>
      <c r="C40" s="79" t="s">
        <v>228</v>
      </c>
      <c r="D40" s="79"/>
      <c r="E40" s="79"/>
      <c r="F40" s="79"/>
      <c r="G40" s="322">
        <v>459</v>
      </c>
      <c r="H40" s="322">
        <f>223.01+568.51</f>
        <v>791.52</v>
      </c>
      <c r="I40" s="322">
        <v>636.94000000000005</v>
      </c>
      <c r="J40" s="322">
        <f>958.23+28.31+10.3+36.4+4907.37</f>
        <v>5940.61</v>
      </c>
      <c r="K40" s="322">
        <v>1734</v>
      </c>
    </row>
    <row r="41" spans="1:11" ht="20.25" x14ac:dyDescent="0.2">
      <c r="A41" s="67"/>
      <c r="B41" s="67"/>
      <c r="C41" s="79" t="s">
        <v>122</v>
      </c>
      <c r="D41" s="79"/>
      <c r="E41" s="79"/>
      <c r="F41" s="79"/>
      <c r="G41" s="322">
        <v>1041</v>
      </c>
      <c r="H41" s="322">
        <v>1826.56</v>
      </c>
      <c r="I41" s="322">
        <v>2528.2399999999998</v>
      </c>
      <c r="J41" s="322">
        <v>3426.72</v>
      </c>
      <c r="K41" s="322">
        <v>5037</v>
      </c>
    </row>
    <row r="42" spans="1:11" ht="20.25" x14ac:dyDescent="0.2">
      <c r="A42" s="67"/>
      <c r="B42" s="67"/>
      <c r="C42" s="79" t="s">
        <v>120</v>
      </c>
      <c r="D42" s="79"/>
      <c r="E42" s="79"/>
      <c r="F42" s="79"/>
      <c r="G42" s="322">
        <v>436</v>
      </c>
      <c r="H42" s="322">
        <v>396.82</v>
      </c>
      <c r="I42" s="322">
        <v>385.18</v>
      </c>
      <c r="J42" s="322">
        <v>420.52</v>
      </c>
      <c r="K42" s="322">
        <v>659</v>
      </c>
    </row>
    <row r="43" spans="1:11" ht="20.25" x14ac:dyDescent="0.2">
      <c r="A43" s="67"/>
      <c r="B43" s="67"/>
      <c r="C43" s="79" t="s">
        <v>229</v>
      </c>
      <c r="D43" s="79"/>
      <c r="E43" s="79"/>
      <c r="F43" s="79"/>
      <c r="G43" s="322"/>
      <c r="H43" s="322"/>
      <c r="I43" s="322"/>
      <c r="J43" s="322"/>
      <c r="K43" s="322"/>
    </row>
    <row r="44" spans="1:11" ht="20.25" x14ac:dyDescent="0.2">
      <c r="A44" s="79"/>
      <c r="B44" s="79"/>
      <c r="C44" s="79" t="s">
        <v>116</v>
      </c>
      <c r="D44" s="79"/>
      <c r="E44" s="79"/>
      <c r="F44" s="79"/>
      <c r="G44" s="322">
        <v>205</v>
      </c>
      <c r="H44" s="322">
        <v>422.62</v>
      </c>
      <c r="I44" s="322">
        <v>265.58</v>
      </c>
      <c r="J44" s="322">
        <v>225.92</v>
      </c>
      <c r="K44" s="322">
        <v>278</v>
      </c>
    </row>
    <row r="45" spans="1:11" ht="20.25" x14ac:dyDescent="0.2">
      <c r="A45" s="79"/>
      <c r="B45" s="79"/>
      <c r="C45" s="79" t="s">
        <v>230</v>
      </c>
      <c r="D45" s="79"/>
      <c r="E45" s="79"/>
      <c r="F45" s="79"/>
      <c r="G45" s="398">
        <v>542</v>
      </c>
      <c r="H45" s="398">
        <f>248.22+18.56+28.25+5</f>
        <v>300.02999999999997</v>
      </c>
      <c r="I45" s="398">
        <v>938.98</v>
      </c>
      <c r="J45" s="398">
        <f>292.24+4514.12-J37+84.23</f>
        <v>658.70999999999958</v>
      </c>
      <c r="K45" s="398">
        <f>586+1269-304+292-0.5</f>
        <v>1842.5</v>
      </c>
    </row>
    <row r="46" spans="1:11" ht="21" thickBot="1" x14ac:dyDescent="0.25">
      <c r="A46" s="67"/>
      <c r="B46" s="67"/>
      <c r="C46" s="67"/>
      <c r="D46" s="73" t="s">
        <v>128</v>
      </c>
      <c r="E46" s="67"/>
      <c r="F46" s="67"/>
      <c r="G46" s="465">
        <f>SUM(G27:G45)</f>
        <v>347673</v>
      </c>
      <c r="H46" s="465">
        <f>SUM(H27:H45)</f>
        <v>375019.4200000001</v>
      </c>
      <c r="I46" s="465">
        <f>SUM(I27:I45)</f>
        <v>344190.97</v>
      </c>
      <c r="J46" s="465">
        <f>SUM(J27:J45)</f>
        <v>403803.55409999995</v>
      </c>
      <c r="K46" s="465">
        <f>SUM(K27:K45)</f>
        <v>480291.79399999999</v>
      </c>
    </row>
    <row r="47" spans="1:11" ht="21" thickBot="1" x14ac:dyDescent="0.25">
      <c r="A47" s="67"/>
      <c r="B47" s="67"/>
      <c r="C47" s="67"/>
      <c r="D47" s="67" t="s">
        <v>129</v>
      </c>
      <c r="E47" s="67"/>
      <c r="F47" s="67"/>
      <c r="G47" s="466">
        <f>G21-G46</f>
        <v>-14846</v>
      </c>
      <c r="H47" s="466">
        <f>H21-H46</f>
        <v>23148.419999999867</v>
      </c>
      <c r="I47" s="466">
        <f>I21-I46</f>
        <v>-39845.239999999991</v>
      </c>
      <c r="J47" s="466">
        <f>J21-J46</f>
        <v>-63565.374100000015</v>
      </c>
      <c r="K47" s="466">
        <f>K21-K46</f>
        <v>-163116.29399999999</v>
      </c>
    </row>
    <row r="48" spans="1:11" ht="20.25" x14ac:dyDescent="0.2">
      <c r="A48" s="67"/>
      <c r="B48" s="67"/>
      <c r="C48" s="67"/>
      <c r="D48" s="67"/>
      <c r="E48" s="67"/>
      <c r="F48" s="67"/>
      <c r="G48" s="67"/>
      <c r="H48" s="67"/>
      <c r="I48" s="322"/>
      <c r="J48" s="322"/>
      <c r="K48" s="322"/>
    </row>
    <row r="49" spans="1:11" ht="26.25" x14ac:dyDescent="0.2">
      <c r="A49" s="268"/>
      <c r="B49" s="268"/>
      <c r="C49" s="79" t="s">
        <v>265</v>
      </c>
      <c r="D49" s="65"/>
      <c r="E49" s="79"/>
      <c r="F49" s="79"/>
      <c r="G49" s="882"/>
      <c r="H49" s="882">
        <f>-69500</f>
        <v>-69500</v>
      </c>
      <c r="I49" s="79"/>
      <c r="J49" s="322"/>
      <c r="K49" s="322"/>
    </row>
    <row r="50" spans="1:11" ht="20.25" x14ac:dyDescent="0.2">
      <c r="A50" s="67"/>
      <c r="B50" s="67"/>
      <c r="C50" s="79" t="s">
        <v>459</v>
      </c>
      <c r="D50" s="68"/>
      <c r="E50" s="67"/>
      <c r="F50" s="68"/>
      <c r="G50" s="322">
        <f>G35</f>
        <v>25080</v>
      </c>
      <c r="H50" s="322">
        <f>H35</f>
        <v>24029.68</v>
      </c>
      <c r="I50" s="322">
        <f>I35</f>
        <v>31769</v>
      </c>
      <c r="J50" s="322">
        <f>J35</f>
        <v>30384</v>
      </c>
      <c r="K50" s="322">
        <f>K35</f>
        <v>31133</v>
      </c>
    </row>
    <row r="51" spans="1:11" ht="24" thickBot="1" x14ac:dyDescent="0.25">
      <c r="A51" s="67"/>
      <c r="B51" s="396"/>
      <c r="C51" s="67"/>
      <c r="D51" s="990" t="s">
        <v>232</v>
      </c>
      <c r="E51" s="990"/>
      <c r="F51" s="990"/>
      <c r="G51" s="467">
        <f>G47+G49+G50</f>
        <v>10234</v>
      </c>
      <c r="H51" s="467">
        <f>H47+H49+H50</f>
        <v>-22321.900000000132</v>
      </c>
      <c r="I51" s="467">
        <f>I47+I49+I50</f>
        <v>-8076.2399999999907</v>
      </c>
      <c r="J51" s="467">
        <f>J47+J49+J50</f>
        <v>-33181.374100000015</v>
      </c>
      <c r="K51" s="467">
        <f>K47+K49+K50</f>
        <v>-131983.29399999999</v>
      </c>
    </row>
    <row r="52" spans="1:11" ht="21" thickTop="1" x14ac:dyDescent="0.2">
      <c r="A52" s="67"/>
      <c r="B52" s="67"/>
      <c r="C52" s="67"/>
      <c r="D52" s="67"/>
      <c r="E52" s="67"/>
      <c r="F52" s="67"/>
      <c r="G52" s="67"/>
      <c r="H52" s="67"/>
      <c r="I52" s="67"/>
      <c r="J52" s="322"/>
      <c r="K52" s="322"/>
    </row>
    <row r="53" spans="1:11" ht="20.25" x14ac:dyDescent="0.2">
      <c r="A53" s="79"/>
      <c r="B53" s="79"/>
      <c r="C53" s="79"/>
      <c r="D53" s="79"/>
      <c r="E53" s="76"/>
      <c r="F53" s="79" t="s">
        <v>309</v>
      </c>
      <c r="G53" s="322">
        <v>225930</v>
      </c>
      <c r="H53" s="322">
        <v>227723</v>
      </c>
      <c r="I53" s="322">
        <v>178666</v>
      </c>
      <c r="J53" s="322">
        <v>206080</v>
      </c>
      <c r="K53" s="322">
        <v>227490</v>
      </c>
    </row>
    <row r="54" spans="1:11" ht="21" thickBot="1" x14ac:dyDescent="0.25">
      <c r="A54" s="79"/>
      <c r="B54" s="79"/>
      <c r="C54" s="79"/>
      <c r="D54" s="79"/>
      <c r="E54" s="76"/>
      <c r="F54" s="79" t="s">
        <v>314</v>
      </c>
      <c r="G54" s="608">
        <f>(G46-G35-G36)/G53</f>
        <v>1.386615323330235</v>
      </c>
      <c r="H54" s="608">
        <f>(H46-H35-H36)/H53</f>
        <v>1.5003962709080774</v>
      </c>
      <c r="I54" s="608">
        <f>(I46-I35-I36)/I53</f>
        <v>1.6965005653006167</v>
      </c>
      <c r="J54" s="608">
        <f>(J46-J35-J36)/J53</f>
        <v>1.7608285816187885</v>
      </c>
      <c r="K54" s="608">
        <f>(K46-K35-K36)/K53</f>
        <v>1.9280442832651985</v>
      </c>
    </row>
    <row r="55" spans="1:11" ht="20.25" x14ac:dyDescent="0.2">
      <c r="A55" s="79"/>
      <c r="B55" s="79"/>
      <c r="C55" s="79"/>
      <c r="D55" s="79"/>
      <c r="E55" s="76"/>
      <c r="F55" s="79"/>
      <c r="G55" s="79"/>
      <c r="H55" s="322"/>
      <c r="I55" s="322"/>
      <c r="J55" s="322"/>
      <c r="K55" s="322"/>
    </row>
    <row r="56" spans="1:11" ht="20.25" x14ac:dyDescent="0.2">
      <c r="A56" s="79"/>
      <c r="B56" s="79"/>
      <c r="C56" s="79"/>
      <c r="D56" s="79"/>
      <c r="E56" s="76"/>
      <c r="F56" s="79" t="s">
        <v>310</v>
      </c>
      <c r="G56" s="322">
        <v>15755</v>
      </c>
      <c r="H56" s="322">
        <v>16457</v>
      </c>
      <c r="I56" s="322">
        <v>10151</v>
      </c>
      <c r="J56" s="322">
        <v>10428</v>
      </c>
      <c r="K56" s="322">
        <v>11449</v>
      </c>
    </row>
    <row r="57" spans="1:11" ht="21" thickBot="1" x14ac:dyDescent="0.25">
      <c r="A57" s="79"/>
      <c r="B57" s="79"/>
      <c r="C57" s="79"/>
      <c r="D57" s="79"/>
      <c r="E57" s="76"/>
      <c r="F57" s="79" t="s">
        <v>371</v>
      </c>
      <c r="G57" s="608">
        <f>(G46-G35-G36)/G56</f>
        <v>19.884354173278325</v>
      </c>
      <c r="H57" s="608">
        <f>(H46-H35-H36)/H56</f>
        <v>20.761666160296535</v>
      </c>
      <c r="I57" s="608">
        <f>(I46-I35-I36)/I56</f>
        <v>29.859813811447147</v>
      </c>
      <c r="J57" s="608">
        <f>(J46-J35-J36)/J56</f>
        <v>34.797809177215186</v>
      </c>
      <c r="K57" s="608">
        <f>(K46-K35-K36)/K56</f>
        <v>38.309965411826362</v>
      </c>
    </row>
    <row r="58" spans="1:11" ht="20.25" x14ac:dyDescent="0.2">
      <c r="A58" s="79"/>
      <c r="B58" s="79"/>
      <c r="C58" s="79"/>
      <c r="D58" s="79"/>
      <c r="E58" s="76"/>
      <c r="F58" s="79"/>
      <c r="G58" s="79"/>
      <c r="H58" s="322"/>
      <c r="I58" s="322"/>
      <c r="J58" s="322"/>
      <c r="K58" s="322"/>
    </row>
    <row r="59" spans="1:11" ht="20.25" hidden="1" x14ac:dyDescent="0.2">
      <c r="A59" s="79"/>
      <c r="B59" s="79"/>
      <c r="C59" s="67"/>
      <c r="D59" s="79"/>
      <c r="E59" s="76"/>
      <c r="F59" s="79" t="s">
        <v>311</v>
      </c>
      <c r="G59" s="79"/>
      <c r="H59" s="322">
        <v>2102</v>
      </c>
      <c r="I59" s="322">
        <v>2696</v>
      </c>
      <c r="J59" s="322">
        <v>2714</v>
      </c>
      <c r="K59" s="322">
        <v>2714</v>
      </c>
    </row>
    <row r="60" spans="1:11" ht="21" hidden="1" thickBot="1" x14ac:dyDescent="0.25">
      <c r="A60" s="79"/>
      <c r="B60" s="79"/>
      <c r="C60" s="79"/>
      <c r="D60" s="79"/>
      <c r="E60" s="79"/>
      <c r="F60" s="79" t="s">
        <v>372</v>
      </c>
      <c r="G60" s="79"/>
      <c r="H60" s="608">
        <f>H9/H59</f>
        <v>5.8413035204567079</v>
      </c>
      <c r="I60" s="608">
        <f>I8/I59</f>
        <v>25.248538575667656</v>
      </c>
      <c r="J60" s="608">
        <f>J8/J59</f>
        <v>31.557439204126752</v>
      </c>
      <c r="K60" s="608">
        <f>K8/K59</f>
        <v>31.12675018422992</v>
      </c>
    </row>
    <row r="61" spans="1:11" ht="20.25" hidden="1" x14ac:dyDescent="0.2">
      <c r="A61" s="79"/>
      <c r="B61" s="79"/>
      <c r="C61" s="67"/>
      <c r="D61" s="67"/>
      <c r="E61" s="76"/>
      <c r="F61" s="76"/>
      <c r="G61" s="76"/>
      <c r="H61" s="76"/>
      <c r="I61" s="322"/>
      <c r="J61" s="322"/>
      <c r="K61" s="322"/>
    </row>
    <row r="62" spans="1:11" ht="20.25" hidden="1" x14ac:dyDescent="0.2">
      <c r="A62" s="79"/>
      <c r="B62" s="79"/>
      <c r="C62" s="79"/>
      <c r="D62" s="79"/>
      <c r="E62" s="79"/>
      <c r="F62" s="79" t="s">
        <v>507</v>
      </c>
      <c r="G62" s="79"/>
      <c r="H62" s="232">
        <v>195138</v>
      </c>
      <c r="I62" s="232">
        <v>104281</v>
      </c>
      <c r="J62" s="232">
        <v>114885</v>
      </c>
      <c r="K62" s="232">
        <v>134000</v>
      </c>
    </row>
    <row r="63" spans="1:11" ht="21" hidden="1" thickBot="1" x14ac:dyDescent="0.25">
      <c r="A63" s="79"/>
      <c r="B63" s="79"/>
      <c r="C63" s="79"/>
      <c r="D63" s="79"/>
      <c r="E63" s="79"/>
      <c r="F63" s="79" t="s">
        <v>314</v>
      </c>
      <c r="G63" s="79"/>
      <c r="H63" s="883">
        <f>(H46-H35-H36)/H62</f>
        <v>1.7509390277649668</v>
      </c>
      <c r="I63" s="883">
        <f>(I46-I35-I36)/I62</f>
        <v>2.9066365876813607</v>
      </c>
      <c r="J63" s="883">
        <f>(J46-J35-J36)/J62</f>
        <v>3.1585633816425118</v>
      </c>
      <c r="K63" s="883">
        <f>(K46-K35-K36)/K62</f>
        <v>3.2732148805970147</v>
      </c>
    </row>
    <row r="64" spans="1:11" ht="20.25" hidden="1" x14ac:dyDescent="0.2">
      <c r="A64" s="79"/>
      <c r="B64" s="79"/>
      <c r="C64" s="67"/>
      <c r="D64" s="79"/>
      <c r="E64" s="76"/>
      <c r="F64" s="79"/>
      <c r="G64" s="79"/>
      <c r="H64" s="79"/>
      <c r="I64" s="232"/>
      <c r="J64" s="232"/>
      <c r="K64" s="232"/>
    </row>
    <row r="65" spans="1:11" ht="20.25" hidden="1" x14ac:dyDescent="0.2">
      <c r="A65" s="79"/>
      <c r="B65" s="79"/>
      <c r="C65" s="67"/>
      <c r="D65" s="79"/>
      <c r="E65" s="76"/>
      <c r="F65" s="79" t="s">
        <v>507</v>
      </c>
      <c r="G65" s="79"/>
      <c r="H65" s="232">
        <v>195138</v>
      </c>
      <c r="I65" s="232">
        <v>104281</v>
      </c>
      <c r="J65" s="232">
        <v>114885</v>
      </c>
      <c r="K65" s="232">
        <f>K62</f>
        <v>134000</v>
      </c>
    </row>
    <row r="66" spans="1:11" ht="20.25" hidden="1" x14ac:dyDescent="0.2">
      <c r="A66" s="79"/>
      <c r="B66" s="79"/>
      <c r="C66" s="67"/>
      <c r="D66" s="79"/>
      <c r="E66" s="76"/>
      <c r="F66" s="79" t="s">
        <v>310</v>
      </c>
      <c r="G66" s="79"/>
      <c r="H66" s="322">
        <v>16457</v>
      </c>
      <c r="I66" s="322">
        <v>10151</v>
      </c>
      <c r="J66" s="322">
        <v>10428</v>
      </c>
      <c r="K66" s="322">
        <f>K56</f>
        <v>11449</v>
      </c>
    </row>
    <row r="67" spans="1:11" ht="21" hidden="1" thickBot="1" x14ac:dyDescent="0.25">
      <c r="A67" s="79"/>
      <c r="B67" s="79"/>
      <c r="C67" s="79"/>
      <c r="D67" s="79"/>
      <c r="E67" s="79"/>
      <c r="F67" s="79" t="s">
        <v>508</v>
      </c>
      <c r="G67" s="79"/>
      <c r="H67" s="884">
        <f>H65/H66</f>
        <v>11.857446679224646</v>
      </c>
      <c r="I67" s="884">
        <f>I65/I66</f>
        <v>10.272978031721014</v>
      </c>
      <c r="J67" s="884">
        <f>J65/J66</f>
        <v>11.016973532796317</v>
      </c>
      <c r="K67" s="884">
        <f>K65/K66</f>
        <v>11.704078958861036</v>
      </c>
    </row>
    <row r="68" spans="1:11" ht="20.25" hidden="1" x14ac:dyDescent="0.2">
      <c r="A68" s="67"/>
      <c r="B68" s="67"/>
      <c r="C68" s="67"/>
      <c r="D68" s="67"/>
      <c r="E68" s="67"/>
      <c r="F68" s="67"/>
      <c r="G68" s="67"/>
      <c r="H68" s="67"/>
      <c r="I68" s="237"/>
      <c r="J68" s="237"/>
      <c r="K68" s="237"/>
    </row>
    <row r="69" spans="1:11" ht="20.25" hidden="1" x14ac:dyDescent="0.2">
      <c r="A69" s="67"/>
      <c r="B69" s="67"/>
      <c r="C69" s="67"/>
      <c r="D69" s="67"/>
      <c r="E69" s="67"/>
      <c r="F69" s="79" t="s">
        <v>509</v>
      </c>
      <c r="G69" s="79"/>
      <c r="H69" s="322">
        <v>227723</v>
      </c>
      <c r="I69" s="232">
        <v>178666</v>
      </c>
      <c r="J69" s="232">
        <v>206080</v>
      </c>
      <c r="K69" s="232">
        <f>K53</f>
        <v>227490</v>
      </c>
    </row>
    <row r="70" spans="1:11" ht="20.25" hidden="1" x14ac:dyDescent="0.2">
      <c r="A70" s="67"/>
      <c r="B70" s="67"/>
      <c r="C70" s="67"/>
      <c r="D70" s="67"/>
      <c r="E70" s="67"/>
      <c r="F70" s="79" t="s">
        <v>310</v>
      </c>
      <c r="G70" s="79"/>
      <c r="H70" s="322">
        <v>16457</v>
      </c>
      <c r="I70" s="322">
        <v>10151</v>
      </c>
      <c r="J70" s="322">
        <v>10428</v>
      </c>
      <c r="K70" s="322">
        <f>K56</f>
        <v>11449</v>
      </c>
    </row>
    <row r="71" spans="1:11" ht="21" hidden="1" thickBot="1" x14ac:dyDescent="0.25">
      <c r="A71" s="67"/>
      <c r="B71" s="67"/>
      <c r="C71" s="67"/>
      <c r="D71" s="67"/>
      <c r="E71" s="67"/>
      <c r="F71" s="79" t="s">
        <v>510</v>
      </c>
      <c r="G71" s="79"/>
      <c r="H71" s="884">
        <f>H69/H70</f>
        <v>13.837455186242936</v>
      </c>
      <c r="I71" s="884">
        <f>I69/I70</f>
        <v>17.600827504679341</v>
      </c>
      <c r="J71" s="884">
        <f>J69/J70</f>
        <v>19.762178749520523</v>
      </c>
      <c r="K71" s="884">
        <f>K69/K70</f>
        <v>19.869857629487292</v>
      </c>
    </row>
    <row r="72" spans="1:11" ht="20.25" hidden="1" x14ac:dyDescent="0.2">
      <c r="A72" s="67"/>
      <c r="B72" s="67"/>
      <c r="C72" s="67"/>
      <c r="D72" s="67"/>
      <c r="E72" s="67"/>
      <c r="F72" s="79"/>
      <c r="G72" s="79"/>
      <c r="H72" s="885"/>
      <c r="I72" s="885"/>
      <c r="J72" s="885"/>
      <c r="K72" s="885"/>
    </row>
    <row r="73" spans="1:11" ht="20.25" hidden="1" x14ac:dyDescent="0.2">
      <c r="A73" s="67"/>
      <c r="B73" s="67"/>
      <c r="C73" s="67"/>
      <c r="D73" s="67"/>
      <c r="E73" s="67"/>
      <c r="F73" s="886" t="s">
        <v>511</v>
      </c>
      <c r="G73" s="886"/>
      <c r="H73" s="67"/>
      <c r="I73" s="67"/>
      <c r="J73" s="237"/>
      <c r="K73" s="237"/>
    </row>
    <row r="74" spans="1:11" ht="20.25" hidden="1" x14ac:dyDescent="0.2">
      <c r="A74" s="67"/>
      <c r="B74" s="67"/>
      <c r="C74" s="67"/>
      <c r="D74" s="67"/>
      <c r="E74" s="67"/>
      <c r="F74" s="67" t="s">
        <v>512</v>
      </c>
      <c r="G74" s="67"/>
      <c r="H74" s="887">
        <f t="shared" ref="H74:J74" si="0">H27+(H27*0.21)+H31+H33</f>
        <v>237890.76749999999</v>
      </c>
      <c r="I74" s="887">
        <f t="shared" si="0"/>
        <v>188101.25649999999</v>
      </c>
      <c r="J74" s="887">
        <f t="shared" si="0"/>
        <v>232210.04700000002</v>
      </c>
      <c r="K74" s="887">
        <f>K27+(K27*0.2)+K31+K33</f>
        <v>294958.59999999998</v>
      </c>
    </row>
    <row r="75" spans="1:11" ht="23.25" hidden="1" x14ac:dyDescent="0.2">
      <c r="A75" s="67"/>
      <c r="B75" s="271"/>
      <c r="C75" s="67"/>
      <c r="D75" s="67"/>
      <c r="E75" s="67"/>
      <c r="F75" s="67" t="s">
        <v>513</v>
      </c>
      <c r="G75" s="67"/>
      <c r="H75" s="237">
        <f>H46-H74-H76</f>
        <v>103783.97250000012</v>
      </c>
      <c r="I75" s="237">
        <f>I46-I74-I76</f>
        <v>115005.71349999998</v>
      </c>
      <c r="J75" s="237">
        <f>J46-J74-J76</f>
        <v>130661.50709999993</v>
      </c>
      <c r="K75" s="237">
        <f>K46-K74-K76</f>
        <v>143652.19400000002</v>
      </c>
    </row>
    <row r="76" spans="1:11" ht="20.25" hidden="1" x14ac:dyDescent="0.2">
      <c r="A76" s="79"/>
      <c r="B76" s="79"/>
      <c r="C76" s="76"/>
      <c r="D76" s="79"/>
      <c r="E76" s="79"/>
      <c r="F76" s="67" t="s">
        <v>514</v>
      </c>
      <c r="G76" s="67"/>
      <c r="H76" s="237">
        <f>H35+H36</f>
        <v>33344.68</v>
      </c>
      <c r="I76" s="237">
        <f>I35+I36</f>
        <v>41084</v>
      </c>
      <c r="J76" s="237">
        <f>J35+J36</f>
        <v>40932</v>
      </c>
      <c r="K76" s="237">
        <f>K35+K36</f>
        <v>41681</v>
      </c>
    </row>
    <row r="77" spans="1:11" ht="21" hidden="1" thickBot="1" x14ac:dyDescent="0.25">
      <c r="A77" s="79"/>
      <c r="B77" s="79"/>
      <c r="C77" s="76"/>
      <c r="D77" s="79"/>
      <c r="E77" s="79"/>
      <c r="F77" s="67" t="s">
        <v>515</v>
      </c>
      <c r="G77" s="67"/>
      <c r="H77" s="889">
        <f>SUM(H74:H76)</f>
        <v>375019.4200000001</v>
      </c>
      <c r="I77" s="889">
        <f>SUM(I74:I76)</f>
        <v>344190.97</v>
      </c>
      <c r="J77" s="889">
        <f>SUM(J74:J76)</f>
        <v>403803.55409999995</v>
      </c>
      <c r="K77" s="889">
        <f>SUM(K74:K76)</f>
        <v>480291.79399999999</v>
      </c>
    </row>
    <row r="78" spans="1:11" ht="21" hidden="1" thickTop="1" x14ac:dyDescent="0.2">
      <c r="A78" s="79"/>
      <c r="B78" s="79"/>
      <c r="C78" s="76"/>
      <c r="D78" s="79"/>
      <c r="E78" s="79"/>
      <c r="F78" s="67" t="s">
        <v>516</v>
      </c>
      <c r="G78" s="67"/>
      <c r="H78" s="890">
        <v>195138</v>
      </c>
      <c r="I78" s="890">
        <v>104281</v>
      </c>
      <c r="J78" s="891">
        <f>J62</f>
        <v>114885</v>
      </c>
      <c r="K78" s="891">
        <f>K62</f>
        <v>134000</v>
      </c>
    </row>
    <row r="79" spans="1:11" ht="20.25" hidden="1" x14ac:dyDescent="0.2">
      <c r="A79" s="79"/>
      <c r="B79" s="79"/>
      <c r="C79" s="76"/>
      <c r="D79" s="79"/>
      <c r="E79" s="79"/>
      <c r="F79" s="67" t="s">
        <v>517</v>
      </c>
      <c r="G79" s="67"/>
      <c r="H79" s="892">
        <f>H74/H78</f>
        <v>1.2190899132921316</v>
      </c>
      <c r="I79" s="892">
        <f>I74/I78</f>
        <v>1.8037922200592629</v>
      </c>
      <c r="J79" s="892">
        <f>J74/J78</f>
        <v>2.0212390390390391</v>
      </c>
      <c r="K79" s="892">
        <f>K74/K78</f>
        <v>2.201183582089552</v>
      </c>
    </row>
    <row r="80" spans="1:11" ht="20.25" hidden="1" x14ac:dyDescent="0.2">
      <c r="A80" s="79"/>
      <c r="B80" s="79"/>
      <c r="C80" s="76"/>
      <c r="D80" s="79"/>
      <c r="E80" s="79"/>
      <c r="F80" s="67" t="s">
        <v>518</v>
      </c>
      <c r="G80" s="67"/>
      <c r="H80" s="892">
        <f>H75/H56</f>
        <v>6.3063725162544886</v>
      </c>
      <c r="I80" s="892">
        <f>I75/I56</f>
        <v>11.329495960989064</v>
      </c>
      <c r="J80" s="892">
        <f>J75/J56</f>
        <v>12.529872180667427</v>
      </c>
      <c r="K80" s="892">
        <f>K75/K56</f>
        <v>12.54713896410167</v>
      </c>
    </row>
    <row r="81" spans="1:11" ht="20.25" hidden="1" x14ac:dyDescent="0.2">
      <c r="A81" s="79"/>
      <c r="B81" s="79"/>
      <c r="C81" s="76"/>
      <c r="D81" s="79"/>
      <c r="E81" s="79"/>
      <c r="F81" s="67"/>
      <c r="G81" s="67"/>
      <c r="H81" s="67"/>
      <c r="I81" s="892"/>
      <c r="J81" s="892"/>
      <c r="K81" s="892"/>
    </row>
    <row r="82" spans="1:11" ht="20.25" hidden="1" x14ac:dyDescent="0.2">
      <c r="A82" s="79"/>
      <c r="B82" s="79"/>
      <c r="C82" s="76"/>
      <c r="D82" s="79"/>
      <c r="E82" s="79"/>
      <c r="F82" s="76"/>
      <c r="G82" s="76"/>
      <c r="H82" s="79"/>
      <c r="I82" s="79"/>
      <c r="J82" s="232"/>
      <c r="K82" s="232"/>
    </row>
    <row r="83" spans="1:11" ht="20.25" hidden="1" x14ac:dyDescent="0.2">
      <c r="A83" s="67"/>
      <c r="B83" s="67"/>
      <c r="C83" s="68"/>
      <c r="D83" s="79"/>
      <c r="E83" s="67"/>
      <c r="F83" s="67" t="s">
        <v>512</v>
      </c>
      <c r="G83" s="67"/>
      <c r="H83" s="237">
        <f>H23-H84-H85</f>
        <v>238182.86749999985</v>
      </c>
      <c r="I83" s="237">
        <f>I21-I84-I85</f>
        <v>180025.0165</v>
      </c>
      <c r="J83" s="237">
        <f>J21-J84-J85</f>
        <v>199028.67290000001</v>
      </c>
      <c r="K83" s="237">
        <f>K21-K84-K85</f>
        <v>162975.30599999998</v>
      </c>
    </row>
    <row r="84" spans="1:11" ht="23.25" hidden="1" x14ac:dyDescent="0.2">
      <c r="A84" s="67"/>
      <c r="B84" s="271"/>
      <c r="C84" s="67"/>
      <c r="D84" s="67"/>
      <c r="E84" s="67"/>
      <c r="F84" s="67" t="s">
        <v>513</v>
      </c>
      <c r="G84" s="67"/>
      <c r="H84" s="890">
        <f>H75</f>
        <v>103783.97250000012</v>
      </c>
      <c r="I84" s="890">
        <f>I75</f>
        <v>115005.71349999998</v>
      </c>
      <c r="J84" s="237">
        <f>J75</f>
        <v>130661.50709999993</v>
      </c>
      <c r="K84" s="237">
        <f>K75</f>
        <v>143652.19400000002</v>
      </c>
    </row>
    <row r="85" spans="1:11" ht="20.25" hidden="1" x14ac:dyDescent="0.2">
      <c r="A85" s="67"/>
      <c r="B85" s="67"/>
      <c r="C85" s="67"/>
      <c r="D85" s="67"/>
      <c r="E85" s="67"/>
      <c r="F85" s="67" t="s">
        <v>519</v>
      </c>
      <c r="G85" s="67"/>
      <c r="H85" s="890">
        <f>H17</f>
        <v>9315</v>
      </c>
      <c r="I85" s="890">
        <f>I17</f>
        <v>9315</v>
      </c>
      <c r="J85" s="237">
        <f>J36</f>
        <v>10548</v>
      </c>
      <c r="K85" s="237">
        <f>K36</f>
        <v>10548</v>
      </c>
    </row>
    <row r="86" spans="1:11" ht="27" hidden="1" thickBot="1" x14ac:dyDescent="0.25">
      <c r="A86" s="268"/>
      <c r="B86" s="268"/>
      <c r="C86" s="268"/>
      <c r="D86" s="268"/>
      <c r="E86" s="268"/>
      <c r="F86" s="67" t="s">
        <v>520</v>
      </c>
      <c r="G86" s="67"/>
      <c r="H86" s="756">
        <f>SUM(H83:H85)</f>
        <v>351281.83999999997</v>
      </c>
      <c r="I86" s="756">
        <f>SUM(I83:I85)</f>
        <v>304345.73</v>
      </c>
      <c r="J86" s="756">
        <f>SUM(J83:J85)</f>
        <v>340238.17999999993</v>
      </c>
      <c r="K86" s="756">
        <f>SUM(K83:K85)</f>
        <v>317175.5</v>
      </c>
    </row>
    <row r="87" spans="1:11" ht="27" hidden="1" thickTop="1" x14ac:dyDescent="0.2">
      <c r="A87" s="268"/>
      <c r="B87" s="268"/>
      <c r="C87" s="268"/>
      <c r="D87" s="268"/>
      <c r="E87" s="268"/>
      <c r="F87" s="67" t="s">
        <v>521</v>
      </c>
      <c r="G87" s="67"/>
      <c r="H87" s="237">
        <f>H66</f>
        <v>16457</v>
      </c>
      <c r="I87" s="237">
        <f>I66</f>
        <v>10151</v>
      </c>
      <c r="J87" s="237">
        <f>J56</f>
        <v>10428</v>
      </c>
      <c r="K87" s="237">
        <v>11740</v>
      </c>
    </row>
    <row r="88" spans="1:11" ht="20.25" hidden="1" x14ac:dyDescent="0.3">
      <c r="A88" s="122"/>
      <c r="B88" s="122"/>
      <c r="C88" s="122"/>
      <c r="D88" s="122"/>
      <c r="E88" s="122"/>
      <c r="F88" s="67" t="s">
        <v>522</v>
      </c>
      <c r="G88" s="67"/>
      <c r="H88" s="896">
        <f>H83/H79/H67</f>
        <v>16477.207130148494</v>
      </c>
      <c r="I88" s="896">
        <f>I83/I79/I67</f>
        <v>9715.1607410527849</v>
      </c>
      <c r="J88" s="896">
        <f>J83/J79/J67</f>
        <v>8937.9035395535666</v>
      </c>
      <c r="K88" s="896">
        <f>K83/K79/K67</f>
        <v>6325.9870313799975</v>
      </c>
    </row>
    <row r="89" spans="1:11" ht="20.25" hidden="1" x14ac:dyDescent="0.3">
      <c r="A89" s="122"/>
      <c r="B89" s="122"/>
      <c r="C89" s="122"/>
      <c r="D89" s="122"/>
      <c r="E89" s="122"/>
      <c r="F89" s="67" t="s">
        <v>523</v>
      </c>
      <c r="G89" s="67"/>
      <c r="H89" s="899">
        <f>H88-H87</f>
        <v>20.207130148493889</v>
      </c>
      <c r="I89" s="899">
        <f>I88-I87</f>
        <v>-435.83925894721506</v>
      </c>
      <c r="J89" s="899">
        <f>J88-J87</f>
        <v>-1490.0964604464334</v>
      </c>
      <c r="K89" s="899">
        <f>K88-K87</f>
        <v>-5414.0129686200025</v>
      </c>
    </row>
    <row r="90" spans="1:11" ht="20.25" hidden="1" x14ac:dyDescent="0.3">
      <c r="A90" s="122"/>
      <c r="B90" s="122"/>
      <c r="C90" s="122"/>
      <c r="D90" s="122"/>
      <c r="E90" s="122"/>
      <c r="F90" s="67" t="s">
        <v>517</v>
      </c>
      <c r="G90" s="67"/>
      <c r="H90" s="900">
        <f>H83/(H88*H67)</f>
        <v>1.2190899132921318</v>
      </c>
      <c r="I90" s="900">
        <f>I83/(I88*I67)</f>
        <v>1.8037922200592629</v>
      </c>
      <c r="J90" s="900">
        <f>J83/(J88*J67)</f>
        <v>2.0212390390390391</v>
      </c>
      <c r="K90" s="900">
        <f>K83/(K88*K67)</f>
        <v>2.201183582089552</v>
      </c>
    </row>
    <row r="91" spans="1:11" ht="20.25" hidden="1" x14ac:dyDescent="0.3">
      <c r="A91" s="122"/>
      <c r="B91" s="122"/>
      <c r="C91" s="122"/>
      <c r="D91" s="122"/>
      <c r="E91" s="122"/>
      <c r="F91" s="67" t="s">
        <v>518</v>
      </c>
      <c r="G91" s="67"/>
      <c r="H91" s="900">
        <f>H84/H88</f>
        <v>6.2986385787495296</v>
      </c>
      <c r="I91" s="900">
        <f>I84/I88</f>
        <v>11.837757147344673</v>
      </c>
      <c r="J91" s="900">
        <f>J84/J88</f>
        <v>14.618809267942297</v>
      </c>
      <c r="K91" s="900">
        <f>K84/K88</f>
        <v>22.708265648888418</v>
      </c>
    </row>
    <row r="92" spans="1:11" ht="20.25" hidden="1" x14ac:dyDescent="0.3">
      <c r="A92" s="122"/>
      <c r="B92" s="122"/>
      <c r="C92" s="122"/>
      <c r="D92" s="122"/>
      <c r="E92" s="122"/>
      <c r="F92" s="67"/>
      <c r="G92" s="67"/>
      <c r="H92" s="67"/>
      <c r="I92" s="900"/>
      <c r="J92" s="900"/>
      <c r="K92" s="900"/>
    </row>
    <row r="93" spans="1:11" ht="20.25" hidden="1" x14ac:dyDescent="0.3">
      <c r="A93" s="57"/>
      <c r="B93" s="57"/>
      <c r="C93" s="57"/>
      <c r="D93" s="57"/>
      <c r="E93" s="57"/>
      <c r="F93" s="57"/>
      <c r="G93" s="57"/>
      <c r="H93" s="57"/>
      <c r="I93" s="57"/>
      <c r="J93" s="277"/>
      <c r="K93" s="277"/>
    </row>
    <row r="94" spans="1:11" ht="20.25" hidden="1" x14ac:dyDescent="0.3">
      <c r="A94" s="57"/>
      <c r="B94" s="57"/>
      <c r="C94" s="57"/>
      <c r="D94" s="57"/>
      <c r="E94" s="57"/>
      <c r="F94" s="57"/>
      <c r="G94" s="57"/>
      <c r="H94" s="57"/>
      <c r="I94" s="57"/>
      <c r="J94" s="277"/>
      <c r="K94" s="277"/>
    </row>
    <row r="95" spans="1:11" ht="20.25" hidden="1" x14ac:dyDescent="0.3">
      <c r="A95" s="57"/>
      <c r="B95" s="57"/>
      <c r="C95" s="57"/>
      <c r="D95" s="57"/>
      <c r="E95" s="57"/>
      <c r="F95" s="886" t="s">
        <v>524</v>
      </c>
      <c r="G95" s="886"/>
      <c r="H95" s="57"/>
      <c r="I95" s="57"/>
      <c r="J95" s="277"/>
      <c r="K95" s="277"/>
    </row>
    <row r="96" spans="1:11" ht="20.25" hidden="1" x14ac:dyDescent="0.2">
      <c r="A96" s="57"/>
      <c r="B96" s="57"/>
      <c r="C96" s="57"/>
      <c r="D96" s="57"/>
      <c r="E96" s="57"/>
      <c r="F96" s="67" t="s">
        <v>512</v>
      </c>
      <c r="G96" s="67"/>
      <c r="H96" s="887">
        <f t="shared" ref="H96:J98" si="1">H74</f>
        <v>237890.76749999999</v>
      </c>
      <c r="I96" s="887">
        <f t="shared" si="1"/>
        <v>188101.25649999999</v>
      </c>
      <c r="J96" s="887">
        <f t="shared" si="1"/>
        <v>232210.04700000002</v>
      </c>
      <c r="K96" s="887">
        <f>K74</f>
        <v>294958.59999999998</v>
      </c>
    </row>
    <row r="97" spans="1:11" ht="20.25" hidden="1" x14ac:dyDescent="0.2">
      <c r="A97" s="57"/>
      <c r="B97" s="57"/>
      <c r="C97" s="57"/>
      <c r="D97" s="57"/>
      <c r="E97" s="57"/>
      <c r="F97" s="67" t="s">
        <v>513</v>
      </c>
      <c r="G97" s="67"/>
      <c r="H97" s="237">
        <f t="shared" si="1"/>
        <v>103783.97250000012</v>
      </c>
      <c r="I97" s="237">
        <f t="shared" si="1"/>
        <v>115005.71349999998</v>
      </c>
      <c r="J97" s="237">
        <f t="shared" si="1"/>
        <v>130661.50709999993</v>
      </c>
      <c r="K97" s="237">
        <f>K75</f>
        <v>143652.19400000002</v>
      </c>
    </row>
    <row r="98" spans="1:11" ht="20.25" hidden="1" x14ac:dyDescent="0.2">
      <c r="A98" s="57"/>
      <c r="B98" s="57"/>
      <c r="C98" s="57"/>
      <c r="D98" s="57"/>
      <c r="E98" s="57"/>
      <c r="F98" s="67" t="s">
        <v>514</v>
      </c>
      <c r="G98" s="67"/>
      <c r="H98" s="237">
        <f t="shared" si="1"/>
        <v>33344.68</v>
      </c>
      <c r="I98" s="237">
        <f t="shared" si="1"/>
        <v>41084</v>
      </c>
      <c r="J98" s="237">
        <f t="shared" si="1"/>
        <v>40932</v>
      </c>
      <c r="K98" s="237">
        <f>K76</f>
        <v>41681</v>
      </c>
    </row>
    <row r="99" spans="1:11" ht="21" hidden="1" thickBot="1" x14ac:dyDescent="0.25">
      <c r="A99" s="57"/>
      <c r="B99" s="57"/>
      <c r="C99" s="57"/>
      <c r="D99" s="57"/>
      <c r="E99" s="57"/>
      <c r="F99" s="67" t="s">
        <v>515</v>
      </c>
      <c r="G99" s="67"/>
      <c r="H99" s="889">
        <f>SUM(H96:H98)</f>
        <v>375019.4200000001</v>
      </c>
      <c r="I99" s="889">
        <f>SUM(I96:I98)</f>
        <v>344190.97</v>
      </c>
      <c r="J99" s="889">
        <f>SUM(J96:J98)</f>
        <v>403803.55409999995</v>
      </c>
      <c r="K99" s="889">
        <f>SUM(K96:K98)</f>
        <v>480291.79399999999</v>
      </c>
    </row>
    <row r="100" spans="1:11" ht="21" hidden="1" thickTop="1" x14ac:dyDescent="0.2">
      <c r="A100" s="57"/>
      <c r="B100" s="57"/>
      <c r="C100" s="57"/>
      <c r="D100" s="57"/>
      <c r="E100" s="57"/>
      <c r="F100" s="67" t="s">
        <v>525</v>
      </c>
      <c r="G100" s="67"/>
      <c r="H100" s="237">
        <f>H53</f>
        <v>227723</v>
      </c>
      <c r="I100" s="237">
        <f t="shared" ref="I100:K100" si="2">I53</f>
        <v>178666</v>
      </c>
      <c r="J100" s="237">
        <f t="shared" si="2"/>
        <v>206080</v>
      </c>
      <c r="K100" s="237">
        <f t="shared" si="2"/>
        <v>227490</v>
      </c>
    </row>
    <row r="101" spans="1:11" ht="20.25" hidden="1" x14ac:dyDescent="0.2">
      <c r="A101" s="57"/>
      <c r="B101" s="57"/>
      <c r="C101" s="57"/>
      <c r="D101" s="57"/>
      <c r="E101" s="57"/>
      <c r="F101" s="67" t="s">
        <v>526</v>
      </c>
      <c r="G101" s="67"/>
      <c r="H101" s="892">
        <f>H96/H100</f>
        <v>1.0446497169807178</v>
      </c>
      <c r="I101" s="892">
        <f>I96/I100</f>
        <v>1.0528094685054794</v>
      </c>
      <c r="J101" s="892">
        <f>J96/J100</f>
        <v>1.1267956473214287</v>
      </c>
      <c r="K101" s="892">
        <f>K96/K100</f>
        <v>1.2965783111345552</v>
      </c>
    </row>
    <row r="102" spans="1:11" ht="20.25" hidden="1" x14ac:dyDescent="0.2">
      <c r="A102" s="57"/>
      <c r="B102" s="57"/>
      <c r="C102" s="57"/>
      <c r="D102" s="57"/>
      <c r="E102" s="57"/>
      <c r="F102" s="67" t="s">
        <v>518</v>
      </c>
      <c r="G102" s="67"/>
      <c r="H102" s="892">
        <f t="shared" ref="H102:K102" si="3">H97/H56</f>
        <v>6.3063725162544886</v>
      </c>
      <c r="I102" s="892">
        <f t="shared" si="3"/>
        <v>11.329495960989064</v>
      </c>
      <c r="J102" s="892">
        <f t="shared" si="3"/>
        <v>12.529872180667427</v>
      </c>
      <c r="K102" s="892">
        <f t="shared" si="3"/>
        <v>12.54713896410167</v>
      </c>
    </row>
    <row r="103" spans="1:11" ht="20.25" hidden="1" x14ac:dyDescent="0.3">
      <c r="A103" s="57"/>
      <c r="B103" s="57"/>
      <c r="C103" s="57"/>
      <c r="D103" s="57"/>
      <c r="E103" s="57"/>
      <c r="F103" s="57"/>
      <c r="G103" s="57"/>
      <c r="H103" s="277"/>
      <c r="I103" s="277"/>
      <c r="J103" s="277"/>
      <c r="K103" s="277"/>
    </row>
    <row r="104" spans="1:11" ht="20.25" hidden="1" x14ac:dyDescent="0.2">
      <c r="A104" s="57"/>
      <c r="B104" s="57"/>
      <c r="C104" s="57"/>
      <c r="D104" s="57"/>
      <c r="E104" s="57"/>
      <c r="F104" s="57"/>
      <c r="G104" s="57"/>
      <c r="H104" s="232"/>
      <c r="I104" s="232"/>
      <c r="J104" s="232"/>
      <c r="K104" s="232"/>
    </row>
    <row r="105" spans="1:11" ht="20.25" hidden="1" x14ac:dyDescent="0.2">
      <c r="A105" s="57"/>
      <c r="B105" s="57"/>
      <c r="C105" s="57"/>
      <c r="D105" s="57"/>
      <c r="E105" s="57"/>
      <c r="F105" s="67" t="s">
        <v>512</v>
      </c>
      <c r="G105" s="67"/>
      <c r="H105" s="237">
        <f>H23-H106-H107</f>
        <v>238182.86749999985</v>
      </c>
      <c r="I105" s="237">
        <f>I21-I106-I107</f>
        <v>180025.0165</v>
      </c>
      <c r="J105" s="237">
        <f>J21-J106-J107</f>
        <v>199028.67290000001</v>
      </c>
      <c r="K105" s="237">
        <f>K21-K106-K107</f>
        <v>162975.30599999998</v>
      </c>
    </row>
    <row r="106" spans="1:11" ht="20.25" hidden="1" x14ac:dyDescent="0.2">
      <c r="A106" s="57"/>
      <c r="B106" s="57"/>
      <c r="C106" s="57"/>
      <c r="D106" s="57"/>
      <c r="E106" s="57"/>
      <c r="F106" s="67" t="s">
        <v>513</v>
      </c>
      <c r="G106" s="67"/>
      <c r="H106" s="237">
        <f t="shared" ref="H106:I106" si="4">H97</f>
        <v>103783.97250000012</v>
      </c>
      <c r="I106" s="237">
        <f t="shared" si="4"/>
        <v>115005.71349999998</v>
      </c>
      <c r="J106" s="237">
        <f>J97</f>
        <v>130661.50709999993</v>
      </c>
      <c r="K106" s="237">
        <f t="shared" ref="K106" si="5">K97</f>
        <v>143652.19400000002</v>
      </c>
    </row>
    <row r="107" spans="1:11" ht="20.25" hidden="1" x14ac:dyDescent="0.2">
      <c r="A107" s="57"/>
      <c r="B107" s="57"/>
      <c r="C107" s="57"/>
      <c r="D107" s="57"/>
      <c r="E107" s="57"/>
      <c r="F107" s="67" t="s">
        <v>104</v>
      </c>
      <c r="G107" s="67"/>
      <c r="H107" s="237">
        <f>H36</f>
        <v>9315</v>
      </c>
      <c r="I107" s="237">
        <f>I36</f>
        <v>9315</v>
      </c>
      <c r="J107" s="237">
        <f>J36</f>
        <v>10548</v>
      </c>
      <c r="K107" s="237">
        <f>K36</f>
        <v>10548</v>
      </c>
    </row>
    <row r="108" spans="1:11" ht="21" hidden="1" thickBot="1" x14ac:dyDescent="0.25">
      <c r="A108" s="57"/>
      <c r="B108" s="57"/>
      <c r="C108" s="57"/>
      <c r="D108" s="57"/>
      <c r="E108" s="57"/>
      <c r="F108" s="67" t="s">
        <v>520</v>
      </c>
      <c r="G108" s="67"/>
      <c r="H108" s="756">
        <f>SUM(H105:H107)</f>
        <v>351281.83999999997</v>
      </c>
      <c r="I108" s="756">
        <f>SUM(I105:I107)</f>
        <v>304345.73</v>
      </c>
      <c r="J108" s="756">
        <f>SUM(J105:J107)</f>
        <v>340238.17999999993</v>
      </c>
      <c r="K108" s="756">
        <f>SUM(K105:K107)</f>
        <v>317175.5</v>
      </c>
    </row>
    <row r="109" spans="1:11" ht="21" hidden="1" thickTop="1" x14ac:dyDescent="0.2">
      <c r="A109" s="57"/>
      <c r="B109" s="57"/>
      <c r="C109" s="57"/>
      <c r="D109" s="57"/>
      <c r="E109" s="57"/>
      <c r="F109" s="67" t="s">
        <v>521</v>
      </c>
      <c r="G109" s="67"/>
      <c r="H109" s="237">
        <f>H87</f>
        <v>16457</v>
      </c>
      <c r="I109" s="237">
        <f>I87</f>
        <v>10151</v>
      </c>
      <c r="J109" s="237">
        <f>J87</f>
        <v>10428</v>
      </c>
      <c r="K109" s="237">
        <f>K87</f>
        <v>11740</v>
      </c>
    </row>
    <row r="110" spans="1:11" ht="20.25" hidden="1" x14ac:dyDescent="0.3">
      <c r="A110" s="57"/>
      <c r="B110" s="57"/>
      <c r="C110" s="57"/>
      <c r="D110" s="57"/>
      <c r="E110" s="57"/>
      <c r="F110" s="67" t="s">
        <v>522</v>
      </c>
      <c r="G110" s="67"/>
      <c r="H110" s="896">
        <f t="shared" ref="H110:K110" si="6">H105/H101/H71</f>
        <v>16477.207130148494</v>
      </c>
      <c r="I110" s="896">
        <f t="shared" si="6"/>
        <v>9715.1607410527868</v>
      </c>
      <c r="J110" s="896">
        <f t="shared" si="6"/>
        <v>8937.9035395535648</v>
      </c>
      <c r="K110" s="896">
        <f t="shared" si="6"/>
        <v>6325.9870313799966</v>
      </c>
    </row>
    <row r="111" spans="1:11" ht="20.25" hidden="1" x14ac:dyDescent="0.3">
      <c r="A111" s="57"/>
      <c r="B111" s="57"/>
      <c r="C111" s="57"/>
      <c r="D111" s="57"/>
      <c r="E111" s="57"/>
      <c r="F111" s="67" t="s">
        <v>523</v>
      </c>
      <c r="G111" s="67"/>
      <c r="H111" s="899">
        <f>H110-H109</f>
        <v>20.207130148493889</v>
      </c>
      <c r="I111" s="899">
        <f>I110-I109</f>
        <v>-435.83925894721324</v>
      </c>
      <c r="J111" s="899">
        <f>J110-J109</f>
        <v>-1490.0964604464352</v>
      </c>
      <c r="K111" s="899">
        <f>K110-K109</f>
        <v>-5414.0129686200034</v>
      </c>
    </row>
    <row r="112" spans="1:11" ht="20.25" hidden="1" x14ac:dyDescent="0.3">
      <c r="A112" s="57"/>
      <c r="B112" s="57"/>
      <c r="C112" s="57"/>
      <c r="D112" s="57"/>
      <c r="E112" s="57"/>
      <c r="F112" s="67" t="s">
        <v>526</v>
      </c>
      <c r="G112" s="67"/>
      <c r="H112" s="900">
        <f>H105/(H110*H71)</f>
        <v>1.0446497169807178</v>
      </c>
      <c r="I112" s="900">
        <f t="shared" ref="I112:K112" si="7">I105/(I110*I71)</f>
        <v>1.0528094685054794</v>
      </c>
      <c r="J112" s="900">
        <f t="shared" si="7"/>
        <v>1.1267956473214289</v>
      </c>
      <c r="K112" s="900">
        <f t="shared" si="7"/>
        <v>1.2965783111345552</v>
      </c>
    </row>
    <row r="113" spans="1:11" ht="20.25" hidden="1" x14ac:dyDescent="0.3">
      <c r="A113" s="57"/>
      <c r="B113" s="57"/>
      <c r="C113" s="57"/>
      <c r="D113" s="57"/>
      <c r="E113" s="57"/>
      <c r="F113" s="67" t="s">
        <v>527</v>
      </c>
      <c r="G113" s="67"/>
      <c r="H113" s="900">
        <f>H106/H110</f>
        <v>6.2986385787495296</v>
      </c>
      <c r="I113" s="900">
        <f>I106/I110</f>
        <v>11.837757147344671</v>
      </c>
      <c r="J113" s="900">
        <f>J106/J110</f>
        <v>14.618809267942298</v>
      </c>
      <c r="K113" s="900">
        <f>K106/K110</f>
        <v>22.708265648888421</v>
      </c>
    </row>
    <row r="114" spans="1:11" ht="20.25" hidden="1" x14ac:dyDescent="0.2">
      <c r="A114" s="57"/>
      <c r="B114" s="57"/>
      <c r="C114" s="57"/>
      <c r="D114" s="57"/>
      <c r="E114" s="57"/>
      <c r="F114" s="67" t="s">
        <v>528</v>
      </c>
      <c r="G114" s="322">
        <f>G27+G31+G33+G27*0.21</f>
        <v>216908.68</v>
      </c>
      <c r="H114" s="322">
        <f t="shared" ref="H114:K114" si="8">H27+H31+H33+H27*0.21</f>
        <v>237890.76750000002</v>
      </c>
      <c r="I114" s="322">
        <f t="shared" si="8"/>
        <v>188101.25650000002</v>
      </c>
      <c r="J114" s="322">
        <f t="shared" si="8"/>
        <v>232210.04700000002</v>
      </c>
      <c r="K114" s="322">
        <f t="shared" si="8"/>
        <v>297009.18</v>
      </c>
    </row>
    <row r="115" spans="1:11" ht="20.25" hidden="1" x14ac:dyDescent="0.2">
      <c r="A115" s="57"/>
      <c r="B115" s="57"/>
      <c r="C115" s="57"/>
      <c r="D115" s="57"/>
      <c r="E115" s="57"/>
      <c r="F115" s="67" t="s">
        <v>513</v>
      </c>
      <c r="G115" s="322">
        <f>G46-G114-G116</f>
        <v>105684.32</v>
      </c>
      <c r="H115" s="322">
        <f t="shared" ref="H115:K115" si="9">H46-H114-H116</f>
        <v>113098.97250000009</v>
      </c>
      <c r="I115" s="322">
        <f t="shared" si="9"/>
        <v>124320.71349999995</v>
      </c>
      <c r="J115" s="322">
        <f t="shared" si="9"/>
        <v>141209.50709999993</v>
      </c>
      <c r="K115" s="322">
        <f t="shared" si="9"/>
        <v>152149.614</v>
      </c>
    </row>
    <row r="116" spans="1:11" ht="20.25" hidden="1" x14ac:dyDescent="0.2">
      <c r="A116" s="57"/>
      <c r="B116" s="57"/>
      <c r="C116" s="57"/>
      <c r="D116" s="57"/>
      <c r="E116" s="57"/>
      <c r="F116" s="67" t="s">
        <v>125</v>
      </c>
      <c r="G116" s="322">
        <f>G35</f>
        <v>25080</v>
      </c>
      <c r="H116" s="322">
        <f t="shared" ref="H116:K116" si="10">H35</f>
        <v>24029.68</v>
      </c>
      <c r="I116" s="322">
        <f t="shared" si="10"/>
        <v>31769</v>
      </c>
      <c r="J116" s="322">
        <f t="shared" si="10"/>
        <v>30384</v>
      </c>
      <c r="K116" s="322">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31"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726"/>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726"/>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'June''23 State of Activities'!A3</f>
        <v>Six Months Ended June 30, 2023 and 2022</v>
      </c>
      <c r="B3" s="59"/>
      <c r="C3" s="60"/>
      <c r="D3" s="60"/>
      <c r="E3" s="60"/>
      <c r="F3" s="59"/>
      <c r="G3" s="230"/>
      <c r="H3" s="59"/>
      <c r="I3" s="59"/>
      <c r="J3" s="59"/>
      <c r="K3" s="59"/>
      <c r="L3" s="462"/>
      <c r="M3" s="59"/>
      <c r="N3" s="59"/>
      <c r="O3" s="59"/>
      <c r="P3" s="59"/>
      <c r="Q3" s="59"/>
      <c r="R3" s="726"/>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'June''23 State of Activities'!A4</f>
        <v>For the Years Ended December 31, 2022</v>
      </c>
      <c r="B4" s="59"/>
      <c r="C4" s="60"/>
      <c r="D4" s="60"/>
      <c r="E4" s="60"/>
      <c r="F4" s="59"/>
      <c r="G4" s="230"/>
      <c r="H4" s="59"/>
      <c r="I4" s="59"/>
      <c r="J4" s="59"/>
      <c r="K4" s="59"/>
      <c r="L4" s="462"/>
      <c r="M4" s="59"/>
      <c r="N4" s="59"/>
      <c r="O4" s="59"/>
      <c r="P4" s="59"/>
      <c r="Q4" s="59"/>
      <c r="R4" s="726"/>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27"/>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504"/>
      <c r="H6" s="240" t="s">
        <v>49</v>
      </c>
      <c r="I6" s="240"/>
      <c r="J6" s="985" t="s">
        <v>49</v>
      </c>
      <c r="K6" s="985"/>
      <c r="L6" s="985"/>
      <c r="M6" s="985"/>
      <c r="N6" s="65"/>
      <c r="O6" s="415" t="s">
        <v>181</v>
      </c>
      <c r="P6" s="412" t="s">
        <v>193</v>
      </c>
      <c r="Q6" s="65"/>
      <c r="R6" s="728"/>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28"/>
    </row>
    <row r="8" spans="1:128" s="72" customFormat="1" ht="21" thickBot="1" x14ac:dyDescent="0.35">
      <c r="A8" s="69"/>
      <c r="B8" s="153" t="s">
        <v>100</v>
      </c>
      <c r="C8" s="153"/>
      <c r="D8" s="153"/>
      <c r="E8" s="153"/>
      <c r="F8" s="153"/>
      <c r="G8" s="281">
        <v>41090</v>
      </c>
      <c r="H8" s="281">
        <v>41274</v>
      </c>
      <c r="I8" s="323"/>
      <c r="J8" s="667">
        <f>'June''23 State of Activities'!G8</f>
        <v>45107</v>
      </c>
      <c r="K8" s="668">
        <f>'June''23 State of Activities'!H8</f>
        <v>44926</v>
      </c>
      <c r="L8" s="669"/>
      <c r="M8" s="668">
        <f>'June''23 State of Activities'!J8</f>
        <v>44742</v>
      </c>
      <c r="N8" s="71"/>
      <c r="O8" s="1051" t="s">
        <v>390</v>
      </c>
      <c r="P8" s="1051"/>
      <c r="Q8" s="71"/>
      <c r="R8" s="729"/>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0" t="s">
        <v>150</v>
      </c>
      <c r="D9" s="420"/>
      <c r="E9" s="420"/>
      <c r="F9" s="73"/>
      <c r="G9" s="264">
        <v>127719</v>
      </c>
      <c r="H9" s="264">
        <v>67566.5</v>
      </c>
      <c r="I9" s="322"/>
      <c r="J9" s="326">
        <v>41504.339999999997</v>
      </c>
      <c r="K9" s="326">
        <v>158721</v>
      </c>
      <c r="L9" s="326"/>
      <c r="M9" s="326">
        <v>78675.460000000006</v>
      </c>
      <c r="N9" s="68"/>
      <c r="O9" s="378">
        <f>J9-M9</f>
        <v>-37171.12000000001</v>
      </c>
      <c r="P9" s="413">
        <f>O9/M9</f>
        <v>-0.47246142571012623</v>
      </c>
      <c r="Q9" s="68"/>
      <c r="R9" s="72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0" t="s">
        <v>214</v>
      </c>
      <c r="D10" s="420"/>
      <c r="E10" s="420"/>
      <c r="F10" s="73"/>
      <c r="G10" s="263">
        <v>875436</v>
      </c>
      <c r="H10" s="263">
        <v>372424.1</v>
      </c>
      <c r="I10" s="326"/>
      <c r="J10" s="322"/>
      <c r="K10" s="322">
        <v>12278.42</v>
      </c>
      <c r="L10" s="326"/>
      <c r="M10" s="322"/>
      <c r="N10" s="68"/>
      <c r="O10" s="506">
        <f>J10-M10</f>
        <v>0</v>
      </c>
      <c r="P10" s="436" t="e">
        <f>O10/M10</f>
        <v>#DIV/0!</v>
      </c>
      <c r="Q10" s="68"/>
      <c r="R10" s="72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0" t="s">
        <v>389</v>
      </c>
      <c r="D11" s="420"/>
      <c r="E11" s="420"/>
      <c r="F11" s="73"/>
      <c r="G11" s="263"/>
      <c r="H11" s="263"/>
      <c r="I11" s="326"/>
      <c r="J11" s="322">
        <f>'June''23 Revenues &amp; Expenses'!I8-K11-5010</f>
        <v>14042</v>
      </c>
      <c r="K11" s="322">
        <v>10616</v>
      </c>
      <c r="L11" s="326"/>
      <c r="M11" s="322"/>
      <c r="N11" s="68"/>
      <c r="O11" s="506">
        <f>J11-M11</f>
        <v>14042</v>
      </c>
      <c r="P11" s="436"/>
      <c r="Q11" s="68"/>
      <c r="R11" s="72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0" t="s">
        <v>102</v>
      </c>
      <c r="D12" s="420"/>
      <c r="E12" s="420"/>
      <c r="F12" s="73"/>
      <c r="G12" s="264"/>
      <c r="H12" s="264"/>
      <c r="I12" s="322"/>
      <c r="J12" s="322"/>
      <c r="K12" s="322"/>
      <c r="L12" s="322"/>
      <c r="M12" s="322"/>
      <c r="N12" s="68"/>
      <c r="O12" s="506"/>
      <c r="P12" s="424"/>
      <c r="Q12" s="68"/>
      <c r="R12" s="72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0" t="s">
        <v>215</v>
      </c>
      <c r="E13" s="420"/>
      <c r="F13" s="73"/>
      <c r="G13" s="264">
        <v>94235.25</v>
      </c>
      <c r="H13" s="264">
        <v>37190.379999999997</v>
      </c>
      <c r="I13" s="322"/>
      <c r="J13" s="322">
        <f>3750*6</f>
        <v>22500</v>
      </c>
      <c r="K13" s="322">
        <f>3708.33*12</f>
        <v>44499.96</v>
      </c>
      <c r="L13" s="322"/>
      <c r="M13" s="322">
        <f>3708.33*4</f>
        <v>14833.32</v>
      </c>
      <c r="N13" s="68"/>
      <c r="O13" s="506">
        <f t="shared" ref="O13:O18" si="0">J13-M13</f>
        <v>7666.68</v>
      </c>
      <c r="P13" s="436">
        <f>O13/M13</f>
        <v>0.51685529604970437</v>
      </c>
      <c r="Q13" s="68"/>
      <c r="R13" s="322"/>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0" t="s">
        <v>159</v>
      </c>
      <c r="E14" s="420"/>
      <c r="F14" s="73"/>
      <c r="G14" s="264"/>
      <c r="H14" s="264"/>
      <c r="I14" s="322"/>
      <c r="J14" s="322">
        <f>'June''23 State of Activities'!G16</f>
        <v>9000</v>
      </c>
      <c r="K14" s="322">
        <v>13000</v>
      </c>
      <c r="L14" s="322"/>
      <c r="M14" s="322">
        <v>4333.33</v>
      </c>
      <c r="N14" s="68"/>
      <c r="O14" s="506">
        <f t="shared" si="0"/>
        <v>4666.67</v>
      </c>
      <c r="P14" s="436">
        <f>O14/M14</f>
        <v>1.0769246745574419</v>
      </c>
      <c r="Q14" s="68"/>
      <c r="R14" s="728">
        <v>7500</v>
      </c>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0" t="s">
        <v>103</v>
      </c>
      <c r="D15" s="420"/>
      <c r="E15" s="420"/>
      <c r="F15" s="73"/>
      <c r="G15" s="264">
        <v>0</v>
      </c>
      <c r="H15" s="264">
        <v>3517</v>
      </c>
      <c r="I15" s="322"/>
      <c r="J15" s="322">
        <f>'June''23 State of Activities'!G18</f>
        <v>13087.07</v>
      </c>
      <c r="K15" s="322">
        <f>'June''23 State of Activities'!H18</f>
        <v>17485.37</v>
      </c>
      <c r="L15" s="322"/>
      <c r="M15" s="322">
        <f>'June''23 State of Activities'!J18</f>
        <v>7735.85</v>
      </c>
      <c r="N15" s="68"/>
      <c r="O15" s="506">
        <f t="shared" si="0"/>
        <v>5351.2199999999993</v>
      </c>
      <c r="P15" s="436">
        <f>O15/M15</f>
        <v>0.69174298881183049</v>
      </c>
      <c r="Q15" s="68"/>
      <c r="R15" s="72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0" t="s">
        <v>216</v>
      </c>
      <c r="D16" s="420"/>
      <c r="E16" s="420"/>
      <c r="F16" s="73"/>
      <c r="G16" s="264">
        <v>31459</v>
      </c>
      <c r="H16" s="264">
        <v>13920.35</v>
      </c>
      <c r="I16" s="322"/>
      <c r="J16" s="322">
        <f>'June''23 Revenues &amp; Expenses'!H44</f>
        <v>0</v>
      </c>
      <c r="K16" s="322">
        <v>25000</v>
      </c>
      <c r="L16" s="322"/>
      <c r="M16" s="322">
        <v>8153.81</v>
      </c>
      <c r="N16" s="68"/>
      <c r="O16" s="506">
        <f t="shared" si="0"/>
        <v>-8153.81</v>
      </c>
      <c r="P16" s="436">
        <f>O16/M16</f>
        <v>-1</v>
      </c>
      <c r="Q16" s="68"/>
      <c r="R16" s="728">
        <v>11805.12</v>
      </c>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0" t="s">
        <v>379</v>
      </c>
      <c r="D17" s="420"/>
      <c r="E17" s="420"/>
      <c r="F17" s="73"/>
      <c r="G17" s="264"/>
      <c r="H17" s="264"/>
      <c r="I17" s="322"/>
      <c r="J17" s="322"/>
      <c r="K17" s="322">
        <v>22918.98</v>
      </c>
      <c r="L17" s="322"/>
      <c r="M17" s="322"/>
      <c r="N17" s="68"/>
      <c r="O17" s="506">
        <f t="shared" si="0"/>
        <v>0</v>
      </c>
      <c r="P17" s="436"/>
      <c r="Q17" s="68"/>
      <c r="R17" s="72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0" t="s">
        <v>391</v>
      </c>
      <c r="D18" s="420"/>
      <c r="E18" s="420"/>
      <c r="F18" s="73"/>
      <c r="G18" s="264"/>
      <c r="H18" s="264"/>
      <c r="I18" s="322"/>
      <c r="J18" s="322">
        <f>'June''23 Revenues &amp; Expenses'!H58</f>
        <v>0</v>
      </c>
      <c r="K18" s="322">
        <v>23967.15</v>
      </c>
      <c r="L18" s="322"/>
      <c r="M18" s="322"/>
      <c r="N18" s="68"/>
      <c r="O18" s="506">
        <f t="shared" si="0"/>
        <v>0</v>
      </c>
      <c r="P18" s="436"/>
      <c r="Q18" s="68"/>
      <c r="R18" s="72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0" t="s">
        <v>335</v>
      </c>
      <c r="D19" s="420"/>
      <c r="E19" s="420"/>
      <c r="F19" s="73"/>
      <c r="G19" s="264"/>
      <c r="H19" s="264"/>
      <c r="I19" s="322"/>
      <c r="J19" s="322">
        <f>'June''23 State of Activities'!G11</f>
        <v>0</v>
      </c>
      <c r="K19" s="322">
        <v>1968.5</v>
      </c>
      <c r="L19" s="322"/>
      <c r="M19" s="322">
        <f>2100.03-1250</f>
        <v>850.0300000000002</v>
      </c>
      <c r="N19" s="68"/>
      <c r="O19" s="506">
        <f t="shared" ref="O19:O20" si="1">J19-M19</f>
        <v>-850.0300000000002</v>
      </c>
      <c r="P19" s="436"/>
      <c r="Q19" s="68"/>
      <c r="R19" s="728">
        <f>186.59-R20</f>
        <v>162.31</v>
      </c>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1050" t="s">
        <v>338</v>
      </c>
      <c r="D20" s="1050"/>
      <c r="E20" s="1050"/>
      <c r="F20" s="1050"/>
      <c r="G20" s="264"/>
      <c r="H20" s="264"/>
      <c r="I20" s="322"/>
      <c r="J20" s="322">
        <v>0</v>
      </c>
      <c r="K20" s="322">
        <v>1127.23</v>
      </c>
      <c r="L20" s="322"/>
      <c r="M20" s="322">
        <v>177.19</v>
      </c>
      <c r="N20" s="68"/>
      <c r="O20" s="506">
        <f t="shared" si="1"/>
        <v>-177.19</v>
      </c>
      <c r="P20" s="436"/>
      <c r="Q20" s="68"/>
      <c r="R20" s="728">
        <v>24.28</v>
      </c>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0" t="s">
        <v>344</v>
      </c>
      <c r="D21" s="420"/>
      <c r="E21" s="420"/>
      <c r="F21" s="73"/>
      <c r="G21" s="264">
        <v>1125</v>
      </c>
      <c r="H21" s="264">
        <v>6050</v>
      </c>
      <c r="I21" s="322"/>
      <c r="J21" s="322" t="e">
        <f>'June''23 State of Activities'!#REF!</f>
        <v>#REF!</v>
      </c>
      <c r="K21" s="322" t="e">
        <f>'June''23 State of Activities'!#REF!</f>
        <v>#REF!</v>
      </c>
      <c r="L21" s="322"/>
      <c r="M21" s="322" t="e">
        <f>'June''23 State of Activities'!#REF!</f>
        <v>#REF!</v>
      </c>
      <c r="N21" s="68"/>
      <c r="O21" s="506" t="e">
        <f>J21-M21</f>
        <v>#REF!</v>
      </c>
      <c r="P21" s="436"/>
      <c r="Q21" s="68"/>
      <c r="R21" s="72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0" t="s">
        <v>217</v>
      </c>
      <c r="D22" s="420"/>
      <c r="E22" s="420"/>
      <c r="F22" s="73"/>
      <c r="G22" s="265">
        <v>31250</v>
      </c>
      <c r="H22" s="265">
        <v>15624.98</v>
      </c>
      <c r="I22" s="322"/>
      <c r="J22" s="265">
        <f>'June''23 State of Activities'!G25*0.2</f>
        <v>5274</v>
      </c>
      <c r="K22" s="265">
        <f>'June''23 State of Activities'!H25*0.2</f>
        <v>10548</v>
      </c>
      <c r="L22" s="322"/>
      <c r="M22" s="265">
        <f>'June''23 State of Activities'!J25*0.2</f>
        <v>5274</v>
      </c>
      <c r="N22" s="68"/>
      <c r="O22" s="507">
        <f>J22-M22</f>
        <v>0</v>
      </c>
      <c r="P22" s="414">
        <v>0</v>
      </c>
      <c r="Q22" s="68"/>
      <c r="R22" s="72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0"/>
      <c r="D23" s="73" t="s">
        <v>105</v>
      </c>
      <c r="E23" s="420"/>
      <c r="F23" s="73"/>
      <c r="G23" s="234">
        <v>1161224.25</v>
      </c>
      <c r="H23" s="234">
        <v>516293.30999999994</v>
      </c>
      <c r="I23" s="232"/>
      <c r="J23" s="264" t="e">
        <f>SUM(J9:J22)</f>
        <v>#REF!</v>
      </c>
      <c r="K23" s="264" t="e">
        <f>SUM(K9:K22)</f>
        <v>#REF!</v>
      </c>
      <c r="L23" s="322"/>
      <c r="M23" s="264" t="e">
        <f>SUM(M9:M22)</f>
        <v>#REF!</v>
      </c>
      <c r="N23" s="68"/>
      <c r="O23" s="275" t="e">
        <f>SUM(O9:O22)</f>
        <v>#REF!</v>
      </c>
      <c r="P23" s="436" t="e">
        <f>O23/M23</f>
        <v>#REF!</v>
      </c>
      <c r="Q23" s="68"/>
      <c r="R23" s="72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218</v>
      </c>
      <c r="D24" s="420"/>
      <c r="E24" s="420"/>
      <c r="F24" s="73"/>
      <c r="G24" s="241">
        <v>150176</v>
      </c>
      <c r="H24" s="241">
        <v>47700.27</v>
      </c>
      <c r="I24" s="232"/>
      <c r="J24" s="322">
        <f>19000/12*6</f>
        <v>9500</v>
      </c>
      <c r="K24" s="322">
        <v>19000</v>
      </c>
      <c r="L24" s="322"/>
      <c r="M24" s="322">
        <v>6333</v>
      </c>
      <c r="N24" s="68"/>
      <c r="O24" s="506">
        <f>J24-M24</f>
        <v>3167</v>
      </c>
      <c r="P24" s="413">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219</v>
      </c>
      <c r="D25" s="420"/>
      <c r="E25" s="420"/>
      <c r="F25" s="73"/>
      <c r="G25" s="232"/>
      <c r="H25" s="232"/>
      <c r="I25" s="232"/>
      <c r="J25" s="265">
        <v>13582.02</v>
      </c>
      <c r="K25" s="265">
        <v>37834.400000000001</v>
      </c>
      <c r="L25" s="322"/>
      <c r="M25" s="265">
        <v>14484</v>
      </c>
      <c r="N25" s="68"/>
      <c r="O25" s="377">
        <f>J25-M25</f>
        <v>-901.97999999999956</v>
      </c>
      <c r="P25" s="463">
        <f>O25/M25</f>
        <v>-6.2274233637116788E-2</v>
      </c>
      <c r="Q25" s="68"/>
      <c r="R25" s="72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0"/>
      <c r="D26" s="73" t="s">
        <v>107</v>
      </c>
      <c r="E26" s="420"/>
      <c r="F26" s="73"/>
      <c r="G26" s="234">
        <v>1311400.25</v>
      </c>
      <c r="H26" s="234">
        <v>563993.57999999996</v>
      </c>
      <c r="I26" s="232"/>
      <c r="J26" s="264" t="e">
        <f>SUM(J23:J25)</f>
        <v>#REF!</v>
      </c>
      <c r="K26" s="264" t="e">
        <f>SUM(K23:K25)</f>
        <v>#REF!</v>
      </c>
      <c r="L26" s="322"/>
      <c r="M26" s="264" t="e">
        <f>SUM(M23:M25)</f>
        <v>#REF!</v>
      </c>
      <c r="N26" s="68"/>
      <c r="O26" s="275" t="e">
        <f>J26-M26</f>
        <v>#REF!</v>
      </c>
      <c r="P26" s="436" t="e">
        <f>O26/M26</f>
        <v>#REF!</v>
      </c>
      <c r="Q26" s="68"/>
      <c r="R26" s="72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0"/>
      <c r="D27" s="73"/>
      <c r="E27" s="420"/>
      <c r="F27" s="73"/>
      <c r="G27" s="234"/>
      <c r="H27" s="234"/>
      <c r="I27" s="232"/>
      <c r="J27" s="322"/>
      <c r="K27" s="591"/>
      <c r="L27" s="322"/>
      <c r="M27" s="322"/>
      <c r="N27" s="68"/>
      <c r="O27" s="68"/>
      <c r="P27" s="68"/>
      <c r="Q27" s="68"/>
      <c r="R27" s="72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111</v>
      </c>
      <c r="C28" s="87"/>
      <c r="D28" s="87"/>
      <c r="E28" s="87"/>
      <c r="F28" s="87"/>
      <c r="G28" s="241"/>
      <c r="H28" s="68"/>
      <c r="I28" s="68"/>
      <c r="J28" s="322"/>
      <c r="K28" s="368"/>
      <c r="L28" s="368"/>
      <c r="M28" s="368"/>
      <c r="N28" s="68"/>
      <c r="O28" s="68"/>
      <c r="P28" s="68"/>
      <c r="Q28" s="68"/>
      <c r="R28" s="72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220</v>
      </c>
      <c r="D29" s="79"/>
      <c r="E29" s="79"/>
      <c r="F29" s="79"/>
      <c r="G29" s="232">
        <v>733747.79999999993</v>
      </c>
      <c r="H29" s="275">
        <v>361976</v>
      </c>
      <c r="I29" s="275"/>
      <c r="J29" s="322"/>
      <c r="K29" s="399"/>
      <c r="L29" s="399"/>
      <c r="M29" s="399"/>
      <c r="R29" s="728"/>
    </row>
    <row r="30" spans="1:61" s="68" customFormat="1" x14ac:dyDescent="0.2">
      <c r="A30" s="67"/>
      <c r="B30" s="67"/>
      <c r="C30" s="79"/>
      <c r="D30" s="987" t="s">
        <v>221</v>
      </c>
      <c r="E30" s="987"/>
      <c r="F30" s="987"/>
      <c r="G30" s="232"/>
      <c r="H30" s="275"/>
      <c r="I30" s="275"/>
      <c r="J30" s="322">
        <v>64964.65</v>
      </c>
      <c r="K30" s="322">
        <v>162253.75</v>
      </c>
      <c r="L30" s="399"/>
      <c r="M30" s="322">
        <v>82702.42</v>
      </c>
      <c r="O30" s="275">
        <f t="shared" ref="O30:O50" si="2">J30-M30</f>
        <v>-17737.769999999997</v>
      </c>
      <c r="P30" s="436">
        <f>O30/M30</f>
        <v>-0.21447703706856458</v>
      </c>
      <c r="R30" s="728">
        <f>J30</f>
        <v>64964.65</v>
      </c>
    </row>
    <row r="31" spans="1:61" s="68" customFormat="1" x14ac:dyDescent="0.2">
      <c r="A31" s="67"/>
      <c r="B31" s="67"/>
      <c r="C31" s="79"/>
      <c r="D31" s="987" t="s">
        <v>222</v>
      </c>
      <c r="E31" s="987"/>
      <c r="F31" s="987"/>
      <c r="G31" s="232"/>
      <c r="H31" s="275"/>
      <c r="I31" s="275"/>
      <c r="J31" s="322">
        <f>23219.46+7406.6</f>
        <v>30626.059999999998</v>
      </c>
      <c r="K31" s="322">
        <f>37966.12+23862.63+605.03+106.59</f>
        <v>62540.369999999995</v>
      </c>
      <c r="L31" s="399"/>
      <c r="M31" s="322">
        <f>18368.1+11845.56</f>
        <v>30213.659999999996</v>
      </c>
      <c r="O31" s="275">
        <f t="shared" si="2"/>
        <v>412.40000000000146</v>
      </c>
      <c r="P31" s="436">
        <f>O31/M31</f>
        <v>1.3649455246401843E-2</v>
      </c>
      <c r="R31" s="728">
        <f>J31</f>
        <v>30626.059999999998</v>
      </c>
    </row>
    <row r="32" spans="1:61" s="68" customFormat="1" x14ac:dyDescent="0.2">
      <c r="A32" s="67"/>
      <c r="B32" s="67"/>
      <c r="C32" s="79"/>
      <c r="D32" s="987" t="s">
        <v>113</v>
      </c>
      <c r="E32" s="987"/>
      <c r="F32" s="987"/>
      <c r="G32" s="232"/>
      <c r="H32" s="275"/>
      <c r="I32" s="275"/>
      <c r="J32" s="322">
        <v>15442.94</v>
      </c>
      <c r="K32" s="322">
        <v>42279.58</v>
      </c>
      <c r="L32" s="399"/>
      <c r="M32" s="322">
        <f>(M30+M31)*0.18</f>
        <v>20324.894399999997</v>
      </c>
      <c r="O32" s="275">
        <f t="shared" si="2"/>
        <v>-4881.9543999999969</v>
      </c>
      <c r="P32" s="436">
        <f>O32/M32</f>
        <v>-0.24019580638017965</v>
      </c>
      <c r="R32" s="262">
        <f>J32</f>
        <v>15442.94</v>
      </c>
    </row>
    <row r="33" spans="1:19" s="68" customFormat="1" x14ac:dyDescent="0.2">
      <c r="A33" s="67"/>
      <c r="B33" s="67"/>
      <c r="C33" s="79" t="s">
        <v>278</v>
      </c>
      <c r="D33" s="79"/>
      <c r="E33" s="79"/>
      <c r="F33" s="79"/>
      <c r="G33" s="232">
        <v>44745.18</v>
      </c>
      <c r="H33" s="232">
        <v>20974.21</v>
      </c>
      <c r="I33" s="232"/>
      <c r="J33" s="322"/>
      <c r="K33" s="591"/>
      <c r="L33" s="322"/>
      <c r="M33" s="591"/>
      <c r="O33" s="275">
        <f t="shared" si="2"/>
        <v>0</v>
      </c>
      <c r="P33" s="436"/>
      <c r="R33" s="728"/>
      <c r="S33" s="68">
        <f>R32/(R30+R31)</f>
        <v>0.16155272829336662</v>
      </c>
    </row>
    <row r="34" spans="1:19" s="68" customFormat="1" x14ac:dyDescent="0.2">
      <c r="A34" s="67"/>
      <c r="B34" s="67"/>
      <c r="C34" s="79"/>
      <c r="D34" s="987" t="s">
        <v>223</v>
      </c>
      <c r="E34" s="987"/>
      <c r="F34" s="987"/>
      <c r="G34" s="232"/>
      <c r="H34" s="232"/>
      <c r="I34" s="232"/>
      <c r="J34" s="322">
        <v>7876.42</v>
      </c>
      <c r="K34" s="322">
        <v>25472.83</v>
      </c>
      <c r="L34" s="322"/>
      <c r="M34" s="322">
        <v>8106.06</v>
      </c>
      <c r="O34" s="275">
        <f t="shared" si="2"/>
        <v>-229.64000000000033</v>
      </c>
      <c r="P34" s="436">
        <f t="shared" ref="P34:P41" si="3">O34/M34</f>
        <v>-2.832942267883538E-2</v>
      </c>
      <c r="R34" s="728">
        <v>7876.42</v>
      </c>
    </row>
    <row r="35" spans="1:19" s="68" customFormat="1" x14ac:dyDescent="0.2">
      <c r="A35" s="67"/>
      <c r="B35" s="67"/>
      <c r="C35" s="79"/>
      <c r="D35" s="987" t="s">
        <v>224</v>
      </c>
      <c r="E35" s="987"/>
      <c r="F35" s="987"/>
      <c r="G35" s="232"/>
      <c r="H35" s="232"/>
      <c r="I35" s="232"/>
      <c r="J35" s="322">
        <v>11303.34</v>
      </c>
      <c r="K35" s="322">
        <v>17989.87</v>
      </c>
      <c r="L35" s="322"/>
      <c r="M35" s="322">
        <v>5932.49</v>
      </c>
      <c r="O35" s="275">
        <f t="shared" si="2"/>
        <v>5370.85</v>
      </c>
      <c r="P35" s="436">
        <f t="shared" si="3"/>
        <v>0.90532811686155401</v>
      </c>
      <c r="R35" s="728">
        <v>11303.34</v>
      </c>
    </row>
    <row r="36" spans="1:19" s="68" customFormat="1" x14ac:dyDescent="0.2">
      <c r="A36" s="67"/>
      <c r="B36" s="67"/>
      <c r="C36" s="79"/>
      <c r="D36" s="987" t="s">
        <v>304</v>
      </c>
      <c r="E36" s="987"/>
      <c r="F36" s="987"/>
      <c r="G36" s="232"/>
      <c r="H36" s="232"/>
      <c r="I36" s="232"/>
      <c r="J36" s="322">
        <v>11898.19</v>
      </c>
      <c r="K36" s="322">
        <v>16090.9</v>
      </c>
      <c r="L36" s="322"/>
      <c r="M36" s="322">
        <v>7105.84</v>
      </c>
      <c r="O36" s="275">
        <f t="shared" si="2"/>
        <v>4792.3500000000004</v>
      </c>
      <c r="P36" s="436">
        <f t="shared" si="3"/>
        <v>0.6744241356405436</v>
      </c>
      <c r="R36" s="728">
        <v>11898.19</v>
      </c>
    </row>
    <row r="37" spans="1:19" s="68" customFormat="1" x14ac:dyDescent="0.2">
      <c r="A37" s="67"/>
      <c r="B37" s="67"/>
      <c r="C37" s="79"/>
      <c r="D37" s="987" t="s">
        <v>225</v>
      </c>
      <c r="E37" s="987"/>
      <c r="F37" s="987"/>
      <c r="G37" s="232"/>
      <c r="H37" s="232"/>
      <c r="I37" s="232"/>
      <c r="J37" s="322">
        <v>307</v>
      </c>
      <c r="K37" s="322">
        <v>1427.75</v>
      </c>
      <c r="L37" s="322"/>
      <c r="M37" s="322">
        <v>79</v>
      </c>
      <c r="O37" s="275">
        <f t="shared" si="2"/>
        <v>228</v>
      </c>
      <c r="P37" s="436">
        <f t="shared" si="3"/>
        <v>2.8860759493670884</v>
      </c>
      <c r="R37" s="728">
        <v>307</v>
      </c>
    </row>
    <row r="38" spans="1:19" s="68" customFormat="1" x14ac:dyDescent="0.2">
      <c r="A38" s="67"/>
      <c r="B38" s="67"/>
      <c r="C38" s="79" t="s">
        <v>226</v>
      </c>
      <c r="D38" s="79"/>
      <c r="E38" s="79"/>
      <c r="F38" s="79"/>
      <c r="G38" s="232">
        <v>27200</v>
      </c>
      <c r="H38" s="232">
        <v>11327</v>
      </c>
      <c r="I38" s="232"/>
      <c r="J38" s="322">
        <v>15180</v>
      </c>
      <c r="K38" s="322">
        <f>22438.68+1591</f>
        <v>24029.68</v>
      </c>
      <c r="L38" s="322"/>
      <c r="M38" s="322">
        <f>530.32+7060.24</f>
        <v>7590.5599999999995</v>
      </c>
      <c r="O38" s="275">
        <f t="shared" si="2"/>
        <v>7589.4400000000005</v>
      </c>
      <c r="P38" s="436">
        <f t="shared" si="3"/>
        <v>0.99985244830420961</v>
      </c>
      <c r="R38" s="728">
        <f>930+14250</f>
        <v>15180</v>
      </c>
    </row>
    <row r="39" spans="1:19" s="68" customFormat="1" x14ac:dyDescent="0.2">
      <c r="A39" s="67"/>
      <c r="B39" s="67"/>
      <c r="C39" s="79" t="s">
        <v>104</v>
      </c>
      <c r="D39" s="79"/>
      <c r="E39" s="79"/>
      <c r="F39" s="79"/>
      <c r="G39" s="232">
        <v>150176</v>
      </c>
      <c r="H39" s="275">
        <v>47700.27</v>
      </c>
      <c r="I39" s="275"/>
      <c r="J39" s="322">
        <f>J22</f>
        <v>5274</v>
      </c>
      <c r="K39" s="322">
        <f>K22</f>
        <v>10548</v>
      </c>
      <c r="L39" s="399"/>
      <c r="M39" s="322">
        <f>M22</f>
        <v>5274</v>
      </c>
      <c r="O39" s="275">
        <f t="shared" si="2"/>
        <v>0</v>
      </c>
      <c r="P39" s="436">
        <f t="shared" si="3"/>
        <v>0</v>
      </c>
      <c r="R39" s="728"/>
    </row>
    <row r="40" spans="1:19" s="68" customFormat="1" x14ac:dyDescent="0.2">
      <c r="A40" s="67"/>
      <c r="B40" s="67"/>
      <c r="C40" s="79" t="s">
        <v>313</v>
      </c>
      <c r="D40" s="79"/>
      <c r="E40" s="79"/>
      <c r="F40" s="79"/>
      <c r="G40" s="232"/>
      <c r="H40" s="275"/>
      <c r="I40" s="275"/>
      <c r="J40" s="322">
        <f>1268+392</f>
        <v>1660</v>
      </c>
      <c r="K40" s="322">
        <v>4497</v>
      </c>
      <c r="L40" s="399"/>
      <c r="M40" s="322">
        <v>1388</v>
      </c>
      <c r="O40" s="275">
        <f t="shared" si="2"/>
        <v>272</v>
      </c>
      <c r="P40" s="436">
        <f t="shared" si="3"/>
        <v>0.19596541786743515</v>
      </c>
      <c r="R40" s="728">
        <v>2437</v>
      </c>
    </row>
    <row r="41" spans="1:19" s="68" customFormat="1" x14ac:dyDescent="0.2">
      <c r="A41" s="67"/>
      <c r="B41" s="67"/>
      <c r="C41" s="79" t="s">
        <v>227</v>
      </c>
      <c r="D41" s="79"/>
      <c r="E41" s="79"/>
      <c r="F41" s="79"/>
      <c r="G41" s="232"/>
      <c r="H41" s="275"/>
      <c r="I41" s="275"/>
      <c r="J41" s="322">
        <v>954</v>
      </c>
      <c r="K41" s="322">
        <f>75+874</f>
        <v>949</v>
      </c>
      <c r="L41" s="399"/>
      <c r="M41" s="322">
        <f>393+75</f>
        <v>468</v>
      </c>
      <c r="O41" s="275">
        <f t="shared" si="2"/>
        <v>486</v>
      </c>
      <c r="P41" s="436">
        <f t="shared" si="3"/>
        <v>1.0384615384615385</v>
      </c>
      <c r="R41" s="728">
        <f>105+877</f>
        <v>982</v>
      </c>
      <c r="S41" s="732">
        <f>R41</f>
        <v>982</v>
      </c>
    </row>
    <row r="42" spans="1:19" s="68" customFormat="1" x14ac:dyDescent="0.2">
      <c r="A42" s="67"/>
      <c r="B42" s="67"/>
      <c r="C42" s="79" t="s">
        <v>382</v>
      </c>
      <c r="D42" s="79"/>
      <c r="E42" s="79"/>
      <c r="F42" s="79"/>
      <c r="G42" s="232">
        <v>10993.12</v>
      </c>
      <c r="H42" s="275">
        <v>4904.57</v>
      </c>
      <c r="I42" s="275"/>
      <c r="J42" s="322">
        <f>1600.82+472.16</f>
        <v>2072.98</v>
      </c>
      <c r="K42" s="322">
        <v>4436.1400000000003</v>
      </c>
      <c r="L42" s="399"/>
      <c r="M42" s="322">
        <f>18.18+1152.17</f>
        <v>1170.3500000000001</v>
      </c>
      <c r="O42" s="275">
        <f t="shared" si="2"/>
        <v>902.62999999999988</v>
      </c>
      <c r="P42" s="436">
        <f>O42/M42</f>
        <v>0.77124791728969944</v>
      </c>
      <c r="R42" s="728">
        <f>757.49+3120.83+26.18</f>
        <v>3904.4999999999995</v>
      </c>
    </row>
    <row r="43" spans="1:19" s="68" customFormat="1" x14ac:dyDescent="0.2">
      <c r="A43" s="67"/>
      <c r="B43" s="67"/>
      <c r="C43" s="79" t="s">
        <v>228</v>
      </c>
      <c r="D43" s="79"/>
      <c r="E43" s="79"/>
      <c r="F43" s="79"/>
      <c r="G43" s="232">
        <v>10250.949999999999</v>
      </c>
      <c r="H43" s="275">
        <v>3982.99</v>
      </c>
      <c r="I43" s="275"/>
      <c r="J43" s="322">
        <f>41.5+32.88</f>
        <v>74.38</v>
      </c>
      <c r="K43" s="322">
        <f>223.01+568.51</f>
        <v>791.52</v>
      </c>
      <c r="L43" s="399"/>
      <c r="M43" s="322">
        <f>11.58+94.37+34.1+4.4</f>
        <v>144.45000000000002</v>
      </c>
      <c r="O43" s="275">
        <f t="shared" si="2"/>
        <v>-70.070000000000022</v>
      </c>
      <c r="P43" s="436">
        <f>O43/M43</f>
        <v>-0.48508134302526834</v>
      </c>
      <c r="R43" s="728">
        <f>9.2+72.5+8.53+225.13</f>
        <v>315.36</v>
      </c>
      <c r="S43" s="732">
        <f>R43</f>
        <v>315.36</v>
      </c>
    </row>
    <row r="44" spans="1:19" s="68" customFormat="1" x14ac:dyDescent="0.2">
      <c r="A44" s="67"/>
      <c r="B44" s="67"/>
      <c r="C44" s="79" t="s">
        <v>122</v>
      </c>
      <c r="D44" s="79"/>
      <c r="E44" s="79"/>
      <c r="F44" s="79"/>
      <c r="G44" s="232">
        <v>4412.53</v>
      </c>
      <c r="H44" s="276">
        <v>5667</v>
      </c>
      <c r="I44" s="276"/>
      <c r="J44" s="322">
        <f>473.98+380.58+21.4+125</f>
        <v>1000.9599999999999</v>
      </c>
      <c r="K44" s="322">
        <v>1826.56</v>
      </c>
      <c r="L44" s="400"/>
      <c r="M44" s="322">
        <f>72.06+953.27</f>
        <v>1025.33</v>
      </c>
      <c r="O44" s="275">
        <f t="shared" si="2"/>
        <v>-24.370000000000005</v>
      </c>
      <c r="P44" s="436">
        <f>O44/M44</f>
        <v>-2.3767957633152259E-2</v>
      </c>
      <c r="R44" s="728">
        <f>108.49+189+1123.3</f>
        <v>1420.79</v>
      </c>
    </row>
    <row r="45" spans="1:19" s="68" customFormat="1" x14ac:dyDescent="0.2">
      <c r="A45" s="67"/>
      <c r="B45" s="67"/>
      <c r="C45" s="79" t="s">
        <v>120</v>
      </c>
      <c r="D45" s="79"/>
      <c r="E45" s="79"/>
      <c r="F45" s="79"/>
      <c r="G45" s="232">
        <v>7901</v>
      </c>
      <c r="H45" s="275">
        <v>4149.6000000000004</v>
      </c>
      <c r="I45" s="275"/>
      <c r="J45" s="322">
        <f>84.85+28.27</f>
        <v>113.11999999999999</v>
      </c>
      <c r="K45" s="322">
        <v>396.82</v>
      </c>
      <c r="L45" s="399"/>
      <c r="M45" s="322">
        <f>150.1</f>
        <v>150.1</v>
      </c>
      <c r="O45" s="275">
        <f t="shared" si="2"/>
        <v>-36.980000000000004</v>
      </c>
      <c r="P45" s="436">
        <f>O45/M45</f>
        <v>-0.24636908727514994</v>
      </c>
      <c r="R45" s="728">
        <f>0.1+152.24</f>
        <v>152.34</v>
      </c>
      <c r="S45" s="732">
        <f>R45</f>
        <v>152.34</v>
      </c>
    </row>
    <row r="46" spans="1:19" s="68" customFormat="1" hidden="1" x14ac:dyDescent="0.2">
      <c r="A46" s="67"/>
      <c r="B46" s="67"/>
      <c r="C46" s="79" t="s">
        <v>229</v>
      </c>
      <c r="D46" s="79"/>
      <c r="E46" s="79"/>
      <c r="F46" s="79"/>
      <c r="G46" s="232"/>
      <c r="H46" s="275"/>
      <c r="I46" s="275"/>
      <c r="J46" s="322"/>
      <c r="K46" s="322"/>
      <c r="L46" s="399"/>
      <c r="M46" s="322"/>
      <c r="O46" s="275">
        <f t="shared" si="2"/>
        <v>0</v>
      </c>
      <c r="P46" s="436"/>
      <c r="R46" s="728"/>
    </row>
    <row r="47" spans="1:19" s="76" customFormat="1" x14ac:dyDescent="0.2">
      <c r="A47" s="79"/>
      <c r="B47" s="79"/>
      <c r="C47" s="79" t="s">
        <v>116</v>
      </c>
      <c r="D47" s="79"/>
      <c r="E47" s="79"/>
      <c r="F47" s="79"/>
      <c r="G47" s="232">
        <v>5428.37</v>
      </c>
      <c r="H47" s="275">
        <v>2024.52</v>
      </c>
      <c r="I47" s="275"/>
      <c r="J47" s="322">
        <f>144.57+13.67</f>
        <v>158.23999999999998</v>
      </c>
      <c r="K47" s="322">
        <v>422.62</v>
      </c>
      <c r="L47" s="399"/>
      <c r="M47" s="322">
        <v>151.52000000000001</v>
      </c>
      <c r="O47" s="275">
        <f t="shared" si="2"/>
        <v>6.7199999999999704</v>
      </c>
      <c r="P47" s="436">
        <f>O47/M47</f>
        <v>4.4350580781414795E-2</v>
      </c>
      <c r="R47" s="728">
        <v>207.91</v>
      </c>
    </row>
    <row r="48" spans="1:19" s="76" customFormat="1" x14ac:dyDescent="0.2">
      <c r="A48" s="79"/>
      <c r="B48" s="79"/>
      <c r="C48" s="79" t="s">
        <v>230</v>
      </c>
      <c r="D48" s="79"/>
      <c r="E48" s="79"/>
      <c r="F48" s="79"/>
      <c r="G48" s="232">
        <v>83462.91</v>
      </c>
      <c r="H48" s="232">
        <v>18995.71</v>
      </c>
      <c r="I48" s="232"/>
      <c r="J48" s="398">
        <f>43.18+110</f>
        <v>153.18</v>
      </c>
      <c r="K48" s="398">
        <f>248.22+18.56+28.25+5</f>
        <v>300.02999999999997</v>
      </c>
      <c r="L48" s="322"/>
      <c r="M48" s="398">
        <v>58.6</v>
      </c>
      <c r="O48" s="509">
        <f t="shared" si="2"/>
        <v>94.580000000000013</v>
      </c>
      <c r="P48" s="508">
        <f>O48/M48</f>
        <v>1.6139931740614337</v>
      </c>
      <c r="R48" s="728">
        <f>25+228.45+110</f>
        <v>363.45</v>
      </c>
    </row>
    <row r="49" spans="1:21" s="68" customFormat="1" ht="21" thickBot="1" x14ac:dyDescent="0.25">
      <c r="A49" s="67"/>
      <c r="B49" s="67"/>
      <c r="C49" s="67"/>
      <c r="D49" s="73" t="s">
        <v>128</v>
      </c>
      <c r="E49" s="67"/>
      <c r="F49" s="67"/>
      <c r="G49" s="241">
        <v>1078317.8599999999</v>
      </c>
      <c r="H49" s="241">
        <v>481701.87000000005</v>
      </c>
      <c r="I49" s="232"/>
      <c r="J49" s="465">
        <f>SUM(J30:J48)</f>
        <v>169059.45999999996</v>
      </c>
      <c r="K49" s="465">
        <f>SUM(K30:K48)</f>
        <v>376252.4200000001</v>
      </c>
      <c r="L49" s="322"/>
      <c r="M49" s="465">
        <f>SUM(M30:M48)</f>
        <v>171885.27439999997</v>
      </c>
      <c r="O49" s="465">
        <f t="shared" si="2"/>
        <v>-2825.8144000000029</v>
      </c>
      <c r="P49" s="463">
        <f>O49/M49</f>
        <v>-1.6440119200810396E-2</v>
      </c>
      <c r="R49" s="728"/>
      <c r="U49" s="341"/>
    </row>
    <row r="50" spans="1:21" s="68" customFormat="1" ht="21" thickBot="1" x14ac:dyDescent="0.25">
      <c r="A50" s="67"/>
      <c r="B50" s="67"/>
      <c r="C50" s="67"/>
      <c r="D50" s="67" t="s">
        <v>129</v>
      </c>
      <c r="E50" s="67"/>
      <c r="F50" s="67"/>
      <c r="G50" s="241">
        <v>233082.39000000013</v>
      </c>
      <c r="H50" s="241">
        <v>82291.709999999905</v>
      </c>
      <c r="I50" s="232"/>
      <c r="J50" s="466" t="e">
        <f>J26-J49</f>
        <v>#REF!</v>
      </c>
      <c r="K50" s="466" t="e">
        <f>K26-K49</f>
        <v>#REF!</v>
      </c>
      <c r="L50" s="322"/>
      <c r="M50" s="466" t="e">
        <f>M26-M49</f>
        <v>#REF!</v>
      </c>
      <c r="O50" s="377" t="e">
        <f t="shared" si="2"/>
        <v>#REF!</v>
      </c>
      <c r="P50" s="463" t="e">
        <f>O50/M50</f>
        <v>#REF!</v>
      </c>
      <c r="R50" s="728">
        <f>SUM(R29:R49)</f>
        <v>167381.94999999998</v>
      </c>
    </row>
    <row r="51" spans="1:21" s="68" customFormat="1" x14ac:dyDescent="0.2">
      <c r="A51" s="67"/>
      <c r="B51" s="67"/>
      <c r="C51" s="67"/>
      <c r="D51" s="67"/>
      <c r="E51" s="67"/>
      <c r="F51" s="67"/>
      <c r="G51" s="232"/>
      <c r="H51" s="232"/>
      <c r="I51" s="232"/>
      <c r="J51" s="322"/>
      <c r="K51" s="322"/>
      <c r="L51" s="322"/>
      <c r="M51" s="322"/>
      <c r="R51" s="728"/>
    </row>
    <row r="52" spans="1:21" s="65" customFormat="1" ht="26.25" x14ac:dyDescent="0.2">
      <c r="A52" s="268"/>
      <c r="B52" s="268"/>
      <c r="C52" s="79" t="s">
        <v>265</v>
      </c>
      <c r="E52" s="79"/>
      <c r="F52" s="79"/>
      <c r="G52" s="270"/>
      <c r="H52" s="232"/>
      <c r="I52" s="232"/>
      <c r="J52" s="322"/>
      <c r="K52" s="322">
        <v>-69500</v>
      </c>
      <c r="L52" s="322"/>
      <c r="M52" s="322"/>
      <c r="O52" s="275">
        <f>J52-M52</f>
        <v>0</v>
      </c>
      <c r="P52" s="413"/>
      <c r="R52" s="728"/>
    </row>
    <row r="53" spans="1:21" s="68" customFormat="1" x14ac:dyDescent="0.2">
      <c r="A53" s="67"/>
      <c r="B53" s="67"/>
      <c r="C53" s="79" t="s">
        <v>231</v>
      </c>
      <c r="E53" s="67"/>
      <c r="G53" s="232"/>
      <c r="H53" s="232"/>
      <c r="I53" s="232"/>
      <c r="J53" s="322">
        <f>J38</f>
        <v>15180</v>
      </c>
      <c r="K53" s="322">
        <f>K38</f>
        <v>24029.68</v>
      </c>
      <c r="L53" s="322"/>
      <c r="M53" s="322">
        <f>M38</f>
        <v>7590.5599999999995</v>
      </c>
      <c r="O53" s="275">
        <f>J53-M53</f>
        <v>7589.4400000000005</v>
      </c>
      <c r="P53" s="413">
        <v>3.5414486921529216E-2</v>
      </c>
      <c r="R53" s="728"/>
    </row>
    <row r="54" spans="1:21" s="68" customFormat="1" ht="24" thickBot="1" x14ac:dyDescent="0.25">
      <c r="A54" s="67"/>
      <c r="B54" s="396"/>
      <c r="C54" s="67"/>
      <c r="D54" s="990" t="s">
        <v>232</v>
      </c>
      <c r="E54" s="990"/>
      <c r="F54" s="990"/>
      <c r="G54" s="232"/>
      <c r="H54" s="232"/>
      <c r="I54" s="232"/>
      <c r="J54" s="467" t="e">
        <f>J50+J52+J53</f>
        <v>#REF!</v>
      </c>
      <c r="K54" s="467" t="e">
        <f>K50+K52+K53</f>
        <v>#REF!</v>
      </c>
      <c r="L54" s="326"/>
      <c r="M54" s="467" t="e">
        <f>M50+M52+M53</f>
        <v>#REF!</v>
      </c>
      <c r="N54" s="387"/>
      <c r="O54" s="464" t="e">
        <f>J54-M54</f>
        <v>#REF!</v>
      </c>
      <c r="P54" s="499">
        <v>2.1062768618503362E-2</v>
      </c>
      <c r="R54" s="728"/>
    </row>
    <row r="55" spans="1:21" s="68" customFormat="1" ht="42" customHeight="1" thickTop="1" x14ac:dyDescent="0.2">
      <c r="A55" s="67"/>
      <c r="B55" s="67"/>
      <c r="C55" s="67"/>
      <c r="D55" s="67"/>
      <c r="E55" s="67"/>
      <c r="F55" s="67"/>
      <c r="G55" s="232"/>
      <c r="H55" s="232"/>
      <c r="I55" s="232"/>
      <c r="J55" s="322"/>
      <c r="K55" s="322"/>
      <c r="L55" s="322"/>
      <c r="M55" s="322"/>
      <c r="R55" s="728"/>
    </row>
    <row r="56" spans="1:21" s="76" customFormat="1" x14ac:dyDescent="0.2">
      <c r="A56" s="79"/>
      <c r="B56" s="79"/>
      <c r="C56" s="79"/>
      <c r="D56" s="79"/>
      <c r="F56" s="79" t="s">
        <v>309</v>
      </c>
      <c r="G56" s="246"/>
      <c r="H56" s="232"/>
      <c r="I56" s="232"/>
      <c r="J56" s="322">
        <v>62742</v>
      </c>
      <c r="K56" s="322">
        <v>227723</v>
      </c>
      <c r="L56" s="322"/>
      <c r="M56" s="322">
        <v>74506</v>
      </c>
      <c r="O56" s="247"/>
      <c r="R56" s="728"/>
    </row>
    <row r="57" spans="1:21" s="76" customFormat="1" ht="21" thickBot="1" x14ac:dyDescent="0.25">
      <c r="A57" s="79"/>
      <c r="B57" s="79"/>
      <c r="C57" s="79"/>
      <c r="D57" s="79"/>
      <c r="F57" s="79" t="s">
        <v>314</v>
      </c>
      <c r="G57" s="232"/>
      <c r="H57" s="232"/>
      <c r="I57" s="232"/>
      <c r="J57" s="608">
        <f>(J49-J38-J39)/J56</f>
        <v>2.3685164642504217</v>
      </c>
      <c r="K57" s="608">
        <f>(K49-K38-K39)/K56</f>
        <v>1.5003962709080774</v>
      </c>
      <c r="L57" s="609"/>
      <c r="M57" s="608">
        <f>(M49-M38-M39)/M56</f>
        <v>2.1343343408584539</v>
      </c>
      <c r="R57" s="728"/>
    </row>
    <row r="58" spans="1:21" s="76" customFormat="1" x14ac:dyDescent="0.2">
      <c r="A58" s="79"/>
      <c r="B58" s="79"/>
      <c r="C58" s="79"/>
      <c r="D58" s="79"/>
      <c r="F58" s="79"/>
      <c r="G58" s="232"/>
      <c r="H58" s="232"/>
      <c r="I58" s="232"/>
      <c r="J58" s="322"/>
      <c r="K58" s="322"/>
      <c r="L58" s="322"/>
      <c r="M58" s="322"/>
      <c r="R58" s="728"/>
    </row>
    <row r="59" spans="1:21" s="76" customFormat="1" x14ac:dyDescent="0.2">
      <c r="A59" s="79"/>
      <c r="B59" s="79"/>
      <c r="C59" s="79"/>
      <c r="D59" s="79"/>
      <c r="F59" s="79" t="s">
        <v>310</v>
      </c>
      <c r="G59" s="232"/>
      <c r="H59" s="232"/>
      <c r="I59" s="232"/>
      <c r="J59" s="322">
        <v>4125</v>
      </c>
      <c r="K59" s="322">
        <v>16457</v>
      </c>
      <c r="L59" s="322"/>
      <c r="M59" s="322">
        <v>5516</v>
      </c>
      <c r="P59" s="247"/>
      <c r="R59" s="728"/>
    </row>
    <row r="60" spans="1:21" s="76" customFormat="1" ht="21" thickBot="1" x14ac:dyDescent="0.25">
      <c r="A60" s="79"/>
      <c r="B60" s="79"/>
      <c r="C60" s="79"/>
      <c r="D60" s="79"/>
      <c r="F60" s="79" t="s">
        <v>371</v>
      </c>
      <c r="G60" s="232"/>
      <c r="H60" s="232"/>
      <c r="I60" s="232"/>
      <c r="J60" s="608">
        <f>(J49-J38-J39)/J59</f>
        <v>36.025566060606053</v>
      </c>
      <c r="K60" s="608">
        <f>(K49-K38-K39)/K59</f>
        <v>20.761666160296535</v>
      </c>
      <c r="L60" s="322"/>
      <c r="M60" s="608">
        <f>(M49-M38-M39)/M59</f>
        <v>28.828991007976789</v>
      </c>
      <c r="R60" s="728"/>
    </row>
    <row r="61" spans="1:21" s="76" customFormat="1" x14ac:dyDescent="0.2">
      <c r="A61" s="79"/>
      <c r="B61" s="79"/>
      <c r="C61" s="79"/>
      <c r="D61" s="79"/>
      <c r="F61" s="79"/>
      <c r="G61" s="232"/>
      <c r="H61" s="232"/>
      <c r="I61" s="232"/>
      <c r="J61" s="322"/>
      <c r="K61" s="322"/>
      <c r="L61" s="322"/>
      <c r="M61" s="322"/>
      <c r="R61" s="728"/>
    </row>
    <row r="62" spans="1:21" s="76" customFormat="1" x14ac:dyDescent="0.2">
      <c r="A62" s="79"/>
      <c r="B62" s="79"/>
      <c r="C62" s="67"/>
      <c r="D62" s="79"/>
      <c r="F62" s="79" t="s">
        <v>311</v>
      </c>
      <c r="G62" s="232"/>
      <c r="H62" s="232"/>
      <c r="I62" s="232"/>
      <c r="J62" s="322">
        <v>1517</v>
      </c>
      <c r="K62" s="322">
        <v>7208</v>
      </c>
      <c r="L62" s="322"/>
      <c r="M62" s="322">
        <v>2389</v>
      </c>
      <c r="R62" s="728"/>
    </row>
    <row r="63" spans="1:21" s="76" customFormat="1" ht="21" thickBot="1" x14ac:dyDescent="0.25">
      <c r="A63" s="79"/>
      <c r="B63" s="79"/>
      <c r="C63" s="79"/>
      <c r="D63" s="79"/>
      <c r="E63" s="79"/>
      <c r="F63" s="79" t="s">
        <v>372</v>
      </c>
      <c r="G63" s="232"/>
      <c r="H63" s="232"/>
      <c r="I63" s="232"/>
      <c r="J63" s="608">
        <f>J9/J62</f>
        <v>27.359485827290705</v>
      </c>
      <c r="K63" s="608">
        <f>K9/K62</f>
        <v>22.020116537180911</v>
      </c>
      <c r="L63" s="322"/>
      <c r="M63" s="608">
        <f>M9/M62</f>
        <v>32.932381749686066</v>
      </c>
      <c r="R63" s="728"/>
    </row>
    <row r="64" spans="1:21" s="76" customFormat="1" x14ac:dyDescent="0.2">
      <c r="A64" s="79"/>
      <c r="B64" s="79"/>
      <c r="C64" s="67"/>
      <c r="D64" s="67"/>
      <c r="G64" s="232"/>
      <c r="H64" s="232"/>
      <c r="I64" s="232"/>
      <c r="J64" s="322"/>
      <c r="K64" s="322"/>
      <c r="L64" s="322"/>
      <c r="M64" s="322"/>
      <c r="R64" s="728"/>
    </row>
    <row r="65" spans="1:18" s="76" customFormat="1" x14ac:dyDescent="0.2">
      <c r="A65" s="79"/>
      <c r="B65" s="79"/>
      <c r="C65" s="79"/>
      <c r="D65" s="79"/>
      <c r="E65" s="79"/>
      <c r="F65" s="79"/>
      <c r="G65" s="232"/>
      <c r="H65" s="232"/>
      <c r="I65" s="232"/>
      <c r="J65" s="232"/>
      <c r="K65" s="232"/>
      <c r="L65" s="232"/>
      <c r="M65" s="232"/>
      <c r="R65" s="728"/>
    </row>
    <row r="66" spans="1:18" s="76" customFormat="1" x14ac:dyDescent="0.2">
      <c r="A66" s="79"/>
      <c r="B66" s="79"/>
      <c r="C66" s="79"/>
      <c r="D66" s="79"/>
      <c r="E66" s="79"/>
      <c r="F66" s="79"/>
      <c r="G66" s="232"/>
      <c r="H66" s="232"/>
      <c r="I66" s="232"/>
      <c r="J66" s="232"/>
      <c r="K66" s="232"/>
      <c r="L66" s="232"/>
      <c r="M66" s="232"/>
      <c r="R66" s="728"/>
    </row>
    <row r="67" spans="1:18" s="76" customFormat="1" x14ac:dyDescent="0.2">
      <c r="A67" s="79"/>
      <c r="B67" s="79"/>
      <c r="C67" s="67"/>
      <c r="D67" s="79"/>
      <c r="F67" s="79"/>
      <c r="G67" s="232"/>
      <c r="H67" s="232"/>
      <c r="I67" s="232"/>
      <c r="J67" s="232"/>
      <c r="K67" s="232"/>
      <c r="L67" s="232"/>
      <c r="M67" s="232"/>
      <c r="R67" s="728"/>
    </row>
    <row r="68" spans="1:18" s="76" customFormat="1" x14ac:dyDescent="0.2">
      <c r="A68" s="79"/>
      <c r="B68" s="79"/>
      <c r="C68" s="79"/>
      <c r="D68" s="79"/>
      <c r="E68" s="79"/>
      <c r="F68" s="79"/>
      <c r="G68" s="232"/>
      <c r="H68" s="232"/>
      <c r="I68" s="232"/>
      <c r="J68" s="232"/>
      <c r="K68" s="232"/>
      <c r="L68" s="232"/>
      <c r="M68" s="232"/>
      <c r="R68" s="728"/>
    </row>
    <row r="69" spans="1:18" s="68" customFormat="1" x14ac:dyDescent="0.2">
      <c r="A69" s="67"/>
      <c r="B69" s="67"/>
      <c r="C69" s="67"/>
      <c r="D69" s="67"/>
      <c r="E69" s="67"/>
      <c r="F69" s="67"/>
      <c r="G69" s="237"/>
      <c r="H69" s="237"/>
      <c r="I69" s="237"/>
      <c r="J69" s="237"/>
      <c r="K69" s="237"/>
      <c r="L69" s="237"/>
      <c r="M69" s="237"/>
      <c r="R69" s="728"/>
    </row>
    <row r="70" spans="1:18" s="68" customFormat="1" x14ac:dyDescent="0.2">
      <c r="A70" s="67"/>
      <c r="B70" s="67"/>
      <c r="C70" s="67"/>
      <c r="D70" s="67"/>
      <c r="E70" s="67"/>
      <c r="F70" s="67"/>
      <c r="G70" s="237"/>
      <c r="H70" s="237"/>
      <c r="I70" s="237"/>
      <c r="J70" s="237"/>
      <c r="K70" s="237"/>
      <c r="L70" s="237"/>
      <c r="M70" s="237"/>
      <c r="R70" s="728"/>
    </row>
    <row r="71" spans="1:18" s="68" customFormat="1" ht="23.25" x14ac:dyDescent="0.2">
      <c r="A71" s="67"/>
      <c r="B71" s="271"/>
      <c r="C71" s="67"/>
      <c r="D71" s="67"/>
      <c r="E71" s="67"/>
      <c r="F71" s="67"/>
      <c r="G71" s="232"/>
      <c r="H71" s="232"/>
      <c r="I71" s="232"/>
      <c r="J71" s="232"/>
      <c r="K71" s="232"/>
      <c r="L71" s="232"/>
      <c r="M71" s="232"/>
      <c r="R71" s="728"/>
    </row>
    <row r="72" spans="1:18" s="76" customFormat="1" x14ac:dyDescent="0.2">
      <c r="A72" s="79"/>
      <c r="B72" s="79"/>
      <c r="D72" s="79"/>
      <c r="E72" s="79"/>
      <c r="F72" s="79"/>
      <c r="G72" s="232"/>
      <c r="H72" s="232"/>
      <c r="I72" s="232"/>
      <c r="J72" s="232"/>
      <c r="K72" s="232"/>
      <c r="L72" s="232"/>
      <c r="M72" s="232"/>
      <c r="R72" s="728"/>
    </row>
    <row r="73" spans="1:18" s="76" customFormat="1" x14ac:dyDescent="0.2">
      <c r="A73" s="79"/>
      <c r="B73" s="79"/>
      <c r="D73" s="79"/>
      <c r="E73" s="79"/>
      <c r="F73" s="79"/>
      <c r="G73" s="232"/>
      <c r="H73" s="232"/>
      <c r="I73" s="232"/>
      <c r="J73" s="232"/>
      <c r="K73" s="232"/>
      <c r="L73" s="232"/>
      <c r="M73" s="232"/>
      <c r="R73" s="728"/>
    </row>
    <row r="74" spans="1:18" s="68" customFormat="1" x14ac:dyDescent="0.2">
      <c r="A74" s="67"/>
      <c r="B74" s="67"/>
      <c r="D74" s="79"/>
      <c r="E74" s="67"/>
      <c r="F74" s="67"/>
      <c r="G74" s="232"/>
      <c r="H74" s="232"/>
      <c r="I74" s="232"/>
      <c r="J74" s="232"/>
      <c r="K74" s="232"/>
      <c r="L74" s="232"/>
      <c r="M74" s="232"/>
      <c r="R74" s="728"/>
    </row>
    <row r="75" spans="1:18" s="68" customFormat="1" ht="23.25" x14ac:dyDescent="0.2">
      <c r="A75" s="67"/>
      <c r="B75" s="271"/>
      <c r="C75" s="67"/>
      <c r="D75" s="67"/>
      <c r="E75" s="67"/>
      <c r="F75" s="67"/>
      <c r="G75" s="237"/>
      <c r="H75" s="237"/>
      <c r="I75" s="237"/>
      <c r="J75" s="237"/>
      <c r="K75" s="237"/>
      <c r="L75" s="237"/>
      <c r="M75" s="237"/>
      <c r="R75" s="728"/>
    </row>
    <row r="76" spans="1:18" s="68" customFormat="1" x14ac:dyDescent="0.2">
      <c r="A76" s="67"/>
      <c r="B76" s="67"/>
      <c r="C76" s="67"/>
      <c r="D76" s="67"/>
      <c r="E76" s="67"/>
      <c r="F76" s="67"/>
      <c r="G76" s="232"/>
      <c r="H76" s="232"/>
      <c r="I76" s="232"/>
      <c r="J76" s="232"/>
      <c r="K76" s="232"/>
      <c r="L76" s="232"/>
      <c r="M76" s="232"/>
      <c r="R76" s="728"/>
    </row>
    <row r="77" spans="1:18" s="82" customFormat="1" ht="26.25" x14ac:dyDescent="0.2">
      <c r="A77" s="268"/>
      <c r="B77" s="268"/>
      <c r="C77" s="268"/>
      <c r="D77" s="268"/>
      <c r="E77" s="268"/>
      <c r="F77" s="268"/>
      <c r="G77" s="269"/>
      <c r="H77" s="237"/>
      <c r="I77" s="237"/>
      <c r="J77" s="237"/>
      <c r="K77" s="237"/>
      <c r="L77" s="237"/>
      <c r="M77" s="237"/>
      <c r="R77" s="730"/>
    </row>
    <row r="78" spans="1:18" s="18" customFormat="1" x14ac:dyDescent="0.3">
      <c r="A78" s="122"/>
      <c r="B78" s="122"/>
      <c r="C78" s="122"/>
      <c r="D78" s="122"/>
      <c r="E78" s="122"/>
      <c r="F78" s="122"/>
      <c r="G78" s="272"/>
      <c r="H78" s="277"/>
      <c r="I78" s="277"/>
      <c r="J78" s="277"/>
      <c r="K78" s="277"/>
      <c r="L78" s="277"/>
      <c r="M78" s="277"/>
      <c r="R78" s="731"/>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377</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694"/>
      <c r="H6" s="240" t="s">
        <v>49</v>
      </c>
      <c r="I6" s="240"/>
      <c r="J6" s="985" t="s">
        <v>49</v>
      </c>
      <c r="K6" s="985"/>
      <c r="L6" s="985"/>
      <c r="M6" s="985"/>
      <c r="N6" s="65"/>
      <c r="O6" s="415" t="s">
        <v>181</v>
      </c>
      <c r="P6" s="412"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67">
        <v>43830</v>
      </c>
      <c r="K8" s="668">
        <f>'June''23 State of Activities'!H8</f>
        <v>44926</v>
      </c>
      <c r="L8" s="669"/>
      <c r="M8" s="667">
        <v>44196</v>
      </c>
      <c r="N8" s="71"/>
      <c r="O8" s="1051" t="s">
        <v>380</v>
      </c>
      <c r="P8" s="105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150</v>
      </c>
      <c r="D9" s="420"/>
      <c r="E9" s="420"/>
      <c r="F9" s="73"/>
      <c r="G9" s="264">
        <v>127719</v>
      </c>
      <c r="H9" s="264">
        <v>67566.5</v>
      </c>
      <c r="I9" s="322"/>
      <c r="J9" s="326">
        <v>160000</v>
      </c>
      <c r="K9" s="326">
        <f>'June''23 State of Activities'!H10</f>
        <v>84477.91</v>
      </c>
      <c r="L9" s="326"/>
      <c r="M9" s="326">
        <v>160000</v>
      </c>
      <c r="N9" s="68"/>
      <c r="O9" s="378">
        <f>M9-J9</f>
        <v>0</v>
      </c>
      <c r="P9" s="413">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214</v>
      </c>
      <c r="D10" s="420"/>
      <c r="E10" s="420"/>
      <c r="F10" s="73"/>
      <c r="G10" s="263">
        <v>875436</v>
      </c>
      <c r="H10" s="263">
        <v>372424.1</v>
      </c>
      <c r="I10" s="326"/>
      <c r="J10" s="322">
        <v>5000</v>
      </c>
      <c r="K10" s="322">
        <f>10471.96+(5268.48+3381.01)*1.14</f>
        <v>20332.378599999996</v>
      </c>
      <c r="L10" s="326"/>
      <c r="M10" s="322">
        <v>10000</v>
      </c>
      <c r="N10" s="68"/>
      <c r="O10" s="506">
        <f>M10-J10</f>
        <v>5000</v>
      </c>
      <c r="P10" s="436">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102</v>
      </c>
      <c r="D11" s="420"/>
      <c r="E11" s="420"/>
      <c r="F11" s="73"/>
      <c r="G11" s="264"/>
      <c r="H11" s="264"/>
      <c r="I11" s="322"/>
      <c r="J11" s="322"/>
      <c r="K11" s="322"/>
      <c r="L11" s="322"/>
      <c r="M11" s="322"/>
      <c r="N11" s="68"/>
      <c r="O11" s="506"/>
      <c r="P11" s="424"/>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0" t="s">
        <v>215</v>
      </c>
      <c r="E12" s="420"/>
      <c r="F12" s="73"/>
      <c r="G12" s="264">
        <v>94235.25</v>
      </c>
      <c r="H12" s="264">
        <v>37190.379999999997</v>
      </c>
      <c r="I12" s="322"/>
      <c r="J12" s="322">
        <f>3708.33*12</f>
        <v>44499.96</v>
      </c>
      <c r="K12" s="322">
        <f>3541.67*12</f>
        <v>42500.04</v>
      </c>
      <c r="L12" s="322"/>
      <c r="M12" s="322">
        <v>44500</v>
      </c>
      <c r="N12" s="68"/>
      <c r="O12" s="506">
        <f t="shared" ref="O12:O19" si="0">M12-J12</f>
        <v>4.0000000000873115E-2</v>
      </c>
      <c r="P12" s="436">
        <f t="shared" ref="P12:P18" si="1">O12/M12</f>
        <v>8.9887640451400261E-7</v>
      </c>
      <c r="Q12" s="68"/>
      <c r="R12" s="468"/>
      <c r="S12" s="469"/>
      <c r="T12" s="468"/>
      <c r="U12" s="4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159</v>
      </c>
      <c r="E13" s="420"/>
      <c r="F13" s="73"/>
      <c r="G13" s="264"/>
      <c r="H13" s="264"/>
      <c r="I13" s="322"/>
      <c r="J13" s="322">
        <v>13000</v>
      </c>
      <c r="K13" s="322">
        <f>750*12</f>
        <v>9000</v>
      </c>
      <c r="L13" s="322"/>
      <c r="M13" s="322">
        <v>18000</v>
      </c>
      <c r="N13" s="68"/>
      <c r="O13" s="506">
        <f t="shared" si="0"/>
        <v>5000</v>
      </c>
      <c r="P13" s="436">
        <f t="shared" si="1"/>
        <v>0.27777777777777779</v>
      </c>
      <c r="Q13" s="68"/>
      <c r="R13" s="68"/>
      <c r="S13" s="387"/>
      <c r="T13" s="470"/>
      <c r="U13" s="361"/>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0" t="s">
        <v>103</v>
      </c>
      <c r="D14" s="420"/>
      <c r="E14" s="420"/>
      <c r="F14" s="73"/>
      <c r="G14" s="264">
        <v>0</v>
      </c>
      <c r="H14" s="264">
        <v>3517</v>
      </c>
      <c r="I14" s="322"/>
      <c r="J14" s="322">
        <v>15000</v>
      </c>
      <c r="K14" s="322">
        <f>'June''23 State of Activities'!H18</f>
        <v>17485.37</v>
      </c>
      <c r="L14" s="322"/>
      <c r="M14" s="322">
        <v>20000</v>
      </c>
      <c r="N14" s="68"/>
      <c r="O14" s="506">
        <f t="shared" si="0"/>
        <v>5000</v>
      </c>
      <c r="P14" s="436">
        <f t="shared" si="1"/>
        <v>0.25</v>
      </c>
      <c r="Q14" s="68"/>
      <c r="R14" s="68"/>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378</v>
      </c>
      <c r="D15" s="420"/>
      <c r="E15" s="420"/>
      <c r="F15" s="73"/>
      <c r="G15" s="264">
        <v>31459</v>
      </c>
      <c r="H15" s="264">
        <v>13920.35</v>
      </c>
      <c r="I15" s="322"/>
      <c r="J15" s="322">
        <v>25000</v>
      </c>
      <c r="K15" s="322">
        <v>25000</v>
      </c>
      <c r="L15" s="322"/>
      <c r="M15" s="322">
        <v>25000</v>
      </c>
      <c r="N15" s="68"/>
      <c r="O15" s="506">
        <f t="shared" si="0"/>
        <v>0</v>
      </c>
      <c r="P15" s="436">
        <f t="shared" si="1"/>
        <v>0</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379</v>
      </c>
      <c r="D16" s="420"/>
      <c r="E16" s="420"/>
      <c r="F16" s="73"/>
      <c r="G16" s="264"/>
      <c r="H16" s="264"/>
      <c r="I16" s="322"/>
      <c r="J16" s="322">
        <v>20000</v>
      </c>
      <c r="K16" s="322"/>
      <c r="L16" s="322"/>
      <c r="M16" s="322">
        <v>15000</v>
      </c>
      <c r="N16" s="68"/>
      <c r="O16" s="506">
        <f t="shared" si="0"/>
        <v>-5000</v>
      </c>
      <c r="P16" s="436">
        <f t="shared" si="1"/>
        <v>-0.33333333333333331</v>
      </c>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335</v>
      </c>
      <c r="D17" s="420"/>
      <c r="E17" s="420"/>
      <c r="F17" s="73"/>
      <c r="G17" s="264"/>
      <c r="H17" s="264"/>
      <c r="I17" s="322"/>
      <c r="J17" s="322">
        <v>2000</v>
      </c>
      <c r="K17" s="322"/>
      <c r="L17" s="322"/>
      <c r="M17" s="322">
        <v>1000</v>
      </c>
      <c r="N17" s="68"/>
      <c r="O17" s="506">
        <f t="shared" si="0"/>
        <v>-1000</v>
      </c>
      <c r="P17" s="436">
        <f t="shared" si="1"/>
        <v>-1</v>
      </c>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1050" t="s">
        <v>338</v>
      </c>
      <c r="D18" s="1050"/>
      <c r="E18" s="1050"/>
      <c r="F18" s="1050"/>
      <c r="G18" s="264"/>
      <c r="H18" s="264"/>
      <c r="I18" s="322"/>
      <c r="J18" s="322">
        <v>2000</v>
      </c>
      <c r="K18" s="322"/>
      <c r="L18" s="322"/>
      <c r="M18" s="322">
        <v>3000</v>
      </c>
      <c r="N18" s="68"/>
      <c r="O18" s="506">
        <f t="shared" si="0"/>
        <v>1000</v>
      </c>
      <c r="P18" s="436">
        <f t="shared" si="1"/>
        <v>0.33333333333333331</v>
      </c>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0" t="s">
        <v>381</v>
      </c>
      <c r="D19" s="420"/>
      <c r="E19" s="420"/>
      <c r="F19" s="73"/>
      <c r="G19" s="264">
        <v>1125</v>
      </c>
      <c r="H19" s="264">
        <v>6050</v>
      </c>
      <c r="I19" s="322"/>
      <c r="J19" s="322">
        <v>2000</v>
      </c>
      <c r="K19" s="322" t="e">
        <f>'June''23 State of Activities'!#REF!</f>
        <v>#REF!</v>
      </c>
      <c r="L19" s="322"/>
      <c r="M19" s="322" t="e">
        <f>'June''23 State of Activities'!#REF!</f>
        <v>#REF!</v>
      </c>
      <c r="N19" s="68"/>
      <c r="O19" s="506" t="e">
        <f t="shared" si="0"/>
        <v>#REF!</v>
      </c>
      <c r="P19" s="436"/>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1050" t="s">
        <v>336</v>
      </c>
      <c r="D20" s="1050"/>
      <c r="E20" s="1050"/>
      <c r="F20" s="1050"/>
      <c r="G20" s="264"/>
      <c r="H20" s="264"/>
      <c r="I20" s="322"/>
      <c r="J20" s="322"/>
      <c r="K20" s="322">
        <v>659.25</v>
      </c>
      <c r="L20" s="322"/>
      <c r="M20" s="322"/>
      <c r="N20" s="68"/>
      <c r="O20" s="506">
        <f>J20-M20</f>
        <v>0</v>
      </c>
      <c r="P20" s="436"/>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0" t="s">
        <v>217</v>
      </c>
      <c r="D21" s="420"/>
      <c r="E21" s="420"/>
      <c r="F21" s="73"/>
      <c r="G21" s="265">
        <v>31250</v>
      </c>
      <c r="H21" s="265">
        <v>15624.98</v>
      </c>
      <c r="I21" s="322"/>
      <c r="J21" s="265">
        <v>9315</v>
      </c>
      <c r="K21" s="265">
        <f>'June''23 State of Activities'!H25*0.2</f>
        <v>10548</v>
      </c>
      <c r="L21" s="322"/>
      <c r="M21" s="265">
        <v>9315</v>
      </c>
      <c r="N21" s="68"/>
      <c r="O21" s="507">
        <f>J21-M21</f>
        <v>0</v>
      </c>
      <c r="P21" s="414">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0"/>
      <c r="D22" s="73" t="s">
        <v>105</v>
      </c>
      <c r="E22" s="420"/>
      <c r="F22" s="73"/>
      <c r="G22" s="234">
        <v>1161224.25</v>
      </c>
      <c r="H22" s="234">
        <v>516293.30999999994</v>
      </c>
      <c r="I22" s="232"/>
      <c r="J22" s="264">
        <f>SUM(J9:J21)</f>
        <v>297814.95999999996</v>
      </c>
      <c r="K22" s="264" t="e">
        <f>SUM(K9:K21)</f>
        <v>#REF!</v>
      </c>
      <c r="L22" s="322"/>
      <c r="M22" s="264" t="e">
        <f>SUM(M9:M21)</f>
        <v>#REF!</v>
      </c>
      <c r="N22" s="68"/>
      <c r="O22" s="275" t="e">
        <f>SUM(O9:O21)</f>
        <v>#REF!</v>
      </c>
      <c r="P22" s="436" t="e">
        <f>O22/M22</f>
        <v>#REF!</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218</v>
      </c>
      <c r="D23" s="420"/>
      <c r="E23" s="420"/>
      <c r="F23" s="73"/>
      <c r="G23" s="241">
        <v>150176</v>
      </c>
      <c r="H23" s="241">
        <v>47700.27</v>
      </c>
      <c r="I23" s="232"/>
      <c r="J23" s="322">
        <v>19000</v>
      </c>
      <c r="K23" s="322">
        <v>19000</v>
      </c>
      <c r="L23" s="322"/>
      <c r="M23" s="322">
        <v>19000</v>
      </c>
      <c r="N23" s="68"/>
      <c r="O23" s="506">
        <f>J23-M23</f>
        <v>0</v>
      </c>
      <c r="P23" s="413">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219</v>
      </c>
      <c r="D24" s="420"/>
      <c r="E24" s="420"/>
      <c r="F24" s="73"/>
      <c r="G24" s="232"/>
      <c r="H24" s="232"/>
      <c r="I24" s="232"/>
      <c r="J24" s="265">
        <v>40000</v>
      </c>
      <c r="K24" s="265">
        <v>37641.19</v>
      </c>
      <c r="L24" s="322"/>
      <c r="M24" s="265">
        <v>38000</v>
      </c>
      <c r="N24" s="68"/>
      <c r="O24" s="377">
        <f>M24-J24</f>
        <v>-2000</v>
      </c>
      <c r="P24" s="463">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0"/>
      <c r="D25" s="73" t="s">
        <v>107</v>
      </c>
      <c r="E25" s="420"/>
      <c r="F25" s="73"/>
      <c r="G25" s="234">
        <v>1311400.25</v>
      </c>
      <c r="H25" s="234">
        <v>563993.57999999996</v>
      </c>
      <c r="I25" s="232"/>
      <c r="J25" s="264">
        <f>SUM(J22:J24)</f>
        <v>356814.95999999996</v>
      </c>
      <c r="K25" s="264" t="e">
        <f>SUM(K22:K24)</f>
        <v>#REF!</v>
      </c>
      <c r="L25" s="322"/>
      <c r="M25" s="264" t="e">
        <f>SUM(M22:M24)</f>
        <v>#REF!</v>
      </c>
      <c r="N25" s="68"/>
      <c r="O25" s="275" t="e">
        <f>M25-J25</f>
        <v>#REF!</v>
      </c>
      <c r="P25" s="436" t="e">
        <f>O25/M25</f>
        <v>#REF!</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0"/>
      <c r="D26" s="73"/>
      <c r="E26" s="420"/>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111</v>
      </c>
      <c r="C27" s="87"/>
      <c r="D27" s="87"/>
      <c r="E27" s="87"/>
      <c r="F27" s="87"/>
      <c r="G27" s="241"/>
      <c r="H27" s="68"/>
      <c r="I27" s="68"/>
      <c r="J27" s="322"/>
      <c r="K27" s="368"/>
      <c r="L27" s="368"/>
      <c r="M27" s="3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220</v>
      </c>
      <c r="D28" s="79"/>
      <c r="E28" s="79"/>
      <c r="F28" s="79"/>
      <c r="G28" s="232">
        <v>733747.79999999993</v>
      </c>
      <c r="H28" s="275">
        <v>361976</v>
      </c>
      <c r="I28" s="275"/>
      <c r="J28" s="322"/>
      <c r="K28" s="399"/>
      <c r="L28" s="399"/>
      <c r="M28" s="399"/>
    </row>
    <row r="29" spans="1:61" s="68" customFormat="1" ht="20.25" x14ac:dyDescent="0.2">
      <c r="A29" s="67"/>
      <c r="B29" s="67"/>
      <c r="C29" s="79"/>
      <c r="D29" s="987" t="s">
        <v>221</v>
      </c>
      <c r="E29" s="987"/>
      <c r="F29" s="987"/>
      <c r="G29" s="232"/>
      <c r="H29" s="275"/>
      <c r="I29" s="275"/>
      <c r="J29" s="699">
        <f>110984.34+54648</f>
        <v>165632.34</v>
      </c>
      <c r="K29" s="699">
        <v>146508.01999999999</v>
      </c>
      <c r="L29" s="699"/>
      <c r="M29" s="699">
        <v>170000</v>
      </c>
      <c r="O29" s="506">
        <f t="shared" ref="O29:O47" si="2">M29-J29</f>
        <v>4367.6600000000035</v>
      </c>
      <c r="P29" s="436">
        <f>O29/M29</f>
        <v>2.5692117647058844E-2</v>
      </c>
    </row>
    <row r="30" spans="1:61" s="68" customFormat="1" ht="20.25" x14ac:dyDescent="0.2">
      <c r="A30" s="67"/>
      <c r="B30" s="67"/>
      <c r="C30" s="79"/>
      <c r="D30" s="987" t="s">
        <v>222</v>
      </c>
      <c r="E30" s="987"/>
      <c r="F30" s="987"/>
      <c r="G30" s="232"/>
      <c r="H30" s="275"/>
      <c r="I30" s="275"/>
      <c r="J30" s="699">
        <v>63684</v>
      </c>
      <c r="K30" s="699">
        <f>35778.69+23251.49+605.09+292.95</f>
        <v>59928.22</v>
      </c>
      <c r="L30" s="699"/>
      <c r="M30" s="699">
        <f>(22.5*(64*26+100))+(19.06*(50*26+100))</f>
        <v>66374</v>
      </c>
      <c r="O30" s="506">
        <f t="shared" si="2"/>
        <v>2690</v>
      </c>
      <c r="P30" s="436">
        <f>O30/M30</f>
        <v>4.0527917558079968E-2</v>
      </c>
      <c r="R30" s="262"/>
    </row>
    <row r="31" spans="1:61" s="68" customFormat="1" ht="20.25" x14ac:dyDescent="0.2">
      <c r="A31" s="67"/>
      <c r="B31" s="67"/>
      <c r="C31" s="79"/>
      <c r="D31" s="987" t="s">
        <v>113</v>
      </c>
      <c r="E31" s="987"/>
      <c r="F31" s="987"/>
      <c r="G31" s="232"/>
      <c r="H31" s="275"/>
      <c r="I31" s="275"/>
      <c r="J31" s="699">
        <f>(J29+J30)*0.185</f>
        <v>42423.522899999996</v>
      </c>
      <c r="K31" s="699">
        <f>(K29+K30)*0.192</f>
        <v>39635.75808</v>
      </c>
      <c r="L31" s="699"/>
      <c r="M31" s="699">
        <f>(M29+M30)*0.185</f>
        <v>43729.19</v>
      </c>
      <c r="O31" s="506">
        <f t="shared" si="2"/>
        <v>1305.667100000006</v>
      </c>
      <c r="P31" s="436">
        <f>O31/M31</f>
        <v>2.9858021609821858E-2</v>
      </c>
    </row>
    <row r="32" spans="1:61" s="68" customFormat="1" ht="20.25" x14ac:dyDescent="0.2">
      <c r="A32" s="67"/>
      <c r="B32" s="67"/>
      <c r="C32" s="79" t="s">
        <v>278</v>
      </c>
      <c r="D32" s="79"/>
      <c r="E32" s="79"/>
      <c r="F32" s="79"/>
      <c r="G32" s="232">
        <v>44745.18</v>
      </c>
      <c r="H32" s="232">
        <v>20974.21</v>
      </c>
      <c r="I32" s="232"/>
      <c r="J32" s="699"/>
      <c r="K32" s="700"/>
      <c r="L32" s="699"/>
      <c r="M32" s="699"/>
      <c r="O32" s="506">
        <f t="shared" si="2"/>
        <v>0</v>
      </c>
      <c r="P32" s="436"/>
    </row>
    <row r="33" spans="1:16" s="68" customFormat="1" ht="20.25" x14ac:dyDescent="0.2">
      <c r="A33" s="67"/>
      <c r="B33" s="67"/>
      <c r="C33" s="79"/>
      <c r="D33" s="987" t="s">
        <v>223</v>
      </c>
      <c r="E33" s="987"/>
      <c r="F33" s="987"/>
      <c r="G33" s="232"/>
      <c r="H33" s="232"/>
      <c r="I33" s="232"/>
      <c r="J33" s="699">
        <f>17368.36/8*12</f>
        <v>26052.54</v>
      </c>
      <c r="K33" s="699">
        <v>27183.82</v>
      </c>
      <c r="L33" s="699"/>
      <c r="M33" s="699">
        <v>27500</v>
      </c>
      <c r="O33" s="506">
        <f t="shared" si="2"/>
        <v>1447.4599999999991</v>
      </c>
      <c r="P33" s="436">
        <f t="shared" ref="P33:P40" si="3">O33/M33</f>
        <v>5.2634909090909059E-2</v>
      </c>
    </row>
    <row r="34" spans="1:16" s="68" customFormat="1" ht="20.25" x14ac:dyDescent="0.2">
      <c r="A34" s="67"/>
      <c r="B34" s="67"/>
      <c r="C34" s="79"/>
      <c r="D34" s="987" t="s">
        <v>224</v>
      </c>
      <c r="E34" s="987"/>
      <c r="F34" s="987"/>
      <c r="G34" s="232"/>
      <c r="H34" s="232"/>
      <c r="I34" s="232"/>
      <c r="J34" s="699">
        <f>12089.81/8*12+800-400</f>
        <v>18534.715</v>
      </c>
      <c r="K34" s="699">
        <v>15510.83</v>
      </c>
      <c r="L34" s="699"/>
      <c r="M34" s="699">
        <v>19374</v>
      </c>
      <c r="O34" s="506">
        <f t="shared" si="2"/>
        <v>839.28499999999985</v>
      </c>
      <c r="P34" s="436">
        <f t="shared" si="3"/>
        <v>4.3320171363683282E-2</v>
      </c>
    </row>
    <row r="35" spans="1:16" s="68" customFormat="1" ht="20.25" x14ac:dyDescent="0.2">
      <c r="A35" s="67"/>
      <c r="B35" s="67"/>
      <c r="C35" s="79"/>
      <c r="D35" s="987" t="s">
        <v>304</v>
      </c>
      <c r="E35" s="987"/>
      <c r="F35" s="987"/>
      <c r="G35" s="232"/>
      <c r="H35" s="232"/>
      <c r="I35" s="232"/>
      <c r="J35" s="699">
        <f>10143.6/8*12</f>
        <v>15215.400000000001</v>
      </c>
      <c r="K35" s="699">
        <v>12450.36</v>
      </c>
      <c r="L35" s="699"/>
      <c r="M35" s="699">
        <v>15000</v>
      </c>
      <c r="O35" s="506">
        <f t="shared" si="2"/>
        <v>-215.40000000000146</v>
      </c>
      <c r="P35" s="436">
        <f t="shared" si="3"/>
        <v>-1.4360000000000097E-2</v>
      </c>
    </row>
    <row r="36" spans="1:16" s="68" customFormat="1" ht="20.25" x14ac:dyDescent="0.2">
      <c r="A36" s="67"/>
      <c r="B36" s="67"/>
      <c r="C36" s="79"/>
      <c r="D36" s="987" t="s">
        <v>225</v>
      </c>
      <c r="E36" s="987"/>
      <c r="F36" s="987"/>
      <c r="G36" s="232"/>
      <c r="H36" s="232"/>
      <c r="I36" s="232"/>
      <c r="J36" s="699">
        <v>513.5</v>
      </c>
      <c r="K36" s="699">
        <v>377</v>
      </c>
      <c r="L36" s="699"/>
      <c r="M36" s="699">
        <v>250</v>
      </c>
      <c r="O36" s="506">
        <f t="shared" si="2"/>
        <v>-263.5</v>
      </c>
      <c r="P36" s="436">
        <f t="shared" si="3"/>
        <v>-1.054</v>
      </c>
    </row>
    <row r="37" spans="1:16" s="68" customFormat="1" ht="20.25" x14ac:dyDescent="0.2">
      <c r="A37" s="67"/>
      <c r="B37" s="67"/>
      <c r="C37" s="79" t="s">
        <v>226</v>
      </c>
      <c r="D37" s="79"/>
      <c r="E37" s="79"/>
      <c r="F37" s="79"/>
      <c r="G37" s="232">
        <v>27200</v>
      </c>
      <c r="H37" s="232">
        <v>11327</v>
      </c>
      <c r="I37" s="232"/>
      <c r="J37" s="699">
        <f>22772+1411</f>
        <v>24183</v>
      </c>
      <c r="K37" s="699">
        <v>25080</v>
      </c>
      <c r="L37" s="699"/>
      <c r="M37" s="699">
        <f>20430+6774</f>
        <v>27204</v>
      </c>
      <c r="O37" s="506">
        <f t="shared" si="2"/>
        <v>3021</v>
      </c>
      <c r="P37" s="436">
        <f t="shared" si="3"/>
        <v>0.11104984561093957</v>
      </c>
    </row>
    <row r="38" spans="1:16" s="68" customFormat="1" ht="20.25" x14ac:dyDescent="0.2">
      <c r="A38" s="67"/>
      <c r="B38" s="67"/>
      <c r="C38" s="79" t="s">
        <v>104</v>
      </c>
      <c r="D38" s="79"/>
      <c r="E38" s="79"/>
      <c r="F38" s="79"/>
      <c r="G38" s="232">
        <v>150176</v>
      </c>
      <c r="H38" s="275">
        <v>47700.27</v>
      </c>
      <c r="I38" s="275"/>
      <c r="J38" s="699">
        <f>J21</f>
        <v>9315</v>
      </c>
      <c r="K38" s="699">
        <f>K21</f>
        <v>10548</v>
      </c>
      <c r="L38" s="699"/>
      <c r="M38" s="699">
        <f>M21</f>
        <v>9315</v>
      </c>
      <c r="O38" s="506">
        <f t="shared" si="2"/>
        <v>0</v>
      </c>
      <c r="P38" s="436">
        <f t="shared" si="3"/>
        <v>0</v>
      </c>
    </row>
    <row r="39" spans="1:16" s="68" customFormat="1" ht="20.25" x14ac:dyDescent="0.2">
      <c r="A39" s="67"/>
      <c r="B39" s="67"/>
      <c r="C39" s="79" t="s">
        <v>313</v>
      </c>
      <c r="D39" s="79"/>
      <c r="E39" s="79"/>
      <c r="F39" s="79"/>
      <c r="G39" s="232"/>
      <c r="H39" s="275"/>
      <c r="I39" s="275"/>
      <c r="J39" s="699">
        <f>2845+(332.08+24.92)*4</f>
        <v>4273</v>
      </c>
      <c r="K39" s="699">
        <v>4075</v>
      </c>
      <c r="L39" s="699"/>
      <c r="M39" s="699">
        <f>360*12</f>
        <v>4320</v>
      </c>
      <c r="O39" s="506">
        <f t="shared" si="2"/>
        <v>47</v>
      </c>
      <c r="P39" s="436">
        <f t="shared" si="3"/>
        <v>1.087962962962963E-2</v>
      </c>
    </row>
    <row r="40" spans="1:16" s="68" customFormat="1" ht="20.25" x14ac:dyDescent="0.2">
      <c r="A40" s="67"/>
      <c r="B40" s="67"/>
      <c r="C40" s="79" t="s">
        <v>227</v>
      </c>
      <c r="D40" s="79"/>
      <c r="E40" s="79"/>
      <c r="F40" s="79"/>
      <c r="G40" s="232"/>
      <c r="H40" s="275"/>
      <c r="I40" s="275"/>
      <c r="J40" s="699">
        <f>393+75</f>
        <v>468</v>
      </c>
      <c r="K40" s="699">
        <v>1496.32</v>
      </c>
      <c r="L40" s="699"/>
      <c r="M40" s="699">
        <v>500</v>
      </c>
      <c r="O40" s="506">
        <f t="shared" si="2"/>
        <v>32</v>
      </c>
      <c r="P40" s="436">
        <f t="shared" si="3"/>
        <v>6.4000000000000001E-2</v>
      </c>
    </row>
    <row r="41" spans="1:16" s="68" customFormat="1" ht="20.25" x14ac:dyDescent="0.2">
      <c r="A41" s="67"/>
      <c r="B41" s="67"/>
      <c r="C41" s="79" t="s">
        <v>382</v>
      </c>
      <c r="D41" s="79"/>
      <c r="E41" s="79"/>
      <c r="F41" s="79"/>
      <c r="G41" s="232">
        <v>10993.12</v>
      </c>
      <c r="H41" s="275">
        <v>4904.57</v>
      </c>
      <c r="I41" s="275"/>
      <c r="J41" s="699">
        <f>2414+307*4</f>
        <v>3642</v>
      </c>
      <c r="K41" s="699">
        <v>3429.9</v>
      </c>
      <c r="L41" s="699"/>
      <c r="M41" s="699">
        <f>307*12</f>
        <v>3684</v>
      </c>
      <c r="O41" s="506">
        <f t="shared" si="2"/>
        <v>42</v>
      </c>
      <c r="P41" s="436">
        <f>O41/M41</f>
        <v>1.1400651465798045E-2</v>
      </c>
    </row>
    <row r="42" spans="1:16" s="68" customFormat="1" ht="20.25" x14ac:dyDescent="0.2">
      <c r="A42" s="67"/>
      <c r="B42" s="67"/>
      <c r="C42" s="79" t="s">
        <v>228</v>
      </c>
      <c r="D42" s="79"/>
      <c r="E42" s="79"/>
      <c r="F42" s="79"/>
      <c r="G42" s="232">
        <v>10250.949999999999</v>
      </c>
      <c r="H42" s="275">
        <v>3982.99</v>
      </c>
      <c r="I42" s="275"/>
      <c r="J42" s="699">
        <v>600</v>
      </c>
      <c r="K42" s="699">
        <f>56.6+402.81</f>
        <v>459.41</v>
      </c>
      <c r="L42" s="699"/>
      <c r="M42" s="699">
        <v>600</v>
      </c>
      <c r="O42" s="506">
        <f t="shared" si="2"/>
        <v>0</v>
      </c>
      <c r="P42" s="436">
        <f>O42/M42</f>
        <v>0</v>
      </c>
    </row>
    <row r="43" spans="1:16" s="68" customFormat="1" ht="20.25" x14ac:dyDescent="0.2">
      <c r="A43" s="67"/>
      <c r="B43" s="67"/>
      <c r="C43" s="79" t="s">
        <v>122</v>
      </c>
      <c r="D43" s="79"/>
      <c r="E43" s="79"/>
      <c r="F43" s="79"/>
      <c r="G43" s="232">
        <v>4412.53</v>
      </c>
      <c r="H43" s="276">
        <v>5667</v>
      </c>
      <c r="I43" s="276"/>
      <c r="J43" s="699">
        <f>122.96+1237.38+391.65</f>
        <v>1751.9900000000002</v>
      </c>
      <c r="K43" s="699">
        <v>1040.8800000000001</v>
      </c>
      <c r="L43" s="701"/>
      <c r="M43" s="701">
        <f>394*4</f>
        <v>1576</v>
      </c>
      <c r="O43" s="506">
        <f t="shared" si="2"/>
        <v>-175.99000000000024</v>
      </c>
      <c r="P43" s="436">
        <f>O43/M43</f>
        <v>-0.11166878172588847</v>
      </c>
    </row>
    <row r="44" spans="1:16" s="68" customFormat="1" ht="20.25" x14ac:dyDescent="0.2">
      <c r="A44" s="67"/>
      <c r="B44" s="67"/>
      <c r="C44" s="79" t="s">
        <v>120</v>
      </c>
      <c r="D44" s="79"/>
      <c r="E44" s="79"/>
      <c r="F44" s="79"/>
      <c r="G44" s="232">
        <v>7901</v>
      </c>
      <c r="H44" s="275">
        <v>4149.6000000000004</v>
      </c>
      <c r="I44" s="275"/>
      <c r="J44" s="699">
        <f>367.55/8*12</f>
        <v>551.32500000000005</v>
      </c>
      <c r="K44" s="699">
        <v>436.35</v>
      </c>
      <c r="L44" s="699"/>
      <c r="M44" s="699">
        <v>600</v>
      </c>
      <c r="O44" s="506">
        <f t="shared" si="2"/>
        <v>48.674999999999955</v>
      </c>
      <c r="P44" s="436">
        <f>O44/M44</f>
        <v>8.1124999999999919E-2</v>
      </c>
    </row>
    <row r="45" spans="1:16" s="68" customFormat="1" ht="20.25" hidden="1" x14ac:dyDescent="0.2">
      <c r="A45" s="67"/>
      <c r="B45" s="67"/>
      <c r="C45" s="79" t="s">
        <v>229</v>
      </c>
      <c r="D45" s="79"/>
      <c r="E45" s="79"/>
      <c r="F45" s="79"/>
      <c r="G45" s="232"/>
      <c r="H45" s="275"/>
      <c r="I45" s="275"/>
      <c r="J45" s="699"/>
      <c r="K45" s="699"/>
      <c r="L45" s="699"/>
      <c r="M45" s="699">
        <v>0</v>
      </c>
      <c r="O45" s="506">
        <f t="shared" si="2"/>
        <v>0</v>
      </c>
      <c r="P45" s="436"/>
    </row>
    <row r="46" spans="1:16" s="76" customFormat="1" ht="20.25" x14ac:dyDescent="0.2">
      <c r="A46" s="79"/>
      <c r="B46" s="79"/>
      <c r="C46" s="79" t="s">
        <v>116</v>
      </c>
      <c r="D46" s="79"/>
      <c r="E46" s="79"/>
      <c r="F46" s="79"/>
      <c r="G46" s="232">
        <v>5428.37</v>
      </c>
      <c r="H46" s="275">
        <v>2024.52</v>
      </c>
      <c r="I46" s="275"/>
      <c r="J46" s="699">
        <f>208.6/8*12</f>
        <v>312.89999999999998</v>
      </c>
      <c r="K46" s="699">
        <v>205.44</v>
      </c>
      <c r="L46" s="699"/>
      <c r="M46" s="699">
        <v>320</v>
      </c>
      <c r="O46" s="506">
        <f t="shared" si="2"/>
        <v>7.1000000000000227</v>
      </c>
      <c r="P46" s="436">
        <f>O46/M46</f>
        <v>2.2187500000000072E-2</v>
      </c>
    </row>
    <row r="47" spans="1:16" s="76" customFormat="1" ht="20.25" x14ac:dyDescent="0.2">
      <c r="A47" s="79"/>
      <c r="B47" s="79"/>
      <c r="C47" s="79" t="s">
        <v>230</v>
      </c>
      <c r="D47" s="79"/>
      <c r="E47" s="79"/>
      <c r="F47" s="79"/>
      <c r="G47" s="232">
        <v>83462.91</v>
      </c>
      <c r="H47" s="232">
        <v>18995.71</v>
      </c>
      <c r="I47" s="232"/>
      <c r="J47" s="702">
        <v>200</v>
      </c>
      <c r="K47" s="702">
        <f>201.52+30+216.21+94.56</f>
        <v>542.29</v>
      </c>
      <c r="L47" s="699"/>
      <c r="M47" s="699">
        <v>225</v>
      </c>
      <c r="O47" s="506">
        <f t="shared" si="2"/>
        <v>25</v>
      </c>
      <c r="P47" s="508">
        <f>O47/M47</f>
        <v>0.1111111111111111</v>
      </c>
    </row>
    <row r="48" spans="1:16" s="68" customFormat="1" ht="21" thickBot="1" x14ac:dyDescent="0.25">
      <c r="A48" s="67"/>
      <c r="B48" s="67"/>
      <c r="C48" s="67"/>
      <c r="D48" s="73" t="s">
        <v>128</v>
      </c>
      <c r="E48" s="67"/>
      <c r="F48" s="67"/>
      <c r="G48" s="241">
        <v>1078317.8599999999</v>
      </c>
      <c r="H48" s="241">
        <v>481701.87000000005</v>
      </c>
      <c r="I48" s="232"/>
      <c r="J48" s="465">
        <f>SUM(J29:J47)</f>
        <v>377353.23290000006</v>
      </c>
      <c r="K48" s="465">
        <f>SUM(K29:K47)</f>
        <v>348907.59807999997</v>
      </c>
      <c r="L48" s="322"/>
      <c r="M48" s="465">
        <f>SUM(M29:M47)</f>
        <v>390571.19</v>
      </c>
      <c r="O48" s="465">
        <f>J48-M48</f>
        <v>-13217.957099999941</v>
      </c>
      <c r="P48" s="463">
        <f>O48/M48</f>
        <v>-3.384263212040791E-2</v>
      </c>
    </row>
    <row r="49" spans="1:19" s="68" customFormat="1" ht="21" thickBot="1" x14ac:dyDescent="0.25">
      <c r="A49" s="67"/>
      <c r="B49" s="67"/>
      <c r="C49" s="67"/>
      <c r="D49" s="67" t="s">
        <v>129</v>
      </c>
      <c r="E49" s="67"/>
      <c r="F49" s="67"/>
      <c r="G49" s="241">
        <v>233082.39000000013</v>
      </c>
      <c r="H49" s="241">
        <v>82291.709999999905</v>
      </c>
      <c r="I49" s="232"/>
      <c r="J49" s="466">
        <f>J25-J48</f>
        <v>-20538.272900000098</v>
      </c>
      <c r="K49" s="466" t="e">
        <f>K25-K48</f>
        <v>#REF!</v>
      </c>
      <c r="L49" s="322"/>
      <c r="M49" s="466" t="e">
        <f>M25-M48</f>
        <v>#REF!</v>
      </c>
      <c r="O49" s="377" t="e">
        <f>M49-J49</f>
        <v>#REF!</v>
      </c>
      <c r="P49" s="463" t="e">
        <f>O49/M49</f>
        <v>#REF!</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265</v>
      </c>
      <c r="E51" s="79"/>
      <c r="F51" s="79"/>
      <c r="G51" s="270"/>
      <c r="H51" s="232"/>
      <c r="I51" s="232"/>
      <c r="J51" s="322">
        <f>-23415.22-24000</f>
        <v>-47415.22</v>
      </c>
      <c r="K51" s="322">
        <v>-44886</v>
      </c>
      <c r="L51" s="322"/>
      <c r="M51" s="322"/>
      <c r="O51" s="275">
        <f>M51-J51</f>
        <v>47415.22</v>
      </c>
      <c r="P51" s="413"/>
      <c r="S51" s="698"/>
    </row>
    <row r="52" spans="1:19" s="68" customFormat="1" ht="20.25" x14ac:dyDescent="0.2">
      <c r="A52" s="67"/>
      <c r="B52" s="67"/>
      <c r="C52" s="79" t="s">
        <v>231</v>
      </c>
      <c r="E52" s="67"/>
      <c r="G52" s="232"/>
      <c r="H52" s="232"/>
      <c r="I52" s="232"/>
      <c r="J52" s="322">
        <f>J37</f>
        <v>24183</v>
      </c>
      <c r="K52" s="322">
        <f>K37</f>
        <v>25080</v>
      </c>
      <c r="L52" s="322"/>
      <c r="M52" s="322">
        <f>M37</f>
        <v>27204</v>
      </c>
      <c r="O52" s="275">
        <f>M52-J52</f>
        <v>3021</v>
      </c>
      <c r="P52" s="413">
        <v>3.5414486921529216E-2</v>
      </c>
    </row>
    <row r="53" spans="1:19" s="68" customFormat="1" ht="24" thickBot="1" x14ac:dyDescent="0.25">
      <c r="A53" s="67"/>
      <c r="B53" s="396"/>
      <c r="C53" s="67"/>
      <c r="D53" s="990" t="s">
        <v>232</v>
      </c>
      <c r="E53" s="990"/>
      <c r="F53" s="990"/>
      <c r="G53" s="232"/>
      <c r="H53" s="232"/>
      <c r="I53" s="232"/>
      <c r="J53" s="467">
        <f>J49+J51+J52</f>
        <v>-43770.492900000099</v>
      </c>
      <c r="K53" s="467" t="e">
        <f>K49+K51+K52</f>
        <v>#REF!</v>
      </c>
      <c r="L53" s="326"/>
      <c r="M53" s="467" t="e">
        <f>M49+M51+M52</f>
        <v>#REF!</v>
      </c>
      <c r="N53" s="387"/>
      <c r="O53" s="464" t="e">
        <f>M53-J53</f>
        <v>#REF!</v>
      </c>
      <c r="P53" s="499">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94</v>
      </c>
      <c r="B1" s="59"/>
      <c r="C1" s="60"/>
      <c r="D1" s="60"/>
      <c r="E1" s="60"/>
      <c r="F1" s="59"/>
      <c r="G1" s="230"/>
    </row>
    <row r="2" spans="1:9" ht="26.25" x14ac:dyDescent="0.4">
      <c r="A2" s="58" t="s">
        <v>263</v>
      </c>
      <c r="B2" s="59"/>
      <c r="C2" s="60"/>
      <c r="D2" s="60"/>
      <c r="E2" s="60"/>
      <c r="F2" s="59"/>
      <c r="G2" s="230"/>
    </row>
    <row r="3" spans="1:9" ht="26.25" x14ac:dyDescent="0.4">
      <c r="A3" s="58" t="s">
        <v>317</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0" t="s">
        <v>49</v>
      </c>
    </row>
    <row r="6" spans="1:9" ht="21" thickTop="1" x14ac:dyDescent="0.2">
      <c r="A6" s="67"/>
      <c r="B6" s="67"/>
      <c r="C6" s="67"/>
      <c r="D6" s="67"/>
      <c r="E6" s="67"/>
      <c r="F6" s="67"/>
      <c r="G6" s="232"/>
    </row>
    <row r="7" spans="1:9" ht="21" thickBot="1" x14ac:dyDescent="0.35">
      <c r="A7" s="69"/>
      <c r="B7" s="153" t="s">
        <v>100</v>
      </c>
      <c r="C7" s="153"/>
      <c r="D7" s="153"/>
      <c r="E7" s="153"/>
      <c r="F7" s="153"/>
      <c r="G7" s="281"/>
    </row>
    <row r="8" spans="1:9" ht="20.25" x14ac:dyDescent="0.2">
      <c r="A8" s="73"/>
      <c r="B8" s="73"/>
      <c r="C8" s="420" t="s">
        <v>101</v>
      </c>
      <c r="D8" s="420"/>
      <c r="E8" s="420"/>
      <c r="F8" s="73"/>
      <c r="G8" s="263">
        <v>791718</v>
      </c>
    </row>
    <row r="9" spans="1:9" ht="20.25" x14ac:dyDescent="0.2">
      <c r="A9" s="73"/>
      <c r="B9" s="73"/>
      <c r="C9" s="420" t="s">
        <v>318</v>
      </c>
      <c r="D9" s="420"/>
      <c r="E9" s="420"/>
      <c r="F9" s="73"/>
      <c r="G9" s="264">
        <v>25000</v>
      </c>
    </row>
    <row r="10" spans="1:9" ht="20.25" x14ac:dyDescent="0.2">
      <c r="A10" s="73"/>
      <c r="B10" s="392"/>
      <c r="C10" s="420" t="s">
        <v>150</v>
      </c>
      <c r="D10" s="420"/>
      <c r="E10" s="420"/>
      <c r="F10" s="73"/>
      <c r="G10" s="264">
        <v>147000</v>
      </c>
    </row>
    <row r="11" spans="1:9" ht="20.25" x14ac:dyDescent="0.2">
      <c r="A11" s="73"/>
      <c r="B11" s="392"/>
      <c r="C11" s="420" t="s">
        <v>179</v>
      </c>
      <c r="D11" s="420"/>
      <c r="E11" s="420"/>
      <c r="F11" s="73"/>
      <c r="G11" s="264">
        <v>43322</v>
      </c>
      <c r="I11" s="243"/>
    </row>
    <row r="12" spans="1:9" ht="20.25" x14ac:dyDescent="0.2">
      <c r="A12" s="73"/>
      <c r="B12" s="392"/>
      <c r="C12" s="420" t="s">
        <v>102</v>
      </c>
      <c r="D12" s="420"/>
      <c r="E12" s="420"/>
      <c r="F12" s="73"/>
      <c r="G12" s="264"/>
    </row>
    <row r="13" spans="1:9" ht="20.25" x14ac:dyDescent="0.2">
      <c r="A13" s="73"/>
      <c r="B13" s="392"/>
      <c r="C13" s="77"/>
      <c r="D13" s="420" t="s">
        <v>139</v>
      </c>
      <c r="E13" s="420"/>
      <c r="F13" s="73"/>
      <c r="G13" s="264">
        <f>43500+158022</f>
        <v>201522</v>
      </c>
    </row>
    <row r="14" spans="1:9" ht="20.25" x14ac:dyDescent="0.2">
      <c r="A14" s="73"/>
      <c r="B14" s="392"/>
      <c r="C14" s="77"/>
      <c r="D14" s="420" t="s">
        <v>159</v>
      </c>
      <c r="E14" s="420"/>
      <c r="F14" s="73"/>
      <c r="G14" s="264">
        <v>13000</v>
      </c>
    </row>
    <row r="15" spans="1:9" ht="20.25" x14ac:dyDescent="0.2">
      <c r="A15" s="73"/>
      <c r="B15" s="392"/>
      <c r="C15" s="420" t="s">
        <v>103</v>
      </c>
      <c r="D15" s="420"/>
      <c r="E15" s="420"/>
      <c r="F15" s="73"/>
      <c r="G15" s="264">
        <v>12500</v>
      </c>
    </row>
    <row r="16" spans="1:9" ht="20.25" x14ac:dyDescent="0.2">
      <c r="A16" s="73"/>
      <c r="B16" s="392"/>
      <c r="C16" s="420" t="s">
        <v>110</v>
      </c>
      <c r="D16" s="420"/>
      <c r="E16" s="420"/>
      <c r="F16" s="73"/>
      <c r="G16" s="264">
        <v>1200</v>
      </c>
    </row>
    <row r="17" spans="1:9" ht="20.25" x14ac:dyDescent="0.2">
      <c r="A17" s="73"/>
      <c r="B17" s="392"/>
      <c r="C17" s="420" t="s">
        <v>237</v>
      </c>
      <c r="D17" s="420"/>
      <c r="E17" s="420"/>
      <c r="F17" s="73"/>
      <c r="G17" s="264">
        <v>4200</v>
      </c>
    </row>
    <row r="18" spans="1:9" ht="20.25" x14ac:dyDescent="0.2">
      <c r="A18" s="73"/>
      <c r="B18" s="392"/>
      <c r="C18" s="420" t="s">
        <v>320</v>
      </c>
      <c r="D18" s="420"/>
      <c r="E18" s="420"/>
      <c r="F18" s="73"/>
      <c r="G18" s="264">
        <v>1500</v>
      </c>
    </row>
    <row r="19" spans="1:9" ht="20.25" x14ac:dyDescent="0.2">
      <c r="A19" s="73"/>
      <c r="B19" s="392"/>
      <c r="C19" s="420" t="s">
        <v>238</v>
      </c>
      <c r="D19" s="420"/>
      <c r="E19" s="420"/>
      <c r="F19" s="73"/>
      <c r="G19" s="264"/>
    </row>
    <row r="20" spans="1:9" ht="20.25" x14ac:dyDescent="0.2">
      <c r="A20" s="73"/>
      <c r="B20" s="392"/>
      <c r="C20" s="420"/>
      <c r="D20" s="420" t="s">
        <v>11</v>
      </c>
      <c r="E20" s="420"/>
      <c r="F20" s="73"/>
      <c r="G20" s="264">
        <f>73338-45000</f>
        <v>28338</v>
      </c>
    </row>
    <row r="21" spans="1:9" ht="20.25" x14ac:dyDescent="0.2">
      <c r="A21" s="73"/>
      <c r="B21" s="392"/>
      <c r="C21" s="420"/>
      <c r="D21" s="420" t="s">
        <v>17</v>
      </c>
      <c r="E21" s="420"/>
      <c r="F21" s="73"/>
      <c r="G21" s="264">
        <v>45000</v>
      </c>
    </row>
    <row r="22" spans="1:9" ht="20.25" x14ac:dyDescent="0.2">
      <c r="A22" s="73"/>
      <c r="B22" s="392"/>
      <c r="C22" s="420" t="s">
        <v>322</v>
      </c>
      <c r="D22" s="420"/>
      <c r="E22" s="420"/>
      <c r="F22" s="73"/>
      <c r="G22" s="264">
        <v>2500</v>
      </c>
    </row>
    <row r="23" spans="1:9" ht="20.25" x14ac:dyDescent="0.2">
      <c r="A23" s="73"/>
      <c r="B23" s="392"/>
      <c r="C23" s="420" t="s">
        <v>109</v>
      </c>
      <c r="D23" s="420"/>
      <c r="E23" s="420"/>
      <c r="F23" s="73"/>
      <c r="G23" s="322">
        <v>46575</v>
      </c>
    </row>
    <row r="24" spans="1:9" ht="20.25" x14ac:dyDescent="0.2">
      <c r="A24" s="73"/>
      <c r="B24" s="392"/>
      <c r="C24" s="420" t="s">
        <v>323</v>
      </c>
      <c r="D24" s="420"/>
      <c r="E24" s="420"/>
      <c r="F24" s="73"/>
      <c r="G24" s="322">
        <v>1531</v>
      </c>
    </row>
    <row r="25" spans="1:9" ht="20.25" x14ac:dyDescent="0.2">
      <c r="A25" s="73"/>
      <c r="B25" s="392"/>
      <c r="C25" s="420" t="s">
        <v>102</v>
      </c>
      <c r="D25" s="420"/>
      <c r="E25" s="420"/>
      <c r="F25" s="73"/>
      <c r="G25" s="322">
        <v>19000</v>
      </c>
    </row>
    <row r="26" spans="1:9" ht="20.25" x14ac:dyDescent="0.2">
      <c r="A26" s="73"/>
      <c r="B26" s="392"/>
      <c r="C26" s="420" t="s">
        <v>319</v>
      </c>
      <c r="D26" s="420"/>
      <c r="E26" s="420"/>
      <c r="F26" s="73"/>
      <c r="G26" s="322">
        <v>51000</v>
      </c>
    </row>
    <row r="27" spans="1:9" ht="20.25" x14ac:dyDescent="0.2">
      <c r="A27" s="73"/>
      <c r="B27" s="392"/>
      <c r="C27" s="420" t="s">
        <v>321</v>
      </c>
      <c r="D27" s="420"/>
      <c r="E27" s="420"/>
      <c r="F27" s="73"/>
      <c r="G27" s="322">
        <v>20655</v>
      </c>
    </row>
    <row r="28" spans="1:9" ht="20.25" x14ac:dyDescent="0.2">
      <c r="A28" s="73"/>
      <c r="B28" s="392"/>
      <c r="C28" s="420"/>
      <c r="D28" s="73" t="s">
        <v>105</v>
      </c>
      <c r="E28" s="420"/>
      <c r="F28" s="73"/>
      <c r="G28" s="242">
        <f>SUM(G8:G27)</f>
        <v>1455561</v>
      </c>
      <c r="I28" s="243"/>
    </row>
    <row r="29" spans="1:9" ht="20.25" x14ac:dyDescent="0.2">
      <c r="A29" s="73"/>
      <c r="B29" s="392"/>
      <c r="C29" s="420"/>
      <c r="D29" s="73"/>
      <c r="E29" s="420"/>
      <c r="F29" s="73"/>
      <c r="G29" s="234"/>
    </row>
    <row r="30" spans="1:9" ht="21" thickBot="1" x14ac:dyDescent="0.25">
      <c r="A30" s="73"/>
      <c r="B30" s="393" t="s">
        <v>111</v>
      </c>
      <c r="C30" s="87"/>
      <c r="D30" s="87"/>
      <c r="E30" s="87"/>
      <c r="F30" s="87"/>
      <c r="G30" s="241"/>
    </row>
    <row r="31" spans="1:9" ht="20.25" x14ac:dyDescent="0.2">
      <c r="A31" s="67"/>
      <c r="B31" s="394"/>
      <c r="C31" s="79" t="s">
        <v>112</v>
      </c>
      <c r="D31" s="79"/>
      <c r="E31" s="79"/>
      <c r="F31" s="79"/>
      <c r="G31" s="232">
        <v>889720</v>
      </c>
    </row>
    <row r="32" spans="1:9" ht="20.25" x14ac:dyDescent="0.2">
      <c r="A32" s="67"/>
      <c r="B32" s="394"/>
      <c r="C32" s="79" t="s">
        <v>113</v>
      </c>
      <c r="D32" s="79"/>
      <c r="E32" s="79"/>
      <c r="F32" s="79"/>
      <c r="G32" s="232">
        <v>192602</v>
      </c>
    </row>
    <row r="33" spans="1:7" ht="20.25" x14ac:dyDescent="0.2">
      <c r="A33" s="67"/>
      <c r="B33" s="394"/>
      <c r="C33" s="79" t="s">
        <v>114</v>
      </c>
      <c r="D33" s="79"/>
      <c r="E33" s="79"/>
      <c r="F33" s="79"/>
      <c r="G33" s="232">
        <v>3600</v>
      </c>
    </row>
    <row r="34" spans="1:7" ht="20.25" x14ac:dyDescent="0.2">
      <c r="A34" s="67"/>
      <c r="B34" s="394"/>
      <c r="C34" s="79" t="s">
        <v>104</v>
      </c>
      <c r="D34" s="79"/>
      <c r="E34" s="79"/>
      <c r="F34" s="79"/>
      <c r="G34" s="232">
        <f>G23</f>
        <v>46575</v>
      </c>
    </row>
    <row r="35" spans="1:7" ht="20.25" x14ac:dyDescent="0.2">
      <c r="A35" s="67"/>
      <c r="B35" s="394"/>
      <c r="C35" s="79" t="s">
        <v>115</v>
      </c>
      <c r="D35" s="79"/>
      <c r="E35" s="79"/>
      <c r="F35" s="79"/>
      <c r="G35" s="232">
        <v>17595</v>
      </c>
    </row>
    <row r="36" spans="1:7" ht="20.25" x14ac:dyDescent="0.2">
      <c r="A36" s="67"/>
      <c r="B36" s="394"/>
      <c r="C36" s="79" t="s">
        <v>116</v>
      </c>
      <c r="D36" s="79"/>
      <c r="E36" s="79"/>
      <c r="F36" s="79"/>
      <c r="G36" s="232">
        <v>2821</v>
      </c>
    </row>
    <row r="37" spans="1:7" ht="20.25" x14ac:dyDescent="0.2">
      <c r="A37" s="67"/>
      <c r="B37" s="394"/>
      <c r="C37" s="79" t="s">
        <v>117</v>
      </c>
      <c r="D37" s="79"/>
      <c r="E37" s="79"/>
      <c r="F37" s="79"/>
      <c r="G37" s="232">
        <v>5032</v>
      </c>
    </row>
    <row r="38" spans="1:7" ht="20.25" x14ac:dyDescent="0.2">
      <c r="A38" s="67"/>
      <c r="B38" s="394"/>
      <c r="C38" s="79" t="s">
        <v>118</v>
      </c>
      <c r="D38" s="79"/>
      <c r="E38" s="79"/>
      <c r="F38" s="79"/>
      <c r="G38" s="232">
        <v>12216</v>
      </c>
    </row>
    <row r="39" spans="1:7" ht="20.25" x14ac:dyDescent="0.2">
      <c r="A39" s="67"/>
      <c r="B39" s="394"/>
      <c r="C39" s="79" t="s">
        <v>119</v>
      </c>
      <c r="D39" s="79"/>
      <c r="E39" s="79"/>
      <c r="F39" s="79"/>
      <c r="G39" s="232">
        <v>39500</v>
      </c>
    </row>
    <row r="40" spans="1:7" ht="20.25" x14ac:dyDescent="0.2">
      <c r="A40" s="67"/>
      <c r="B40" s="394"/>
      <c r="C40" s="79" t="s">
        <v>120</v>
      </c>
      <c r="D40" s="79"/>
      <c r="E40" s="79"/>
      <c r="F40" s="79"/>
      <c r="G40" s="232">
        <v>4840</v>
      </c>
    </row>
    <row r="41" spans="1:7" ht="20.25" x14ac:dyDescent="0.2">
      <c r="A41" s="67"/>
      <c r="B41" s="394"/>
      <c r="C41" s="79" t="s">
        <v>121</v>
      </c>
      <c r="D41" s="79"/>
      <c r="E41" s="79"/>
      <c r="F41" s="79"/>
      <c r="G41" s="232">
        <v>1735</v>
      </c>
    </row>
    <row r="42" spans="1:7" ht="20.25" x14ac:dyDescent="0.2">
      <c r="A42" s="67"/>
      <c r="B42" s="394"/>
      <c r="C42" s="79" t="s">
        <v>166</v>
      </c>
      <c r="D42" s="79"/>
      <c r="E42" s="79"/>
      <c r="F42" s="79"/>
      <c r="G42" s="232">
        <v>12125</v>
      </c>
    </row>
    <row r="43" spans="1:7" ht="20.25" x14ac:dyDescent="0.2">
      <c r="A43" s="79"/>
      <c r="B43" s="390"/>
      <c r="C43" s="79" t="s">
        <v>122</v>
      </c>
      <c r="D43" s="79"/>
      <c r="E43" s="79"/>
      <c r="F43" s="79"/>
      <c r="G43" s="322">
        <v>12252</v>
      </c>
    </row>
    <row r="44" spans="1:7" ht="20.25" x14ac:dyDescent="0.2">
      <c r="A44" s="79"/>
      <c r="B44" s="390"/>
      <c r="C44" s="79" t="s">
        <v>123</v>
      </c>
      <c r="D44" s="79"/>
      <c r="E44" s="79"/>
      <c r="F44" s="79"/>
      <c r="G44" s="232">
        <v>13564</v>
      </c>
    </row>
    <row r="45" spans="1:7" ht="20.25" x14ac:dyDescent="0.2">
      <c r="A45" s="79"/>
      <c r="B45" s="390"/>
      <c r="C45" s="79" t="s">
        <v>130</v>
      </c>
      <c r="D45" s="79"/>
      <c r="E45" s="79"/>
      <c r="F45" s="79"/>
      <c r="G45" s="232">
        <v>875</v>
      </c>
    </row>
    <row r="46" spans="1:7" ht="20.25" x14ac:dyDescent="0.2">
      <c r="A46" s="79"/>
      <c r="B46" s="390"/>
      <c r="C46" s="79" t="s">
        <v>124</v>
      </c>
      <c r="D46" s="79"/>
      <c r="E46" s="79"/>
      <c r="F46" s="79"/>
      <c r="G46" s="322">
        <f>10039+1500</f>
        <v>11539</v>
      </c>
    </row>
    <row r="47" spans="1:7" ht="20.25" x14ac:dyDescent="0.2">
      <c r="A47" s="67"/>
      <c r="B47" s="394"/>
      <c r="C47" s="79" t="s">
        <v>199</v>
      </c>
      <c r="D47" s="79"/>
      <c r="E47" s="79"/>
      <c r="F47" s="79"/>
      <c r="G47" s="232">
        <f>12623+2660</f>
        <v>15283</v>
      </c>
    </row>
    <row r="48" spans="1:7" ht="20.25" x14ac:dyDescent="0.2">
      <c r="A48" s="79"/>
      <c r="B48" s="390"/>
      <c r="C48" s="79" t="s">
        <v>125</v>
      </c>
      <c r="D48" s="79"/>
      <c r="E48" s="79"/>
      <c r="F48" s="79"/>
      <c r="G48" s="322">
        <v>39977</v>
      </c>
    </row>
    <row r="49" spans="1:7" ht="20.25" x14ac:dyDescent="0.2">
      <c r="A49" s="79"/>
      <c r="B49" s="390"/>
      <c r="C49" s="79" t="s">
        <v>126</v>
      </c>
      <c r="D49" s="79"/>
      <c r="E49" s="79"/>
      <c r="F49" s="79"/>
      <c r="G49" s="322">
        <v>19556</v>
      </c>
    </row>
    <row r="50" spans="1:7" ht="20.25" x14ac:dyDescent="0.2">
      <c r="A50" s="79"/>
      <c r="B50" s="390"/>
      <c r="C50" s="79" t="s">
        <v>165</v>
      </c>
      <c r="D50" s="79"/>
      <c r="E50" s="79"/>
      <c r="F50" s="79"/>
      <c r="G50" s="232">
        <v>56100</v>
      </c>
    </row>
    <row r="51" spans="1:7" ht="20.25" x14ac:dyDescent="0.2">
      <c r="A51" s="79"/>
      <c r="B51" s="390"/>
      <c r="C51" s="79" t="s">
        <v>127</v>
      </c>
      <c r="D51" s="79"/>
      <c r="E51" s="79"/>
      <c r="F51" s="79"/>
      <c r="G51" s="232">
        <f>750+86095</f>
        <v>86845</v>
      </c>
    </row>
    <row r="52" spans="1:7" ht="21" thickBot="1" x14ac:dyDescent="0.25">
      <c r="A52" s="79"/>
      <c r="B52" s="390"/>
      <c r="C52" s="79"/>
      <c r="D52" s="79"/>
      <c r="E52" s="79"/>
      <c r="F52" s="79"/>
      <c r="G52" s="241"/>
    </row>
    <row r="53" spans="1:7" ht="20.25" x14ac:dyDescent="0.2">
      <c r="A53" s="67"/>
      <c r="B53" s="394"/>
      <c r="C53" s="67"/>
      <c r="D53" s="73" t="s">
        <v>128</v>
      </c>
      <c r="E53" s="67"/>
      <c r="F53" s="67"/>
      <c r="G53" s="237">
        <f>SUM(G31:G51)</f>
        <v>1484352</v>
      </c>
    </row>
    <row r="54" spans="1:7" ht="21" thickBot="1" x14ac:dyDescent="0.25">
      <c r="A54" s="67"/>
      <c r="B54" s="394"/>
      <c r="C54" s="67"/>
      <c r="D54" s="73"/>
      <c r="E54" s="67"/>
      <c r="F54" s="67"/>
      <c r="G54" s="241"/>
    </row>
    <row r="55" spans="1:7" ht="21" thickBot="1" x14ac:dyDescent="0.25">
      <c r="A55" s="67"/>
      <c r="B55" s="394"/>
      <c r="C55" s="67"/>
      <c r="D55" s="67" t="s">
        <v>129</v>
      </c>
      <c r="E55" s="67"/>
      <c r="F55" s="67"/>
      <c r="G55" s="241">
        <f>G28-G53</f>
        <v>-28791</v>
      </c>
    </row>
    <row r="56" spans="1:7" ht="20.25" x14ac:dyDescent="0.2">
      <c r="A56" s="67"/>
      <c r="B56" s="394"/>
      <c r="C56" s="67"/>
      <c r="D56" s="67"/>
      <c r="E56" s="67"/>
      <c r="F56" s="67"/>
      <c r="G56" s="232"/>
    </row>
  </sheetData>
  <pageMargins left="1.2" right="0" top="0.5" bottom="0.5" header="0.3" footer="0.3"/>
  <pageSetup scale="65"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0" hidden="1" customWidth="1"/>
    <col min="4" max="7" width="15" customWidth="1"/>
    <col min="8" max="8" width="14.625" customWidth="1"/>
  </cols>
  <sheetData>
    <row r="1" spans="1:130" ht="21" x14ac:dyDescent="0.35">
      <c r="A1" s="585"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85" t="s">
        <v>299</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85" t="str">
        <f>'June''23 State of Activities'!A3</f>
        <v>Six Months Ended June 30, 2023 and 2022</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1052" t="s">
        <v>279</v>
      </c>
      <c r="B5" s="1053"/>
      <c r="C5" s="1053"/>
      <c r="D5" s="1053"/>
      <c r="E5" s="1053"/>
      <c r="F5" s="1053"/>
      <c r="G5" s="1053"/>
      <c r="H5" s="1054"/>
    </row>
    <row r="6" spans="1:130" ht="7.5" customHeight="1" thickBot="1" x14ac:dyDescent="0.25">
      <c r="E6" s="551"/>
      <c r="F6" s="551"/>
      <c r="G6" s="551"/>
    </row>
    <row r="7" spans="1:130" ht="15.75" x14ac:dyDescent="0.25">
      <c r="A7" s="552" t="s">
        <v>280</v>
      </c>
      <c r="B7" s="553" t="s">
        <v>281</v>
      </c>
      <c r="C7" s="553" t="s">
        <v>282</v>
      </c>
      <c r="D7" s="553" t="s">
        <v>283</v>
      </c>
      <c r="E7" s="553" t="s">
        <v>284</v>
      </c>
      <c r="F7" s="553" t="s">
        <v>285</v>
      </c>
      <c r="G7" s="553" t="s">
        <v>286</v>
      </c>
      <c r="H7" s="552" t="s">
        <v>287</v>
      </c>
    </row>
    <row r="8" spans="1:130" ht="16.5" thickBot="1" x14ac:dyDescent="0.3">
      <c r="A8" s="554"/>
      <c r="B8" s="555" t="s">
        <v>288</v>
      </c>
      <c r="C8" s="555" t="s">
        <v>288</v>
      </c>
      <c r="D8" s="555" t="s">
        <v>288</v>
      </c>
      <c r="E8" s="555" t="s">
        <v>288</v>
      </c>
      <c r="F8" s="555" t="s">
        <v>288</v>
      </c>
      <c r="G8" s="555" t="s">
        <v>288</v>
      </c>
      <c r="H8" s="556" t="s">
        <v>289</v>
      </c>
    </row>
    <row r="9" spans="1:130" x14ac:dyDescent="0.2">
      <c r="A9" s="557">
        <v>42741</v>
      </c>
      <c r="B9" s="558">
        <v>1059.72</v>
      </c>
      <c r="C9" s="559">
        <f>6123.86-3246.88</f>
        <v>2876.9799999999996</v>
      </c>
      <c r="D9" s="558">
        <f>160.4+1401.46</f>
        <v>1561.8600000000001</v>
      </c>
      <c r="E9" s="558">
        <f>2007.36+883.16</f>
        <v>2890.52</v>
      </c>
      <c r="F9" s="558">
        <v>4174.08</v>
      </c>
      <c r="G9" s="558">
        <v>3187.95</v>
      </c>
      <c r="H9" s="558">
        <f>G9-F9</f>
        <v>-986.13000000000011</v>
      </c>
    </row>
    <row r="10" spans="1:130" x14ac:dyDescent="0.2">
      <c r="A10" s="560">
        <v>42748</v>
      </c>
      <c r="B10" s="561">
        <v>1351.72</v>
      </c>
      <c r="C10" s="562">
        <f>7232.22-3246.88</f>
        <v>3985.34</v>
      </c>
      <c r="D10" s="561">
        <v>3927.82</v>
      </c>
      <c r="E10" s="561">
        <v>3364.16</v>
      </c>
      <c r="F10" s="558">
        <v>4643.2299999999996</v>
      </c>
      <c r="G10" s="558">
        <v>3858.57</v>
      </c>
      <c r="H10" s="558">
        <f t="shared" ref="H10:H21" si="0">G10-F10</f>
        <v>-784.6599999999994</v>
      </c>
    </row>
    <row r="11" spans="1:130" x14ac:dyDescent="0.2">
      <c r="A11" s="560">
        <v>42755</v>
      </c>
      <c r="B11" s="561">
        <v>1237.58</v>
      </c>
      <c r="C11" s="563">
        <f>5493.18-2496.78</f>
        <v>2996.4</v>
      </c>
      <c r="D11" s="561">
        <v>3463.28</v>
      </c>
      <c r="E11" s="561">
        <v>3723.22</v>
      </c>
      <c r="F11" s="558">
        <v>3257.98</v>
      </c>
      <c r="G11" s="558">
        <v>2816.13</v>
      </c>
      <c r="H11" s="558">
        <f t="shared" si="0"/>
        <v>-441.84999999999991</v>
      </c>
    </row>
    <row r="12" spans="1:130" x14ac:dyDescent="0.2">
      <c r="A12" s="560">
        <v>42762</v>
      </c>
      <c r="B12" s="561">
        <v>1829.66</v>
      </c>
      <c r="C12" s="563">
        <f>6125.18-2535</f>
        <v>3590.1800000000003</v>
      </c>
      <c r="D12" s="561">
        <v>2947.54</v>
      </c>
      <c r="E12" s="561">
        <v>3026.63</v>
      </c>
      <c r="F12" s="558">
        <v>3503.82</v>
      </c>
      <c r="G12" s="558">
        <v>2957.14</v>
      </c>
      <c r="H12" s="558">
        <f t="shared" si="0"/>
        <v>-546.68000000000029</v>
      </c>
    </row>
    <row r="13" spans="1:130" x14ac:dyDescent="0.2">
      <c r="A13" s="560">
        <v>42769</v>
      </c>
      <c r="B13" s="561">
        <v>2363.12</v>
      </c>
      <c r="C13" s="563">
        <f>-3488.68+8424.94</f>
        <v>4936.26</v>
      </c>
      <c r="D13" s="561">
        <v>3434.46</v>
      </c>
      <c r="E13" s="561">
        <v>2986.58</v>
      </c>
      <c r="F13" s="558">
        <v>4063.43</v>
      </c>
      <c r="G13" s="558">
        <v>3878.62</v>
      </c>
      <c r="H13" s="558">
        <f t="shared" si="0"/>
        <v>-184.80999999999995</v>
      </c>
    </row>
    <row r="14" spans="1:130" x14ac:dyDescent="0.2">
      <c r="A14" s="560">
        <v>42776</v>
      </c>
      <c r="B14" s="561">
        <v>1902.16</v>
      </c>
      <c r="C14" s="563">
        <f>-2931.5+7254.06</f>
        <v>4322.5600000000004</v>
      </c>
      <c r="D14" s="561">
        <v>2818.82</v>
      </c>
      <c r="E14" s="561">
        <f>2800.67</f>
        <v>2800.67</v>
      </c>
      <c r="F14" s="558">
        <v>4002.46</v>
      </c>
      <c r="G14" s="558">
        <v>2987.96</v>
      </c>
      <c r="H14" s="558">
        <f t="shared" si="0"/>
        <v>-1014.5</v>
      </c>
    </row>
    <row r="15" spans="1:130" x14ac:dyDescent="0.2">
      <c r="A15" s="560">
        <v>42783</v>
      </c>
      <c r="B15" s="561">
        <v>2134.56</v>
      </c>
      <c r="C15" s="563">
        <f>-3653.28+8329.5-700</f>
        <v>3976.2199999999993</v>
      </c>
      <c r="D15" s="561">
        <v>2157.96</v>
      </c>
      <c r="E15" s="561">
        <v>2584.04</v>
      </c>
      <c r="F15" s="558">
        <v>2886.61</v>
      </c>
      <c r="G15" s="558">
        <v>3373.08</v>
      </c>
      <c r="H15" s="558">
        <f t="shared" si="0"/>
        <v>486.4699999999998</v>
      </c>
    </row>
    <row r="16" spans="1:130" x14ac:dyDescent="0.2">
      <c r="A16" s="560">
        <v>42790</v>
      </c>
      <c r="B16" s="561">
        <v>1676.08</v>
      </c>
      <c r="C16" s="563">
        <f>-2869.88+6693.6</f>
        <v>3823.7200000000003</v>
      </c>
      <c r="D16" s="561">
        <v>3063.52</v>
      </c>
      <c r="E16" s="561">
        <v>3161.19</v>
      </c>
      <c r="F16" s="558">
        <v>3994.7</v>
      </c>
      <c r="G16" s="558">
        <v>3335.8</v>
      </c>
      <c r="H16" s="558">
        <f t="shared" si="0"/>
        <v>-658.89999999999964</v>
      </c>
    </row>
    <row r="17" spans="1:8" x14ac:dyDescent="0.2">
      <c r="A17" s="560">
        <v>42797</v>
      </c>
      <c r="B17" s="561">
        <v>1418.9</v>
      </c>
      <c r="C17" s="563">
        <f>-3427.32+8141.08</f>
        <v>4713.76</v>
      </c>
      <c r="D17" s="561">
        <v>4534.3</v>
      </c>
      <c r="E17" s="561">
        <v>3860.23</v>
      </c>
      <c r="F17" s="558">
        <v>4172.5600000000004</v>
      </c>
      <c r="G17" s="558">
        <v>2335.96</v>
      </c>
      <c r="H17" s="558">
        <f t="shared" si="0"/>
        <v>-1836.6000000000004</v>
      </c>
    </row>
    <row r="18" spans="1:8" x14ac:dyDescent="0.2">
      <c r="A18" s="560">
        <v>42804</v>
      </c>
      <c r="B18" s="561">
        <v>1013.74</v>
      </c>
      <c r="C18" s="563">
        <f>-2919.8+6449.26</f>
        <v>3529.46</v>
      </c>
      <c r="D18" s="561">
        <v>3673.88</v>
      </c>
      <c r="E18" s="561">
        <v>4004</v>
      </c>
      <c r="F18" s="558">
        <v>3762.8</v>
      </c>
      <c r="G18" s="558">
        <v>1711.94</v>
      </c>
      <c r="H18" s="558">
        <f t="shared" si="0"/>
        <v>-2050.86</v>
      </c>
    </row>
    <row r="19" spans="1:8" x14ac:dyDescent="0.2">
      <c r="A19" s="560">
        <v>42811</v>
      </c>
      <c r="B19" s="564">
        <v>3629.96</v>
      </c>
      <c r="C19" s="563">
        <f>-3708.38+7621.78</f>
        <v>3913.3999999999996</v>
      </c>
      <c r="D19" s="561">
        <v>4030.4</v>
      </c>
      <c r="E19" s="561">
        <v>3222.03</v>
      </c>
      <c r="F19" s="558">
        <v>4340.3</v>
      </c>
      <c r="G19" s="558">
        <v>942.16</v>
      </c>
      <c r="H19" s="558">
        <f t="shared" si="0"/>
        <v>-3398.1400000000003</v>
      </c>
    </row>
    <row r="20" spans="1:8" x14ac:dyDescent="0.2">
      <c r="A20" s="560">
        <v>42818</v>
      </c>
      <c r="B20" s="564">
        <v>3364</v>
      </c>
      <c r="C20" s="563">
        <f>-3726.84+7846.28</f>
        <v>4119.4399999999996</v>
      </c>
      <c r="D20" s="561">
        <v>3975.2</v>
      </c>
      <c r="E20" s="561">
        <v>3684.17</v>
      </c>
      <c r="F20" s="558">
        <v>3849.95</v>
      </c>
      <c r="G20" s="558">
        <v>1706.08</v>
      </c>
      <c r="H20" s="558">
        <f t="shared" si="0"/>
        <v>-2143.87</v>
      </c>
    </row>
    <row r="21" spans="1:8" ht="15" thickBot="1" x14ac:dyDescent="0.25">
      <c r="A21" s="560">
        <v>42825</v>
      </c>
      <c r="B21" s="564">
        <v>3587</v>
      </c>
      <c r="C21" s="563">
        <f>-3329.82+7562.9</f>
        <v>4233.08</v>
      </c>
      <c r="D21" s="561">
        <v>4280.8</v>
      </c>
      <c r="E21" s="564">
        <v>4118.96</v>
      </c>
      <c r="F21" s="565">
        <v>4082.74</v>
      </c>
      <c r="G21" s="565">
        <v>2002.52</v>
      </c>
      <c r="H21" s="558">
        <f t="shared" si="0"/>
        <v>-2080.2199999999998</v>
      </c>
    </row>
    <row r="22" spans="1:8" ht="16.5" thickBot="1" x14ac:dyDescent="0.25">
      <c r="A22" s="566" t="s">
        <v>290</v>
      </c>
      <c r="B22" s="567">
        <f t="shared" ref="B22:H22" si="1">SUM(B9:B21)</f>
        <v>26568.2</v>
      </c>
      <c r="C22" s="567">
        <f t="shared" si="1"/>
        <v>51016.80000000001</v>
      </c>
      <c r="D22" s="567">
        <f t="shared" si="1"/>
        <v>43869.84</v>
      </c>
      <c r="E22" s="567">
        <f t="shared" si="1"/>
        <v>43426.399999999994</v>
      </c>
      <c r="F22" s="567">
        <f t="shared" si="1"/>
        <v>50734.659999999996</v>
      </c>
      <c r="G22" s="567">
        <f t="shared" si="1"/>
        <v>35093.909999999989</v>
      </c>
      <c r="H22" s="567">
        <f t="shared" si="1"/>
        <v>-15640.749999999998</v>
      </c>
    </row>
    <row r="23" spans="1:8" x14ac:dyDescent="0.2">
      <c r="A23" s="568">
        <v>42832</v>
      </c>
      <c r="B23" s="561">
        <v>3525.02</v>
      </c>
      <c r="C23" s="558">
        <v>4517.8999999999996</v>
      </c>
      <c r="D23" s="558">
        <v>4162.12</v>
      </c>
      <c r="E23" s="558">
        <v>4043.7</v>
      </c>
      <c r="F23" s="558">
        <v>3768.69</v>
      </c>
      <c r="G23" s="558">
        <v>2018.44</v>
      </c>
      <c r="H23" s="558">
        <f>G23-F23</f>
        <v>-1750.25</v>
      </c>
    </row>
    <row r="24" spans="1:8" x14ac:dyDescent="0.2">
      <c r="A24" s="568">
        <v>42839</v>
      </c>
      <c r="B24" s="561">
        <v>3842.84</v>
      </c>
      <c r="C24" s="558">
        <v>4554.42</v>
      </c>
      <c r="D24" s="561">
        <v>4616</v>
      </c>
      <c r="E24" s="561">
        <v>4136.18</v>
      </c>
      <c r="F24" s="558">
        <v>4345.16</v>
      </c>
      <c r="G24" s="558">
        <v>5284.52</v>
      </c>
      <c r="H24" s="558">
        <f t="shared" ref="H24:H63" si="2">G24-F24</f>
        <v>939.36000000000058</v>
      </c>
    </row>
    <row r="25" spans="1:8" x14ac:dyDescent="0.2">
      <c r="A25" s="568">
        <v>42846</v>
      </c>
      <c r="B25" s="561">
        <v>5337.82</v>
      </c>
      <c r="C25" s="561">
        <v>4041.14</v>
      </c>
      <c r="D25" s="561">
        <v>3729.1</v>
      </c>
      <c r="E25" s="561">
        <v>4132.83</v>
      </c>
      <c r="F25" s="558">
        <v>4267.46</v>
      </c>
      <c r="G25" s="558">
        <v>4715.9799999999996</v>
      </c>
      <c r="H25" s="558">
        <f t="shared" si="2"/>
        <v>448.51999999999953</v>
      </c>
    </row>
    <row r="26" spans="1:8" x14ac:dyDescent="0.2">
      <c r="A26" s="568">
        <v>42853</v>
      </c>
      <c r="B26" s="561">
        <v>4973.68</v>
      </c>
      <c r="C26" s="561">
        <v>4321.8599999999997</v>
      </c>
      <c r="D26" s="561">
        <v>3706.08</v>
      </c>
      <c r="E26" s="561">
        <v>4536.74</v>
      </c>
      <c r="F26" s="558">
        <v>3953.61</v>
      </c>
      <c r="G26" s="558">
        <v>4499.7</v>
      </c>
      <c r="H26" s="558">
        <f t="shared" si="2"/>
        <v>546.08999999999969</v>
      </c>
    </row>
    <row r="27" spans="1:8" x14ac:dyDescent="0.2">
      <c r="A27" s="568">
        <v>42860</v>
      </c>
      <c r="B27" s="561">
        <v>3187.22</v>
      </c>
      <c r="C27" s="561">
        <v>4732.8999999999996</v>
      </c>
      <c r="D27" s="561">
        <v>3421.72</v>
      </c>
      <c r="E27" s="561">
        <f>3478.64+72+758.56</f>
        <v>4309.2</v>
      </c>
      <c r="F27" s="558">
        <v>4192.32</v>
      </c>
      <c r="G27" s="558">
        <v>4204.16</v>
      </c>
      <c r="H27" s="558">
        <f t="shared" si="2"/>
        <v>11.840000000000146</v>
      </c>
    </row>
    <row r="28" spans="1:8" x14ac:dyDescent="0.2">
      <c r="A28" s="568">
        <v>42867</v>
      </c>
      <c r="B28" s="561">
        <v>2237.2399999999998</v>
      </c>
      <c r="C28" s="561">
        <v>4138.8999999999996</v>
      </c>
      <c r="D28" s="561">
        <v>3907.94</v>
      </c>
      <c r="E28" s="561">
        <f>4050.94+212.76</f>
        <v>4263.7</v>
      </c>
      <c r="F28" s="558">
        <v>4361.47</v>
      </c>
      <c r="G28" s="558">
        <v>4571.82</v>
      </c>
      <c r="H28" s="558">
        <f t="shared" si="2"/>
        <v>210.34999999999945</v>
      </c>
    </row>
    <row r="29" spans="1:8" x14ac:dyDescent="0.2">
      <c r="A29" s="568">
        <v>42874</v>
      </c>
      <c r="B29" s="561">
        <v>3446.22</v>
      </c>
      <c r="C29" s="561">
        <v>5447.82</v>
      </c>
      <c r="D29" s="561">
        <f>3359.74+70.28</f>
        <v>3430.02</v>
      </c>
      <c r="E29" s="561">
        <v>3958.56</v>
      </c>
      <c r="F29" s="558">
        <v>3957.78</v>
      </c>
      <c r="G29" s="558">
        <v>4089.18</v>
      </c>
      <c r="H29" s="558">
        <f t="shared" si="2"/>
        <v>131.39999999999964</v>
      </c>
    </row>
    <row r="30" spans="1:8" x14ac:dyDescent="0.2">
      <c r="A30" s="568">
        <v>42881</v>
      </c>
      <c r="B30" s="561">
        <v>3507.94</v>
      </c>
      <c r="C30" s="561">
        <v>4315.03</v>
      </c>
      <c r="D30" s="561">
        <v>3880.8</v>
      </c>
      <c r="E30" s="561">
        <v>4314.9799999999996</v>
      </c>
      <c r="F30" s="558">
        <v>3634.01</v>
      </c>
      <c r="G30" s="558">
        <v>3993.63</v>
      </c>
      <c r="H30" s="558">
        <f t="shared" si="2"/>
        <v>359.61999999999989</v>
      </c>
    </row>
    <row r="31" spans="1:8" x14ac:dyDescent="0.2">
      <c r="A31" s="568">
        <v>42888</v>
      </c>
      <c r="B31" s="561">
        <v>3609.72</v>
      </c>
      <c r="C31" s="561">
        <v>3053.8</v>
      </c>
      <c r="D31" s="561">
        <v>2686.82</v>
      </c>
      <c r="E31" s="561">
        <v>2987.04</v>
      </c>
      <c r="F31" s="558">
        <v>2684.24</v>
      </c>
      <c r="G31" s="558">
        <v>2384.3200000000002</v>
      </c>
      <c r="H31" s="558">
        <f t="shared" si="2"/>
        <v>-299.91999999999962</v>
      </c>
    </row>
    <row r="32" spans="1:8" x14ac:dyDescent="0.2">
      <c r="A32" s="568">
        <v>42895</v>
      </c>
      <c r="B32" s="561">
        <v>2033.76</v>
      </c>
      <c r="C32" s="561">
        <v>4194.8599999999997</v>
      </c>
      <c r="D32" s="561">
        <v>3006.14</v>
      </c>
      <c r="E32" s="561">
        <v>3675.8</v>
      </c>
      <c r="F32" s="558">
        <v>3674.42</v>
      </c>
      <c r="G32" s="558">
        <v>3297.66</v>
      </c>
      <c r="H32" s="558">
        <f t="shared" si="2"/>
        <v>-376.76000000000022</v>
      </c>
    </row>
    <row r="33" spans="1:8" x14ac:dyDescent="0.2">
      <c r="A33" s="568">
        <v>42902</v>
      </c>
      <c r="B33" s="561">
        <v>2786.98</v>
      </c>
      <c r="C33" s="561">
        <v>3980.08</v>
      </c>
      <c r="D33" s="561">
        <v>3579.53</v>
      </c>
      <c r="E33" s="561">
        <v>4147.8999999999996</v>
      </c>
      <c r="F33" s="558">
        <v>4182.5200000000004</v>
      </c>
      <c r="G33" s="558">
        <v>3252.16</v>
      </c>
      <c r="H33" s="558">
        <f t="shared" si="2"/>
        <v>-930.36000000000058</v>
      </c>
    </row>
    <row r="34" spans="1:8" x14ac:dyDescent="0.2">
      <c r="A34" s="568">
        <v>42909</v>
      </c>
      <c r="B34" s="564">
        <v>2436.9</v>
      </c>
      <c r="C34" s="561">
        <v>4001.26</v>
      </c>
      <c r="D34" s="561">
        <v>3401.21</v>
      </c>
      <c r="E34" s="561">
        <v>3774.82</v>
      </c>
      <c r="F34" s="558">
        <v>3596.56</v>
      </c>
      <c r="G34" s="558">
        <v>3139.68</v>
      </c>
      <c r="H34" s="558">
        <f t="shared" si="2"/>
        <v>-456.88000000000011</v>
      </c>
    </row>
    <row r="35" spans="1:8" ht="15" thickBot="1" x14ac:dyDescent="0.25">
      <c r="A35" s="568">
        <v>42916</v>
      </c>
      <c r="B35" s="564">
        <v>2410.56</v>
      </c>
      <c r="C35" s="561">
        <v>3928.74</v>
      </c>
      <c r="D35" s="564">
        <v>3288.01</v>
      </c>
      <c r="E35" s="564">
        <v>3466.07</v>
      </c>
      <c r="F35" s="565">
        <v>3867.92</v>
      </c>
      <c r="G35" s="565">
        <v>3368.72</v>
      </c>
      <c r="H35" s="558">
        <f t="shared" si="2"/>
        <v>-499.20000000000027</v>
      </c>
    </row>
    <row r="36" spans="1:8" ht="16.5" thickBot="1" x14ac:dyDescent="0.25">
      <c r="A36" s="566" t="s">
        <v>291</v>
      </c>
      <c r="B36" s="567">
        <f t="shared" ref="B36:H36" si="3">SUM(B23:B35)</f>
        <v>43335.9</v>
      </c>
      <c r="C36" s="567">
        <f t="shared" si="3"/>
        <v>55228.710000000006</v>
      </c>
      <c r="D36" s="567">
        <f t="shared" si="3"/>
        <v>46815.49</v>
      </c>
      <c r="E36" s="567">
        <f t="shared" si="3"/>
        <v>51747.520000000004</v>
      </c>
      <c r="F36" s="567">
        <f t="shared" si="3"/>
        <v>50486.159999999989</v>
      </c>
      <c r="G36" s="567">
        <f t="shared" si="3"/>
        <v>48819.970000000008</v>
      </c>
      <c r="H36" s="567">
        <f t="shared" si="3"/>
        <v>-1666.1900000000019</v>
      </c>
    </row>
    <row r="37" spans="1:8" x14ac:dyDescent="0.2">
      <c r="A37" s="568">
        <v>42923</v>
      </c>
      <c r="B37" s="558">
        <f>899.92+2410.56</f>
        <v>3310.48</v>
      </c>
      <c r="C37" s="558">
        <v>3059.59</v>
      </c>
      <c r="D37" s="558">
        <f>952.56+2445.69</f>
        <v>3398.25</v>
      </c>
      <c r="E37" s="558">
        <f>1313.52+1315.48</f>
        <v>2629</v>
      </c>
      <c r="F37" s="558">
        <v>3092.18</v>
      </c>
      <c r="G37" s="558">
        <v>2501.6799999999998</v>
      </c>
      <c r="H37" s="558">
        <f t="shared" si="2"/>
        <v>-590.5</v>
      </c>
    </row>
    <row r="38" spans="1:8" x14ac:dyDescent="0.2">
      <c r="A38" s="560">
        <v>42930</v>
      </c>
      <c r="B38" s="558">
        <v>2613.8200000000002</v>
      </c>
      <c r="C38" s="558">
        <v>4164.28</v>
      </c>
      <c r="D38" s="561">
        <v>3621.49</v>
      </c>
      <c r="E38" s="561">
        <v>3328.78</v>
      </c>
      <c r="F38" s="558">
        <v>4363</v>
      </c>
      <c r="G38" s="558">
        <v>3463.97</v>
      </c>
      <c r="H38" s="558">
        <f t="shared" si="2"/>
        <v>-899.0300000000002</v>
      </c>
    </row>
    <row r="39" spans="1:8" x14ac:dyDescent="0.2">
      <c r="A39" s="560">
        <v>42937</v>
      </c>
      <c r="B39" s="561">
        <v>2285.09</v>
      </c>
      <c r="C39" s="561">
        <v>3698.36</v>
      </c>
      <c r="D39" s="561">
        <v>3478.53</v>
      </c>
      <c r="E39" s="561">
        <v>4114.08</v>
      </c>
      <c r="F39" s="558">
        <v>3936.33</v>
      </c>
      <c r="G39" s="558">
        <v>3416.66</v>
      </c>
      <c r="H39" s="558">
        <f t="shared" si="2"/>
        <v>-519.67000000000007</v>
      </c>
    </row>
    <row r="40" spans="1:8" x14ac:dyDescent="0.2">
      <c r="A40" s="560">
        <v>42944</v>
      </c>
      <c r="B40" s="561">
        <v>1982.06</v>
      </c>
      <c r="C40" s="561">
        <v>3907.78</v>
      </c>
      <c r="D40" s="561">
        <v>3713.11</v>
      </c>
      <c r="E40" s="561">
        <v>4010.57</v>
      </c>
      <c r="F40" s="558">
        <v>3962.85</v>
      </c>
      <c r="G40" s="558">
        <v>3139.68</v>
      </c>
      <c r="H40" s="558">
        <f t="shared" si="2"/>
        <v>-823.17000000000007</v>
      </c>
    </row>
    <row r="41" spans="1:8" x14ac:dyDescent="0.2">
      <c r="A41" s="560">
        <v>42951</v>
      </c>
      <c r="B41" s="561">
        <v>2442</v>
      </c>
      <c r="C41" s="561">
        <v>3807.12</v>
      </c>
      <c r="D41" s="561">
        <v>3318.21</v>
      </c>
      <c r="E41" s="561">
        <v>3520.16</v>
      </c>
      <c r="F41" s="558">
        <v>3810.8</v>
      </c>
      <c r="G41" s="558">
        <v>3171.9</v>
      </c>
      <c r="H41" s="558">
        <f t="shared" si="2"/>
        <v>-638.90000000000009</v>
      </c>
    </row>
    <row r="42" spans="1:8" x14ac:dyDescent="0.2">
      <c r="A42" s="560">
        <v>42958</v>
      </c>
      <c r="B42" s="561">
        <v>2003.68</v>
      </c>
      <c r="C42" s="561">
        <v>3636.64</v>
      </c>
      <c r="D42" s="561">
        <v>2999.63</v>
      </c>
      <c r="E42" s="561">
        <v>3150.64</v>
      </c>
      <c r="F42" s="558">
        <v>3905.08</v>
      </c>
      <c r="G42" s="558">
        <v>3339.76</v>
      </c>
      <c r="H42" s="558">
        <f t="shared" si="2"/>
        <v>-565.31999999999971</v>
      </c>
    </row>
    <row r="43" spans="1:8" x14ac:dyDescent="0.2">
      <c r="A43" s="560">
        <v>42965</v>
      </c>
      <c r="B43" s="561">
        <v>1971.38</v>
      </c>
      <c r="C43" s="561">
        <v>3658.28</v>
      </c>
      <c r="D43" s="561">
        <v>4080.16</v>
      </c>
      <c r="E43" s="561">
        <v>3780.2</v>
      </c>
      <c r="F43" s="558">
        <v>3747.05</v>
      </c>
      <c r="G43" s="558">
        <v>3333.42</v>
      </c>
      <c r="H43" s="558">
        <f t="shared" si="2"/>
        <v>-413.63000000000011</v>
      </c>
    </row>
    <row r="44" spans="1:8" x14ac:dyDescent="0.2">
      <c r="A44" s="560">
        <v>42972</v>
      </c>
      <c r="B44" s="561">
        <v>2725.14</v>
      </c>
      <c r="C44" s="561">
        <v>4096.0200000000004</v>
      </c>
      <c r="D44" s="561">
        <v>4309.82</v>
      </c>
      <c r="E44" s="561">
        <v>3361.86</v>
      </c>
      <c r="F44" s="558">
        <v>3788.4</v>
      </c>
      <c r="G44" s="558">
        <v>3772.14</v>
      </c>
      <c r="H44" s="558">
        <f t="shared" si="2"/>
        <v>-16.260000000000218</v>
      </c>
    </row>
    <row r="45" spans="1:8" x14ac:dyDescent="0.2">
      <c r="A45" s="560">
        <v>42979</v>
      </c>
      <c r="B45" s="561">
        <v>2749.96</v>
      </c>
      <c r="C45" s="561">
        <v>3825.18</v>
      </c>
      <c r="D45" s="561">
        <v>3712.48</v>
      </c>
      <c r="E45" s="561">
        <v>3605.07</v>
      </c>
      <c r="F45" s="558">
        <v>3858.34</v>
      </c>
      <c r="G45" s="558">
        <v>3206</v>
      </c>
      <c r="H45" s="558">
        <f t="shared" si="2"/>
        <v>-652.34000000000015</v>
      </c>
    </row>
    <row r="46" spans="1:8" x14ac:dyDescent="0.2">
      <c r="A46" s="560">
        <v>42986</v>
      </c>
      <c r="B46" s="561">
        <v>2323.9</v>
      </c>
      <c r="C46" s="561">
        <v>2717.46</v>
      </c>
      <c r="D46" s="561">
        <v>3072.96</v>
      </c>
      <c r="E46" s="561">
        <f>753.86+2730.15</f>
        <v>3484.01</v>
      </c>
      <c r="F46" s="558">
        <v>3265.99</v>
      </c>
      <c r="G46" s="558">
        <v>2271.2199999999998</v>
      </c>
      <c r="H46" s="558">
        <f t="shared" si="2"/>
        <v>-994.77</v>
      </c>
    </row>
    <row r="47" spans="1:8" x14ac:dyDescent="0.2">
      <c r="A47" s="560">
        <v>42993</v>
      </c>
      <c r="B47" s="561">
        <v>2621.61</v>
      </c>
      <c r="C47" s="561">
        <v>3748.38</v>
      </c>
      <c r="D47" s="561">
        <v>3926.25</v>
      </c>
      <c r="E47" s="561">
        <v>3212.96</v>
      </c>
      <c r="F47" s="558">
        <v>3712.16</v>
      </c>
      <c r="G47" s="558">
        <v>2688.36</v>
      </c>
      <c r="H47" s="558">
        <f t="shared" si="2"/>
        <v>-1023.7999999999997</v>
      </c>
    </row>
    <row r="48" spans="1:8" x14ac:dyDescent="0.2">
      <c r="A48" s="560">
        <v>43000</v>
      </c>
      <c r="B48" s="561">
        <v>2394.14</v>
      </c>
      <c r="C48" s="561">
        <v>3766.8</v>
      </c>
      <c r="D48" s="561">
        <v>4164.1899999999996</v>
      </c>
      <c r="E48" s="561">
        <v>4004.92</v>
      </c>
      <c r="F48" s="558">
        <v>3509.17</v>
      </c>
      <c r="G48" s="558">
        <v>3180.04</v>
      </c>
      <c r="H48" s="558">
        <f t="shared" si="2"/>
        <v>-329.13000000000011</v>
      </c>
    </row>
    <row r="49" spans="1:8" ht="15" thickBot="1" x14ac:dyDescent="0.25">
      <c r="A49" s="560">
        <v>43007</v>
      </c>
      <c r="B49" s="564">
        <v>2669.64</v>
      </c>
      <c r="C49" s="564">
        <v>4136.58</v>
      </c>
      <c r="D49" s="564">
        <v>3566.31</v>
      </c>
      <c r="E49" s="564">
        <v>3837.41</v>
      </c>
      <c r="F49" s="565">
        <v>3803.3</v>
      </c>
      <c r="G49" s="565">
        <v>2437.88</v>
      </c>
      <c r="H49" s="558">
        <f t="shared" si="2"/>
        <v>-1365.42</v>
      </c>
    </row>
    <row r="50" spans="1:8" ht="16.5" thickBot="1" x14ac:dyDescent="0.25">
      <c r="A50" s="566" t="s">
        <v>292</v>
      </c>
      <c r="B50" s="567">
        <f>SUM(B37:B49)</f>
        <v>32092.899999999998</v>
      </c>
      <c r="C50" s="567">
        <f>SUM(C37:C49)</f>
        <v>48222.47</v>
      </c>
      <c r="D50" s="567">
        <f>SUM(D37:D49)</f>
        <v>47361.39</v>
      </c>
      <c r="E50" s="567">
        <f>SUM(E37:E49)</f>
        <v>46039.66</v>
      </c>
      <c r="F50" s="567">
        <f t="shared" ref="F50:H50" si="4">SUM(F37:F49)</f>
        <v>48754.649999999994</v>
      </c>
      <c r="G50" s="567">
        <f t="shared" si="4"/>
        <v>39922.71</v>
      </c>
      <c r="H50" s="567">
        <f t="shared" si="4"/>
        <v>-8831.9399999999987</v>
      </c>
    </row>
    <row r="51" spans="1:8" x14ac:dyDescent="0.2">
      <c r="A51" s="568">
        <v>43014</v>
      </c>
      <c r="B51" s="558">
        <v>3051.16</v>
      </c>
      <c r="C51" s="558">
        <v>4721</v>
      </c>
      <c r="D51" s="558">
        <f>1531.24+2227.04</f>
        <v>3758.2799999999997</v>
      </c>
      <c r="E51" s="558">
        <v>3921.83</v>
      </c>
      <c r="F51" s="558">
        <v>3911.96</v>
      </c>
      <c r="G51" s="558">
        <v>3047.82</v>
      </c>
      <c r="H51" s="558">
        <f t="shared" si="2"/>
        <v>-864.13999999999987</v>
      </c>
    </row>
    <row r="52" spans="1:8" x14ac:dyDescent="0.2">
      <c r="A52" s="560">
        <v>43021</v>
      </c>
      <c r="B52" s="561">
        <v>2579.96</v>
      </c>
      <c r="C52" s="561">
        <v>4035.24</v>
      </c>
      <c r="D52" s="561">
        <v>4232.92</v>
      </c>
      <c r="E52" s="561">
        <v>3403.46</v>
      </c>
      <c r="F52" s="558">
        <v>3093.5</v>
      </c>
      <c r="G52" s="558">
        <v>2010.94</v>
      </c>
      <c r="H52" s="558">
        <f t="shared" si="2"/>
        <v>-1082.56</v>
      </c>
    </row>
    <row r="53" spans="1:8" x14ac:dyDescent="0.2">
      <c r="A53" s="560">
        <v>43028</v>
      </c>
      <c r="B53" s="561">
        <v>3119.16</v>
      </c>
      <c r="C53" s="561">
        <v>2972.08</v>
      </c>
      <c r="D53" s="561">
        <v>3057.22</v>
      </c>
      <c r="E53" s="561">
        <v>3116.16</v>
      </c>
      <c r="F53" s="558">
        <v>4261.32</v>
      </c>
      <c r="G53" s="558">
        <v>3314.5</v>
      </c>
      <c r="H53" s="558">
        <f t="shared" si="2"/>
        <v>-946.81999999999971</v>
      </c>
    </row>
    <row r="54" spans="1:8" x14ac:dyDescent="0.2">
      <c r="A54" s="560">
        <v>43035</v>
      </c>
      <c r="B54" s="561">
        <v>2378.1999999999998</v>
      </c>
      <c r="C54" s="561">
        <v>3341.66</v>
      </c>
      <c r="D54" s="561">
        <v>3745.65</v>
      </c>
      <c r="E54" s="561">
        <v>3664.58</v>
      </c>
      <c r="F54" s="558">
        <v>3860.55</v>
      </c>
      <c r="G54" s="558">
        <v>2905</v>
      </c>
      <c r="H54" s="558">
        <f t="shared" si="2"/>
        <v>-955.55000000000018</v>
      </c>
    </row>
    <row r="55" spans="1:8" x14ac:dyDescent="0.2">
      <c r="A55" s="560">
        <v>43042</v>
      </c>
      <c r="B55" s="561">
        <v>2153.36</v>
      </c>
      <c r="C55" s="561">
        <v>3165.08</v>
      </c>
      <c r="D55" s="561">
        <f>3171.04+47.44+30.24</f>
        <v>3248.72</v>
      </c>
      <c r="E55" s="561">
        <v>3792.71</v>
      </c>
      <c r="F55" s="558">
        <v>3942.48</v>
      </c>
      <c r="G55" s="558">
        <v>3169.18</v>
      </c>
      <c r="H55" s="558">
        <f t="shared" si="2"/>
        <v>-773.30000000000018</v>
      </c>
    </row>
    <row r="56" spans="1:8" x14ac:dyDescent="0.2">
      <c r="A56" s="560">
        <v>43049</v>
      </c>
      <c r="B56" s="561">
        <v>1549.7</v>
      </c>
      <c r="C56" s="561">
        <v>3024.18</v>
      </c>
      <c r="D56" s="561">
        <v>3967.37</v>
      </c>
      <c r="E56" s="561">
        <v>3804.52</v>
      </c>
      <c r="F56" s="558">
        <v>3933.48</v>
      </c>
      <c r="G56" s="558">
        <v>2670.04</v>
      </c>
      <c r="H56" s="558">
        <f t="shared" si="2"/>
        <v>-1263.44</v>
      </c>
    </row>
    <row r="57" spans="1:8" x14ac:dyDescent="0.2">
      <c r="A57" s="560">
        <v>43056</v>
      </c>
      <c r="B57" s="561">
        <f>(5311.2-178.1)*0.5</f>
        <v>2566.5499999999997</v>
      </c>
      <c r="C57" s="561">
        <v>3500.86</v>
      </c>
      <c r="D57" s="561">
        <v>4007.55</v>
      </c>
      <c r="E57" s="561">
        <v>3693.64</v>
      </c>
      <c r="F57" s="558">
        <v>3860.4</v>
      </c>
      <c r="G57" s="558">
        <v>2400.7199999999998</v>
      </c>
      <c r="H57" s="558">
        <f t="shared" si="2"/>
        <v>-1459.6800000000003</v>
      </c>
    </row>
    <row r="58" spans="1:8" x14ac:dyDescent="0.2">
      <c r="A58" s="560">
        <v>43063</v>
      </c>
      <c r="B58" s="561">
        <f>(5311.2-178.1)*0.5</f>
        <v>2566.5499999999997</v>
      </c>
      <c r="C58" s="561">
        <v>4015.8</v>
      </c>
      <c r="D58" s="561">
        <v>4445.62</v>
      </c>
      <c r="E58" s="561">
        <v>3499.88</v>
      </c>
      <c r="F58" s="558">
        <v>1675.8</v>
      </c>
      <c r="G58" s="558">
        <v>1268.44</v>
      </c>
      <c r="H58" s="558">
        <f t="shared" si="2"/>
        <v>-407.3599999999999</v>
      </c>
    </row>
    <row r="59" spans="1:8" x14ac:dyDescent="0.2">
      <c r="A59" s="560">
        <v>43070</v>
      </c>
      <c r="B59" s="561">
        <v>3577.34</v>
      </c>
      <c r="C59" s="561">
        <v>2434.3200000000002</v>
      </c>
      <c r="D59" s="561">
        <v>1953.09</v>
      </c>
      <c r="E59" s="561">
        <v>2000.54</v>
      </c>
      <c r="F59" s="558">
        <v>3669.06</v>
      </c>
      <c r="G59" s="558">
        <v>2816.72</v>
      </c>
      <c r="H59" s="558">
        <f t="shared" si="2"/>
        <v>-852.34000000000015</v>
      </c>
    </row>
    <row r="60" spans="1:8" x14ac:dyDescent="0.2">
      <c r="A60" s="560">
        <v>43077</v>
      </c>
      <c r="B60" s="561">
        <v>3486.12</v>
      </c>
      <c r="C60" s="561">
        <v>3291.9</v>
      </c>
      <c r="D60" s="561">
        <v>3710.06</v>
      </c>
      <c r="E60" s="561">
        <f>2372.46+627.88</f>
        <v>3000.34</v>
      </c>
      <c r="F60" s="558">
        <v>3225.52</v>
      </c>
      <c r="G60" s="558">
        <v>2427</v>
      </c>
      <c r="H60" s="558">
        <f t="shared" si="2"/>
        <v>-798.52</v>
      </c>
    </row>
    <row r="61" spans="1:8" x14ac:dyDescent="0.2">
      <c r="A61" s="560">
        <v>43084</v>
      </c>
      <c r="B61" s="561">
        <v>3539.16</v>
      </c>
      <c r="C61" s="561">
        <v>4047.94</v>
      </c>
      <c r="D61" s="561">
        <v>3873.59</v>
      </c>
      <c r="E61" s="561">
        <v>4104.09</v>
      </c>
      <c r="F61" s="558">
        <v>2933.78</v>
      </c>
      <c r="G61" s="558">
        <v>2427</v>
      </c>
      <c r="H61" s="558">
        <f t="shared" si="2"/>
        <v>-506.7800000000002</v>
      </c>
    </row>
    <row r="62" spans="1:8" x14ac:dyDescent="0.2">
      <c r="A62" s="560">
        <v>43091</v>
      </c>
      <c r="B62" s="561">
        <v>1609.64</v>
      </c>
      <c r="C62" s="561">
        <v>3903.54</v>
      </c>
      <c r="D62" s="561">
        <v>3580.24</v>
      </c>
      <c r="E62" s="561">
        <v>3625.1</v>
      </c>
      <c r="F62" s="558">
        <v>3555.5</v>
      </c>
      <c r="G62" s="558">
        <v>2649.12</v>
      </c>
      <c r="H62" s="558">
        <f t="shared" si="2"/>
        <v>-906.38000000000011</v>
      </c>
    </row>
    <row r="63" spans="1:8" ht="15" thickBot="1" x14ac:dyDescent="0.25">
      <c r="A63" s="569">
        <v>43098</v>
      </c>
      <c r="B63" s="570">
        <v>5154.84</v>
      </c>
      <c r="C63" s="570">
        <v>2331.48</v>
      </c>
      <c r="D63" s="570">
        <v>2383.63</v>
      </c>
      <c r="E63" s="570">
        <v>2256.69</v>
      </c>
      <c r="F63" s="571">
        <v>2486.06</v>
      </c>
      <c r="G63" s="571">
        <v>2088.3000000000002</v>
      </c>
      <c r="H63" s="558">
        <f t="shared" si="2"/>
        <v>-397.75999999999976</v>
      </c>
    </row>
    <row r="64" spans="1:8" ht="16.5" thickBot="1" x14ac:dyDescent="0.25">
      <c r="A64" s="566" t="s">
        <v>293</v>
      </c>
      <c r="B64" s="567">
        <f>SUM(B51:B63)</f>
        <v>37331.74</v>
      </c>
      <c r="C64" s="567">
        <f>SUM(C51:C63)</f>
        <v>44785.08</v>
      </c>
      <c r="D64" s="567">
        <f>SUM(D51:D63)</f>
        <v>45963.939999999988</v>
      </c>
      <c r="E64" s="567">
        <f>SUM(E51:E63)</f>
        <v>43883.54</v>
      </c>
      <c r="F64" s="567">
        <f>SUM(F51:F63)</f>
        <v>44409.409999999996</v>
      </c>
      <c r="G64" s="567">
        <f t="shared" ref="G64" si="5">SUM(G51:G63)</f>
        <v>33194.78</v>
      </c>
      <c r="H64" s="567">
        <f>SUM(H51:H63)</f>
        <v>-11214.63</v>
      </c>
    </row>
    <row r="65" spans="1:8" ht="15.75" x14ac:dyDescent="0.25">
      <c r="A65" s="572" t="s">
        <v>294</v>
      </c>
      <c r="B65" s="573">
        <f t="shared" ref="B65:H65" si="6">SUM(B9:B63)-B22-B36-B50</f>
        <v>139328.74</v>
      </c>
      <c r="C65" s="573">
        <f t="shared" si="6"/>
        <v>199253.05999999985</v>
      </c>
      <c r="D65" s="573">
        <f t="shared" si="6"/>
        <v>184010.66000000003</v>
      </c>
      <c r="E65" s="573">
        <f t="shared" si="6"/>
        <v>185097.12000000014</v>
      </c>
      <c r="F65" s="573">
        <f t="shared" si="6"/>
        <v>194384.88000000003</v>
      </c>
      <c r="G65" s="573">
        <f t="shared" si="6"/>
        <v>157031.36999999994</v>
      </c>
      <c r="H65" s="573">
        <f t="shared" si="6"/>
        <v>-37353.509999999995</v>
      </c>
    </row>
    <row r="66" spans="1:8" x14ac:dyDescent="0.2">
      <c r="A66" s="56" t="s">
        <v>295</v>
      </c>
      <c r="B66" s="574">
        <f t="shared" ref="B66:G66" si="7">AVERAGE(B9:B21)</f>
        <v>2043.7076923076925</v>
      </c>
      <c r="C66" s="575">
        <f t="shared" si="7"/>
        <v>3924.3692307692318</v>
      </c>
      <c r="D66" s="575">
        <f t="shared" si="7"/>
        <v>3374.6030769230765</v>
      </c>
      <c r="E66" s="575">
        <f t="shared" si="7"/>
        <v>3340.4923076923073</v>
      </c>
      <c r="F66" s="575">
        <f t="shared" si="7"/>
        <v>3902.6661538461535</v>
      </c>
      <c r="G66" s="574">
        <f t="shared" si="7"/>
        <v>2699.5315384615378</v>
      </c>
      <c r="H66" s="576">
        <f>G66-F66</f>
        <v>-1203.1346153846157</v>
      </c>
    </row>
    <row r="67" spans="1:8" x14ac:dyDescent="0.2">
      <c r="A67" s="56" t="s">
        <v>296</v>
      </c>
      <c r="B67" s="577">
        <f t="shared" ref="B67:G67" si="8">AVERAGE(B23:B35)</f>
        <v>3333.5307692307692</v>
      </c>
      <c r="C67" s="578">
        <f t="shared" si="8"/>
        <v>4248.3623076923086</v>
      </c>
      <c r="D67" s="578">
        <f t="shared" si="8"/>
        <v>3601.1915384615381</v>
      </c>
      <c r="E67" s="578">
        <f t="shared" si="8"/>
        <v>3980.5784615384619</v>
      </c>
      <c r="F67" s="578">
        <f t="shared" si="8"/>
        <v>3883.5507692307683</v>
      </c>
      <c r="G67" s="577">
        <f t="shared" si="8"/>
        <v>3755.3823076923081</v>
      </c>
      <c r="H67" s="579">
        <f>G67-F67</f>
        <v>-128.16846153846018</v>
      </c>
    </row>
    <row r="68" spans="1:8" x14ac:dyDescent="0.2">
      <c r="A68" s="56" t="s">
        <v>297</v>
      </c>
      <c r="B68" s="577">
        <f t="shared" ref="B68:F68" si="9">AVERAGE(B37:B49)</f>
        <v>2468.6846153846154</v>
      </c>
      <c r="C68" s="578">
        <f t="shared" si="9"/>
        <v>3709.4207692307691</v>
      </c>
      <c r="D68" s="578">
        <f t="shared" si="9"/>
        <v>3643.1838461538459</v>
      </c>
      <c r="E68" s="578">
        <f t="shared" si="9"/>
        <v>3541.5123076923078</v>
      </c>
      <c r="F68" s="578">
        <f t="shared" si="9"/>
        <v>3750.3576923076917</v>
      </c>
      <c r="G68" s="578">
        <f>AVERAGE(G37:G49)</f>
        <v>3070.9776923076925</v>
      </c>
      <c r="H68" s="579">
        <f>G68-F68</f>
        <v>-679.3799999999992</v>
      </c>
    </row>
    <row r="69" spans="1:8" x14ac:dyDescent="0.2">
      <c r="A69" s="56" t="s">
        <v>298</v>
      </c>
      <c r="B69" s="580">
        <f t="shared" ref="B69:G69" si="10">AVERAGE(B51:B63)</f>
        <v>2871.6723076923076</v>
      </c>
      <c r="C69" s="581">
        <f t="shared" si="10"/>
        <v>3445.0061538461541</v>
      </c>
      <c r="D69" s="581">
        <f t="shared" si="10"/>
        <v>3535.6876923076916</v>
      </c>
      <c r="E69" s="582">
        <f t="shared" si="10"/>
        <v>3375.6569230769232</v>
      </c>
      <c r="F69" s="582">
        <f t="shared" si="10"/>
        <v>3416.1084615384611</v>
      </c>
      <c r="G69" s="582">
        <f t="shared" si="10"/>
        <v>2553.4446153846152</v>
      </c>
      <c r="H69" s="583">
        <f>G69-F69</f>
        <v>-862.66384615384595</v>
      </c>
    </row>
    <row r="71" spans="1:8" x14ac:dyDescent="0.2">
      <c r="H71" s="550"/>
    </row>
    <row r="74" spans="1:8" x14ac:dyDescent="0.2">
      <c r="C74" s="551"/>
    </row>
    <row r="75" spans="1:8" x14ac:dyDescent="0.2">
      <c r="C75" s="551"/>
    </row>
  </sheetData>
  <mergeCells count="1">
    <mergeCell ref="A5:H5"/>
  </mergeCells>
  <pageMargins left="1.2" right="0.2" top="0.25" bottom="0.5" header="0.3" footer="0.3"/>
  <pageSetup scale="74"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94</v>
      </c>
      <c r="B1" s="59"/>
      <c r="C1" s="60"/>
      <c r="D1" s="60"/>
      <c r="E1" s="60"/>
      <c r="F1" s="59"/>
      <c r="G1" s="230"/>
      <c r="H1" s="500"/>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263</v>
      </c>
      <c r="B2" s="59"/>
      <c r="C2" s="60"/>
      <c r="D2" s="60"/>
      <c r="E2" s="60"/>
      <c r="F2" s="59"/>
      <c r="G2" s="230"/>
      <c r="H2" s="500"/>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258</v>
      </c>
      <c r="B3" s="59"/>
      <c r="C3" s="60"/>
      <c r="D3" s="60"/>
      <c r="E3" s="60"/>
      <c r="F3" s="59"/>
      <c r="G3" s="230"/>
      <c r="H3" s="500"/>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264</v>
      </c>
      <c r="B4" s="59"/>
      <c r="C4" s="60"/>
      <c r="D4" s="60"/>
      <c r="E4" s="60"/>
      <c r="F4" s="59"/>
      <c r="G4" s="230"/>
      <c r="H4" s="500"/>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1"/>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497" t="s">
        <v>49</v>
      </c>
      <c r="H6" s="486"/>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8"/>
    </row>
    <row r="8" spans="1:143" s="72" customFormat="1" ht="21" thickBot="1" x14ac:dyDescent="0.35">
      <c r="A8" s="69"/>
      <c r="B8" s="153" t="s">
        <v>100</v>
      </c>
      <c r="C8" s="153"/>
      <c r="D8" s="153"/>
      <c r="E8" s="153"/>
      <c r="F8" s="153"/>
      <c r="G8" s="281"/>
      <c r="H8" s="502"/>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0" t="s">
        <v>101</v>
      </c>
      <c r="D9" s="420"/>
      <c r="E9" s="420"/>
      <c r="F9" s="73"/>
      <c r="G9" s="263">
        <v>1015000</v>
      </c>
      <c r="H9" s="3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0" t="s">
        <v>173</v>
      </c>
      <c r="D10" s="420"/>
      <c r="E10" s="420"/>
      <c r="F10" s="73"/>
      <c r="G10" s="264">
        <v>13000</v>
      </c>
      <c r="H10" s="3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2"/>
      <c r="C11" s="420" t="s">
        <v>150</v>
      </c>
      <c r="D11" s="420"/>
      <c r="E11" s="420"/>
      <c r="F11" s="73"/>
      <c r="G11" s="264">
        <v>195000</v>
      </c>
      <c r="H11" s="3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2"/>
      <c r="C12" s="420" t="s">
        <v>179</v>
      </c>
      <c r="D12" s="420"/>
      <c r="E12" s="420"/>
      <c r="F12" s="73"/>
      <c r="G12" s="264">
        <v>40000</v>
      </c>
      <c r="H12" s="3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2"/>
      <c r="C13" s="420" t="s">
        <v>102</v>
      </c>
      <c r="D13" s="420"/>
      <c r="E13" s="420"/>
      <c r="F13" s="73"/>
      <c r="G13" s="264"/>
      <c r="H13" s="3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2"/>
      <c r="C14" s="77"/>
      <c r="D14" s="420" t="s">
        <v>139</v>
      </c>
      <c r="E14" s="420"/>
      <c r="F14" s="73"/>
      <c r="G14" s="264">
        <f>43900+41500+122000</f>
        <v>207400</v>
      </c>
      <c r="H14" s="3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2"/>
      <c r="C15" s="77"/>
      <c r="D15" s="420" t="s">
        <v>159</v>
      </c>
      <c r="E15" s="420"/>
      <c r="F15" s="73"/>
      <c r="G15" s="264">
        <v>11000</v>
      </c>
      <c r="H15" s="3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2"/>
      <c r="C16" s="420" t="s">
        <v>103</v>
      </c>
      <c r="D16" s="420"/>
      <c r="E16" s="420"/>
      <c r="F16" s="73"/>
      <c r="G16" s="264">
        <v>9500</v>
      </c>
      <c r="H16" s="3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2"/>
      <c r="C17" s="420" t="s">
        <v>110</v>
      </c>
      <c r="D17" s="420"/>
      <c r="E17" s="420"/>
      <c r="F17" s="73"/>
      <c r="G17" s="264">
        <v>1000</v>
      </c>
      <c r="H17" s="3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2"/>
      <c r="C18" s="420" t="s">
        <v>237</v>
      </c>
      <c r="D18" s="420"/>
      <c r="E18" s="420"/>
      <c r="F18" s="73"/>
      <c r="G18" s="264">
        <v>3000</v>
      </c>
      <c r="H18" s="3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2"/>
      <c r="C19" s="420" t="s">
        <v>238</v>
      </c>
      <c r="D19" s="420"/>
      <c r="E19" s="420"/>
      <c r="F19" s="73"/>
      <c r="G19" s="264">
        <f>25000+8000+20000</f>
        <v>53000</v>
      </c>
      <c r="H19" s="3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2"/>
      <c r="C20" s="420" t="s">
        <v>145</v>
      </c>
      <c r="D20" s="420"/>
      <c r="E20" s="420"/>
      <c r="F20" s="73"/>
      <c r="G20" s="264">
        <v>500</v>
      </c>
      <c r="H20" s="3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2"/>
      <c r="C21" s="420" t="s">
        <v>164</v>
      </c>
      <c r="D21" s="420"/>
      <c r="E21" s="420"/>
      <c r="F21" s="73"/>
      <c r="G21" s="264"/>
      <c r="H21" s="3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2"/>
      <c r="C22" s="420" t="s">
        <v>109</v>
      </c>
      <c r="D22" s="420"/>
      <c r="E22" s="420"/>
      <c r="F22" s="73"/>
      <c r="G22" s="265">
        <v>46575</v>
      </c>
      <c r="H22" s="3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2"/>
      <c r="C23" s="420"/>
      <c r="D23" s="73" t="s">
        <v>105</v>
      </c>
      <c r="E23" s="420"/>
      <c r="F23" s="73"/>
      <c r="G23" s="234">
        <f>SUM(G9:G22)</f>
        <v>1594975</v>
      </c>
      <c r="H23" s="3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2"/>
      <c r="C24" s="73" t="s">
        <v>106</v>
      </c>
      <c r="D24" s="420"/>
      <c r="E24" s="420"/>
      <c r="F24" s="73"/>
      <c r="G24" s="241">
        <f>68000+18000</f>
        <v>86000</v>
      </c>
      <c r="H24" s="3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2"/>
      <c r="C25" s="420"/>
      <c r="D25" s="73" t="s">
        <v>107</v>
      </c>
      <c r="E25" s="420"/>
      <c r="F25" s="73"/>
      <c r="G25" s="234">
        <f>SUM(G23:G24)</f>
        <v>1680975</v>
      </c>
      <c r="H25" s="3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2"/>
      <c r="C26" s="420"/>
      <c r="D26" s="73"/>
      <c r="E26" s="420"/>
      <c r="F26" s="73"/>
      <c r="G26" s="234"/>
      <c r="H26" s="3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3" t="s">
        <v>111</v>
      </c>
      <c r="C27" s="87"/>
      <c r="D27" s="87"/>
      <c r="E27" s="87"/>
      <c r="F27" s="87"/>
      <c r="G27" s="241"/>
      <c r="H27" s="3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4"/>
      <c r="C28" s="79" t="s">
        <v>112</v>
      </c>
      <c r="D28" s="79"/>
      <c r="E28" s="79"/>
      <c r="F28" s="79"/>
      <c r="G28" s="232">
        <f>ROUND((898643.55+40000)*1.02,-2)</f>
        <v>957400</v>
      </c>
      <c r="H28" s="368"/>
    </row>
    <row r="29" spans="1:143" s="68" customFormat="1" ht="20.25" x14ac:dyDescent="0.2">
      <c r="A29" s="67"/>
      <c r="B29" s="394"/>
      <c r="C29" s="79" t="s">
        <v>113</v>
      </c>
      <c r="D29" s="79"/>
      <c r="E29" s="79"/>
      <c r="F29" s="79"/>
      <c r="G29" s="232">
        <f>ROUNDUP(G28*0.195,-2)</f>
        <v>186700</v>
      </c>
      <c r="H29" s="368"/>
    </row>
    <row r="30" spans="1:143" s="68" customFormat="1" ht="20.25" x14ac:dyDescent="0.2">
      <c r="A30" s="67"/>
      <c r="B30" s="394"/>
      <c r="C30" s="79" t="s">
        <v>114</v>
      </c>
      <c r="D30" s="79"/>
      <c r="E30" s="79"/>
      <c r="F30" s="79"/>
      <c r="G30" s="232">
        <f>48831-G22</f>
        <v>2256</v>
      </c>
      <c r="H30" s="368"/>
    </row>
    <row r="31" spans="1:143" s="68" customFormat="1" ht="20.25" x14ac:dyDescent="0.2">
      <c r="A31" s="67"/>
      <c r="B31" s="394"/>
      <c r="C31" s="79" t="s">
        <v>104</v>
      </c>
      <c r="D31" s="79"/>
      <c r="E31" s="79"/>
      <c r="F31" s="79"/>
      <c r="G31" s="232">
        <f>G22</f>
        <v>46575</v>
      </c>
      <c r="H31" s="368"/>
    </row>
    <row r="32" spans="1:143" s="68" customFormat="1" ht="20.25" x14ac:dyDescent="0.2">
      <c r="A32" s="67"/>
      <c r="B32" s="394"/>
      <c r="C32" s="79" t="s">
        <v>115</v>
      </c>
      <c r="D32" s="79"/>
      <c r="E32" s="79"/>
      <c r="F32" s="79"/>
      <c r="G32" s="232">
        <v>14000</v>
      </c>
      <c r="H32" s="368"/>
    </row>
    <row r="33" spans="1:8" s="68" customFormat="1" ht="20.25" x14ac:dyDescent="0.2">
      <c r="A33" s="67"/>
      <c r="B33" s="394"/>
      <c r="C33" s="79" t="s">
        <v>116</v>
      </c>
      <c r="D33" s="79"/>
      <c r="E33" s="79"/>
      <c r="F33" s="79"/>
      <c r="G33" s="232">
        <v>3500</v>
      </c>
      <c r="H33" s="368"/>
    </row>
    <row r="34" spans="1:8" s="68" customFormat="1" ht="20.25" x14ac:dyDescent="0.2">
      <c r="A34" s="67"/>
      <c r="B34" s="394"/>
      <c r="C34" s="79" t="s">
        <v>117</v>
      </c>
      <c r="D34" s="79"/>
      <c r="E34" s="79"/>
      <c r="F34" s="79"/>
      <c r="G34" s="232">
        <v>7000</v>
      </c>
      <c r="H34" s="368"/>
    </row>
    <row r="35" spans="1:8" s="68" customFormat="1" ht="20.25" x14ac:dyDescent="0.2">
      <c r="A35" s="67"/>
      <c r="B35" s="394"/>
      <c r="C35" s="79" t="s">
        <v>118</v>
      </c>
      <c r="D35" s="79"/>
      <c r="E35" s="79"/>
      <c r="F35" s="79"/>
      <c r="G35" s="232">
        <v>13500</v>
      </c>
      <c r="H35" s="368"/>
    </row>
    <row r="36" spans="1:8" s="68" customFormat="1" ht="20.25" x14ac:dyDescent="0.2">
      <c r="A36" s="67"/>
      <c r="B36" s="394"/>
      <c r="C36" s="79" t="s">
        <v>119</v>
      </c>
      <c r="D36" s="79"/>
      <c r="E36" s="79"/>
      <c r="F36" s="79"/>
      <c r="G36" s="232">
        <v>40000</v>
      </c>
      <c r="H36" s="368"/>
    </row>
    <row r="37" spans="1:8" s="68" customFormat="1" ht="20.25" x14ac:dyDescent="0.2">
      <c r="A37" s="67"/>
      <c r="B37" s="394"/>
      <c r="C37" s="79" t="s">
        <v>120</v>
      </c>
      <c r="D37" s="79"/>
      <c r="E37" s="79"/>
      <c r="F37" s="79"/>
      <c r="G37" s="232">
        <v>6600</v>
      </c>
      <c r="H37" s="368"/>
    </row>
    <row r="38" spans="1:8" s="68" customFormat="1" ht="20.25" x14ac:dyDescent="0.2">
      <c r="A38" s="67"/>
      <c r="B38" s="394"/>
      <c r="C38" s="79" t="s">
        <v>121</v>
      </c>
      <c r="D38" s="79"/>
      <c r="E38" s="79"/>
      <c r="F38" s="79"/>
      <c r="G38" s="232">
        <v>1500</v>
      </c>
      <c r="H38" s="368"/>
    </row>
    <row r="39" spans="1:8" s="68" customFormat="1" ht="20.25" x14ac:dyDescent="0.2">
      <c r="A39" s="67"/>
      <c r="B39" s="394"/>
      <c r="C39" s="79" t="s">
        <v>166</v>
      </c>
      <c r="D39" s="79"/>
      <c r="E39" s="79"/>
      <c r="F39" s="79"/>
      <c r="G39" s="232">
        <v>13700</v>
      </c>
      <c r="H39" s="368"/>
    </row>
    <row r="40" spans="1:8" s="76" customFormat="1" ht="20.25" x14ac:dyDescent="0.2">
      <c r="A40" s="79"/>
      <c r="B40" s="390"/>
      <c r="C40" s="79" t="s">
        <v>122</v>
      </c>
      <c r="D40" s="79"/>
      <c r="E40" s="79"/>
      <c r="F40" s="79"/>
      <c r="G40" s="322">
        <f>ROUNDUP(13248.87*1.05,-2)</f>
        <v>14000</v>
      </c>
      <c r="H40" s="367"/>
    </row>
    <row r="41" spans="1:8" s="76" customFormat="1" ht="20.25" x14ac:dyDescent="0.2">
      <c r="A41" s="79"/>
      <c r="B41" s="390"/>
      <c r="C41" s="79" t="s">
        <v>123</v>
      </c>
      <c r="D41" s="79"/>
      <c r="E41" s="79"/>
      <c r="F41" s="79"/>
      <c r="G41" s="232">
        <f>ROUNDUP(12343.85*1.03,-2)</f>
        <v>12800</v>
      </c>
      <c r="H41" s="367"/>
    </row>
    <row r="42" spans="1:8" s="76" customFormat="1" ht="20.25" x14ac:dyDescent="0.2">
      <c r="A42" s="79"/>
      <c r="B42" s="390"/>
      <c r="C42" s="79" t="s">
        <v>130</v>
      </c>
      <c r="D42" s="79"/>
      <c r="E42" s="79"/>
      <c r="F42" s="79"/>
      <c r="G42" s="232">
        <v>3000</v>
      </c>
      <c r="H42" s="367"/>
    </row>
    <row r="43" spans="1:8" s="76" customFormat="1" ht="20.25" x14ac:dyDescent="0.2">
      <c r="A43" s="79"/>
      <c r="B43" s="390"/>
      <c r="C43" s="79" t="s">
        <v>124</v>
      </c>
      <c r="D43" s="79"/>
      <c r="E43" s="79"/>
      <c r="F43" s="79"/>
      <c r="G43" s="322">
        <f>ROUNDUP((3067.88+8008.83)*1.05,-2)</f>
        <v>11700</v>
      </c>
      <c r="H43" s="367"/>
    </row>
    <row r="44" spans="1:8" s="68" customFormat="1" ht="20.25" x14ac:dyDescent="0.2">
      <c r="A44" s="67"/>
      <c r="B44" s="394"/>
      <c r="C44" s="79" t="s">
        <v>199</v>
      </c>
      <c r="D44" s="79"/>
      <c r="E44" s="79"/>
      <c r="F44" s="79"/>
      <c r="G44" s="232">
        <v>17000</v>
      </c>
      <c r="H44" s="368"/>
    </row>
    <row r="45" spans="1:8" s="76" customFormat="1" ht="20.25" x14ac:dyDescent="0.2">
      <c r="A45" s="79"/>
      <c r="B45" s="390"/>
      <c r="C45" s="79" t="s">
        <v>125</v>
      </c>
      <c r="D45" s="79"/>
      <c r="E45" s="79"/>
      <c r="F45" s="79"/>
      <c r="G45" s="322">
        <v>41000</v>
      </c>
      <c r="H45" s="367"/>
    </row>
    <row r="46" spans="1:8" s="76" customFormat="1" ht="20.25" x14ac:dyDescent="0.2">
      <c r="A46" s="79"/>
      <c r="B46" s="390"/>
      <c r="C46" s="79" t="s">
        <v>126</v>
      </c>
      <c r="D46" s="79"/>
      <c r="E46" s="79"/>
      <c r="F46" s="79"/>
      <c r="G46" s="322">
        <f>ROUNDUP((1800+4675.64+34905.29+1033.01-10000-2673-17150-1033+14000)*1.01,-2)</f>
        <v>25900</v>
      </c>
      <c r="H46" s="367"/>
    </row>
    <row r="47" spans="1:8" s="76" customFormat="1" ht="20.25" x14ac:dyDescent="0.2">
      <c r="A47" s="79"/>
      <c r="B47" s="390"/>
      <c r="C47" s="79" t="s">
        <v>167</v>
      </c>
      <c r="D47" s="79"/>
      <c r="E47" s="79"/>
      <c r="F47" s="79"/>
      <c r="G47" s="232">
        <v>36000</v>
      </c>
      <c r="H47" s="367"/>
    </row>
    <row r="48" spans="1:8" s="76" customFormat="1" ht="20.25" x14ac:dyDescent="0.2">
      <c r="A48" s="79"/>
      <c r="B48" s="390"/>
      <c r="C48" s="79" t="s">
        <v>165</v>
      </c>
      <c r="D48" s="79"/>
      <c r="E48" s="79"/>
      <c r="F48" s="79"/>
      <c r="G48" s="232">
        <f>ROUNDUP(46266.27*1.02,-2)</f>
        <v>47200</v>
      </c>
      <c r="H48" s="367"/>
    </row>
    <row r="49" spans="1:8" s="76" customFormat="1" ht="20.25" x14ac:dyDescent="0.2">
      <c r="A49" s="79"/>
      <c r="B49" s="390"/>
      <c r="C49" s="79" t="s">
        <v>127</v>
      </c>
      <c r="D49" s="79"/>
      <c r="E49" s="79"/>
      <c r="F49" s="79"/>
      <c r="G49" s="232">
        <f>ROUND((2604.31+166143.24-12000)*1.01,-2)</f>
        <v>158300</v>
      </c>
      <c r="H49" s="367"/>
    </row>
    <row r="50" spans="1:8" s="76" customFormat="1" ht="20.25" hidden="1" x14ac:dyDescent="0.2">
      <c r="A50" s="79"/>
      <c r="B50" s="390"/>
      <c r="C50" s="79" t="s">
        <v>259</v>
      </c>
      <c r="D50" s="79"/>
      <c r="E50" s="79"/>
      <c r="F50" s="79"/>
      <c r="G50" s="232"/>
      <c r="H50" s="367"/>
    </row>
    <row r="51" spans="1:8" s="68" customFormat="1" ht="20.25" x14ac:dyDescent="0.2">
      <c r="A51" s="67"/>
      <c r="B51" s="394"/>
      <c r="C51" s="67"/>
      <c r="D51" s="73" t="s">
        <v>128</v>
      </c>
      <c r="E51" s="67"/>
      <c r="F51" s="67"/>
      <c r="G51" s="237">
        <f>SUM(G28:G50)</f>
        <v>1659631</v>
      </c>
      <c r="H51" s="368"/>
    </row>
    <row r="52" spans="1:8" s="68" customFormat="1" ht="10.5" customHeight="1" thickBot="1" x14ac:dyDescent="0.25">
      <c r="A52" s="67"/>
      <c r="B52" s="394"/>
      <c r="C52" s="67"/>
      <c r="D52" s="73"/>
      <c r="E52" s="67"/>
      <c r="F52" s="67"/>
      <c r="G52" s="241"/>
      <c r="H52" s="368"/>
    </row>
    <row r="53" spans="1:8" s="68" customFormat="1" ht="21" thickBot="1" x14ac:dyDescent="0.25">
      <c r="A53" s="67"/>
      <c r="B53" s="394"/>
      <c r="C53" s="67"/>
      <c r="D53" s="67" t="s">
        <v>129</v>
      </c>
      <c r="E53" s="67"/>
      <c r="F53" s="67"/>
      <c r="G53" s="241">
        <f>G25-G51</f>
        <v>21344</v>
      </c>
      <c r="H53" s="368"/>
    </row>
    <row r="54" spans="1:8" s="68" customFormat="1" ht="11.25" customHeight="1" x14ac:dyDescent="0.2">
      <c r="A54" s="67"/>
      <c r="B54" s="394"/>
      <c r="C54" s="67"/>
      <c r="D54" s="67"/>
      <c r="E54" s="67"/>
      <c r="F54" s="67"/>
      <c r="G54" s="232"/>
      <c r="H54" s="368"/>
    </row>
    <row r="55" spans="1:8" s="76" customFormat="1" ht="20.25" x14ac:dyDescent="0.2">
      <c r="A55" s="79"/>
      <c r="B55" s="390"/>
      <c r="C55" s="79"/>
      <c r="D55" s="79"/>
      <c r="F55" s="79"/>
      <c r="G55" s="246"/>
      <c r="H55" s="367"/>
    </row>
    <row r="56" spans="1:8" s="76" customFormat="1" ht="20.25" x14ac:dyDescent="0.2">
      <c r="A56" s="79"/>
      <c r="B56" s="390"/>
      <c r="C56" s="79"/>
      <c r="D56" s="79"/>
      <c r="F56" s="79"/>
      <c r="G56" s="232"/>
      <c r="H56" s="367"/>
    </row>
    <row r="57" spans="1:8" s="76" customFormat="1" ht="20.25" x14ac:dyDescent="0.2">
      <c r="A57" s="79"/>
      <c r="B57" s="390"/>
      <c r="C57" s="79"/>
      <c r="D57" s="79"/>
      <c r="F57" s="79"/>
      <c r="G57" s="232"/>
      <c r="H57" s="367"/>
    </row>
    <row r="58" spans="1:8" s="76" customFormat="1" ht="20.25" x14ac:dyDescent="0.2">
      <c r="A58" s="79"/>
      <c r="B58" s="79"/>
      <c r="C58" s="79"/>
      <c r="D58" s="79"/>
      <c r="F58" s="79"/>
      <c r="G58" s="232"/>
      <c r="H58" s="367"/>
    </row>
    <row r="59" spans="1:8" s="76" customFormat="1" ht="20.25" x14ac:dyDescent="0.2">
      <c r="A59" s="79"/>
      <c r="B59" s="79"/>
      <c r="C59" s="79"/>
      <c r="D59" s="79"/>
      <c r="F59" s="79"/>
      <c r="G59" s="232"/>
      <c r="H59" s="367"/>
    </row>
    <row r="60" spans="1:8" s="76" customFormat="1" ht="20.25" x14ac:dyDescent="0.2">
      <c r="A60" s="79"/>
      <c r="B60" s="79"/>
      <c r="C60" s="79"/>
      <c r="D60" s="79"/>
      <c r="F60" s="79"/>
      <c r="G60" s="232"/>
      <c r="H60" s="367"/>
    </row>
    <row r="61" spans="1:8" s="76" customFormat="1" ht="20.25" x14ac:dyDescent="0.2">
      <c r="A61" s="79"/>
      <c r="B61" s="79"/>
      <c r="C61" s="67"/>
      <c r="D61" s="79"/>
      <c r="F61" s="79"/>
      <c r="G61" s="232"/>
      <c r="H61" s="367"/>
    </row>
    <row r="62" spans="1:8" s="76" customFormat="1" ht="20.25" x14ac:dyDescent="0.2">
      <c r="A62" s="79"/>
      <c r="B62" s="79"/>
      <c r="C62" s="79"/>
      <c r="D62" s="79"/>
      <c r="E62" s="79"/>
      <c r="F62" s="79"/>
      <c r="G62" s="232"/>
      <c r="H62" s="367"/>
    </row>
    <row r="63" spans="1:8" s="76" customFormat="1" ht="20.25" x14ac:dyDescent="0.2">
      <c r="A63" s="79"/>
      <c r="B63" s="79"/>
      <c r="C63" s="67"/>
      <c r="D63" s="67"/>
      <c r="G63" s="232"/>
      <c r="H63" s="367"/>
    </row>
    <row r="64" spans="1:8" s="76" customFormat="1" ht="20.25" x14ac:dyDescent="0.2">
      <c r="A64" s="79"/>
      <c r="B64" s="79"/>
      <c r="C64" s="79"/>
      <c r="D64" s="79"/>
      <c r="E64" s="79"/>
      <c r="F64" s="79"/>
      <c r="G64" s="232"/>
      <c r="H64" s="367"/>
    </row>
    <row r="65" spans="1:8" s="76" customFormat="1" ht="20.25" x14ac:dyDescent="0.2">
      <c r="A65" s="79"/>
      <c r="B65" s="79"/>
      <c r="C65" s="79"/>
      <c r="D65" s="79"/>
      <c r="E65" s="79"/>
      <c r="F65" s="79"/>
      <c r="G65" s="232"/>
      <c r="H65" s="367"/>
    </row>
    <row r="66" spans="1:8" s="76" customFormat="1" ht="20.25" x14ac:dyDescent="0.2">
      <c r="A66" s="79"/>
      <c r="B66" s="79"/>
      <c r="C66" s="79"/>
      <c r="D66" s="79"/>
      <c r="E66" s="79"/>
      <c r="F66" s="79"/>
      <c r="G66" s="232"/>
      <c r="H66" s="367"/>
    </row>
    <row r="67" spans="1:8" s="76" customFormat="1" ht="20.25" x14ac:dyDescent="0.2">
      <c r="A67" s="79"/>
      <c r="B67" s="79"/>
      <c r="C67" s="79"/>
      <c r="D67" s="79"/>
      <c r="E67" s="79"/>
      <c r="F67" s="79"/>
      <c r="G67" s="232"/>
      <c r="H67" s="367"/>
    </row>
    <row r="68" spans="1:8" s="76" customFormat="1" ht="20.25" x14ac:dyDescent="0.2">
      <c r="A68" s="79"/>
      <c r="B68" s="79"/>
      <c r="C68" s="67"/>
      <c r="D68" s="79"/>
      <c r="F68" s="79"/>
      <c r="G68" s="232"/>
      <c r="H68" s="367"/>
    </row>
    <row r="69" spans="1:8" s="76" customFormat="1" ht="20.25" x14ac:dyDescent="0.2">
      <c r="A69" s="79"/>
      <c r="B69" s="79"/>
      <c r="C69" s="79"/>
      <c r="D69" s="79"/>
      <c r="E69" s="79"/>
      <c r="F69" s="79"/>
      <c r="G69" s="232"/>
      <c r="H69" s="367"/>
    </row>
    <row r="70" spans="1:8" s="68" customFormat="1" ht="20.25" x14ac:dyDescent="0.2">
      <c r="A70" s="67"/>
      <c r="B70" s="67"/>
      <c r="C70" s="67"/>
      <c r="D70" s="67"/>
      <c r="E70" s="67"/>
      <c r="F70" s="67"/>
      <c r="G70" s="237"/>
      <c r="H70" s="368"/>
    </row>
    <row r="71" spans="1:8" s="68" customFormat="1" ht="20.25" x14ac:dyDescent="0.2">
      <c r="A71" s="67"/>
      <c r="B71" s="67"/>
      <c r="C71" s="67"/>
      <c r="D71" s="67"/>
      <c r="E71" s="67"/>
      <c r="F71" s="67"/>
      <c r="G71" s="237"/>
      <c r="H71" s="368"/>
    </row>
    <row r="72" spans="1:8" s="68" customFormat="1" ht="23.25" x14ac:dyDescent="0.2">
      <c r="A72" s="67"/>
      <c r="B72" s="271"/>
      <c r="C72" s="67"/>
      <c r="D72" s="67"/>
      <c r="E72" s="67"/>
      <c r="F72" s="67"/>
      <c r="G72" s="232"/>
      <c r="H72" s="368"/>
    </row>
    <row r="73" spans="1:8" s="76" customFormat="1" ht="20.25" x14ac:dyDescent="0.2">
      <c r="A73" s="79"/>
      <c r="B73" s="79"/>
      <c r="D73" s="79"/>
      <c r="E73" s="79"/>
      <c r="F73" s="79"/>
      <c r="G73" s="232"/>
      <c r="H73" s="367"/>
    </row>
    <row r="74" spans="1:8" s="76" customFormat="1" ht="20.25" x14ac:dyDescent="0.2">
      <c r="A74" s="79"/>
      <c r="B74" s="79"/>
      <c r="D74" s="79"/>
      <c r="E74" s="79"/>
      <c r="F74" s="79"/>
      <c r="G74" s="232"/>
      <c r="H74" s="367"/>
    </row>
    <row r="75" spans="1:8" s="68" customFormat="1" ht="20.25" x14ac:dyDescent="0.2">
      <c r="A75" s="67"/>
      <c r="B75" s="67"/>
      <c r="D75" s="79"/>
      <c r="E75" s="67"/>
      <c r="F75" s="67"/>
      <c r="G75" s="232"/>
      <c r="H75" s="368"/>
    </row>
    <row r="76" spans="1:8" s="68" customFormat="1" ht="23.25" x14ac:dyDescent="0.2">
      <c r="A76" s="67"/>
      <c r="B76" s="271"/>
      <c r="C76" s="67"/>
      <c r="D76" s="67"/>
      <c r="E76" s="67"/>
      <c r="F76" s="67"/>
      <c r="G76" s="237"/>
      <c r="H76" s="368"/>
    </row>
    <row r="77" spans="1:8" s="68" customFormat="1" ht="20.25" x14ac:dyDescent="0.2">
      <c r="A77" s="67"/>
      <c r="B77" s="67"/>
      <c r="C77" s="67"/>
      <c r="D77" s="67"/>
      <c r="E77" s="67"/>
      <c r="F77" s="67"/>
      <c r="G77" s="232"/>
      <c r="H77" s="368"/>
    </row>
    <row r="78" spans="1:8" s="82" customFormat="1" ht="26.25" x14ac:dyDescent="0.2">
      <c r="A78" s="268"/>
      <c r="B78" s="268"/>
      <c r="C78" s="268"/>
      <c r="D78" s="268"/>
      <c r="E78" s="268"/>
      <c r="F78" s="268"/>
      <c r="G78" s="269"/>
      <c r="H78" s="503"/>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94</v>
      </c>
      <c r="B1" s="59"/>
      <c r="C1" s="60"/>
      <c r="D1" s="60"/>
      <c r="E1" s="60"/>
      <c r="F1" s="59"/>
      <c r="G1" s="59"/>
    </row>
    <row r="2" spans="1:23" ht="26.25" x14ac:dyDescent="0.4">
      <c r="A2" s="58" t="s">
        <v>182</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5" t="s">
        <v>49</v>
      </c>
      <c r="H4" s="405"/>
      <c r="I4" s="405"/>
      <c r="J4" s="405"/>
      <c r="K4" s="405"/>
      <c r="L4" s="405"/>
      <c r="M4" s="405"/>
      <c r="N4" s="405"/>
      <c r="O4" s="405"/>
      <c r="P4" s="405"/>
      <c r="Q4" s="405"/>
      <c r="R4" s="405"/>
      <c r="S4" s="405"/>
      <c r="T4" s="405"/>
      <c r="U4" s="405"/>
      <c r="V4" s="405"/>
      <c r="W4" s="405"/>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8"/>
      <c r="B6" s="1055" t="s">
        <v>183</v>
      </c>
      <c r="C6" s="1055"/>
      <c r="D6" s="1055"/>
      <c r="E6" s="1055"/>
      <c r="F6" s="1055"/>
      <c r="G6" s="409">
        <v>42004</v>
      </c>
      <c r="H6" s="409">
        <v>41639</v>
      </c>
      <c r="I6" s="409">
        <v>41274</v>
      </c>
      <c r="J6" s="409">
        <v>41090</v>
      </c>
      <c r="K6" s="409">
        <v>40724</v>
      </c>
      <c r="L6" s="409">
        <v>40359</v>
      </c>
      <c r="M6" s="409">
        <v>39994</v>
      </c>
      <c r="N6" s="409">
        <v>39629</v>
      </c>
      <c r="O6" s="409">
        <v>39263</v>
      </c>
      <c r="P6" s="409">
        <v>38898</v>
      </c>
      <c r="Q6" s="409">
        <v>38533</v>
      </c>
      <c r="R6" s="409">
        <v>38168</v>
      </c>
      <c r="S6" s="409">
        <v>37802</v>
      </c>
      <c r="T6" s="409">
        <v>37437</v>
      </c>
      <c r="U6" s="409">
        <v>37072</v>
      </c>
      <c r="V6" s="409">
        <v>36707</v>
      </c>
      <c r="W6" s="409">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184</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6"/>
      <c r="B9" s="406"/>
      <c r="C9" s="73" t="s">
        <v>185</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6"/>
      <c r="B10" s="406"/>
      <c r="C10" s="1056" t="s">
        <v>160</v>
      </c>
      <c r="D10" s="1056"/>
      <c r="E10" s="1056"/>
      <c r="F10" s="1056"/>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6"/>
      <c r="B11" s="406"/>
      <c r="C11" s="73" t="s">
        <v>186</v>
      </c>
      <c r="D11" s="406"/>
      <c r="E11" s="406"/>
      <c r="F11" s="406"/>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6"/>
      <c r="B12" s="406"/>
      <c r="C12" s="73" t="s">
        <v>157</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187</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188</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6"/>
      <c r="B26" s="406"/>
      <c r="C26" s="406"/>
      <c r="D26" s="406" t="s">
        <v>149</v>
      </c>
      <c r="E26" s="77"/>
      <c r="F26" s="406"/>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6"/>
      <c r="B27" s="406"/>
      <c r="C27" s="406"/>
      <c r="D27" s="406" t="s">
        <v>189</v>
      </c>
      <c r="E27" s="77"/>
      <c r="F27" s="406"/>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6"/>
      <c r="B28" s="406"/>
      <c r="C28" s="406"/>
      <c r="D28" s="406" t="s">
        <v>88</v>
      </c>
      <c r="E28" s="77"/>
      <c r="F28" s="406"/>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6"/>
      <c r="B29" s="406"/>
      <c r="C29" s="406"/>
      <c r="D29" s="406" t="s">
        <v>190</v>
      </c>
      <c r="E29" s="77"/>
      <c r="F29" s="406"/>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6"/>
      <c r="B30" s="406"/>
      <c r="C30" s="406"/>
      <c r="D30" s="79" t="s">
        <v>95</v>
      </c>
      <c r="E30" s="77"/>
      <c r="F30" s="406"/>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6"/>
      <c r="B31" s="406"/>
      <c r="C31" s="406"/>
      <c r="D31" s="78" t="s">
        <v>191</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6"/>
      <c r="B32" s="406"/>
      <c r="C32" s="80" t="s">
        <v>71</v>
      </c>
      <c r="D32" s="406"/>
      <c r="E32" s="77"/>
      <c r="F32" s="406"/>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6"/>
      <c r="B33" s="406"/>
      <c r="C33" s="406"/>
      <c r="D33" s="406"/>
      <c r="E33" s="406"/>
      <c r="F33" s="406"/>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1"/>
      <c r="H34" s="411"/>
      <c r="I34" s="411"/>
      <c r="J34" s="411"/>
      <c r="K34" s="411"/>
      <c r="L34" s="236"/>
      <c r="M34" s="236"/>
      <c r="N34" s="236"/>
      <c r="O34" s="236"/>
      <c r="P34" s="236"/>
      <c r="Q34" s="236"/>
      <c r="R34" s="236"/>
      <c r="S34" s="236"/>
      <c r="T34" s="236"/>
      <c r="U34" s="236"/>
      <c r="V34" s="236"/>
      <c r="W34" s="236"/>
    </row>
    <row r="35" spans="1:23" ht="24" thickBot="1" x14ac:dyDescent="0.25">
      <c r="A35" s="73"/>
      <c r="B35" s="86" t="s">
        <v>192</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6" t="s">
        <v>91</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6"/>
      <c r="B37" s="406"/>
      <c r="C37" s="77"/>
      <c r="D37" s="406" t="s">
        <v>85</v>
      </c>
      <c r="E37" s="407"/>
      <c r="F37" s="407"/>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0"/>
      <c r="B42" s="410"/>
      <c r="C42" s="410"/>
      <c r="D42" s="410"/>
      <c r="E42" s="410"/>
      <c r="F42" s="410"/>
      <c r="G42" s="272"/>
    </row>
    <row r="43" spans="1:23" s="243" customFormat="1" x14ac:dyDescent="0.2">
      <c r="A43" s="410"/>
      <c r="B43" s="410"/>
      <c r="C43" s="410"/>
      <c r="D43" s="410"/>
      <c r="E43" s="410"/>
      <c r="F43" s="410"/>
      <c r="G43" s="272"/>
    </row>
    <row r="44" spans="1:23" s="243" customFormat="1" x14ac:dyDescent="0.2">
      <c r="A44" s="410"/>
      <c r="B44" s="410"/>
      <c r="C44" s="410"/>
      <c r="D44" s="410"/>
      <c r="E44" s="410"/>
      <c r="F44" s="410"/>
      <c r="G44" s="272"/>
    </row>
    <row r="45" spans="1:23" s="243" customFormat="1" x14ac:dyDescent="0.2">
      <c r="A45" s="410"/>
      <c r="B45" s="410"/>
      <c r="C45" s="410"/>
      <c r="D45" s="410"/>
      <c r="E45" s="410"/>
      <c r="F45" s="410"/>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Updated  Operating Budget</vt:lpstr>
      <vt:lpstr>2023 Operating Budget</vt:lpstr>
      <vt:lpstr>Transportation Historic</vt:lpstr>
      <vt:lpstr>Notes</vt:lpstr>
      <vt:lpstr>Data</vt:lpstr>
      <vt:lpstr>Updated Operating Budget</vt:lpstr>
      <vt:lpstr>June'23 Revenues &amp; Expenses</vt:lpstr>
      <vt:lpstr>June'23 AR Aging </vt:lpstr>
      <vt:lpstr>June'23 Financial Position</vt:lpstr>
      <vt:lpstr>June'23 State of Activities</vt:lpstr>
      <vt:lpstr>June'23 Transportation</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'June''20 Transportation'!Print_Area</vt:lpstr>
      <vt:lpstr>'June''23 AR Aging '!Print_Area</vt:lpstr>
      <vt:lpstr>'June''23 Financial Position'!Print_Area</vt:lpstr>
      <vt:lpstr>'June''23 Revenues &amp; Expenses'!Print_Area</vt:lpstr>
      <vt:lpstr>'June''23 State of Activities'!Print_Area</vt:lpstr>
      <vt:lpstr>'June''23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2023-03-13T21:32:16Z</cp:lastPrinted>
  <dcterms:created xsi:type="dcterms:W3CDTF">2011-11-03T17:20:29Z</dcterms:created>
  <dcterms:modified xsi:type="dcterms:W3CDTF">2023-07-26T12:42:03Z</dcterms:modified>
</cp:coreProperties>
</file>