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4\"/>
    </mc:Choice>
  </mc:AlternateContent>
  <xr:revisionPtr revIDLastSave="0" documentId="8_{4552AA10-3BDA-4301-A9CC-E42C36853A06}" xr6:coauthVersionLast="47" xr6:coauthVersionMax="47" xr10:uidLastSave="{00000000-0000-0000-0000-000000000000}"/>
  <bookViews>
    <workbookView xWindow="28680" yWindow="-6825" windowWidth="29040" windowHeight="15840" tabRatio="787" firstSheet="4" activeTab="4"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December'23 Revenues &amp; Expenses" sheetId="3" r:id="rId8"/>
    <sheet name="December'23 AR Aging " sheetId="6" r:id="rId9"/>
    <sheet name="December'23 Financial Position" sheetId="5" r:id="rId10"/>
    <sheet name="December'23 State of Activities" sheetId="12" r:id="rId11"/>
    <sheet name="FundRaising" sheetId="31" state="hidden" r:id="rId12"/>
    <sheet name="December'23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19">Budget!$A$1:$G$54</definedName>
    <definedName name="_xlnm.Print_Area" localSheetId="8">'December''23 AR Aging '!$A$1:$G$153</definedName>
    <definedName name="_xlnm.Print_Area" localSheetId="9">'December''23 Financial Position'!$A$1:$L$69</definedName>
    <definedName name="_xlnm.Print_Area" localSheetId="7">'December''23 Revenues &amp; Expenses'!$A$1:$L$83</definedName>
    <definedName name="_xlnm.Print_Area" localSheetId="10">'December''23 State of Activities'!$A$1:$O$72</definedName>
    <definedName name="_xlnm.Print_Area" localSheetId="12">'December''23 Transportation'!$A$1:$P$68</definedName>
    <definedName name="_xlnm.Print_Area" localSheetId="15">'June''20 Transportation'!$A$1:$P$63</definedName>
    <definedName name="_xlnm.Print_Area" localSheetId="4">Notes!$A$4:$H$116</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 i="15" l="1"/>
  <c r="F107" i="15"/>
  <c r="G115" i="15"/>
  <c r="E115" i="15"/>
  <c r="F93" i="15"/>
  <c r="G93" i="15"/>
  <c r="E93" i="15"/>
  <c r="G101" i="15"/>
  <c r="G97" i="15"/>
  <c r="B2126" i="19"/>
  <c r="C2061" i="19"/>
  <c r="B2061" i="19"/>
  <c r="C2063" i="19" l="1"/>
  <c r="B2062" i="19"/>
  <c r="H61" i="5"/>
  <c r="H45" i="5"/>
  <c r="G54" i="12"/>
  <c r="L54" i="12" s="1"/>
  <c r="J53" i="24"/>
  <c r="O53" i="24" s="1"/>
  <c r="K52" i="24"/>
  <c r="J47" i="24"/>
  <c r="O47" i="24" s="1"/>
  <c r="J41" i="24"/>
  <c r="O41" i="24" s="1"/>
  <c r="J34" i="24"/>
  <c r="O34" i="24" s="1"/>
  <c r="O16" i="24"/>
  <c r="O51" i="24"/>
  <c r="O50" i="24"/>
  <c r="O49" i="24"/>
  <c r="O48" i="24"/>
  <c r="O46" i="24"/>
  <c r="O45" i="24"/>
  <c r="O44" i="24"/>
  <c r="O43" i="24"/>
  <c r="O40" i="24"/>
  <c r="O39" i="24"/>
  <c r="O38" i="24"/>
  <c r="O37" i="24"/>
  <c r="O33" i="24"/>
  <c r="O28" i="24"/>
  <c r="O27" i="24"/>
  <c r="O24" i="24"/>
  <c r="O23" i="24"/>
  <c r="O22" i="24"/>
  <c r="O21" i="24"/>
  <c r="O20" i="24"/>
  <c r="O19" i="24"/>
  <c r="O18" i="24"/>
  <c r="O17" i="24"/>
  <c r="O15" i="24"/>
  <c r="O14" i="24"/>
  <c r="O13" i="24"/>
  <c r="O11" i="24"/>
  <c r="O10" i="24"/>
  <c r="O9" i="24"/>
  <c r="J16" i="24"/>
  <c r="J14" i="24"/>
  <c r="G65" i="12"/>
  <c r="G64" i="12"/>
  <c r="L64" i="12" s="1"/>
  <c r="G71" i="12"/>
  <c r="L19" i="12"/>
  <c r="L66" i="12"/>
  <c r="L65" i="12"/>
  <c r="L63" i="12"/>
  <c r="L62" i="12"/>
  <c r="L53" i="12"/>
  <c r="L52" i="12"/>
  <c r="L51" i="12"/>
  <c r="L50" i="12"/>
  <c r="L49" i="12"/>
  <c r="L48" i="12"/>
  <c r="L47" i="12"/>
  <c r="L46" i="12"/>
  <c r="L45" i="12"/>
  <c r="L44" i="12"/>
  <c r="L43" i="12"/>
  <c r="L42" i="12"/>
  <c r="L41" i="12"/>
  <c r="L40" i="12"/>
  <c r="L39" i="12"/>
  <c r="L38" i="12"/>
  <c r="L37" i="12"/>
  <c r="L36" i="12"/>
  <c r="L35" i="12"/>
  <c r="L34" i="12"/>
  <c r="L33" i="12"/>
  <c r="L32" i="12"/>
  <c r="L28" i="12"/>
  <c r="L27" i="12"/>
  <c r="L26" i="12"/>
  <c r="L25" i="12"/>
  <c r="L24" i="12"/>
  <c r="L23" i="12"/>
  <c r="L22" i="12"/>
  <c r="L21" i="12"/>
  <c r="L20" i="12"/>
  <c r="L18" i="12"/>
  <c r="L17" i="12"/>
  <c r="L16" i="12"/>
  <c r="L15" i="12"/>
  <c r="L13" i="12"/>
  <c r="L12" i="12"/>
  <c r="L11" i="12"/>
  <c r="L10" i="12"/>
  <c r="L9" i="12"/>
  <c r="J45" i="5"/>
  <c r="J63" i="5"/>
  <c r="H54" i="12"/>
  <c r="H23" i="5"/>
  <c r="G53" i="12"/>
  <c r="G51" i="12"/>
  <c r="G48" i="12"/>
  <c r="G46" i="12"/>
  <c r="H63" i="5"/>
  <c r="H22" i="5"/>
  <c r="G40" i="12"/>
  <c r="G34" i="12"/>
  <c r="G32" i="12"/>
  <c r="G24" i="12"/>
  <c r="G19" i="12"/>
  <c r="H52" i="5"/>
  <c r="L83" i="3"/>
  <c r="L81" i="3"/>
  <c r="J76" i="3"/>
  <c r="H76" i="3"/>
  <c r="L74" i="3"/>
  <c r="H73" i="3"/>
  <c r="K56" i="3"/>
  <c r="I52" i="3"/>
  <c r="K52" i="3" s="1"/>
  <c r="B2063" i="19" l="1"/>
  <c r="J31" i="3"/>
  <c r="H31" i="3"/>
  <c r="G31" i="3" s="1"/>
  <c r="I23" i="3"/>
  <c r="C60" i="6"/>
  <c r="C71" i="6"/>
  <c r="E44" i="6"/>
  <c r="D50" i="6"/>
  <c r="C39" i="6"/>
  <c r="G30" i="6"/>
  <c r="D31" i="6"/>
  <c r="I19" i="32"/>
  <c r="I15" i="32"/>
  <c r="B2064" i="19" l="1"/>
  <c r="C2065" i="19"/>
  <c r="I48" i="32"/>
  <c r="I44" i="32"/>
  <c r="I41" i="32"/>
  <c r="I24" i="32"/>
  <c r="I21" i="32"/>
  <c r="G48" i="32"/>
  <c r="G44" i="32"/>
  <c r="G11" i="32"/>
  <c r="B2065" i="19" l="1"/>
  <c r="G49" i="32"/>
  <c r="I25" i="32"/>
  <c r="G25" i="32"/>
  <c r="F115" i="15"/>
  <c r="M57" i="24"/>
  <c r="K57" i="24"/>
  <c r="M68" i="24"/>
  <c r="M41" i="24"/>
  <c r="M35" i="24"/>
  <c r="M34" i="24"/>
  <c r="B2066" i="19" l="1"/>
  <c r="G51" i="32"/>
  <c r="G56" i="32" s="1"/>
  <c r="I49" i="32"/>
  <c r="I51" i="32" s="1"/>
  <c r="I56" i="32" s="1"/>
  <c r="B2067" i="19" l="1"/>
  <c r="J53" i="12"/>
  <c r="J51" i="12"/>
  <c r="J50" i="12"/>
  <c r="J49" i="12"/>
  <c r="J48" i="12"/>
  <c r="J47" i="12"/>
  <c r="J40" i="12"/>
  <c r="J18" i="12"/>
  <c r="J12" i="12"/>
  <c r="J73" i="3"/>
  <c r="K73" i="3" s="1"/>
  <c r="L52" i="5"/>
  <c r="K49" i="3"/>
  <c r="C2069" i="19" l="1"/>
  <c r="B2068" i="19"/>
  <c r="J9" i="3"/>
  <c r="E14" i="6"/>
  <c r="F14" i="6"/>
  <c r="G17" i="31"/>
  <c r="G10" i="31"/>
  <c r="B2069" i="19" l="1"/>
  <c r="C1971" i="19"/>
  <c r="B1971" i="19" s="1"/>
  <c r="B1970" i="19"/>
  <c r="B2070" i="19" l="1"/>
  <c r="C1972" i="19"/>
  <c r="B1972" i="19" s="1"/>
  <c r="B1973" i="19"/>
  <c r="B2071" i="19" l="1"/>
  <c r="B1974" i="19"/>
  <c r="B2072" i="19" l="1"/>
  <c r="B1975" i="19"/>
  <c r="B2073" i="19" l="1"/>
  <c r="B1976" i="19"/>
  <c r="C2075" i="19" l="1"/>
  <c r="B2074" i="19"/>
  <c r="B1977" i="19"/>
  <c r="B2075" i="19" l="1"/>
  <c r="B1978" i="19"/>
  <c r="B2076" i="19" l="1"/>
  <c r="C2077" i="19"/>
  <c r="B1979" i="19"/>
  <c r="B2077" i="19" l="1"/>
  <c r="B1980" i="19"/>
  <c r="C2079" i="19" l="1"/>
  <c r="B2078" i="19"/>
  <c r="B1981" i="19"/>
  <c r="B2079" i="19" l="1"/>
  <c r="B1982" i="19"/>
  <c r="C2081" i="19" l="1"/>
  <c r="B2080" i="19"/>
  <c r="B1983" i="19"/>
  <c r="B2081" i="19" l="1"/>
  <c r="B1984" i="19"/>
  <c r="C2083" i="19" l="1"/>
  <c r="B2082" i="19"/>
  <c r="B1985" i="19"/>
  <c r="B2083" i="19" l="1"/>
  <c r="B1986" i="19"/>
  <c r="C1987" i="19"/>
  <c r="B2084" i="19" l="1"/>
  <c r="C2085" i="19"/>
  <c r="B1987" i="19"/>
  <c r="B2085" i="19" l="1"/>
  <c r="B1988" i="19"/>
  <c r="B2086" i="19" l="1"/>
  <c r="B1989" i="19"/>
  <c r="B2087" i="19" l="1"/>
  <c r="B1990" i="19"/>
  <c r="B2088" i="19" l="1"/>
  <c r="C1992" i="19"/>
  <c r="B1991" i="19"/>
  <c r="B2089" i="19" l="1"/>
  <c r="B1992" i="19"/>
  <c r="B2090" i="19" l="1"/>
  <c r="B1993" i="19"/>
  <c r="B2091" i="19" l="1"/>
  <c r="B1994" i="19"/>
  <c r="B2092" i="19" l="1"/>
  <c r="B1995" i="19"/>
  <c r="C1996" i="19"/>
  <c r="B2093" i="19" l="1"/>
  <c r="C1997" i="19"/>
  <c r="B1996" i="19"/>
  <c r="B2094" i="19" l="1"/>
  <c r="C1998" i="19"/>
  <c r="B1997" i="19"/>
  <c r="B2095" i="19" l="1"/>
  <c r="B1998" i="19"/>
  <c r="B2096" i="19" l="1"/>
  <c r="B1999" i="19"/>
  <c r="B2097" i="19" l="1"/>
  <c r="B2000" i="19"/>
  <c r="C2099" i="19" l="1"/>
  <c r="B2098" i="19"/>
  <c r="B2001" i="19"/>
  <c r="C2002" i="19"/>
  <c r="B2099" i="19" l="1"/>
  <c r="B2002" i="19"/>
  <c r="B2100" i="19" l="1"/>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O35" i="24"/>
  <c r="J65" i="12"/>
  <c r="G67" i="12"/>
  <c r="G66" i="12"/>
  <c r="G47" i="12"/>
  <c r="K78" i="3"/>
  <c r="I57" i="3"/>
  <c r="K54" i="3"/>
  <c r="B2019" i="19" l="1"/>
  <c r="G31" i="6"/>
  <c r="H15" i="3" s="1"/>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4" i="30"/>
  <c r="J13" i="30"/>
  <c r="J10" i="30"/>
  <c r="M10" i="30" s="1"/>
  <c r="F114" i="15"/>
  <c r="G114" i="15" s="1"/>
  <c r="B1925" i="19"/>
  <c r="B2026" i="19" l="1"/>
  <c r="J56" i="30"/>
  <c r="M51" i="30"/>
  <c r="J41" i="30"/>
  <c r="K24" i="30"/>
  <c r="M24" i="30"/>
  <c r="O24" i="30" s="1"/>
  <c r="O25" i="30" s="1"/>
  <c r="O28" i="30" s="1"/>
  <c r="M43" i="30"/>
  <c r="K20" i="30"/>
  <c r="M20" i="30" s="1"/>
  <c r="M44" i="30"/>
  <c r="M52" i="30"/>
  <c r="J34" i="30"/>
  <c r="M34" i="30" s="1"/>
  <c r="M33" i="30"/>
  <c r="K26" i="30"/>
  <c r="M26" i="30" s="1"/>
  <c r="M46" i="30"/>
  <c r="K14" i="30"/>
  <c r="M14" i="30" s="1"/>
  <c r="K19" i="30"/>
  <c r="M19" i="30" s="1"/>
  <c r="K17" i="30"/>
  <c r="M17" i="30" s="1"/>
  <c r="K13" i="30"/>
  <c r="M13" i="30" s="1"/>
  <c r="J42" i="30"/>
  <c r="C1926" i="19"/>
  <c r="B2027" i="19" l="1"/>
  <c r="K25" i="30"/>
  <c r="K28" i="30" s="1"/>
  <c r="K41" i="30"/>
  <c r="K53" i="30" s="1"/>
  <c r="M42" i="30"/>
  <c r="M56" i="30"/>
  <c r="J53" i="30"/>
  <c r="B1926" i="19"/>
  <c r="B2028" i="19" l="1"/>
  <c r="K54" i="30"/>
  <c r="K58" i="30" s="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J52" i="24"/>
  <c r="J57" i="24" l="1"/>
  <c r="O57" i="24" s="1"/>
  <c r="O52" i="24"/>
  <c r="I51" i="3"/>
  <c r="J11" i="3" l="1"/>
  <c r="C51"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J45" i="24" l="1"/>
  <c r="J17" i="24"/>
  <c r="J13" i="24"/>
  <c r="A4" i="24"/>
  <c r="K9" i="24"/>
  <c r="B1883" i="19" l="1"/>
  <c r="B1882" i="19"/>
  <c r="M15" i="24"/>
  <c r="B1884" i="19" l="1"/>
  <c r="C1885" i="19"/>
  <c r="B1885" i="19" l="1"/>
  <c r="H71" i="12"/>
  <c r="J71" i="12" s="1"/>
  <c r="J52" i="5"/>
  <c r="B1886" i="19" l="1"/>
  <c r="B1887" i="19" l="1"/>
  <c r="F113" i="15"/>
  <c r="D109" i="15"/>
  <c r="F95" i="15"/>
  <c r="F94" i="15"/>
  <c r="G77"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J67" i="12" s="1"/>
  <c r="H66" i="12"/>
  <c r="H65" i="12"/>
  <c r="C1891" i="19" l="1"/>
  <c r="B1890" i="19"/>
  <c r="H13" i="12"/>
  <c r="H27" i="12" s="1"/>
  <c r="H29" i="12" s="1"/>
  <c r="H63" i="12"/>
  <c r="H62" i="12"/>
  <c r="H67" i="12" s="1"/>
  <c r="H53" i="12"/>
  <c r="H51" i="12"/>
  <c r="H47" i="12"/>
  <c r="H40" i="12"/>
  <c r="H35" i="12"/>
  <c r="H34" i="12"/>
  <c r="L61" i="5"/>
  <c r="J61" i="5"/>
  <c r="J57" i="3"/>
  <c r="K67" i="3"/>
  <c r="L67" i="3" s="1"/>
  <c r="I55" i="3"/>
  <c r="I53" i="3"/>
  <c r="I48" i="3"/>
  <c r="J23" i="3"/>
  <c r="B1891" i="19" l="1"/>
  <c r="H56" i="12"/>
  <c r="H58" i="12" s="1"/>
  <c r="H69" i="12" s="1"/>
  <c r="H72" i="12" s="1"/>
  <c r="E103" i="15"/>
  <c r="G113" i="15"/>
  <c r="B1892" i="19" l="1"/>
  <c r="P52" i="24"/>
  <c r="B1893" i="19" l="1"/>
  <c r="P51" i="24"/>
  <c r="P49" i="24"/>
  <c r="P48" i="24"/>
  <c r="P43" i="24"/>
  <c r="P40" i="24"/>
  <c r="P39" i="24"/>
  <c r="P38" i="24"/>
  <c r="P37" i="24"/>
  <c r="P33" i="24"/>
  <c r="P28" i="24"/>
  <c r="P18" i="24"/>
  <c r="P44" i="24"/>
  <c r="B1894" i="19" l="1"/>
  <c r="P27" i="24"/>
  <c r="P10" i="24"/>
  <c r="M63" i="12"/>
  <c r="M62" i="12"/>
  <c r="M65" i="12"/>
  <c r="M32" i="12"/>
  <c r="M47" i="12"/>
  <c r="G18" i="12"/>
  <c r="J15" i="30" s="1"/>
  <c r="M10" i="12"/>
  <c r="M52" i="12"/>
  <c r="M50" i="12"/>
  <c r="M49" i="12"/>
  <c r="M48" i="12"/>
  <c r="M45" i="12"/>
  <c r="M43" i="12"/>
  <c r="M42" i="12"/>
  <c r="M41" i="12"/>
  <c r="M39" i="12"/>
  <c r="M38" i="12"/>
  <c r="M37" i="12"/>
  <c r="M36" i="12"/>
  <c r="M33" i="12"/>
  <c r="M28" i="12"/>
  <c r="M24" i="12"/>
  <c r="M23" i="12"/>
  <c r="M22" i="12"/>
  <c r="M21" i="12"/>
  <c r="M20" i="12"/>
  <c r="M17" i="12"/>
  <c r="M15" i="12"/>
  <c r="M12" i="12"/>
  <c r="M9" i="12"/>
  <c r="K55" i="3"/>
  <c r="K51" i="3"/>
  <c r="M15" i="30" l="1"/>
  <c r="M25" i="30" s="1"/>
  <c r="M28" i="30" s="1"/>
  <c r="M54" i="30" s="1"/>
  <c r="M58" i="30" s="1"/>
  <c r="J25" i="30"/>
  <c r="J28" i="30" s="1"/>
  <c r="J54" i="30" s="1"/>
  <c r="J58" i="30" s="1"/>
  <c r="B1895" i="19"/>
  <c r="M18" i="12"/>
  <c r="G48" i="6"/>
  <c r="G6" i="6"/>
  <c r="B1896" i="19" l="1"/>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M46" i="12"/>
  <c r="K48" i="3"/>
  <c r="G94" i="15" s="1"/>
  <c r="K53" i="3"/>
  <c r="G95" i="15" s="1"/>
  <c r="B1907" i="19" l="1"/>
  <c r="C97" i="6"/>
  <c r="B1908" i="19" l="1"/>
  <c r="C1909" i="19"/>
  <c r="G41" i="6"/>
  <c r="E73" i="6"/>
  <c r="B1909" i="19" l="1"/>
  <c r="C1712" i="19"/>
  <c r="B1712" i="19" s="1"/>
  <c r="B1710" i="19"/>
  <c r="B1910" i="19" l="1"/>
  <c r="B1713" i="19"/>
  <c r="B1911" i="19" l="1"/>
  <c r="B1714" i="19"/>
  <c r="C1715" i="19"/>
  <c r="B1912" i="19" l="1"/>
  <c r="B1715" i="19"/>
  <c r="G106"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B1728" i="19" l="1"/>
  <c r="B1678" i="19"/>
  <c r="C1619" i="19"/>
  <c r="B1618" i="19"/>
  <c r="D112"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P17" i="24"/>
  <c r="P53" i="24"/>
  <c r="P47" i="24"/>
  <c r="P46" i="24"/>
  <c r="P45" i="24"/>
  <c r="P41" i="24"/>
  <c r="K25" i="24"/>
  <c r="O25" i="24" s="1"/>
  <c r="K35" i="24" l="1"/>
  <c r="P35" i="24" s="1"/>
  <c r="P34" i="24"/>
  <c r="K42" i="24"/>
  <c r="O42" i="24" s="1"/>
  <c r="B1731" i="19"/>
  <c r="C1732" i="19"/>
  <c r="C1682" i="19"/>
  <c r="B1681" i="19"/>
  <c r="K26" i="24"/>
  <c r="O26" i="24" s="1"/>
  <c r="C1622" i="19"/>
  <c r="B1621" i="19"/>
  <c r="C1733" i="19" l="1"/>
  <c r="B1732" i="19"/>
  <c r="B1682" i="19"/>
  <c r="B1622" i="19"/>
  <c r="M54" i="12"/>
  <c r="M53" i="12"/>
  <c r="M51" i="12"/>
  <c r="M40" i="12"/>
  <c r="M25" i="12"/>
  <c r="L66" i="3"/>
  <c r="B1733" i="19" l="1"/>
  <c r="B1683" i="19"/>
  <c r="B1623" i="19"/>
  <c r="L65" i="3"/>
  <c r="B1734" i="19" l="1"/>
  <c r="B1684" i="19"/>
  <c r="B1624" i="19"/>
  <c r="L68" i="3"/>
  <c r="P13" i="24"/>
  <c r="B1568" i="19"/>
  <c r="C1525" i="19"/>
  <c r="C1526" i="19" s="1"/>
  <c r="B1526" i="19" s="1"/>
  <c r="J58" i="24"/>
  <c r="O58" i="24" s="1"/>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4"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7"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J16" i="12"/>
  <c r="M16" i="12" s="1"/>
  <c r="M14" i="24" l="1"/>
  <c r="P14" i="24" s="1"/>
  <c r="B1747" i="19"/>
  <c r="C1748" i="19"/>
  <c r="B1697" i="19"/>
  <c r="B1637" i="19"/>
  <c r="B1538" i="19"/>
  <c r="B1512" i="19"/>
  <c r="G70" i="6"/>
  <c r="G69"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11" i="15"/>
  <c r="D110"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K68" i="24"/>
  <c r="L8" i="5"/>
  <c r="B1757" i="19" l="1"/>
  <c r="B1707" i="19"/>
  <c r="B1647" i="19"/>
  <c r="B1548" i="19"/>
  <c r="B1522" i="19"/>
  <c r="B1758" i="19" l="1"/>
  <c r="B1708" i="19"/>
  <c r="B1648" i="19"/>
  <c r="B1549" i="19"/>
  <c r="C1550" i="19"/>
  <c r="B1524" i="19"/>
  <c r="B1523" i="19"/>
  <c r="G85" i="3"/>
  <c r="M81" i="3"/>
  <c r="G81" i="3"/>
  <c r="F81" i="3"/>
  <c r="L77" i="3"/>
  <c r="K76" i="3"/>
  <c r="L76" i="3" s="1"/>
  <c r="K75" i="3"/>
  <c r="L75" i="3" s="1"/>
  <c r="H72" i="3"/>
  <c r="K72" i="3" s="1"/>
  <c r="J81" i="3"/>
  <c r="H61" i="3"/>
  <c r="G61" i="3"/>
  <c r="I58" i="3"/>
  <c r="J58" i="3" s="1"/>
  <c r="J61" i="3" s="1"/>
  <c r="F58" i="3"/>
  <c r="F61" i="3" s="1"/>
  <c r="I44" i="3"/>
  <c r="K44" i="3" s="1"/>
  <c r="I42" i="3"/>
  <c r="K42" i="3" s="1"/>
  <c r="I41" i="3"/>
  <c r="K36" i="3"/>
  <c r="B1759" i="19" l="1"/>
  <c r="B1709" i="19"/>
  <c r="C1650" i="19"/>
  <c r="B1649" i="19"/>
  <c r="B1550" i="19"/>
  <c r="I61" i="3"/>
  <c r="K41" i="3"/>
  <c r="K61" i="3" s="1"/>
  <c r="L61" i="3" s="1"/>
  <c r="I85"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9" i="15"/>
  <c r="F99"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P9" i="24" l="1"/>
  <c r="B1763" i="19"/>
  <c r="B1653" i="19"/>
  <c r="B1554" i="19"/>
  <c r="C1555" i="19"/>
  <c r="A3" i="24"/>
  <c r="M58" i="24"/>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O29" i="24" s="1"/>
  <c r="J68" i="24"/>
  <c r="O54" i="24" l="1"/>
  <c r="B1802" i="19"/>
  <c r="B1765" i="19"/>
  <c r="B1655" i="19"/>
  <c r="C1656" i="19"/>
  <c r="K55" i="24"/>
  <c r="K62" i="24"/>
  <c r="K65" i="24"/>
  <c r="B1556" i="19"/>
  <c r="J62" i="24"/>
  <c r="J65" i="24"/>
  <c r="C1804" i="19" l="1"/>
  <c r="B1803" i="19"/>
  <c r="K59" i="24"/>
  <c r="B1766" i="19"/>
  <c r="B1656" i="19"/>
  <c r="B1557" i="19"/>
  <c r="C1558" i="19"/>
  <c r="F109" i="15"/>
  <c r="F110" i="15"/>
  <c r="E110" i="15"/>
  <c r="E109" i="15"/>
  <c r="E116" i="15" s="1"/>
  <c r="F97" i="15"/>
  <c r="F103" i="15" s="1"/>
  <c r="D103" i="15"/>
  <c r="B1804" i="19" l="1"/>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M34" i="12" s="1"/>
  <c r="G35" i="12"/>
  <c r="J26" i="12"/>
  <c r="M26" i="12" l="1"/>
  <c r="B1807" i="19"/>
  <c r="B1770" i="19"/>
  <c r="M25" i="24"/>
  <c r="M42" i="24" s="1"/>
  <c r="B1561" i="19"/>
  <c r="C1562" i="19"/>
  <c r="P42" i="24" l="1"/>
  <c r="C1809" i="19"/>
  <c r="B1808" i="19"/>
  <c r="B1771" i="19"/>
  <c r="M26" i="24"/>
  <c r="M29" i="24" s="1"/>
  <c r="B1562" i="19"/>
  <c r="B1809" i="19" l="1"/>
  <c r="M54" i="24"/>
  <c r="B1563" i="19"/>
  <c r="C1564" i="19"/>
  <c r="M55" i="24" l="1"/>
  <c r="M59" i="24" s="1"/>
  <c r="P54" i="24"/>
  <c r="C1811" i="19"/>
  <c r="B1810" i="19"/>
  <c r="M62" i="24"/>
  <c r="M65" i="24"/>
  <c r="B1564" i="19"/>
  <c r="R32" i="18"/>
  <c r="R30" i="18"/>
  <c r="B1811" i="19" l="1"/>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5" i="12"/>
  <c r="M35" i="12" s="1"/>
  <c r="P15" i="24" l="1"/>
  <c r="C1822" i="19"/>
  <c r="B1821" i="19"/>
  <c r="B1782" i="19"/>
  <c r="J26" i="24"/>
  <c r="H16" i="5"/>
  <c r="J56" i="5"/>
  <c r="J49" i="5"/>
  <c r="J16" i="5"/>
  <c r="J23" i="5"/>
  <c r="G103" i="15"/>
  <c r="P26" i="24" l="1"/>
  <c r="C1823" i="19"/>
  <c r="B1822" i="19"/>
  <c r="B1783" i="19"/>
  <c r="J29" i="24"/>
  <c r="J58" i="5"/>
  <c r="J25" i="5"/>
  <c r="J35" i="5" s="1"/>
  <c r="G71" i="6"/>
  <c r="P29" i="24" l="1"/>
  <c r="B1823" i="19"/>
  <c r="B1784" i="19"/>
  <c r="J55" i="24"/>
  <c r="O55" i="24" s="1"/>
  <c r="P55" i="24" l="1"/>
  <c r="B1824" i="19"/>
  <c r="C1825" i="19"/>
  <c r="B1785" i="19"/>
  <c r="J59" i="24"/>
  <c r="O59" i="24" s="1"/>
  <c r="G67" i="15"/>
  <c r="F37" i="15"/>
  <c r="F44" i="15" s="1"/>
  <c r="D37" i="15"/>
  <c r="B1825" i="19" l="1"/>
  <c r="C1826" i="19"/>
  <c r="B1786" i="19"/>
  <c r="G572" i="19"/>
  <c r="G571" i="19"/>
  <c r="B1826" i="19" l="1"/>
  <c r="B1787" i="19"/>
  <c r="G637" i="19"/>
  <c r="J18" i="18"/>
  <c r="O18" i="18" s="1"/>
  <c r="M53" i="18"/>
  <c r="M22" i="18"/>
  <c r="M39" i="18" s="1"/>
  <c r="M21" i="18"/>
  <c r="M15" i="18"/>
  <c r="M63" i="18"/>
  <c r="J56" i="12"/>
  <c r="B1827" i="19" l="1"/>
  <c r="B1788" i="19"/>
  <c r="M23" i="18"/>
  <c r="M26" i="18" s="1"/>
  <c r="M49" i="18"/>
  <c r="J27" i="12"/>
  <c r="J29" i="12" s="1"/>
  <c r="J58" i="12" s="1"/>
  <c r="G65" i="6"/>
  <c r="C8" i="6"/>
  <c r="H8" i="3"/>
  <c r="G8" i="3" s="1"/>
  <c r="J69" i="12" l="1"/>
  <c r="J72" i="12" s="1"/>
  <c r="L63" i="5"/>
  <c r="B1828" i="19"/>
  <c r="B1789" i="19"/>
  <c r="J8" i="3"/>
  <c r="J11" i="18"/>
  <c r="O11" i="18" s="1"/>
  <c r="H81" i="3"/>
  <c r="M60" i="18"/>
  <c r="M57" i="18"/>
  <c r="M50" i="18"/>
  <c r="M54" i="18" s="1"/>
  <c r="O17" i="18"/>
  <c r="B1829" i="19" l="1"/>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B2127" i="19" l="1"/>
  <c r="G634" i="19"/>
  <c r="G635" i="19" l="1"/>
  <c r="G639" i="19" s="1"/>
  <c r="G642"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6" i="12"/>
  <c r="O24" i="18" l="1"/>
  <c r="P24" i="18" s="1"/>
  <c r="O44" i="18"/>
  <c r="P44" i="18" s="1"/>
  <c r="O43" i="18"/>
  <c r="P43" i="18" s="1"/>
  <c r="O42" i="18"/>
  <c r="P42" i="18" s="1"/>
  <c r="G67" i="6" l="1"/>
  <c r="L78" i="3" l="1"/>
  <c r="K81" i="3"/>
  <c r="I81" i="3"/>
  <c r="G40" i="6"/>
  <c r="H62" i="5" l="1"/>
  <c r="A4" i="18"/>
  <c r="G51" i="22" l="1"/>
  <c r="G47" i="22"/>
  <c r="G46" i="22"/>
  <c r="G13" i="22"/>
  <c r="G28" i="22" s="1"/>
  <c r="G20" i="22"/>
  <c r="G34" i="22" l="1"/>
  <c r="G53" i="22" l="1"/>
  <c r="G55" i="22" s="1"/>
  <c r="L31" i="5" l="1"/>
  <c r="G44" i="15" l="1"/>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G13" i="6"/>
  <c r="H12" i="3" l="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3" i="15" l="1"/>
  <c r="D32" i="6" l="1"/>
  <c r="D73" i="6" s="1"/>
  <c r="J21" i="18" l="1"/>
  <c r="O21" i="18" s="1"/>
  <c r="G8" i="12" l="1"/>
  <c r="J8" i="12" s="1"/>
  <c r="M8" i="24" l="1"/>
  <c r="J8" i="24"/>
  <c r="E84" i="15"/>
  <c r="B323" i="19" l="1"/>
  <c r="K26" i="18" l="1"/>
  <c r="K50" i="18" s="1"/>
  <c r="K54" i="18" s="1"/>
  <c r="O22" i="18"/>
  <c r="J63" i="18" l="1"/>
  <c r="J8" i="18"/>
  <c r="J53" i="18"/>
  <c r="O53" i="18" s="1"/>
  <c r="O9" i="18" l="1"/>
  <c r="P9" i="18" s="1"/>
  <c r="O39" i="18"/>
  <c r="P39" i="18" s="1"/>
  <c r="J57" i="18" l="1"/>
  <c r="O49" i="18"/>
  <c r="P49" i="18" s="1"/>
  <c r="J60" i="18"/>
  <c r="M8" i="18"/>
  <c r="G56" i="12" l="1"/>
  <c r="G27" i="12"/>
  <c r="J15" i="18"/>
  <c r="O15" i="18" s="1"/>
  <c r="P15" i="18" s="1"/>
  <c r="M27"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2"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11" i="15" l="1"/>
  <c r="F116" i="15" s="1"/>
  <c r="G58" i="6" l="1"/>
  <c r="G51" i="6"/>
  <c r="C44" i="6"/>
  <c r="G17" i="6"/>
  <c r="G18" i="6" l="1"/>
  <c r="D116" i="15"/>
  <c r="G112" i="15"/>
  <c r="G111" i="15"/>
  <c r="G108" i="15" l="1"/>
  <c r="G107" i="15" l="1"/>
  <c r="G109"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5" i="3" s="1"/>
  <c r="H85" i="3" l="1"/>
  <c r="K85" i="3" s="1"/>
  <c r="E14" i="15"/>
  <c r="L23" i="5" l="1"/>
  <c r="L25" i="5" s="1"/>
  <c r="L35" i="5" s="1"/>
  <c r="H56" i="5"/>
  <c r="L69" i="5" l="1"/>
  <c r="D228" i="6" l="1"/>
  <c r="D229" i="6"/>
  <c r="D230" i="6"/>
  <c r="F228" i="6" l="1"/>
  <c r="G60" i="6" l="1"/>
  <c r="E16" i="15" s="1"/>
  <c r="G50" i="6"/>
  <c r="H26" i="3" s="1"/>
  <c r="J26" i="3" l="1"/>
  <c r="H35" i="3"/>
  <c r="J35" i="3" s="1"/>
  <c r="N232" i="6"/>
  <c r="M232" i="6"/>
  <c r="L232" i="6"/>
  <c r="K232" i="6"/>
  <c r="J232" i="6"/>
  <c r="I232" i="6"/>
  <c r="H232" i="6"/>
  <c r="G232" i="6"/>
  <c r="G35" i="3" l="1"/>
  <c r="G26" i="3"/>
  <c r="C56" i="6"/>
  <c r="F27" i="6"/>
  <c r="F73" i="6" s="1"/>
  <c r="C32" i="6"/>
  <c r="C231" i="6" l="1"/>
  <c r="G54" i="6" l="1"/>
  <c r="G55" i="6"/>
  <c r="G56" i="6" l="1"/>
  <c r="G20" i="6" l="1"/>
  <c r="C14" i="6"/>
  <c r="C73" i="6" s="1"/>
  <c r="G12" i="6"/>
  <c r="H11" i="3" s="1"/>
  <c r="G11" i="3" s="1"/>
  <c r="L29" i="12" l="1"/>
  <c r="M29" i="12" s="1"/>
  <c r="L56" i="12" l="1"/>
  <c r="M56" i="12" s="1"/>
  <c r="G29" i="12" l="1"/>
  <c r="G58" i="12" l="1"/>
  <c r="G69" i="12" s="1"/>
  <c r="J64" i="5" l="1"/>
  <c r="J66" i="5" s="1"/>
  <c r="L64" i="5"/>
  <c r="L58" i="12"/>
  <c r="M58" i="12" l="1"/>
  <c r="L66" i="5"/>
  <c r="L72" i="5" s="1"/>
  <c r="C229" i="6" l="1"/>
  <c r="G39" i="6"/>
  <c r="E15" i="15" s="1"/>
  <c r="G32" i="6"/>
  <c r="E12" i="15" s="1"/>
  <c r="G11" i="6"/>
  <c r="H23" i="3" l="1"/>
  <c r="G23" i="3" s="1"/>
  <c r="G44" i="6"/>
  <c r="D232" i="6"/>
  <c r="G14" i="6"/>
  <c r="G27" i="6"/>
  <c r="E13" i="15" l="1"/>
  <c r="F232" i="6"/>
  <c r="H64" i="5" l="1"/>
  <c r="G72" i="12"/>
  <c r="L67" i="12"/>
  <c r="G110" i="15"/>
  <c r="G116" i="15" s="1"/>
  <c r="M67" i="12" l="1"/>
  <c r="L69" i="12"/>
  <c r="G7" i="6"/>
  <c r="G10" i="3" l="1"/>
  <c r="H9" i="3"/>
  <c r="G9" i="3" s="1"/>
  <c r="C230" i="6"/>
  <c r="G8" i="6"/>
  <c r="G73" i="6" s="1"/>
  <c r="H36" i="3" l="1"/>
  <c r="J89" i="3" s="1"/>
  <c r="G36" i="3"/>
  <c r="J36" i="3"/>
  <c r="I36" i="3"/>
  <c r="E11" i="15"/>
  <c r="E17" i="15" s="1"/>
  <c r="C228" i="6"/>
  <c r="C232" i="6" s="1"/>
  <c r="J90" i="3" l="1"/>
  <c r="J91" i="3" s="1"/>
  <c r="H19" i="5"/>
  <c r="C75" i="6"/>
  <c r="E75" i="6"/>
  <c r="F75" i="6"/>
  <c r="D75" i="6"/>
  <c r="G75" i="6"/>
  <c r="F16" i="15"/>
  <c r="F15" i="15"/>
  <c r="F14" i="15"/>
  <c r="F13" i="15"/>
  <c r="F12" i="15"/>
  <c r="F11" i="15"/>
  <c r="C99" i="6"/>
  <c r="H25" i="5" l="1"/>
  <c r="H35" i="5" s="1"/>
  <c r="F17" i="15"/>
  <c r="H48" i="5" l="1"/>
  <c r="H49" i="5" s="1"/>
  <c r="H58" i="5" l="1"/>
  <c r="H69" i="5" l="1"/>
  <c r="H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<sst xmlns="http://schemas.openxmlformats.org/spreadsheetml/2006/main" count="1517" uniqueCount="700">
  <si>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</si>
  <si>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</si>
  <si>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</si>
  <si>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</si>
  <si>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</si>
  <si>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</si>
  <si>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</si>
  <si>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</si>
  <si>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</si>
  <si>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</si>
  <si>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</si>
  <si>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</si>
  <si>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</si>
  <si>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</si>
  <si>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</si>
  <si>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</si>
  <si>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</si>
  <si>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</si>
  <si>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</si>
  <si>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</si>
  <si>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</si>
  <si>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</si>
  <si>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</si>
  <si>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</si>
  <si>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</si>
  <si>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</si>
  <si>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</si>
  <si>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</si>
  <si>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</si>
  <si>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</si>
  <si>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</si>
  <si>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</si>
  <si>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</si>
  <si>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</si>
  <si>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</si>
  <si>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</si>
  <si>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</si>
  <si>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</si>
  <si>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</si>
  <si>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</si>
  <si>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</si>
  <si>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</si>
  <si>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</si>
  <si>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</si>
  <si>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</si>
  <si>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</si>
  <si>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</si>
  <si>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</si>
  <si>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</si>
  <si>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</si>
  <si>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</si>
  <si>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</si>
  <si>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</si>
  <si>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</si>
  <si>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</si>
  <si>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</si>
  <si>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</si>
  <si>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</si>
  <si>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</si>
  <si>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</si>
  <si>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</si>
  <si>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</si>
  <si>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</si>
  <si>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</si>
  <si>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</si>
  <si>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</si>
  <si>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</si>
  <si>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</si>
  <si>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</si>
  <si>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</si>
  <si>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</si>
  <si>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</si>
  <si>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</si>
  <si>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</si>
  <si>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</si>
  <si>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</si>
  <si>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</si>
  <si>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</si>
  <si>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</si>
  <si>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</si>
  <si>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</si>
  <si>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</si>
  <si>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</si>
  <si>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</si>
  <si>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</si>
  <si>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</si>
  <si>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</si>
  <si>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</si>
  <si>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</si>
  <si>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</si>
  <si>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</si>
  <si>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</si>
  <si>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</si>
  <si>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</si>
  <si>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</si>
  <si>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</si>
  <si>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</si>
  <si>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</si>
  <si>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</si>
  <si>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</si>
  <si>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</si>
  <si>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</si>
  <si>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</si>
  <si>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</si>
  <si>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</si>
  <si>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</si>
  <si>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</si>
  <si>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</si>
  <si>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</si>
  <si>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</si>
  <si>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</si>
  <si>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</si>
  <si>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</si>
  <si>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</si>
  <si>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</si>
  <si>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</si>
  <si>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</si>
  <si>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</si>
  <si>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</si>
  <si>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</si>
  <si>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</si>
  <si>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</si>
  <si>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</si>
  <si>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</si>
  <si>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</si>
  <si>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</si>
  <si>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</si>
  <si>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</si>
  <si>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</si>
  <si>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</si>
  <si>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</si>
  <si>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</si>
  <si>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</si>
  <si>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</si>
  <si>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</si>
  <si>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</si>
  <si>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</si>
  <si>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</si>
  <si>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</si>
  <si>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</si>
  <si>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</si>
  <si>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</si>
  <si>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</si>
  <si>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</si>
  <si>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</si>
  <si>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</si>
  <si>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</si>
  <si>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</si>
  <si>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</si>
  <si>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</si>
  <si>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</si>
  <si>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</si>
  <si>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</si>
  <si>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</si>
  <si>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</si>
  <si>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</si>
  <si>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</si>
  <si>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</si>
  <si>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</si>
  <si>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</si>
  <si>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</si>
  <si>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</si>
  <si>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</si>
  <si>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</si>
  <si>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</si>
  <si>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</si>
  <si>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</si>
  <si>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</si>
  <si>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</si>
  <si>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</si>
  <si>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</si>
  <si>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</si>
  <si>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</si>
  <si>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</si>
  <si>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</si>
  <si>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</si>
  <si>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</si>
  <si>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</si>
  <si>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</si>
  <si>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</si>
  <si>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</si>
  <si>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</si>
  <si>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</si>
  <si>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</si>
  <si>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</si>
  <si>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</si>
  <si>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</si>
  <si>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</si>
  <si>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</si>
  <si>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</si>
  <si>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</si>
  <si>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</si>
  <si>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</si>
  <si>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</si>
  <si>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</si>
  <si>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</si>
  <si>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</si>
  <si>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</si>
  <si>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</si>
  <si>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</si>
  <si>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</si>
  <si>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</si>
  <si>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</si>
  <si>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</si>
  <si>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</si>
  <si>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</si>
  <si>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</si>
  <si>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</si>
  <si>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</si>
  <si>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</si>
  <si>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</si>
  <si>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</si>
  <si>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</si>
  <si>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</si>
  <si>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</si>
  <si>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</si>
  <si>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</si>
  <si>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</si>
  <si>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</si>
  <si>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</si>
  <si>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</si>
  <si>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</si>
  <si>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</si>
  <si>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</si>
  <si>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</si>
  <si>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</si>
  <si>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</si>
  <si>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</si>
  <si>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</si>
  <si>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</si>
  <si>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</si>
  <si>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</si>
  <si>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</si>
  <si>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</si>
  <si>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</si>
  <si>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</si>
  <si>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</si>
  <si>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</si>
  <si>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</si>
  <si>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</si>
  <si>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</si>
  <si>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</si>
  <si>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</si>
  <si>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</si>
  <si>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</si>
  <si>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</si>
  <si>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</si>
  <si>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</si>
  <si>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</si>
  <si>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</si>
  <si>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</si>
  <si>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</si>
  <si>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</si>
  <si>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</si>
  <si>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</si>
  <si>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</si>
  <si>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</si>
  <si>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</si>
  <si>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</si>
  <si>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</si>
  <si>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</si>
  <si>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</si>
  <si>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</si>
  <si>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</si>
  <si>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</si>
  <si>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</si>
  <si>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</si>
  <si>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</si>
  <si>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</si>
  <si>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</si>
  <si>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</si>
  <si>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</si>
  <si>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</si>
  <si>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</si>
  <si>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</si>
  <si>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</si>
  <si>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</si>
  <si>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</si>
  <si>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</si>
  <si>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</si>
  <si>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</si>
  <si>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</si>
  <si>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</si>
  <si>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</si>
  <si>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</si>
  <si>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</si>
  <si>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</si>
  <si>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</si>
  <si>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</si>
  <si>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</si>
  <si>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</si>
  <si>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</si>
  <si>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</si>
  <si>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</si>
  <si>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</si>
  <si>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</si>
  <si>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</si>
  <si>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</si>
  <si>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</si>
  <si>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</si>
  <si>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</si>
  <si>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</si>
  <si>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</si>
  <si>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</si>
  <si>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</si>
  <si>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</si>
  <si>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</si>
  <si>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</si>
  <si>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</si>
  <si>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</si>
  <si>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</si>
  <si>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</si>
  <si>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</si>
  <si>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</si>
  <si>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</si>
  <si>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</si>
  <si>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</si>
  <si>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</si>
  <si>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</si>
  <si>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</si>
  <si>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</si>
  <si>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</si>
  <si>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</si>
  <si>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</si>
  <si>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</si>
  <si>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</si>
  <si>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</si>
  <si>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</si>
  <si>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</si>
  <si>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</si>
  <si>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</si>
  <si>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</si>
  <si>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</si>
  <si>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</si>
  <si>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</si>
  <si>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</si>
  <si>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</si>
  <si>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</si>
  <si>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</si>
  <si>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</si>
  <si>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</si>
  <si>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</si>
  <si>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</si>
  <si>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</si>
  <si>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</si>
  <si>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</si>
  <si>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</si>
  <si>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</si>
  <si>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</si>
  <si>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</si>
  <si>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</si>
  <si>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</si>
  <si>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</si>
  <si>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</si>
  <si>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</si>
  <si>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</si>
  <si>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</si>
  <si>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</si>
  <si>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</si>
  <si>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</si>
  <si>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</si>
  <si>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</si>
  <si>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</si>
  <si>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</si>
  <si>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</si>
  <si>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</si>
  <si>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</si>
  <si>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</si>
  <si>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</si>
  <si>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</si>
  <si>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</si>
  <si>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</si>
  <si>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</si>
  <si>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</si>
  <si>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</si>
  <si>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</si>
  <si>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</si>
  <si>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</si>
  <si>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</si>
  <si>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</si>
  <si>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</si>
  <si>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</si>
  <si>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</si>
  <si>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</si>
  <si>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</si>
  <si>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</si>
  <si>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</si>
  <si>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</si>
  <si>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</si>
  <si>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</si>
  <si>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</si>
  <si>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</si>
  <si>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</si>
  <si>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</si>
  <si>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</si>
  <si>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</si>
  <si>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</si>
  <si>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</si>
  <si>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</si>
  <si>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</si>
  <si>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</si>
  <si>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</si>
  <si>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</si>
  <si>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</si>
  <si>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</si>
  <si>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</si>
  <si>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</si>
  <si>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</si>
  <si>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</si>
  <si>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</si>
  <si>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</si>
  <si>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</si>
  <si>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</si>
  <si>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</si>
  <si>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</si>
  <si>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</si>
  <si>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</si>
  <si>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</si>
  <si>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</si>
  <si>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</si>
  <si>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</si>
  <si>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</si>
  <si>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</si>
  <si>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</si>
  <si>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</si>
  <si>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</si>
  <si>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</si>
  <si>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</si>
  <si>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</si>
  <si>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</si>
  <si>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</si>
  <si>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</si>
  <si>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</si>
  <si>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</si>
  <si>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</si>
  <si>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</si>
  <si>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</si>
  <si>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</si>
  <si>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</si>
  <si>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</si>
  <si>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</si>
  <si>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</si>
  <si>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</si>
  <si>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</si>
  <si>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</si>
  <si>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</si>
  <si>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</si>
  <si>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</si>
  <si>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</si>
  <si>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</si>
  <si>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</si>
  <si>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</si>
  <si>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</si>
  <si>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</si>
  <si>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</si>
  <si>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</si>
  <si>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NY Connects E&amp;EP         04/22 to 03/23</t>
  </si>
  <si>
    <t>Greene County Public Health Department</t>
  </si>
  <si>
    <t>RHN Program - Jan - Mar 2022 Voucher</t>
  </si>
  <si>
    <t>Greene County Public Health</t>
  </si>
  <si>
    <t>Grants Receivable</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</si>
  <si>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</si>
  <si>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</si>
  <si>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</si>
  <si>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</si>
  <si>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</si>
  <si>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</si>
  <si>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</si>
  <si>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</si>
  <si>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</si>
  <si>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</si>
  <si>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</si>
  <si>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</si>
  <si>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</si>
  <si>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</si>
  <si>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</si>
  <si>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</si>
  <si>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</si>
  <si>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</si>
  <si>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</si>
  <si>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</si>
  <si>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</si>
  <si>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</si>
  <si>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</si>
  <si>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</si>
  <si>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</si>
  <si>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</si>
  <si>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</si>
  <si>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</si>
  <si>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</si>
  <si>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</si>
  <si>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</si>
  <si>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</si>
  <si>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</si>
  <si>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</si>
  <si>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</si>
  <si>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</si>
  <si>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</si>
  <si>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</si>
  <si>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</si>
  <si>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</si>
  <si>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</si>
  <si>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</si>
  <si>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</si>
  <si>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</si>
  <si>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</si>
  <si>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</si>
  <si>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</si>
  <si>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</si>
  <si>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</si>
  <si>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</si>
  <si>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</si>
  <si>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</si>
  <si>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</si>
  <si>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</si>
  <si>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</si>
  <si>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</si>
  <si>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</si>
  <si>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</si>
  <si>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</si>
  <si>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</si>
  <si>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</si>
  <si>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</si>
  <si>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</si>
  <si>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</si>
  <si>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</si>
  <si>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</si>
  <si>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</si>
  <si>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</si>
  <si>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</si>
  <si>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</si>
  <si>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</si>
  <si>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</si>
  <si>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</si>
  <si>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</si>
  <si>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</si>
  <si>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</si>
  <si>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</si>
  <si>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</si>
  <si>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</si>
  <si>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</si>
  <si>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</si>
  <si>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</si>
  <si>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</si>
  <si>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</si>
  <si>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</si>
  <si>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Ancram/Copake Prescription Access (2023) </t>
  </si>
  <si>
    <t xml:space="preserve">County Government - 2023 </t>
  </si>
  <si>
    <t>Collaborative Community Health Planning Jan'23-Dec'23</t>
  </si>
  <si>
    <t>2022 Ford Transit Connects</t>
  </si>
  <si>
    <t>2018 Ford Taurus</t>
  </si>
  <si>
    <t>2012 Ford Fusion</t>
  </si>
  <si>
    <t>2014 Dodge Grand Caravan</t>
  </si>
  <si>
    <t>2017 Dodge Grand Caravan</t>
  </si>
  <si>
    <t>2013 Dodge Grand Caravan</t>
  </si>
  <si>
    <t>2017 Ford Taurus</t>
  </si>
  <si>
    <t>Our Gain</t>
  </si>
  <si>
    <t>MIPPA                              04/23 to 8/23</t>
  </si>
  <si>
    <t>NY Connects E&amp;EP         04/23 to 03/24</t>
  </si>
  <si>
    <t>HEALing Comm Study Impact $ ended March 2022 $127K</t>
  </si>
  <si>
    <t>HEALing Comm Study contract ended March 2023</t>
  </si>
  <si>
    <t>$10.4K from County for 2021 Yr</t>
  </si>
  <si>
    <t>Transportation Software Leases</t>
  </si>
  <si>
    <t>OFA: MIPPA</t>
  </si>
  <si>
    <t>Greene County -Dept of Human Services</t>
  </si>
  <si>
    <t xml:space="preserve">Tobacco Free Communities Grant - Yr#5 of 5 </t>
  </si>
  <si>
    <t>Balance as of 01/01/2023</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</si>
  <si>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</si>
  <si>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</si>
  <si>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</si>
  <si>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</si>
  <si>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</si>
  <si>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</si>
  <si>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</si>
  <si>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</si>
  <si>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</si>
  <si>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</si>
  <si>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</si>
  <si>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</si>
  <si>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</si>
  <si>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</si>
  <si>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</si>
  <si>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</si>
  <si>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</si>
  <si>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</si>
  <si>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</si>
  <si>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</si>
  <si>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</si>
  <si>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NYSDOH 08/23 to 07/24 - Year#5 of 5</t>
  </si>
  <si>
    <t>CMH - Comm Heath Plan 1st Qtr 2023</t>
  </si>
  <si>
    <t>In Person Assistors &amp; Navigators-Yr#5 of 6</t>
  </si>
  <si>
    <t>In Person Assistors &amp; Navigators- Yr#4 of 6</t>
  </si>
  <si>
    <t xml:space="preserve">Transportation Fundraiser </t>
  </si>
  <si>
    <t>Fundraising Event</t>
  </si>
  <si>
    <t>Fundraising Event-Net</t>
  </si>
  <si>
    <t>Intelligent Technology Solutions,Inc</t>
  </si>
  <si>
    <t>Dell Al-In-One Computer</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</si>
  <si>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</si>
  <si>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</si>
  <si>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</si>
  <si>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</si>
  <si>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</si>
  <si>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</si>
  <si>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</si>
  <si>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</si>
  <si>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</si>
  <si>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</si>
  <si>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</si>
  <si>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</si>
  <si>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October</t>
  </si>
  <si>
    <t>RHN Program - 3rd Quarter 2023 Voucher</t>
  </si>
  <si>
    <t>Rural Health Network - 3rd Qrt Voucher</t>
  </si>
  <si>
    <t>Tobacco Yr#5 - Sept 2023 Voucher</t>
  </si>
  <si>
    <r>
      <t>Transportation Services (2024)</t>
    </r>
    <r>
      <rPr>
        <b/>
        <sz val="11"/>
        <color rgb="FFFF0000"/>
        <rFont val="Arial"/>
        <family val="2"/>
      </rPr>
      <t xml:space="preserve"> </t>
    </r>
  </si>
  <si>
    <t>The Home of the Aged (New, $50K for 2023 &amp; 2024 Years)  (CARTS)</t>
  </si>
  <si>
    <t>Rural Health Network Program- Yr#5 of 6</t>
  </si>
  <si>
    <t xml:space="preserve">General Operating Support  (36-Months) </t>
  </si>
  <si>
    <t>October'23 vs.'22</t>
  </si>
  <si>
    <t>Ten Months Ended October 31, 2023 and 2022</t>
  </si>
  <si>
    <t>Employment consult</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</si>
  <si>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</si>
  <si>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</si>
  <si>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</si>
  <si>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</si>
  <si>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</si>
  <si>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</si>
  <si>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</si>
  <si>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</si>
  <si>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</si>
  <si>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</si>
  <si>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</si>
  <si>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</si>
  <si>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Grants Receivable Aging Summary as of December 31, 2023</t>
  </si>
  <si>
    <t>December</t>
  </si>
  <si>
    <t>Payments Received After December 31, 2023</t>
  </si>
  <si>
    <t>Total AR Payments Received After December 31, 2023</t>
  </si>
  <si>
    <t>November</t>
  </si>
  <si>
    <t>OFA: Senior Transportation - November 2023 Voucher</t>
  </si>
  <si>
    <t>OFA:NY Connects  - November 2023 Voucher</t>
  </si>
  <si>
    <t>Tobacco Yr#4 - November 2023 Voucher</t>
  </si>
  <si>
    <t>Tobacco Program - November 2023 Voucher</t>
  </si>
  <si>
    <t>Navigator Program - November 2023 Voucher</t>
  </si>
  <si>
    <t>Navigator Program - October 2022 Voucher</t>
  </si>
  <si>
    <t>Tobacco  - October 2022 Voucher</t>
  </si>
  <si>
    <t>OFA: NY Connects - April - October 2023 Vouchers</t>
  </si>
  <si>
    <t>Tobacco Yr#4 - October 2023 Voucher</t>
  </si>
  <si>
    <t>Navigator Yr#4-October 2023 Voucher</t>
  </si>
  <si>
    <t>Sept &amp; Older</t>
  </si>
  <si>
    <t>Navigator Program - Sept 2023 Voucher</t>
  </si>
  <si>
    <t>Tobacco  Program - Sept 2023 Voucher</t>
  </si>
  <si>
    <t>NYSARH 04/23 to 3/24 - $15,310</t>
  </si>
  <si>
    <t>Foundation for Community Health-  Rx Grant</t>
  </si>
  <si>
    <t>Greene County Public Health &amp; Others</t>
  </si>
  <si>
    <t>Others - Transportaion Fundraiser</t>
  </si>
  <si>
    <t>Others - COBRA</t>
  </si>
  <si>
    <t>Grants Receivable at 12/31/2023</t>
  </si>
  <si>
    <t>Tobacco  Program - November 2023 Voucher</t>
  </si>
  <si>
    <t>December 31st AR Balance at January 22, 2024</t>
  </si>
  <si>
    <t>Fundraiser - 5310 Match Campaign</t>
  </si>
  <si>
    <t>Dyson Foundation - 2024 General Support #1 of 3</t>
  </si>
  <si>
    <t>Mother Cabrini Health Foundation - 2024 CARTS Grant</t>
  </si>
  <si>
    <t>As of December 31, 2023</t>
  </si>
  <si>
    <t xml:space="preserve">Rural Health Network Program- Yr#6 of 6 </t>
  </si>
  <si>
    <r>
      <t xml:space="preserve">NYS Assocaition for Rural Health </t>
    </r>
    <r>
      <rPr>
        <b/>
        <sz val="11"/>
        <color rgb="FFFF0000"/>
        <rFont val="Arial"/>
        <family val="2"/>
      </rPr>
      <t>(NEW)</t>
    </r>
  </si>
  <si>
    <t>Legislative Grant</t>
  </si>
  <si>
    <r>
      <t xml:space="preserve">Senior Transportation Services - 2024 </t>
    </r>
    <r>
      <rPr>
        <b/>
        <sz val="11"/>
        <color rgb="FFFF0000"/>
        <rFont val="Arial"/>
        <family val="2"/>
      </rPr>
      <t>(NEW)</t>
    </r>
  </si>
  <si>
    <r>
      <t>Medicare Improvements-Patients &amp; Providers (MIPPA)</t>
    </r>
    <r>
      <rPr>
        <b/>
        <sz val="10"/>
        <color rgb="FFFF0000"/>
        <rFont val="Arial"/>
        <family val="2"/>
      </rPr>
      <t xml:space="preserve"> (NEW)</t>
    </r>
  </si>
  <si>
    <r>
      <t>Transportation Services</t>
    </r>
    <r>
      <rPr>
        <b/>
        <sz val="11"/>
        <color rgb="FFFF0000"/>
        <rFont val="Arial"/>
        <family val="2"/>
      </rPr>
      <t xml:space="preserve"> (NEW)</t>
    </r>
  </si>
  <si>
    <r>
      <t xml:space="preserve">Ancram/Copake Prescription Access (2024) </t>
    </r>
    <r>
      <rPr>
        <b/>
        <sz val="11"/>
        <color rgb="FFFF0000"/>
        <rFont val="Arial"/>
        <family val="2"/>
      </rPr>
      <t xml:space="preserve">(NEW) </t>
    </r>
  </si>
  <si>
    <t>Mother Cabrini Health Foundation</t>
  </si>
  <si>
    <r>
      <t xml:space="preserve">Transportation Services (2024)  </t>
    </r>
    <r>
      <rPr>
        <b/>
        <sz val="11"/>
        <color rgb="FFFF0000"/>
        <rFont val="Arial"/>
        <family val="2"/>
      </rPr>
      <t xml:space="preserve"> (NEW)</t>
    </r>
  </si>
  <si>
    <t>Columbia County BOS 2024 Budget Appropriation</t>
  </si>
  <si>
    <t>Columbia County Departments 2024 Donations (CARTS)</t>
  </si>
  <si>
    <r>
      <t xml:space="preserve">County Government - 2024 </t>
    </r>
    <r>
      <rPr>
        <b/>
        <sz val="11"/>
        <color rgb="FFFF0000"/>
        <rFont val="Arial"/>
        <family val="2"/>
      </rPr>
      <t>(NEW)</t>
    </r>
  </si>
  <si>
    <t xml:space="preserve">County Departments - 2023 </t>
  </si>
  <si>
    <r>
      <t xml:space="preserve">County Departments - 2024 </t>
    </r>
    <r>
      <rPr>
        <b/>
        <sz val="11"/>
        <color rgb="FFFF0000"/>
        <rFont val="Arial"/>
        <family val="2"/>
      </rPr>
      <t>(NEW)</t>
    </r>
  </si>
  <si>
    <t>Fundraiser - Annual Reconciliation Event</t>
  </si>
  <si>
    <t>Fundraiser - 5310 Match Campaign for New Van</t>
  </si>
  <si>
    <t xml:space="preserve">Fundraiser - 5310 Match Campaign for New Van </t>
  </si>
  <si>
    <t>For the Years Ended December 31, 2023 &amp; 2022</t>
  </si>
  <si>
    <t>December'23 vs.'22</t>
  </si>
  <si>
    <t>$38K decrease Tobacco, $32K decrease in Navigator $29K decrease NYSARH</t>
  </si>
  <si>
    <t>New for the 2023 year</t>
  </si>
  <si>
    <t>New $50K from The Home of the Aged</t>
  </si>
  <si>
    <t>Program Director &amp; Assistant down $110K, Drivers up $23K</t>
  </si>
  <si>
    <t>$20K decrease in health insurance,$4K decrease in FICA</t>
  </si>
  <si>
    <t>Timing of billings</t>
  </si>
  <si>
    <t>$4K for new router &amp; firewall</t>
  </si>
  <si>
    <r>
      <t>è</t>
    </r>
    <r>
      <rPr>
        <b/>
        <sz val="12"/>
        <color theme="1"/>
        <rFont val="Times New Roman"/>
        <family val="1"/>
      </rPr>
      <t xml:space="preserve"> Cash</t>
    </r>
    <r>
      <rPr>
        <sz val="12"/>
        <color theme="1"/>
        <rFont val="Calibri"/>
        <family val="2"/>
      </rPr>
      <t xml:space="preserve"> -  Cash balance in the operating checking account started the 2023 year off with $432K and ended in the month of December 2023 with $662K. The low cash balance on February 02, 2023, was $260K &amp; and the high cash balance on December 31, 2023, was $662K. The average daily balance for the 2023 &amp; 2022 years were $411K and $336K,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</si>
  <si>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2023, our Grant Receivable is $267K. We expect to collect on all receivables.  </t>
    </r>
  </si>
  <si>
    <t>Total Grant Receivable - December 2023</t>
  </si>
  <si>
    <r>
      <t>è</t>
    </r>
    <r>
      <rPr>
        <b/>
        <sz val="12"/>
        <color theme="1"/>
        <rFont val="Times New Roman"/>
        <family val="1"/>
      </rPr>
      <t xml:space="preserve"> Investment - North Country Financial Group </t>
    </r>
    <r>
      <rPr>
        <sz val="12"/>
        <color theme="1"/>
        <rFont val="Calibri"/>
        <family val="2"/>
      </rPr>
      <t xml:space="preserve"> - As of December 31, 2023, the investment account value is $434K. Initial investment during the month of March 2016 was $152K. The change in value for the 2023 year is an increase of $48.5K. </t>
    </r>
  </si>
  <si>
    <r>
      <t>è</t>
    </r>
    <r>
      <rPr>
        <b/>
        <sz val="12"/>
        <color theme="1"/>
        <rFont val="Times New Roman"/>
        <family val="1"/>
      </rPr>
      <t xml:space="preserve">Accounts Payable - </t>
    </r>
    <r>
      <rPr>
        <sz val="12"/>
        <color theme="1"/>
        <rFont val="Calibri"/>
        <family val="2"/>
        <scheme val="minor"/>
      </rPr>
      <t xml:space="preserve">At December 31, 2023, accounts payable liability is $10K. All accounts payable liability is being paid timely within 28 days. </t>
    </r>
  </si>
  <si>
    <t>Ending Balance at Dec 31, 2023</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</si>
  <si>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December 31, 2023,</t>
    </r>
  </si>
  <si>
    <t>2023 &amp; 2024 Operating Support</t>
  </si>
  <si>
    <t>2024 Transportation Support</t>
  </si>
  <si>
    <r>
      <t xml:space="preserve">Mother Cabrini </t>
    </r>
    <r>
      <rPr>
        <b/>
        <sz val="12"/>
        <color rgb="FFFF0000"/>
        <rFont val="Times New Roman"/>
        <family val="1"/>
      </rPr>
      <t>(New)</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</si>
  <si>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December 31, 2023: </t>
    </r>
  </si>
  <si>
    <r>
      <t>Fundraiser for 5310 Wheelchair</t>
    </r>
    <r>
      <rPr>
        <b/>
        <sz val="10"/>
        <color rgb="FFFF0000"/>
        <rFont val="Times New Roman"/>
        <family val="1"/>
      </rPr>
      <t xml:space="preserve"> (NEWish)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</si>
</sst>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
      <b/>
      <sz val="12"/>
      <color rgb="FFFF0000"/>
      <name val="Times New Roman"/>
      <family val="1"/>
    </font>
    <font>
      <b/>
      <sz val="10"/>
      <color rgb="FFFF0000"/>
      <name val="Times New Roman"/>
      <family val="1"/>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53">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49" fontId="22" fillId="11" borderId="0" xfId="0" applyNumberFormat="1" applyFont="1" applyFill="1" applyAlignment="1">
      <alignment horizontal="left"/>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2" fillId="11"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18" xfId="0" applyNumberForma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21" fillId="13" borderId="32" xfId="0" applyNumberFormat="1" applyFont="1" applyFill="1" applyBorder="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6" fontId="7" fillId="13" borderId="38" xfId="1" applyNumberFormat="1" applyFont="1" applyFill="1" applyBorder="1" applyAlignment="1">
      <alignment horizontal="right"/>
    </xf>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1" xfId="0" applyNumberFormat="1" applyFont="1" applyFill="1" applyBorder="1"/>
    <xf numFmtId="42" fontId="6" fillId="3" borderId="52"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3" xfId="0"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Border="1"/>
    <xf numFmtId="41" fontId="0" fillId="0" borderId="57"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6"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41" fontId="22" fillId="5" borderId="1" xfId="0" applyNumberFormat="1" applyFont="1" applyFill="1" applyBorder="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2" fontId="37" fillId="0" borderId="0" xfId="0" applyNumberFormat="1" applyFont="1" applyAlignment="1">
      <alignment horizontal="left" vertical="top" wrapText="1"/>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8"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1" fontId="0" fillId="0" borderId="27" xfId="1" applyNumberFormat="1" applyFont="1" applyFill="1" applyBorder="1" applyAlignment="1"/>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9" xfId="0" applyNumberFormat="1" applyFont="1" applyFill="1" applyBorder="1"/>
    <xf numFmtId="42" fontId="6" fillId="3" borderId="44" xfId="0" applyNumberFormat="1" applyFont="1" applyFill="1" applyBorder="1"/>
    <xf numFmtId="42" fontId="0" fillId="0" borderId="8" xfId="0" applyNumberFormat="1" applyBorder="1" applyAlignment="1">
      <alignment horizontal="left" vertical="top" wrapText="1"/>
    </xf>
    <xf numFmtId="42" fontId="0" fillId="0" borderId="0" xfId="0" applyNumberFormat="1" applyAlignment="1">
      <alignment horizontal="left" vertical="top" wrapText="1"/>
    </xf>
    <xf numFmtId="6" fontId="21" fillId="9" borderId="69" xfId="1" applyNumberFormat="1" applyFont="1" applyFill="1" applyBorder="1" applyAlignment="1">
      <alignment horizontal="right"/>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10" fontId="27" fillId="0" borderId="0" xfId="0" applyNumberFormat="1" applyFont="1" applyAlignment="1">
      <alignment vertical="center"/>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6"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71"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8"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2" xfId="1" applyNumberFormat="1" applyFont="1" applyFill="1" applyBorder="1" applyAlignment="1"/>
    <xf numFmtId="41" fontId="0" fillId="0" borderId="48" xfId="1" applyNumberFormat="1" applyFont="1" applyFill="1" applyBorder="1" applyAlignment="1">
      <alignment horizontal="center"/>
    </xf>
    <xf numFmtId="41" fontId="0" fillId="0" borderId="58"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8"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2"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38" fillId="0" borderId="0" xfId="0" applyFont="1" applyAlignment="1">
      <alignment horizontal="right"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right" vertical="center" wrapText="1"/>
    </xf>
    <xf numFmtId="0" fontId="37" fillId="0" borderId="0" xfId="0" applyFont="1" applyAlignment="1">
      <alignment horizontal="left" vertical="top" wrapText="1"/>
    </xf>
    <xf numFmtId="0" fontId="41" fillId="0" borderId="0" xfId="0" applyFont="1" applyAlignment="1">
      <alignment horizontal="center" vertical="center" wrapText="1"/>
    </xf>
    <xf numFmtId="0" fontId="38" fillId="0" borderId="0" xfId="0" applyFont="1" applyAlignment="1">
      <alignment horizontal="left" vertical="center" wrapText="1" indent="2"/>
    </xf>
    <xf numFmtId="0" fontId="38" fillId="0" borderId="0" xfId="0" applyFont="1" applyAlignment="1">
      <alignment horizontal="center" vertical="center" wrapText="1"/>
    </xf>
    <xf numFmtId="0" fontId="37" fillId="0" borderId="0" xfId="0" applyFont="1" applyAlignment="1">
      <alignment horizontal="left"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37" fillId="0" borderId="0" xfId="0" applyFont="1" applyAlignment="1">
      <alignment horizontal="left" wrapText="1"/>
    </xf>
    <xf numFmtId="0" fontId="53" fillId="0" borderId="11"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center" vertical="center" wrapText="1"/>
    </xf>
    <xf numFmtId="17" fontId="0" fillId="0" borderId="2" xfId="0" applyNumberFormat="1" applyBorder="1" applyAlignment="1">
      <alignment horizontal="left" vertical="center"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11" xfId="0" applyBorder="1" applyAlignment="1">
      <alignment horizontal="left" vertical="center" wrapText="1"/>
    </xf>
    <xf numFmtId="0" fontId="0" fillId="0" borderId="11" xfId="0" applyBorder="1" applyAlignment="1">
      <alignment horizontal="left" vertical="center"/>
    </xf>
    <xf numFmtId="0" fontId="63" fillId="0" borderId="0" xfId="0" applyFont="1" applyAlignment="1">
      <alignment horizontal="left" vertical="center" wrapText="1"/>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51"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Data!$A$1570:$A$2103</c:f>
              <c:numCache>
                <c:formatCode>[$-F800]dddd\,\ mmmm\ dd\,\ yyyy</c:formatCode>
                <c:ptCount val="534"/>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pt idx="312">
                  <c:v>44986</c:v>
                </c:pt>
                <c:pt idx="313">
                  <c:v>44987</c:v>
                </c:pt>
                <c:pt idx="314">
                  <c:v>44988</c:v>
                </c:pt>
                <c:pt idx="315">
                  <c:v>44991</c:v>
                </c:pt>
                <c:pt idx="316">
                  <c:v>44992</c:v>
                </c:pt>
                <c:pt idx="317">
                  <c:v>44993</c:v>
                </c:pt>
                <c:pt idx="318">
                  <c:v>44994</c:v>
                </c:pt>
                <c:pt idx="319">
                  <c:v>44995</c:v>
                </c:pt>
                <c:pt idx="320">
                  <c:v>44998</c:v>
                </c:pt>
                <c:pt idx="321">
                  <c:v>44999</c:v>
                </c:pt>
                <c:pt idx="322">
                  <c:v>45000</c:v>
                </c:pt>
                <c:pt idx="323">
                  <c:v>45001</c:v>
                </c:pt>
                <c:pt idx="324">
                  <c:v>45002</c:v>
                </c:pt>
                <c:pt idx="325">
                  <c:v>45005</c:v>
                </c:pt>
                <c:pt idx="326">
                  <c:v>45006</c:v>
                </c:pt>
                <c:pt idx="327">
                  <c:v>45007</c:v>
                </c:pt>
                <c:pt idx="328">
                  <c:v>45008</c:v>
                </c:pt>
                <c:pt idx="329">
                  <c:v>45009</c:v>
                </c:pt>
                <c:pt idx="330">
                  <c:v>45012</c:v>
                </c:pt>
                <c:pt idx="331">
                  <c:v>45013</c:v>
                </c:pt>
                <c:pt idx="332">
                  <c:v>45014</c:v>
                </c:pt>
                <c:pt idx="333">
                  <c:v>45015</c:v>
                </c:pt>
                <c:pt idx="334">
                  <c:v>45016</c:v>
                </c:pt>
                <c:pt idx="335">
                  <c:v>45019</c:v>
                </c:pt>
                <c:pt idx="336">
                  <c:v>45020</c:v>
                </c:pt>
                <c:pt idx="337">
                  <c:v>45021</c:v>
                </c:pt>
                <c:pt idx="338">
                  <c:v>45022</c:v>
                </c:pt>
                <c:pt idx="339">
                  <c:v>45023</c:v>
                </c:pt>
                <c:pt idx="340">
                  <c:v>45026</c:v>
                </c:pt>
                <c:pt idx="341">
                  <c:v>45027</c:v>
                </c:pt>
                <c:pt idx="342">
                  <c:v>45028</c:v>
                </c:pt>
                <c:pt idx="343">
                  <c:v>45029</c:v>
                </c:pt>
                <c:pt idx="344">
                  <c:v>45030</c:v>
                </c:pt>
                <c:pt idx="345">
                  <c:v>45033</c:v>
                </c:pt>
                <c:pt idx="346">
                  <c:v>45034</c:v>
                </c:pt>
                <c:pt idx="347">
                  <c:v>45035</c:v>
                </c:pt>
                <c:pt idx="348">
                  <c:v>45036</c:v>
                </c:pt>
                <c:pt idx="349">
                  <c:v>45037</c:v>
                </c:pt>
                <c:pt idx="350">
                  <c:v>45040</c:v>
                </c:pt>
                <c:pt idx="351">
                  <c:v>45041</c:v>
                </c:pt>
                <c:pt idx="352">
                  <c:v>45042</c:v>
                </c:pt>
                <c:pt idx="353">
                  <c:v>45043</c:v>
                </c:pt>
                <c:pt idx="354">
                  <c:v>45044</c:v>
                </c:pt>
                <c:pt idx="355">
                  <c:v>45047</c:v>
                </c:pt>
                <c:pt idx="356">
                  <c:v>45048</c:v>
                </c:pt>
                <c:pt idx="357">
                  <c:v>45049</c:v>
                </c:pt>
                <c:pt idx="358">
                  <c:v>45050</c:v>
                </c:pt>
                <c:pt idx="359">
                  <c:v>45051</c:v>
                </c:pt>
                <c:pt idx="360">
                  <c:v>45054</c:v>
                </c:pt>
                <c:pt idx="361">
                  <c:v>45055</c:v>
                </c:pt>
                <c:pt idx="362">
                  <c:v>45056</c:v>
                </c:pt>
                <c:pt idx="363">
                  <c:v>45057</c:v>
                </c:pt>
                <c:pt idx="364">
                  <c:v>45058</c:v>
                </c:pt>
                <c:pt idx="365">
                  <c:v>45061</c:v>
                </c:pt>
                <c:pt idx="366">
                  <c:v>45062</c:v>
                </c:pt>
                <c:pt idx="367">
                  <c:v>45063</c:v>
                </c:pt>
                <c:pt idx="368">
                  <c:v>45064</c:v>
                </c:pt>
                <c:pt idx="369">
                  <c:v>45065</c:v>
                </c:pt>
                <c:pt idx="370">
                  <c:v>45068</c:v>
                </c:pt>
                <c:pt idx="371">
                  <c:v>45069</c:v>
                </c:pt>
                <c:pt idx="372">
                  <c:v>45070</c:v>
                </c:pt>
                <c:pt idx="373">
                  <c:v>45071</c:v>
                </c:pt>
                <c:pt idx="374">
                  <c:v>45072</c:v>
                </c:pt>
                <c:pt idx="375">
                  <c:v>45075</c:v>
                </c:pt>
                <c:pt idx="376">
                  <c:v>45076</c:v>
                </c:pt>
                <c:pt idx="377">
                  <c:v>45077</c:v>
                </c:pt>
                <c:pt idx="378">
                  <c:v>45078</c:v>
                </c:pt>
                <c:pt idx="379">
                  <c:v>45079</c:v>
                </c:pt>
                <c:pt idx="380">
                  <c:v>45082</c:v>
                </c:pt>
                <c:pt idx="381">
                  <c:v>45083</c:v>
                </c:pt>
                <c:pt idx="382">
                  <c:v>45084</c:v>
                </c:pt>
                <c:pt idx="383">
                  <c:v>45085</c:v>
                </c:pt>
                <c:pt idx="384">
                  <c:v>45086</c:v>
                </c:pt>
                <c:pt idx="385">
                  <c:v>45089</c:v>
                </c:pt>
                <c:pt idx="386">
                  <c:v>45090</c:v>
                </c:pt>
                <c:pt idx="387">
                  <c:v>45091</c:v>
                </c:pt>
                <c:pt idx="388">
                  <c:v>45092</c:v>
                </c:pt>
                <c:pt idx="389">
                  <c:v>45093</c:v>
                </c:pt>
                <c:pt idx="390">
                  <c:v>45096</c:v>
                </c:pt>
                <c:pt idx="391">
                  <c:v>45097</c:v>
                </c:pt>
                <c:pt idx="392">
                  <c:v>45098</c:v>
                </c:pt>
                <c:pt idx="393">
                  <c:v>45099</c:v>
                </c:pt>
                <c:pt idx="394">
                  <c:v>45100</c:v>
                </c:pt>
                <c:pt idx="395">
                  <c:v>45103</c:v>
                </c:pt>
                <c:pt idx="396">
                  <c:v>45104</c:v>
                </c:pt>
                <c:pt idx="397">
                  <c:v>45105</c:v>
                </c:pt>
                <c:pt idx="398">
                  <c:v>45106</c:v>
                </c:pt>
                <c:pt idx="399">
                  <c:v>45107</c:v>
                </c:pt>
                <c:pt idx="400">
                  <c:v>45110</c:v>
                </c:pt>
                <c:pt idx="401">
                  <c:v>45111</c:v>
                </c:pt>
                <c:pt idx="402">
                  <c:v>45112</c:v>
                </c:pt>
                <c:pt idx="403">
                  <c:v>45113</c:v>
                </c:pt>
                <c:pt idx="404">
                  <c:v>45114</c:v>
                </c:pt>
                <c:pt idx="405">
                  <c:v>45117</c:v>
                </c:pt>
                <c:pt idx="406">
                  <c:v>45118</c:v>
                </c:pt>
                <c:pt idx="407">
                  <c:v>45119</c:v>
                </c:pt>
                <c:pt idx="408">
                  <c:v>45120</c:v>
                </c:pt>
                <c:pt idx="409">
                  <c:v>45121</c:v>
                </c:pt>
                <c:pt idx="410">
                  <c:v>45124</c:v>
                </c:pt>
                <c:pt idx="411">
                  <c:v>45125</c:v>
                </c:pt>
                <c:pt idx="412">
                  <c:v>45126</c:v>
                </c:pt>
                <c:pt idx="413">
                  <c:v>45127</c:v>
                </c:pt>
                <c:pt idx="414">
                  <c:v>45128</c:v>
                </c:pt>
                <c:pt idx="415">
                  <c:v>45131</c:v>
                </c:pt>
                <c:pt idx="416">
                  <c:v>45132</c:v>
                </c:pt>
                <c:pt idx="417">
                  <c:v>45133</c:v>
                </c:pt>
                <c:pt idx="418">
                  <c:v>45134</c:v>
                </c:pt>
                <c:pt idx="419">
                  <c:v>45135</c:v>
                </c:pt>
                <c:pt idx="420">
                  <c:v>45138</c:v>
                </c:pt>
                <c:pt idx="421">
                  <c:v>45139</c:v>
                </c:pt>
                <c:pt idx="422">
                  <c:v>45140</c:v>
                </c:pt>
                <c:pt idx="423">
                  <c:v>45141</c:v>
                </c:pt>
                <c:pt idx="424">
                  <c:v>45142</c:v>
                </c:pt>
                <c:pt idx="425">
                  <c:v>45145</c:v>
                </c:pt>
                <c:pt idx="426">
                  <c:v>45146</c:v>
                </c:pt>
                <c:pt idx="427">
                  <c:v>45147</c:v>
                </c:pt>
                <c:pt idx="428">
                  <c:v>45148</c:v>
                </c:pt>
                <c:pt idx="429">
                  <c:v>45149</c:v>
                </c:pt>
                <c:pt idx="430">
                  <c:v>45152</c:v>
                </c:pt>
                <c:pt idx="431">
                  <c:v>45153</c:v>
                </c:pt>
                <c:pt idx="432">
                  <c:v>45154</c:v>
                </c:pt>
                <c:pt idx="433">
                  <c:v>45155</c:v>
                </c:pt>
                <c:pt idx="434">
                  <c:v>45156</c:v>
                </c:pt>
                <c:pt idx="435">
                  <c:v>45159</c:v>
                </c:pt>
                <c:pt idx="436">
                  <c:v>45160</c:v>
                </c:pt>
                <c:pt idx="437">
                  <c:v>45161</c:v>
                </c:pt>
                <c:pt idx="438">
                  <c:v>45162</c:v>
                </c:pt>
                <c:pt idx="439">
                  <c:v>45163</c:v>
                </c:pt>
                <c:pt idx="440">
                  <c:v>45164</c:v>
                </c:pt>
                <c:pt idx="441">
                  <c:v>45165</c:v>
                </c:pt>
                <c:pt idx="442">
                  <c:v>45166</c:v>
                </c:pt>
                <c:pt idx="443">
                  <c:v>45167</c:v>
                </c:pt>
                <c:pt idx="444">
                  <c:v>45168</c:v>
                </c:pt>
                <c:pt idx="445">
                  <c:v>45169</c:v>
                </c:pt>
                <c:pt idx="446">
                  <c:v>45170</c:v>
                </c:pt>
                <c:pt idx="447">
                  <c:v>45171</c:v>
                </c:pt>
                <c:pt idx="448">
                  <c:v>45172</c:v>
                </c:pt>
                <c:pt idx="449">
                  <c:v>45173</c:v>
                </c:pt>
                <c:pt idx="450">
                  <c:v>45174</c:v>
                </c:pt>
                <c:pt idx="451">
                  <c:v>45175</c:v>
                </c:pt>
                <c:pt idx="452">
                  <c:v>45176</c:v>
                </c:pt>
                <c:pt idx="453">
                  <c:v>45177</c:v>
                </c:pt>
                <c:pt idx="454">
                  <c:v>45180</c:v>
                </c:pt>
                <c:pt idx="455">
                  <c:v>45181</c:v>
                </c:pt>
                <c:pt idx="456">
                  <c:v>45182</c:v>
                </c:pt>
                <c:pt idx="457">
                  <c:v>45183</c:v>
                </c:pt>
                <c:pt idx="458">
                  <c:v>45184</c:v>
                </c:pt>
                <c:pt idx="459">
                  <c:v>45187</c:v>
                </c:pt>
                <c:pt idx="460">
                  <c:v>45188</c:v>
                </c:pt>
                <c:pt idx="461">
                  <c:v>45189</c:v>
                </c:pt>
                <c:pt idx="462">
                  <c:v>45190</c:v>
                </c:pt>
                <c:pt idx="463">
                  <c:v>45191</c:v>
                </c:pt>
                <c:pt idx="464">
                  <c:v>45194</c:v>
                </c:pt>
                <c:pt idx="465">
                  <c:v>45195</c:v>
                </c:pt>
                <c:pt idx="466">
                  <c:v>45196</c:v>
                </c:pt>
                <c:pt idx="467">
                  <c:v>45197</c:v>
                </c:pt>
                <c:pt idx="468">
                  <c:v>45198</c:v>
                </c:pt>
                <c:pt idx="469">
                  <c:v>45201</c:v>
                </c:pt>
                <c:pt idx="470">
                  <c:v>45202</c:v>
                </c:pt>
                <c:pt idx="471">
                  <c:v>45203</c:v>
                </c:pt>
                <c:pt idx="472">
                  <c:v>45204</c:v>
                </c:pt>
                <c:pt idx="473">
                  <c:v>45205</c:v>
                </c:pt>
                <c:pt idx="474">
                  <c:v>45208</c:v>
                </c:pt>
                <c:pt idx="475">
                  <c:v>45209</c:v>
                </c:pt>
                <c:pt idx="476">
                  <c:v>45210</c:v>
                </c:pt>
                <c:pt idx="477">
                  <c:v>45211</c:v>
                </c:pt>
                <c:pt idx="478">
                  <c:v>45212</c:v>
                </c:pt>
                <c:pt idx="479">
                  <c:v>45215</c:v>
                </c:pt>
                <c:pt idx="480">
                  <c:v>45216</c:v>
                </c:pt>
                <c:pt idx="481">
                  <c:v>45217</c:v>
                </c:pt>
                <c:pt idx="482">
                  <c:v>45218</c:v>
                </c:pt>
                <c:pt idx="483">
                  <c:v>45219</c:v>
                </c:pt>
                <c:pt idx="484">
                  <c:v>45222</c:v>
                </c:pt>
                <c:pt idx="485">
                  <c:v>45223</c:v>
                </c:pt>
                <c:pt idx="486">
                  <c:v>45224</c:v>
                </c:pt>
                <c:pt idx="487">
                  <c:v>45225</c:v>
                </c:pt>
                <c:pt idx="488">
                  <c:v>45226</c:v>
                </c:pt>
                <c:pt idx="489">
                  <c:v>45229</c:v>
                </c:pt>
                <c:pt idx="490">
                  <c:v>45230</c:v>
                </c:pt>
                <c:pt idx="491">
                  <c:v>45231</c:v>
                </c:pt>
                <c:pt idx="492">
                  <c:v>45232</c:v>
                </c:pt>
                <c:pt idx="493">
                  <c:v>45233</c:v>
                </c:pt>
                <c:pt idx="494">
                  <c:v>45236</c:v>
                </c:pt>
                <c:pt idx="495">
                  <c:v>45237</c:v>
                </c:pt>
                <c:pt idx="496">
                  <c:v>45238</c:v>
                </c:pt>
                <c:pt idx="497">
                  <c:v>45239</c:v>
                </c:pt>
                <c:pt idx="498">
                  <c:v>45240</c:v>
                </c:pt>
                <c:pt idx="499">
                  <c:v>45243</c:v>
                </c:pt>
                <c:pt idx="500">
                  <c:v>45244</c:v>
                </c:pt>
                <c:pt idx="501">
                  <c:v>45245</c:v>
                </c:pt>
                <c:pt idx="502">
                  <c:v>45246</c:v>
                </c:pt>
                <c:pt idx="503">
                  <c:v>45247</c:v>
                </c:pt>
                <c:pt idx="504">
                  <c:v>45250</c:v>
                </c:pt>
                <c:pt idx="505">
                  <c:v>45251</c:v>
                </c:pt>
                <c:pt idx="506">
                  <c:v>45252</c:v>
                </c:pt>
                <c:pt idx="507">
                  <c:v>45253</c:v>
                </c:pt>
                <c:pt idx="508">
                  <c:v>45254</c:v>
                </c:pt>
                <c:pt idx="509">
                  <c:v>45257</c:v>
                </c:pt>
                <c:pt idx="510">
                  <c:v>45258</c:v>
                </c:pt>
                <c:pt idx="511">
                  <c:v>45259</c:v>
                </c:pt>
                <c:pt idx="512">
                  <c:v>45260</c:v>
                </c:pt>
                <c:pt idx="513">
                  <c:v>45261</c:v>
                </c:pt>
                <c:pt idx="514">
                  <c:v>45264</c:v>
                </c:pt>
                <c:pt idx="515">
                  <c:v>45265</c:v>
                </c:pt>
                <c:pt idx="516">
                  <c:v>45266</c:v>
                </c:pt>
                <c:pt idx="517">
                  <c:v>45267</c:v>
                </c:pt>
                <c:pt idx="518">
                  <c:v>45268</c:v>
                </c:pt>
                <c:pt idx="519">
                  <c:v>45271</c:v>
                </c:pt>
                <c:pt idx="520">
                  <c:v>45272</c:v>
                </c:pt>
                <c:pt idx="521">
                  <c:v>45273</c:v>
                </c:pt>
                <c:pt idx="522">
                  <c:v>45274</c:v>
                </c:pt>
                <c:pt idx="523">
                  <c:v>45275</c:v>
                </c:pt>
                <c:pt idx="524">
                  <c:v>45278</c:v>
                </c:pt>
                <c:pt idx="525">
                  <c:v>45279</c:v>
                </c:pt>
                <c:pt idx="526">
                  <c:v>45280</c:v>
                </c:pt>
                <c:pt idx="527">
                  <c:v>45281</c:v>
                </c:pt>
                <c:pt idx="528">
                  <c:v>45282</c:v>
                </c:pt>
                <c:pt idx="529">
                  <c:v>45285</c:v>
                </c:pt>
                <c:pt idx="530">
                  <c:v>45286</c:v>
                </c:pt>
                <c:pt idx="531">
                  <c:v>45287</c:v>
                </c:pt>
                <c:pt idx="532">
                  <c:v>45288</c:v>
                </c:pt>
                <c:pt idx="533">
                  <c:v>45289</c:v>
                </c:pt>
              </c:numCache>
            </c:numRef>
          </c:cat>
          <c:val>
            <c:numRef>
              <c:f>Data!$B$1570:$B$2103</c:f>
              <c:numCache>
                <c:formatCode>#,##0_);[Red]\(#,##0\)</c:formatCode>
                <c:ptCount val="534"/>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320810.26</c:v>
                </c:pt>
                <c:pt idx="307">
                  <c:v>320810.26</c:v>
                </c:pt>
                <c:pt idx="308">
                  <c:v>341705.89</c:v>
                </c:pt>
                <c:pt idx="309">
                  <c:v>341754.4</c:v>
                </c:pt>
                <c:pt idx="310">
                  <c:v>330670.37</c:v>
                </c:pt>
                <c:pt idx="311">
                  <c:v>338045.7</c:v>
                </c:pt>
                <c:pt idx="312">
                  <c:v>338604.7</c:v>
                </c:pt>
                <c:pt idx="313">
                  <c:v>329491.15000000002</c:v>
                </c:pt>
                <c:pt idx="314">
                  <c:v>329106.55</c:v>
                </c:pt>
                <c:pt idx="315">
                  <c:v>329106.55</c:v>
                </c:pt>
                <c:pt idx="316">
                  <c:v>366692.56</c:v>
                </c:pt>
                <c:pt idx="317">
                  <c:v>368956.85</c:v>
                </c:pt>
                <c:pt idx="318">
                  <c:v>390880.67</c:v>
                </c:pt>
                <c:pt idx="319">
                  <c:v>414120.74</c:v>
                </c:pt>
                <c:pt idx="320">
                  <c:v>424130.52</c:v>
                </c:pt>
                <c:pt idx="321">
                  <c:v>424130.52</c:v>
                </c:pt>
                <c:pt idx="322">
                  <c:v>424163.34</c:v>
                </c:pt>
                <c:pt idx="323">
                  <c:v>422350.37</c:v>
                </c:pt>
                <c:pt idx="324">
                  <c:v>421965.77</c:v>
                </c:pt>
                <c:pt idx="325">
                  <c:v>419047.88</c:v>
                </c:pt>
                <c:pt idx="326">
                  <c:v>425165.2</c:v>
                </c:pt>
                <c:pt idx="327">
                  <c:v>415468.61</c:v>
                </c:pt>
                <c:pt idx="328">
                  <c:v>444345.89</c:v>
                </c:pt>
                <c:pt idx="329">
                  <c:v>444345.89</c:v>
                </c:pt>
                <c:pt idx="330">
                  <c:v>472758.17</c:v>
                </c:pt>
                <c:pt idx="331">
                  <c:v>431931.97</c:v>
                </c:pt>
                <c:pt idx="332">
                  <c:v>435079.42</c:v>
                </c:pt>
                <c:pt idx="333">
                  <c:v>424040.9</c:v>
                </c:pt>
                <c:pt idx="334">
                  <c:v>449683.31</c:v>
                </c:pt>
                <c:pt idx="335">
                  <c:v>449683.31</c:v>
                </c:pt>
                <c:pt idx="336">
                  <c:v>449683.31</c:v>
                </c:pt>
                <c:pt idx="337">
                  <c:v>449683.31</c:v>
                </c:pt>
                <c:pt idx="338">
                  <c:v>425038.75</c:v>
                </c:pt>
                <c:pt idx="339">
                  <c:v>425038.75</c:v>
                </c:pt>
                <c:pt idx="340">
                  <c:v>381899.02</c:v>
                </c:pt>
                <c:pt idx="341">
                  <c:v>403291.29</c:v>
                </c:pt>
                <c:pt idx="342">
                  <c:v>398523.39</c:v>
                </c:pt>
                <c:pt idx="343">
                  <c:v>405256.29</c:v>
                </c:pt>
                <c:pt idx="344">
                  <c:v>404915.18</c:v>
                </c:pt>
                <c:pt idx="345">
                  <c:v>403828.39</c:v>
                </c:pt>
                <c:pt idx="346">
                  <c:v>403828.39</c:v>
                </c:pt>
                <c:pt idx="347">
                  <c:v>434721.04</c:v>
                </c:pt>
                <c:pt idx="348">
                  <c:v>421127.98</c:v>
                </c:pt>
                <c:pt idx="349">
                  <c:v>420969.13</c:v>
                </c:pt>
                <c:pt idx="350">
                  <c:v>420969.13</c:v>
                </c:pt>
                <c:pt idx="351">
                  <c:v>379345</c:v>
                </c:pt>
                <c:pt idx="352">
                  <c:v>379345</c:v>
                </c:pt>
                <c:pt idx="353">
                  <c:v>379345</c:v>
                </c:pt>
                <c:pt idx="354">
                  <c:v>402733.09</c:v>
                </c:pt>
                <c:pt idx="355">
                  <c:v>403316.09</c:v>
                </c:pt>
                <c:pt idx="356">
                  <c:v>403316.09</c:v>
                </c:pt>
                <c:pt idx="357">
                  <c:v>385876.12</c:v>
                </c:pt>
                <c:pt idx="358">
                  <c:v>351812.45</c:v>
                </c:pt>
                <c:pt idx="359">
                  <c:v>351812.45</c:v>
                </c:pt>
                <c:pt idx="360">
                  <c:v>368195.43</c:v>
                </c:pt>
                <c:pt idx="361">
                  <c:v>368195.43</c:v>
                </c:pt>
                <c:pt idx="362">
                  <c:v>368195.43</c:v>
                </c:pt>
                <c:pt idx="363">
                  <c:v>368195.43</c:v>
                </c:pt>
                <c:pt idx="364">
                  <c:v>367810.83</c:v>
                </c:pt>
                <c:pt idx="365">
                  <c:v>367851.39</c:v>
                </c:pt>
                <c:pt idx="366">
                  <c:v>367851.39</c:v>
                </c:pt>
                <c:pt idx="367">
                  <c:v>367851.39</c:v>
                </c:pt>
                <c:pt idx="368">
                  <c:v>356642.57</c:v>
                </c:pt>
                <c:pt idx="369">
                  <c:v>356642.57</c:v>
                </c:pt>
                <c:pt idx="370">
                  <c:v>308974.21000000002</c:v>
                </c:pt>
                <c:pt idx="371">
                  <c:v>338753.05</c:v>
                </c:pt>
                <c:pt idx="372">
                  <c:v>391263.14</c:v>
                </c:pt>
                <c:pt idx="373">
                  <c:v>391263.14</c:v>
                </c:pt>
                <c:pt idx="374">
                  <c:v>449119.47</c:v>
                </c:pt>
                <c:pt idx="375">
                  <c:v>449119.47</c:v>
                </c:pt>
                <c:pt idx="376">
                  <c:v>448869.47</c:v>
                </c:pt>
                <c:pt idx="377">
                  <c:v>448869.47</c:v>
                </c:pt>
                <c:pt idx="378">
                  <c:v>438853.17</c:v>
                </c:pt>
                <c:pt idx="379">
                  <c:v>439117.17</c:v>
                </c:pt>
                <c:pt idx="380">
                  <c:v>407163.47</c:v>
                </c:pt>
                <c:pt idx="381">
                  <c:v>415855.1</c:v>
                </c:pt>
                <c:pt idx="382">
                  <c:v>415855.1</c:v>
                </c:pt>
                <c:pt idx="383">
                  <c:v>412361.18</c:v>
                </c:pt>
                <c:pt idx="384">
                  <c:v>411976.58</c:v>
                </c:pt>
                <c:pt idx="385">
                  <c:v>412491.58</c:v>
                </c:pt>
                <c:pt idx="386">
                  <c:v>412491.58</c:v>
                </c:pt>
                <c:pt idx="387">
                  <c:v>412491.58</c:v>
                </c:pt>
                <c:pt idx="388">
                  <c:v>421884.75</c:v>
                </c:pt>
                <c:pt idx="389">
                  <c:v>421884.75</c:v>
                </c:pt>
                <c:pt idx="390">
                  <c:v>422030.75</c:v>
                </c:pt>
                <c:pt idx="391">
                  <c:v>384440.18</c:v>
                </c:pt>
                <c:pt idx="392">
                  <c:v>383701.41</c:v>
                </c:pt>
                <c:pt idx="393">
                  <c:v>384859.49</c:v>
                </c:pt>
                <c:pt idx="394">
                  <c:v>412308.62</c:v>
                </c:pt>
                <c:pt idx="395">
                  <c:v>412308.62</c:v>
                </c:pt>
                <c:pt idx="396">
                  <c:v>412282.92</c:v>
                </c:pt>
                <c:pt idx="397">
                  <c:v>402422.58</c:v>
                </c:pt>
                <c:pt idx="398">
                  <c:v>402266.7</c:v>
                </c:pt>
                <c:pt idx="399">
                  <c:v>407981.99</c:v>
                </c:pt>
                <c:pt idx="400">
                  <c:v>373219.37</c:v>
                </c:pt>
                <c:pt idx="401">
                  <c:v>373219.37</c:v>
                </c:pt>
                <c:pt idx="402">
                  <c:v>373219.37</c:v>
                </c:pt>
                <c:pt idx="403">
                  <c:v>376696.27</c:v>
                </c:pt>
                <c:pt idx="404">
                  <c:v>376906.67</c:v>
                </c:pt>
                <c:pt idx="405">
                  <c:v>377111.67</c:v>
                </c:pt>
                <c:pt idx="406">
                  <c:v>378617.91</c:v>
                </c:pt>
                <c:pt idx="407">
                  <c:v>378999.91</c:v>
                </c:pt>
                <c:pt idx="408">
                  <c:v>399013.52</c:v>
                </c:pt>
                <c:pt idx="409">
                  <c:v>399052</c:v>
                </c:pt>
                <c:pt idx="410">
                  <c:v>398802</c:v>
                </c:pt>
                <c:pt idx="411">
                  <c:v>415884.95</c:v>
                </c:pt>
                <c:pt idx="412">
                  <c:v>416084.95</c:v>
                </c:pt>
                <c:pt idx="413">
                  <c:v>409180.98</c:v>
                </c:pt>
                <c:pt idx="414">
                  <c:v>411006.01</c:v>
                </c:pt>
                <c:pt idx="415">
                  <c:v>411445.54</c:v>
                </c:pt>
                <c:pt idx="416">
                  <c:v>412425.15</c:v>
                </c:pt>
                <c:pt idx="417">
                  <c:v>412425.15</c:v>
                </c:pt>
                <c:pt idx="418">
                  <c:v>387088.04</c:v>
                </c:pt>
                <c:pt idx="419">
                  <c:v>405857.22</c:v>
                </c:pt>
                <c:pt idx="420">
                  <c:v>404076.54</c:v>
                </c:pt>
                <c:pt idx="421">
                  <c:v>390920.58</c:v>
                </c:pt>
                <c:pt idx="422">
                  <c:v>390920.58</c:v>
                </c:pt>
                <c:pt idx="423">
                  <c:v>386738.53</c:v>
                </c:pt>
                <c:pt idx="424">
                  <c:v>384493.66</c:v>
                </c:pt>
                <c:pt idx="425">
                  <c:v>385493.66</c:v>
                </c:pt>
                <c:pt idx="426">
                  <c:v>385493.66</c:v>
                </c:pt>
                <c:pt idx="427">
                  <c:v>385493.66</c:v>
                </c:pt>
                <c:pt idx="428">
                  <c:v>385493.66</c:v>
                </c:pt>
                <c:pt idx="429">
                  <c:v>386021.66</c:v>
                </c:pt>
                <c:pt idx="430">
                  <c:v>406742.83</c:v>
                </c:pt>
                <c:pt idx="431">
                  <c:v>370565.1</c:v>
                </c:pt>
                <c:pt idx="432">
                  <c:v>370565.1</c:v>
                </c:pt>
                <c:pt idx="433">
                  <c:v>396789.54</c:v>
                </c:pt>
                <c:pt idx="434">
                  <c:v>396404.94</c:v>
                </c:pt>
                <c:pt idx="435">
                  <c:v>394335.05</c:v>
                </c:pt>
                <c:pt idx="436">
                  <c:v>394335.05</c:v>
                </c:pt>
                <c:pt idx="437">
                  <c:v>394359.06</c:v>
                </c:pt>
                <c:pt idx="438">
                  <c:v>388296.14</c:v>
                </c:pt>
                <c:pt idx="439">
                  <c:v>388621.14</c:v>
                </c:pt>
                <c:pt idx="440">
                  <c:v>388621.14</c:v>
                </c:pt>
                <c:pt idx="441">
                  <c:v>388621.14</c:v>
                </c:pt>
                <c:pt idx="442">
                  <c:v>350982.96</c:v>
                </c:pt>
                <c:pt idx="443">
                  <c:v>451232.96</c:v>
                </c:pt>
                <c:pt idx="444">
                  <c:v>499724.02</c:v>
                </c:pt>
                <c:pt idx="445">
                  <c:v>519129.97</c:v>
                </c:pt>
                <c:pt idx="446">
                  <c:v>494825.52</c:v>
                </c:pt>
                <c:pt idx="447">
                  <c:v>494825.52</c:v>
                </c:pt>
                <c:pt idx="448">
                  <c:v>494825.52</c:v>
                </c:pt>
                <c:pt idx="449">
                  <c:v>494825.52</c:v>
                </c:pt>
                <c:pt idx="450">
                  <c:v>494875.52</c:v>
                </c:pt>
                <c:pt idx="451">
                  <c:v>492868.56</c:v>
                </c:pt>
                <c:pt idx="452">
                  <c:v>492868.56</c:v>
                </c:pt>
                <c:pt idx="453">
                  <c:v>492868.56</c:v>
                </c:pt>
                <c:pt idx="454">
                  <c:v>494218.56</c:v>
                </c:pt>
                <c:pt idx="455">
                  <c:v>452326.96</c:v>
                </c:pt>
                <c:pt idx="456">
                  <c:v>475248.53</c:v>
                </c:pt>
                <c:pt idx="457">
                  <c:v>485579.7</c:v>
                </c:pt>
                <c:pt idx="458">
                  <c:v>483237.86</c:v>
                </c:pt>
                <c:pt idx="459">
                  <c:v>482174.8</c:v>
                </c:pt>
                <c:pt idx="460">
                  <c:v>482199.8</c:v>
                </c:pt>
                <c:pt idx="461">
                  <c:v>479406.91</c:v>
                </c:pt>
                <c:pt idx="462">
                  <c:v>470500.67</c:v>
                </c:pt>
                <c:pt idx="463">
                  <c:v>472716.17</c:v>
                </c:pt>
                <c:pt idx="464">
                  <c:v>433269.34</c:v>
                </c:pt>
                <c:pt idx="465">
                  <c:v>433243.64</c:v>
                </c:pt>
                <c:pt idx="466">
                  <c:v>469337.63</c:v>
                </c:pt>
                <c:pt idx="467">
                  <c:v>469337.63</c:v>
                </c:pt>
                <c:pt idx="468">
                  <c:v>468953.03</c:v>
                </c:pt>
                <c:pt idx="469">
                  <c:v>459905.29</c:v>
                </c:pt>
                <c:pt idx="470">
                  <c:v>459905.29</c:v>
                </c:pt>
                <c:pt idx="471">
                  <c:v>459905.29</c:v>
                </c:pt>
                <c:pt idx="472">
                  <c:v>459905.29</c:v>
                </c:pt>
                <c:pt idx="473">
                  <c:v>459905.29</c:v>
                </c:pt>
                <c:pt idx="474">
                  <c:v>459905.29</c:v>
                </c:pt>
                <c:pt idx="475">
                  <c:v>423446.93</c:v>
                </c:pt>
                <c:pt idx="476">
                  <c:v>423446.93</c:v>
                </c:pt>
                <c:pt idx="477">
                  <c:v>407711.69</c:v>
                </c:pt>
                <c:pt idx="478">
                  <c:v>407733.05</c:v>
                </c:pt>
                <c:pt idx="479">
                  <c:v>409787.27</c:v>
                </c:pt>
                <c:pt idx="480">
                  <c:v>409787.27</c:v>
                </c:pt>
                <c:pt idx="481">
                  <c:v>410017.27</c:v>
                </c:pt>
                <c:pt idx="482">
                  <c:v>418625.7</c:v>
                </c:pt>
                <c:pt idx="483">
                  <c:v>418550.7</c:v>
                </c:pt>
                <c:pt idx="484">
                  <c:v>381523.11</c:v>
                </c:pt>
                <c:pt idx="485">
                  <c:v>381523.11</c:v>
                </c:pt>
                <c:pt idx="486">
                  <c:v>381523.11</c:v>
                </c:pt>
                <c:pt idx="487">
                  <c:v>381909.52</c:v>
                </c:pt>
                <c:pt idx="488">
                  <c:v>381524.92</c:v>
                </c:pt>
                <c:pt idx="489">
                  <c:v>381524.92</c:v>
                </c:pt>
                <c:pt idx="490">
                  <c:v>403601.43</c:v>
                </c:pt>
                <c:pt idx="491">
                  <c:v>403601.43</c:v>
                </c:pt>
                <c:pt idx="492">
                  <c:v>388696.73</c:v>
                </c:pt>
                <c:pt idx="493">
                  <c:v>388696.73</c:v>
                </c:pt>
                <c:pt idx="494">
                  <c:v>354074.98</c:v>
                </c:pt>
                <c:pt idx="495">
                  <c:v>354074.98</c:v>
                </c:pt>
                <c:pt idx="496">
                  <c:v>412115.27</c:v>
                </c:pt>
                <c:pt idx="497">
                  <c:v>421170.44</c:v>
                </c:pt>
                <c:pt idx="498">
                  <c:v>443466.68</c:v>
                </c:pt>
                <c:pt idx="499">
                  <c:v>443466.68</c:v>
                </c:pt>
                <c:pt idx="500">
                  <c:v>443467.28</c:v>
                </c:pt>
                <c:pt idx="501">
                  <c:v>467133.83</c:v>
                </c:pt>
                <c:pt idx="502">
                  <c:v>457231.63</c:v>
                </c:pt>
                <c:pt idx="503">
                  <c:v>457180.17</c:v>
                </c:pt>
                <c:pt idx="504">
                  <c:v>413685.69</c:v>
                </c:pt>
                <c:pt idx="505">
                  <c:v>413685.69</c:v>
                </c:pt>
                <c:pt idx="506">
                  <c:v>414169.69</c:v>
                </c:pt>
                <c:pt idx="507">
                  <c:v>414169.69</c:v>
                </c:pt>
                <c:pt idx="508">
                  <c:v>413785.09</c:v>
                </c:pt>
                <c:pt idx="509">
                  <c:v>413785.09</c:v>
                </c:pt>
                <c:pt idx="510">
                  <c:v>413647.44</c:v>
                </c:pt>
                <c:pt idx="511">
                  <c:v>413647.44</c:v>
                </c:pt>
                <c:pt idx="512">
                  <c:v>456909.26</c:v>
                </c:pt>
                <c:pt idx="513">
                  <c:v>456909.26</c:v>
                </c:pt>
                <c:pt idx="514">
                  <c:v>420452.25</c:v>
                </c:pt>
                <c:pt idx="515">
                  <c:v>420452.25</c:v>
                </c:pt>
                <c:pt idx="516">
                  <c:v>545432.25</c:v>
                </c:pt>
                <c:pt idx="517">
                  <c:v>545590.84</c:v>
                </c:pt>
                <c:pt idx="518">
                  <c:v>525679.43000000005</c:v>
                </c:pt>
                <c:pt idx="519">
                  <c:v>545765.34</c:v>
                </c:pt>
                <c:pt idx="520">
                  <c:v>546390.34</c:v>
                </c:pt>
                <c:pt idx="521">
                  <c:v>546489.65</c:v>
                </c:pt>
                <c:pt idx="522">
                  <c:v>540866.25</c:v>
                </c:pt>
                <c:pt idx="523">
                  <c:v>540913.56000000006</c:v>
                </c:pt>
                <c:pt idx="524">
                  <c:v>533274.25</c:v>
                </c:pt>
                <c:pt idx="525">
                  <c:v>618886.13</c:v>
                </c:pt>
                <c:pt idx="526">
                  <c:v>614102.62</c:v>
                </c:pt>
                <c:pt idx="527">
                  <c:v>624405.25</c:v>
                </c:pt>
                <c:pt idx="528">
                  <c:v>626377.68000000005</c:v>
                </c:pt>
                <c:pt idx="529">
                  <c:v>626377.68000000005</c:v>
                </c:pt>
                <c:pt idx="530">
                  <c:v>643671.14</c:v>
                </c:pt>
                <c:pt idx="531">
                  <c:v>644766.57999999996</c:v>
                </c:pt>
                <c:pt idx="532">
                  <c:v>638881.80000000005</c:v>
                </c:pt>
                <c:pt idx="533">
                  <c:v>661874.81999999995</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Data!$F$586:$F$621</c:f>
              <c:numCache>
                <c:formatCode>mmm\-yy</c:formatCode>
                <c:ptCount val="3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numCache>
            </c:numRef>
          </c:cat>
          <c:val>
            <c:numRef>
              <c:f>Data!$G$586:$G$621</c:f>
              <c:numCache>
                <c:formatCode>"$"#,##0_);[Red]\("$"#,##0\)</c:formatCode>
                <c:ptCount val="36"/>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494072.83</c:v>
                </c:pt>
                <c:pt idx="25">
                  <c:v>399857.44</c:v>
                </c:pt>
                <c:pt idx="26">
                  <c:v>279188.34999999998</c:v>
                </c:pt>
                <c:pt idx="27">
                  <c:v>302008.53000000003</c:v>
                </c:pt>
                <c:pt idx="28">
                  <c:v>222544.3</c:v>
                </c:pt>
                <c:pt idx="29">
                  <c:v>303528.63</c:v>
                </c:pt>
                <c:pt idx="30">
                  <c:v>279453.21999999997</c:v>
                </c:pt>
                <c:pt idx="31">
                  <c:v>235427.62</c:v>
                </c:pt>
                <c:pt idx="32">
                  <c:v>301323.59999999998</c:v>
                </c:pt>
                <c:pt idx="33">
                  <c:v>355947.69</c:v>
                </c:pt>
                <c:pt idx="34">
                  <c:v>269865.12</c:v>
                </c:pt>
                <c:pt idx="35">
                  <c:v>266691.07</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Data!$J$526:$J$618</c:f>
              <c:numCache>
                <c:formatCode>mmm\-yy</c:formatCode>
                <c:ptCount val="9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numCache>
            </c:numRef>
          </c:xVal>
          <c:yVal>
            <c:numRef>
              <c:f>Data!$K$526:$K$618</c:f>
              <c:numCache>
                <c:formatCode>_("$"* #,##0_);_("$"* \(#,##0\);_("$"* "-"_);_(@_)</c:formatCode>
                <c:ptCount val="9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6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'December''23 AR Aging '!$B$228</c:f>
              <c:strCache>
                <c:ptCount val="1"/>
                <c:pt idx="0">
                  <c:v>Current Month</c:v>
                </c:pt>
              </c:strCache>
            </c:strRef>
          </c:tx>
          <c:spPr>
            <a:solidFill>
              <a:srgbClr val="0070C0"/>
            </a:solidFill>
          </c:spPr>
          <c:invertIfNegative val="0"/>
          <c:val>
            <c:numRef>
              <c:f>'December''23 AR Aging '!$C$228:$N$228</c:f>
            </c:numRef>
          </c:val>
          <c:extLst>
            <c:ext xmlns:c15="http://schemas.microsoft.com/office/drawing/2012/chart" uri="{02D57815-91ED-43cb-92C2-25804820EDAC}">
              <c15:filteredCategoryTitle>
                <c15:cat>
                  <c:multiLvlStrRef>
                    <c:extLst>
                      <c:ext uri="{02D57815-91ED-43cb-92C2-25804820EDAC}">
                        <c15:formulaRef>
                          <c15:sqref>'December''23 AR Aging '!$C$227:$N$227</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'December''23 AR Aging '!$B$229</c:f>
              <c:strCache>
                <c:ptCount val="1"/>
                <c:pt idx="0">
                  <c:v>Previous Month</c:v>
                </c:pt>
              </c:strCache>
            </c:strRef>
          </c:tx>
          <c:spPr>
            <a:solidFill>
              <a:schemeClr val="accent6">
                <a:lumMod val="40000"/>
                <a:lumOff val="60000"/>
              </a:schemeClr>
            </a:solidFill>
          </c:spPr>
          <c:invertIfNegative val="0"/>
          <c:val>
            <c:numRef>
              <c:f>'December''23 AR Aging '!$C$229:$N$229</c:f>
            </c:numRef>
          </c:val>
          <c:extLst>
            <c:ext xmlns:c15="http://schemas.microsoft.com/office/drawing/2012/chart" uri="{02D57815-91ED-43cb-92C2-25804820EDAC}">
              <c15:filteredCategoryTitle>
                <c15:cat>
                  <c:multiLvlStrRef>
                    <c:extLst>
                      <c:ext uri="{02D57815-91ED-43cb-92C2-25804820EDAC}">
                        <c15:formulaRef>
                          <c15:sqref>'December''23 AR Aging '!$C$227:$N$227</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'December''23 AR Aging '!$B$230</c:f>
              <c:strCache>
                <c:ptCount val="1"/>
                <c:pt idx="0">
                  <c:v>Three Months Ago</c:v>
                </c:pt>
              </c:strCache>
            </c:strRef>
          </c:tx>
          <c:spPr>
            <a:solidFill>
              <a:schemeClr val="accent3">
                <a:lumMod val="75000"/>
              </a:schemeClr>
            </a:solidFill>
          </c:spPr>
          <c:invertIfNegative val="0"/>
          <c:val>
            <c:numRef>
              <c:f>'December''23 AR Aging '!$C$230:$N$230</c:f>
            </c:numRef>
          </c:val>
          <c:extLst>
            <c:ext xmlns:c15="http://schemas.microsoft.com/office/drawing/2012/chart" uri="{02D57815-91ED-43cb-92C2-25804820EDAC}">
              <c15:filteredCategoryTitle>
                <c15:cat>
                  <c:multiLvlStrRef>
                    <c:extLst>
                      <c:ext uri="{02D57815-91ED-43cb-92C2-25804820EDAC}">
                        <c15:formulaRef>
                          <c15:sqref>'December''23 AR Aging '!$C$227:$N$227</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'December''23 AR Aging '!$B$231</c:f>
              <c:strCache>
                <c:ptCount val="1"/>
                <c:pt idx="0">
                  <c:v>Older than Three Months</c:v>
                </c:pt>
              </c:strCache>
            </c:strRef>
          </c:tx>
          <c:spPr>
            <a:solidFill>
              <a:schemeClr val="accent4">
                <a:lumMod val="40000"/>
                <a:lumOff val="60000"/>
              </a:schemeClr>
            </a:solidFill>
          </c:spPr>
          <c:invertIfNegative val="0"/>
          <c:val>
            <c:numRef>
              <c:f>'December''23 AR Aging '!$C$231:$N$231</c:f>
            </c:numRef>
          </c:val>
          <c:extLst>
            <c:ext xmlns:c15="http://schemas.microsoft.com/office/drawing/2012/chart" uri="{02D57815-91ED-43cb-92C2-25804820EDAC}">
              <c15:filteredCategoryTitle>
                <c15:cat>
                  <c:multiLvlStrRef>
                    <c:extLst>
                      <c:ext uri="{02D57815-91ED-43cb-92C2-25804820EDAC}">
                        <c15:formulaRef>
                          <c15:sqref>'December''23 AR Aging '!$C$227:$N$227</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24</xdr:row>
      <xdr:rowOff>28575</xdr:rowOff>
    </xdr:from>
    <xdr:to>
      <xdr:col>7</xdr:col>
      <xdr:colOff>1076324</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221</xdr:row>
      <xdr:rowOff>47625</xdr:rowOff>
    </xdr:from>
    <xdr:to>
      <xdr:col>8</xdr:col>
      <xdr:colOff>523875</xdr:colOff>
      <xdr:row>258</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431</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2" t="s">
        <v>49</v>
      </c>
      <c r="H5" s="782"/>
      <c r="I5" s="782"/>
      <c r="J5" s="782"/>
      <c r="K5" s="782"/>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330" t="s">
        <v>432</v>
      </c>
      <c r="H7" s="636" t="s">
        <v>433</v>
      </c>
      <c r="I7" s="636" t="s">
        <v>434</v>
      </c>
      <c r="J7" s="636"/>
      <c r="K7" s="637" t="s">
        <v>439</v>
      </c>
      <c r="L7" s="783" t="s">
        <v>411</v>
      </c>
      <c r="M7" s="783"/>
    </row>
    <row r="8" spans="1:57" s="55" customFormat="1" ht="20.25" x14ac:dyDescent="0.2">
      <c r="A8" s="54"/>
      <c r="B8" s="54"/>
      <c r="C8" s="58" t="s">
        <v>100</v>
      </c>
      <c r="D8" s="58"/>
      <c r="E8" s="58"/>
      <c r="F8" s="54"/>
      <c r="G8" s="202">
        <v>200992</v>
      </c>
      <c r="H8" s="202">
        <v>507048</v>
      </c>
      <c r="I8" s="202">
        <f>G8+H8</f>
        <v>708040</v>
      </c>
      <c r="J8" s="202"/>
      <c r="K8" s="202">
        <v>700893</v>
      </c>
      <c r="L8" s="317">
        <f>I8-K8</f>
        <v>7147</v>
      </c>
      <c r="M8" s="334">
        <f>(I8-K8)/K8</f>
        <v>1.0196991552205544E-2</v>
      </c>
    </row>
    <row r="9" spans="1:57" s="55" customFormat="1" ht="20.25" x14ac:dyDescent="0.2">
      <c r="A9" s="54"/>
      <c r="B9" s="54"/>
      <c r="C9" s="58" t="s">
        <v>149</v>
      </c>
      <c r="D9" s="58"/>
      <c r="E9" s="58"/>
      <c r="F9" s="54"/>
      <c r="G9" s="193">
        <v>18908</v>
      </c>
      <c r="H9" s="193">
        <v>61000</v>
      </c>
      <c r="I9" s="193">
        <f>G9+H9</f>
        <v>79908</v>
      </c>
      <c r="J9" s="193"/>
      <c r="K9" s="193">
        <v>90000</v>
      </c>
      <c r="L9" s="409">
        <f>I9-K9</f>
        <v>-10092</v>
      </c>
      <c r="M9" s="334">
        <f t="shared" ref="M9:M28" si="0">(I9-K9)/K9</f>
        <v>-0.11213333333333333</v>
      </c>
    </row>
    <row r="10" spans="1:57" s="55" customFormat="1" ht="20.25" x14ac:dyDescent="0.2">
      <c r="A10" s="54"/>
      <c r="B10" s="54"/>
      <c r="C10" s="58" t="s">
        <v>178</v>
      </c>
      <c r="D10" s="58"/>
      <c r="E10" s="58"/>
      <c r="F10" s="54"/>
      <c r="G10" s="193">
        <v>16159</v>
      </c>
      <c r="H10" s="193">
        <v>25547</v>
      </c>
      <c r="I10" s="193">
        <f>G10+H10</f>
        <v>41706</v>
      </c>
      <c r="J10" s="193"/>
      <c r="K10" s="193">
        <v>50397</v>
      </c>
      <c r="L10" s="409">
        <f>I10-K10</f>
        <v>-8691</v>
      </c>
      <c r="M10" s="334">
        <f t="shared" si="0"/>
        <v>-0.17245074111554259</v>
      </c>
    </row>
    <row r="11" spans="1:57" s="55" customFormat="1" ht="20.25" x14ac:dyDescent="0.2">
      <c r="A11" s="54"/>
      <c r="B11" s="54"/>
      <c r="C11" s="58" t="s">
        <v>101</v>
      </c>
      <c r="D11" s="58"/>
      <c r="E11" s="58"/>
      <c r="F11" s="54"/>
      <c r="G11" s="193"/>
      <c r="H11" s="193"/>
      <c r="I11" s="193">
        <f t="shared" ref="I11:I28" si="1">G11+H11</f>
        <v>0</v>
      </c>
      <c r="J11" s="193"/>
      <c r="K11" s="193"/>
      <c r="L11" s="409"/>
      <c r="M11" s="334"/>
    </row>
    <row r="12" spans="1:57" s="55" customFormat="1" ht="20.25" x14ac:dyDescent="0.2">
      <c r="A12" s="54"/>
      <c r="B12" s="54"/>
      <c r="D12" s="58" t="s">
        <v>138</v>
      </c>
      <c r="E12" s="58"/>
      <c r="F12" s="54"/>
      <c r="G12" s="193">
        <v>78605</v>
      </c>
      <c r="H12" s="193">
        <f>239968-H10-H13-H14</f>
        <v>121781</v>
      </c>
      <c r="I12" s="193">
        <f t="shared" si="1"/>
        <v>200386</v>
      </c>
      <c r="J12" s="193"/>
      <c r="K12" s="193">
        <v>169789</v>
      </c>
      <c r="L12" s="409">
        <f t="shared" ref="L12:L28" si="2">I12-K12</f>
        <v>30597</v>
      </c>
      <c r="M12" s="334">
        <f t="shared" si="0"/>
        <v>0.18020602041357214</v>
      </c>
      <c r="O12" s="386"/>
      <c r="P12" s="385"/>
      <c r="Q12" s="385"/>
    </row>
    <row r="13" spans="1:57" s="55" customFormat="1" ht="20.25" x14ac:dyDescent="0.2">
      <c r="A13" s="54"/>
      <c r="B13" s="54"/>
      <c r="D13" s="58" t="s">
        <v>158</v>
      </c>
      <c r="E13" s="58"/>
      <c r="F13" s="54"/>
      <c r="G13" s="193">
        <v>6000</v>
      </c>
      <c r="H13" s="193">
        <f>1500*8</f>
        <v>12000</v>
      </c>
      <c r="I13" s="193">
        <f t="shared" si="1"/>
        <v>18000</v>
      </c>
      <c r="J13" s="193"/>
      <c r="K13" s="193">
        <v>18000</v>
      </c>
      <c r="L13" s="409">
        <f t="shared" si="2"/>
        <v>0</v>
      </c>
      <c r="M13" s="334">
        <f t="shared" si="0"/>
        <v>0</v>
      </c>
      <c r="O13" s="318"/>
      <c r="P13" s="387"/>
      <c r="Q13" s="304"/>
    </row>
    <row r="14" spans="1:57" s="55" customFormat="1" ht="20.25" x14ac:dyDescent="0.2">
      <c r="A14" s="54"/>
      <c r="B14" s="54"/>
      <c r="C14" s="58"/>
      <c r="D14" s="58" t="s">
        <v>400</v>
      </c>
      <c r="E14" s="58"/>
      <c r="F14" s="54"/>
      <c r="G14" s="193">
        <v>39088</v>
      </c>
      <c r="H14" s="193">
        <v>80640</v>
      </c>
      <c r="I14" s="193">
        <f t="shared" si="1"/>
        <v>119728</v>
      </c>
      <c r="J14" s="193"/>
      <c r="K14" s="193">
        <v>114072</v>
      </c>
      <c r="L14" s="409">
        <f t="shared" si="2"/>
        <v>5656</v>
      </c>
      <c r="M14" s="334">
        <f t="shared" si="0"/>
        <v>4.9582719685812467E-2</v>
      </c>
      <c r="O14" s="318"/>
      <c r="P14" s="387"/>
      <c r="Q14" s="304"/>
    </row>
    <row r="15" spans="1:57" s="55" customFormat="1" ht="20.25" x14ac:dyDescent="0.2">
      <c r="A15" s="54"/>
      <c r="B15" s="54"/>
      <c r="C15" s="58" t="s">
        <v>375</v>
      </c>
      <c r="D15" s="58"/>
      <c r="E15" s="58"/>
      <c r="F15" s="54"/>
      <c r="G15" s="193">
        <v>5511</v>
      </c>
      <c r="H15" s="193">
        <f>17000-G15</f>
        <v>11489</v>
      </c>
      <c r="I15" s="193">
        <f t="shared" si="1"/>
        <v>17000</v>
      </c>
      <c r="J15" s="193"/>
      <c r="K15" s="193">
        <v>17000</v>
      </c>
      <c r="L15" s="409">
        <f t="shared" si="2"/>
        <v>0</v>
      </c>
      <c r="M15" s="334">
        <f t="shared" si="0"/>
        <v>0</v>
      </c>
      <c r="O15" s="318"/>
      <c r="P15" s="387"/>
      <c r="Q15" s="304"/>
    </row>
    <row r="16" spans="1:57" s="55" customFormat="1" ht="20.25" x14ac:dyDescent="0.2">
      <c r="A16" s="54"/>
      <c r="B16" s="54"/>
      <c r="C16" s="58" t="s">
        <v>109</v>
      </c>
      <c r="D16" s="58"/>
      <c r="E16" s="58"/>
      <c r="F16" s="54"/>
      <c r="G16" s="193">
        <v>228</v>
      </c>
      <c r="H16" s="193">
        <v>684</v>
      </c>
      <c r="I16" s="193">
        <f t="shared" si="1"/>
        <v>912</v>
      </c>
      <c r="J16" s="193"/>
      <c r="K16" s="193">
        <v>1200</v>
      </c>
      <c r="L16" s="409">
        <f t="shared" si="2"/>
        <v>-288</v>
      </c>
      <c r="M16" s="334">
        <f t="shared" si="0"/>
        <v>-0.24</v>
      </c>
      <c r="O16" s="318"/>
      <c r="P16" s="387"/>
      <c r="Q16" s="304"/>
    </row>
    <row r="17" spans="1:17" s="55" customFormat="1" ht="20.25" x14ac:dyDescent="0.2">
      <c r="A17" s="54"/>
      <c r="B17" s="54"/>
      <c r="C17" s="58" t="s">
        <v>236</v>
      </c>
      <c r="D17" s="58"/>
      <c r="E17" s="58"/>
      <c r="F17" s="54"/>
      <c r="G17" s="193">
        <v>-405</v>
      </c>
      <c r="H17" s="193">
        <f>400*8-1000</f>
        <v>2200</v>
      </c>
      <c r="I17" s="193">
        <f t="shared" si="1"/>
        <v>1795</v>
      </c>
      <c r="J17" s="193"/>
      <c r="K17" s="193">
        <v>4680</v>
      </c>
      <c r="L17" s="409">
        <f t="shared" si="2"/>
        <v>-2885</v>
      </c>
      <c r="M17" s="334">
        <f t="shared" si="0"/>
        <v>-0.61645299145299148</v>
      </c>
      <c r="O17" s="318"/>
      <c r="P17" s="387"/>
      <c r="Q17" s="304"/>
    </row>
    <row r="18" spans="1:17" s="55" customFormat="1" ht="20.25" x14ac:dyDescent="0.2">
      <c r="A18" s="54"/>
      <c r="B18" s="54"/>
      <c r="C18" s="58" t="s">
        <v>319</v>
      </c>
      <c r="D18" s="58"/>
      <c r="E18" s="58"/>
      <c r="F18" s="54"/>
      <c r="G18" s="193">
        <v>12304</v>
      </c>
      <c r="H18" s="193">
        <v>1500</v>
      </c>
      <c r="I18" s="193">
        <f t="shared" si="1"/>
        <v>13804</v>
      </c>
      <c r="J18" s="193"/>
      <c r="K18" s="193">
        <v>1500</v>
      </c>
      <c r="L18" s="409">
        <f t="shared" si="2"/>
        <v>12304</v>
      </c>
      <c r="M18" s="334">
        <f t="shared" si="0"/>
        <v>8.2026666666666674</v>
      </c>
      <c r="O18" s="318"/>
      <c r="P18" s="387"/>
      <c r="Q18" s="304"/>
    </row>
    <row r="19" spans="1:17" s="55" customFormat="1" ht="20.25" x14ac:dyDescent="0.2">
      <c r="A19" s="54"/>
      <c r="B19" s="54"/>
      <c r="C19" s="58" t="s">
        <v>412</v>
      </c>
      <c r="D19" s="58"/>
      <c r="E19" s="58"/>
      <c r="F19" s="54"/>
      <c r="G19" s="193"/>
      <c r="H19" s="193"/>
      <c r="I19" s="193">
        <f t="shared" si="1"/>
        <v>0</v>
      </c>
      <c r="J19" s="193"/>
      <c r="K19" s="193"/>
      <c r="L19" s="409">
        <f t="shared" si="2"/>
        <v>0</v>
      </c>
      <c r="M19" s="334"/>
      <c r="O19" s="318"/>
      <c r="P19" s="387"/>
      <c r="Q19" s="304"/>
    </row>
    <row r="20" spans="1:17" s="55" customFormat="1" ht="20.25" x14ac:dyDescent="0.2">
      <c r="A20" s="54"/>
      <c r="B20" s="54"/>
      <c r="C20" s="58"/>
      <c r="D20" s="58" t="s">
        <v>11</v>
      </c>
      <c r="E20" s="58"/>
      <c r="F20" s="54"/>
      <c r="G20" s="193">
        <f>10047-3000</f>
        <v>7047</v>
      </c>
      <c r="H20" s="193">
        <f>65179-H21-12000</f>
        <v>21179</v>
      </c>
      <c r="I20" s="193">
        <f t="shared" si="1"/>
        <v>28226</v>
      </c>
      <c r="J20" s="193"/>
      <c r="K20" s="193">
        <f>79293-48000</f>
        <v>31293</v>
      </c>
      <c r="L20" s="409">
        <f t="shared" si="2"/>
        <v>-3067</v>
      </c>
      <c r="M20" s="334">
        <f t="shared" si="0"/>
        <v>-9.8009139424152361E-2</v>
      </c>
      <c r="O20" s="318"/>
      <c r="P20" s="387"/>
      <c r="Q20" s="304"/>
    </row>
    <row r="21" spans="1:17" s="55" customFormat="1" ht="20.25" x14ac:dyDescent="0.2">
      <c r="A21" s="54"/>
      <c r="B21" s="54"/>
      <c r="C21" s="593"/>
      <c r="D21" s="58" t="s">
        <v>17</v>
      </c>
      <c r="E21" s="593"/>
      <c r="F21" s="593"/>
      <c r="G21" s="193">
        <f>48000/12*4</f>
        <v>16000</v>
      </c>
      <c r="H21" s="193">
        <f>48000-G21</f>
        <v>32000</v>
      </c>
      <c r="I21" s="193">
        <f t="shared" si="1"/>
        <v>48000</v>
      </c>
      <c r="J21" s="193"/>
      <c r="K21" s="193">
        <v>48000</v>
      </c>
      <c r="L21" s="409">
        <f t="shared" si="2"/>
        <v>0</v>
      </c>
      <c r="M21" s="334">
        <f t="shared" si="0"/>
        <v>0</v>
      </c>
      <c r="O21" s="318"/>
      <c r="P21" s="387"/>
      <c r="Q21" s="304"/>
    </row>
    <row r="22" spans="1:17" s="55" customFormat="1" ht="20.25" x14ac:dyDescent="0.2">
      <c r="A22" s="54"/>
      <c r="B22" s="54"/>
      <c r="C22" s="593"/>
      <c r="D22" s="58" t="s">
        <v>435</v>
      </c>
      <c r="E22" s="593"/>
      <c r="F22" s="593"/>
      <c r="G22" s="193">
        <v>3000</v>
      </c>
      <c r="H22" s="193">
        <v>12000</v>
      </c>
      <c r="I22" s="193">
        <f t="shared" si="1"/>
        <v>15000</v>
      </c>
      <c r="J22" s="193"/>
      <c r="K22" s="193">
        <v>0</v>
      </c>
      <c r="L22" s="409">
        <f t="shared" si="2"/>
        <v>15000</v>
      </c>
      <c r="M22" s="334"/>
      <c r="O22" s="318"/>
      <c r="P22" s="387"/>
      <c r="Q22" s="304"/>
    </row>
    <row r="23" spans="1:17" s="55" customFormat="1" ht="20.25" x14ac:dyDescent="0.2">
      <c r="A23" s="54"/>
      <c r="B23" s="54"/>
      <c r="C23" s="58" t="s">
        <v>321</v>
      </c>
      <c r="D23" s="593"/>
      <c r="E23" s="593"/>
      <c r="F23" s="593"/>
      <c r="G23" s="193">
        <v>3150</v>
      </c>
      <c r="H23" s="193">
        <v>0</v>
      </c>
      <c r="I23" s="193">
        <f t="shared" si="1"/>
        <v>3150</v>
      </c>
      <c r="J23" s="193"/>
      <c r="K23" s="193"/>
      <c r="L23" s="409">
        <f t="shared" si="2"/>
        <v>3150</v>
      </c>
      <c r="M23" s="334"/>
      <c r="O23" s="318"/>
      <c r="P23" s="387"/>
      <c r="Q23" s="304"/>
    </row>
    <row r="24" spans="1:17" s="55" customFormat="1" ht="20.25" x14ac:dyDescent="0.2">
      <c r="A24" s="54"/>
      <c r="B24" s="54"/>
      <c r="C24" s="58" t="s">
        <v>108</v>
      </c>
      <c r="D24" s="593"/>
      <c r="E24" s="593"/>
      <c r="F24" s="593"/>
      <c r="G24" s="193">
        <v>17580</v>
      </c>
      <c r="H24" s="193">
        <f>H35</f>
        <v>35160</v>
      </c>
      <c r="I24" s="193">
        <f t="shared" si="1"/>
        <v>52740</v>
      </c>
      <c r="J24" s="193"/>
      <c r="K24" s="193">
        <v>46576</v>
      </c>
      <c r="L24" s="409">
        <f t="shared" si="2"/>
        <v>6164</v>
      </c>
      <c r="M24" s="334">
        <f t="shared" si="0"/>
        <v>0.13234283751288217</v>
      </c>
      <c r="O24" s="318"/>
      <c r="P24" s="387"/>
      <c r="Q24" s="304"/>
    </row>
    <row r="25" spans="1:17" s="55" customFormat="1" ht="20.25" x14ac:dyDescent="0.2">
      <c r="A25" s="54"/>
      <c r="B25" s="54"/>
      <c r="C25" s="58" t="s">
        <v>415</v>
      </c>
      <c r="D25" s="593"/>
      <c r="E25" s="593"/>
      <c r="F25" s="593"/>
      <c r="G25" s="193">
        <v>5055</v>
      </c>
      <c r="H25" s="193">
        <f>15000+250</f>
        <v>15250</v>
      </c>
      <c r="I25" s="193">
        <f t="shared" si="1"/>
        <v>20305</v>
      </c>
      <c r="J25" s="193"/>
      <c r="K25" s="193">
        <v>21600</v>
      </c>
      <c r="L25" s="409">
        <f t="shared" si="2"/>
        <v>-1295</v>
      </c>
      <c r="M25" s="334">
        <f t="shared" si="0"/>
        <v>-5.9953703703703703E-2</v>
      </c>
      <c r="O25" s="318"/>
      <c r="P25" s="387"/>
      <c r="Q25" s="304"/>
    </row>
    <row r="26" spans="1:17" s="55" customFormat="1" ht="20.25" x14ac:dyDescent="0.2">
      <c r="A26" s="54"/>
      <c r="B26" s="54"/>
      <c r="C26" s="58" t="s">
        <v>101</v>
      </c>
      <c r="D26" s="593"/>
      <c r="E26" s="593"/>
      <c r="F26" s="593"/>
      <c r="G26" s="193">
        <f>18500/12*4</f>
        <v>6166.666666666667</v>
      </c>
      <c r="H26" s="193">
        <f>18500-G26</f>
        <v>12333.333333333332</v>
      </c>
      <c r="I26" s="193">
        <f t="shared" si="1"/>
        <v>18500</v>
      </c>
      <c r="J26" s="193"/>
      <c r="K26" s="193">
        <v>19000</v>
      </c>
      <c r="L26" s="409">
        <f t="shared" si="2"/>
        <v>-500</v>
      </c>
      <c r="M26" s="334">
        <f t="shared" si="0"/>
        <v>-2.6315789473684209E-2</v>
      </c>
      <c r="O26" s="318"/>
      <c r="P26" s="387"/>
      <c r="Q26" s="304"/>
    </row>
    <row r="27" spans="1:17" s="55" customFormat="1" ht="20.25" x14ac:dyDescent="0.2">
      <c r="A27" s="54"/>
      <c r="B27" s="54"/>
      <c r="C27" s="58" t="s">
        <v>318</v>
      </c>
      <c r="D27" s="593"/>
      <c r="E27" s="593"/>
      <c r="F27" s="593"/>
      <c r="G27" s="193">
        <f>41600/12*4</f>
        <v>13866.666666666666</v>
      </c>
      <c r="H27" s="193">
        <f>3466.67*8</f>
        <v>27733.360000000001</v>
      </c>
      <c r="I27" s="193">
        <f t="shared" si="1"/>
        <v>41600.026666666665</v>
      </c>
      <c r="J27" s="193"/>
      <c r="K27" s="193">
        <v>50000</v>
      </c>
      <c r="L27" s="409">
        <f t="shared" si="2"/>
        <v>-8399.9733333333352</v>
      </c>
      <c r="M27" s="334">
        <f t="shared" si="0"/>
        <v>-0.16799946666666671</v>
      </c>
      <c r="O27" s="318"/>
      <c r="P27" s="387"/>
      <c r="Q27" s="304"/>
    </row>
    <row r="28" spans="1:17" s="55" customFormat="1" ht="20.25" x14ac:dyDescent="0.2">
      <c r="A28" s="54"/>
      <c r="B28" s="54"/>
      <c r="C28" s="58" t="s">
        <v>320</v>
      </c>
      <c r="D28" s="593"/>
      <c r="E28" s="593"/>
      <c r="F28" s="593"/>
      <c r="G28" s="193">
        <f>27832-G26-G27</f>
        <v>7798.6666666666661</v>
      </c>
      <c r="H28" s="193">
        <v>11317</v>
      </c>
      <c r="I28" s="193">
        <f t="shared" si="1"/>
        <v>19115.666666666664</v>
      </c>
      <c r="J28" s="193"/>
      <c r="K28" s="193">
        <v>16835</v>
      </c>
      <c r="L28" s="409">
        <f t="shared" si="2"/>
        <v>2280.6666666666642</v>
      </c>
      <c r="M28" s="334">
        <f t="shared" si="0"/>
        <v>0.13547173547173533</v>
      </c>
      <c r="O28" s="318"/>
      <c r="P28" s="387"/>
      <c r="Q28" s="304"/>
    </row>
    <row r="29" spans="1:17" s="55" customFormat="1" ht="20.25" x14ac:dyDescent="0.2">
      <c r="A29" s="54"/>
      <c r="B29" s="54"/>
      <c r="C29" s="58"/>
      <c r="D29" s="54" t="s">
        <v>104</v>
      </c>
      <c r="E29" s="58"/>
      <c r="F29" s="54"/>
      <c r="G29" s="201">
        <f>SUM(G8:G28)</f>
        <v>457054.00000000006</v>
      </c>
      <c r="H29" s="201">
        <f>SUM(H8:H28)</f>
        <v>990861.69333333336</v>
      </c>
      <c r="I29" s="201">
        <f>SUM(I8:I28)</f>
        <v>1447915.6933333334</v>
      </c>
      <c r="J29" s="201"/>
      <c r="K29" s="201">
        <f>SUM(K8:K28)</f>
        <v>1400835</v>
      </c>
      <c r="L29" s="600">
        <f>SUM(L8:L28)</f>
        <v>47080.693333333329</v>
      </c>
      <c r="M29" s="601">
        <f>L29/K29</f>
        <v>3.3609021286113872E-2</v>
      </c>
    </row>
    <row r="30" spans="1:17" s="55" customFormat="1" ht="20.25" x14ac:dyDescent="0.2">
      <c r="A30" s="54"/>
      <c r="B30" s="54"/>
      <c r="C30" s="58"/>
      <c r="D30" s="54"/>
      <c r="E30" s="58"/>
      <c r="F30" s="54"/>
      <c r="G30" s="193"/>
      <c r="H30" s="193"/>
      <c r="I30" s="193"/>
      <c r="J30" s="193"/>
      <c r="K30" s="481"/>
    </row>
    <row r="31" spans="1:17" s="55" customFormat="1" ht="21" thickBot="1" x14ac:dyDescent="0.25">
      <c r="A31" s="54"/>
      <c r="B31" s="66" t="s">
        <v>110</v>
      </c>
      <c r="C31" s="66"/>
      <c r="D31" s="66"/>
      <c r="E31" s="66"/>
      <c r="F31" s="66"/>
      <c r="G31" s="193"/>
      <c r="H31" s="193"/>
      <c r="I31" s="193"/>
      <c r="J31" s="193"/>
    </row>
    <row r="32" spans="1:17" s="55" customFormat="1" ht="20.25" x14ac:dyDescent="0.2">
      <c r="A32" s="54"/>
      <c r="B32" s="54"/>
      <c r="C32" s="58" t="s">
        <v>111</v>
      </c>
      <c r="D32" s="58"/>
      <c r="E32" s="58"/>
      <c r="F32" s="58"/>
      <c r="G32" s="193">
        <v>276045.51</v>
      </c>
      <c r="H32" s="193">
        <v>641500</v>
      </c>
      <c r="I32" s="193">
        <f>SUM(G32:H32)</f>
        <v>917545.51</v>
      </c>
      <c r="J32" s="193"/>
      <c r="K32" s="602">
        <v>932770</v>
      </c>
      <c r="L32" s="409">
        <f>I32-K32</f>
        <v>-15224.489999999991</v>
      </c>
      <c r="M32" s="354">
        <f>L32/K32</f>
        <v>-1.6321804946557019E-2</v>
      </c>
    </row>
    <row r="33" spans="1:15" s="55" customFormat="1" ht="20.25" x14ac:dyDescent="0.2">
      <c r="A33" s="54"/>
      <c r="B33" s="54"/>
      <c r="C33" s="58" t="s">
        <v>112</v>
      </c>
      <c r="D33" s="58"/>
      <c r="E33" s="58"/>
      <c r="F33" s="58"/>
      <c r="G33" s="193">
        <f>60096.8</f>
        <v>60096.800000000003</v>
      </c>
      <c r="H33" s="193">
        <v>131256</v>
      </c>
      <c r="I33" s="193">
        <f>SUM(G33:H33)</f>
        <v>191352.8</v>
      </c>
      <c r="J33" s="193"/>
      <c r="K33" s="230">
        <v>181856</v>
      </c>
      <c r="L33" s="409">
        <f>I33-K33</f>
        <v>9496.7999999999884</v>
      </c>
      <c r="M33" s="354">
        <f>L33/K33</f>
        <v>5.2221537920112554E-2</v>
      </c>
    </row>
    <row r="34" spans="1:15" s="55" customFormat="1" ht="20.25" x14ac:dyDescent="0.2">
      <c r="A34" s="54"/>
      <c r="B34" s="54"/>
      <c r="C34" s="58" t="s">
        <v>113</v>
      </c>
      <c r="D34" s="58"/>
      <c r="E34" s="58"/>
      <c r="F34" s="58"/>
      <c r="G34" s="193">
        <v>600</v>
      </c>
      <c r="H34" s="193">
        <f>150*8</f>
        <v>1200</v>
      </c>
      <c r="I34" s="193">
        <f t="shared" ref="I34:K49" si="3">SUM(G34:H34)</f>
        <v>1800</v>
      </c>
      <c r="J34" s="193"/>
      <c r="K34" s="230">
        <v>1800</v>
      </c>
      <c r="L34" s="409">
        <f t="shared" ref="L34:L49" si="4">I34-K34</f>
        <v>0</v>
      </c>
      <c r="M34" s="354">
        <f t="shared" ref="M34:M49" si="5">L34/K34</f>
        <v>0</v>
      </c>
    </row>
    <row r="35" spans="1:15" s="55" customFormat="1" ht="20.25" x14ac:dyDescent="0.2">
      <c r="A35" s="54"/>
      <c r="B35" s="54"/>
      <c r="C35" s="58" t="s">
        <v>103</v>
      </c>
      <c r="D35" s="58"/>
      <c r="E35" s="58"/>
      <c r="F35" s="58"/>
      <c r="G35" s="193">
        <v>17580</v>
      </c>
      <c r="H35" s="193">
        <f>G35/4*8</f>
        <v>35160</v>
      </c>
      <c r="I35" s="193">
        <f t="shared" si="3"/>
        <v>52740</v>
      </c>
      <c r="J35" s="193"/>
      <c r="K35" s="230">
        <v>46576</v>
      </c>
      <c r="L35" s="409">
        <f t="shared" si="4"/>
        <v>6164</v>
      </c>
      <c r="M35" s="354">
        <f t="shared" si="5"/>
        <v>0.13234283751288217</v>
      </c>
    </row>
    <row r="36" spans="1:15" s="55" customFormat="1" ht="20.25" x14ac:dyDescent="0.2">
      <c r="A36" s="54"/>
      <c r="B36" s="54"/>
      <c r="C36" s="58" t="s">
        <v>114</v>
      </c>
      <c r="D36" s="58"/>
      <c r="E36" s="58"/>
      <c r="F36" s="58"/>
      <c r="G36" s="193">
        <v>6970</v>
      </c>
      <c r="H36" s="193">
        <v>13232</v>
      </c>
      <c r="I36" s="193">
        <f t="shared" si="3"/>
        <v>20202</v>
      </c>
      <c r="J36" s="193"/>
      <c r="K36" s="230">
        <v>19873</v>
      </c>
      <c r="L36" s="409">
        <f t="shared" si="4"/>
        <v>329</v>
      </c>
      <c r="M36" s="354">
        <f t="shared" si="5"/>
        <v>1.6555125044029589E-2</v>
      </c>
    </row>
    <row r="37" spans="1:15" s="55" customFormat="1" ht="20.25" x14ac:dyDescent="0.2">
      <c r="A37" s="54"/>
      <c r="B37" s="54"/>
      <c r="C37" s="58" t="s">
        <v>115</v>
      </c>
      <c r="D37" s="58"/>
      <c r="E37" s="58"/>
      <c r="F37" s="58"/>
      <c r="G37" s="193">
        <v>983</v>
      </c>
      <c r="H37" s="193">
        <f>2736-983</f>
        <v>1753</v>
      </c>
      <c r="I37" s="193">
        <f t="shared" si="3"/>
        <v>2736</v>
      </c>
      <c r="J37" s="193"/>
      <c r="K37" s="230">
        <v>2736</v>
      </c>
      <c r="L37" s="409">
        <f t="shared" si="4"/>
        <v>0</v>
      </c>
      <c r="M37" s="354">
        <f t="shared" si="5"/>
        <v>0</v>
      </c>
      <c r="O37" s="578"/>
    </row>
    <row r="38" spans="1:15" s="55" customFormat="1" ht="20.25" x14ac:dyDescent="0.2">
      <c r="A38" s="54"/>
      <c r="B38" s="54"/>
      <c r="C38" s="58" t="s">
        <v>116</v>
      </c>
      <c r="D38" s="58"/>
      <c r="E38" s="58"/>
      <c r="F38" s="58"/>
      <c r="G38" s="193">
        <v>1426</v>
      </c>
      <c r="H38" s="193">
        <v>4352</v>
      </c>
      <c r="I38" s="193">
        <f t="shared" si="3"/>
        <v>5778</v>
      </c>
      <c r="J38" s="193"/>
      <c r="K38" s="230">
        <v>5022</v>
      </c>
      <c r="L38" s="409">
        <f t="shared" si="4"/>
        <v>756</v>
      </c>
      <c r="M38" s="354">
        <f t="shared" si="5"/>
        <v>0.15053763440860216</v>
      </c>
    </row>
    <row r="39" spans="1:15" s="55" customFormat="1" ht="20.25" x14ac:dyDescent="0.2">
      <c r="A39" s="54"/>
      <c r="B39" s="54"/>
      <c r="C39" s="58" t="s">
        <v>117</v>
      </c>
      <c r="D39" s="58"/>
      <c r="E39" s="58"/>
      <c r="F39" s="58"/>
      <c r="G39" s="193">
        <v>286</v>
      </c>
      <c r="H39" s="193">
        <v>7958</v>
      </c>
      <c r="I39" s="193">
        <f t="shared" si="3"/>
        <v>8244</v>
      </c>
      <c r="J39" s="193"/>
      <c r="K39" s="230">
        <v>6244</v>
      </c>
      <c r="L39" s="409">
        <f t="shared" si="4"/>
        <v>2000</v>
      </c>
      <c r="M39" s="354">
        <f t="shared" si="5"/>
        <v>0.32030749519538759</v>
      </c>
    </row>
    <row r="40" spans="1:15" s="55" customFormat="1" ht="20.25" x14ac:dyDescent="0.2">
      <c r="A40" s="54"/>
      <c r="B40" s="54"/>
      <c r="C40" s="58" t="s">
        <v>118</v>
      </c>
      <c r="D40" s="58"/>
      <c r="E40" s="58"/>
      <c r="F40" s="58"/>
      <c r="G40" s="193">
        <v>14139</v>
      </c>
      <c r="H40" s="193">
        <f>27582</f>
        <v>27582</v>
      </c>
      <c r="I40" s="193">
        <f t="shared" si="3"/>
        <v>41721</v>
      </c>
      <c r="J40" s="193"/>
      <c r="K40" s="230">
        <v>40180</v>
      </c>
      <c r="L40" s="409">
        <f t="shared" si="4"/>
        <v>1541</v>
      </c>
      <c r="M40" s="354">
        <f t="shared" si="5"/>
        <v>3.8352414136386265E-2</v>
      </c>
      <c r="O40" s="204"/>
    </row>
    <row r="41" spans="1:15" s="55" customFormat="1" ht="20.25" x14ac:dyDescent="0.2">
      <c r="A41" s="54"/>
      <c r="B41" s="54"/>
      <c r="C41" s="58" t="s">
        <v>119</v>
      </c>
      <c r="D41" s="58"/>
      <c r="E41" s="58"/>
      <c r="F41" s="58"/>
      <c r="G41" s="193">
        <v>2253</v>
      </c>
      <c r="H41" s="193">
        <v>2960</v>
      </c>
      <c r="I41" s="193">
        <f t="shared" si="3"/>
        <v>5213</v>
      </c>
      <c r="J41" s="193"/>
      <c r="K41" s="230">
        <v>4270</v>
      </c>
      <c r="L41" s="409">
        <f t="shared" si="4"/>
        <v>943</v>
      </c>
      <c r="M41" s="354">
        <f t="shared" si="5"/>
        <v>0.2208430913348946</v>
      </c>
    </row>
    <row r="42" spans="1:15" s="55" customFormat="1" ht="20.25" x14ac:dyDescent="0.2">
      <c r="A42" s="54"/>
      <c r="B42" s="54"/>
      <c r="C42" s="58" t="s">
        <v>120</v>
      </c>
      <c r="D42" s="58"/>
      <c r="E42" s="58"/>
      <c r="F42" s="58"/>
      <c r="G42" s="193">
        <v>386</v>
      </c>
      <c r="H42" s="193">
        <f>1020-G42</f>
        <v>634</v>
      </c>
      <c r="I42" s="193">
        <f t="shared" si="3"/>
        <v>1020</v>
      </c>
      <c r="J42" s="193"/>
      <c r="K42" s="230">
        <v>1020</v>
      </c>
      <c r="L42" s="409">
        <f t="shared" si="4"/>
        <v>0</v>
      </c>
      <c r="M42" s="354">
        <f t="shared" si="5"/>
        <v>0</v>
      </c>
    </row>
    <row r="43" spans="1:15" s="55" customFormat="1" ht="20.25" x14ac:dyDescent="0.2">
      <c r="A43" s="54"/>
      <c r="B43" s="54"/>
      <c r="C43" s="58" t="s">
        <v>165</v>
      </c>
      <c r="D43" s="58"/>
      <c r="E43" s="58"/>
      <c r="F43" s="58"/>
      <c r="G43" s="193">
        <v>10200</v>
      </c>
      <c r="H43" s="193">
        <f>2800+125+25</f>
        <v>2950</v>
      </c>
      <c r="I43" s="193">
        <f t="shared" si="3"/>
        <v>13150</v>
      </c>
      <c r="J43" s="193"/>
      <c r="K43" s="230">
        <v>13618</v>
      </c>
      <c r="L43" s="409">
        <f t="shared" si="4"/>
        <v>-468</v>
      </c>
      <c r="M43" s="354">
        <f t="shared" si="5"/>
        <v>-3.4366279923630491E-2</v>
      </c>
    </row>
    <row r="44" spans="1:15" s="55" customFormat="1" ht="20.25" x14ac:dyDescent="0.2">
      <c r="A44" s="54"/>
      <c r="B44" s="54"/>
      <c r="C44" s="784" t="s">
        <v>323</v>
      </c>
      <c r="D44" s="784"/>
      <c r="E44" s="784"/>
      <c r="F44" s="784"/>
      <c r="G44" s="193"/>
      <c r="H44" s="193">
        <f>SUM([1]Transportaton!N46:S46)</f>
        <v>0</v>
      </c>
      <c r="I44" s="193">
        <f t="shared" si="3"/>
        <v>0</v>
      </c>
      <c r="J44" s="193"/>
      <c r="K44" s="193">
        <f t="shared" si="3"/>
        <v>0</v>
      </c>
      <c r="L44" s="409">
        <f t="shared" si="4"/>
        <v>0</v>
      </c>
      <c r="M44" s="354"/>
      <c r="O44" s="580"/>
    </row>
    <row r="45" spans="1:15" s="55" customFormat="1" ht="20.25" x14ac:dyDescent="0.2">
      <c r="A45" s="54"/>
      <c r="B45" s="54"/>
      <c r="C45" s="58" t="s">
        <v>121</v>
      </c>
      <c r="D45" s="58"/>
      <c r="E45" s="58"/>
      <c r="F45" s="58"/>
      <c r="G45" s="193">
        <v>7626</v>
      </c>
      <c r="H45" s="193">
        <v>7740</v>
      </c>
      <c r="I45" s="193">
        <f t="shared" si="3"/>
        <v>15366</v>
      </c>
      <c r="J45" s="193"/>
      <c r="K45" s="230">
        <v>13802</v>
      </c>
      <c r="L45" s="409">
        <f t="shared" si="4"/>
        <v>1564</v>
      </c>
      <c r="M45" s="354">
        <f t="shared" si="5"/>
        <v>0.11331691059266773</v>
      </c>
    </row>
    <row r="46" spans="1:15" s="55" customFormat="1" ht="20.25" x14ac:dyDescent="0.2">
      <c r="A46" s="54"/>
      <c r="B46" s="54"/>
      <c r="C46" s="58" t="s">
        <v>122</v>
      </c>
      <c r="D46" s="58"/>
      <c r="E46" s="58"/>
      <c r="F46" s="58"/>
      <c r="G46" s="193">
        <v>3742</v>
      </c>
      <c r="H46" s="193">
        <v>7566</v>
      </c>
      <c r="I46" s="193">
        <f t="shared" si="3"/>
        <v>11308</v>
      </c>
      <c r="J46" s="193"/>
      <c r="K46" s="230">
        <v>10740</v>
      </c>
      <c r="L46" s="409">
        <f t="shared" si="4"/>
        <v>568</v>
      </c>
      <c r="M46" s="354">
        <f t="shared" si="5"/>
        <v>5.2886405959031657E-2</v>
      </c>
      <c r="O46" s="580"/>
    </row>
    <row r="47" spans="1:15" s="55" customFormat="1" ht="20.25" x14ac:dyDescent="0.2">
      <c r="A47" s="54"/>
      <c r="B47" s="54"/>
      <c r="C47" s="58" t="s">
        <v>129</v>
      </c>
      <c r="D47" s="58"/>
      <c r="E47" s="58"/>
      <c r="F47" s="58"/>
      <c r="G47" s="193">
        <v>340</v>
      </c>
      <c r="H47" s="193">
        <v>1140</v>
      </c>
      <c r="I47" s="193">
        <f t="shared" si="3"/>
        <v>1480</v>
      </c>
      <c r="J47" s="193"/>
      <c r="K47" s="230">
        <v>1470</v>
      </c>
      <c r="L47" s="409">
        <f t="shared" si="4"/>
        <v>10</v>
      </c>
      <c r="M47" s="354">
        <f t="shared" si="5"/>
        <v>6.8027210884353739E-3</v>
      </c>
    </row>
    <row r="48" spans="1:15" s="55" customFormat="1" ht="20.25" x14ac:dyDescent="0.2">
      <c r="A48" s="54"/>
      <c r="B48" s="54"/>
      <c r="C48" s="58" t="s">
        <v>123</v>
      </c>
      <c r="D48" s="58"/>
      <c r="E48" s="58"/>
      <c r="F48" s="58"/>
      <c r="G48" s="193"/>
      <c r="H48" s="193">
        <v>2500</v>
      </c>
      <c r="I48" s="193">
        <f t="shared" si="3"/>
        <v>2500</v>
      </c>
      <c r="J48" s="193"/>
      <c r="K48" s="230">
        <v>3000</v>
      </c>
      <c r="L48" s="409">
        <f t="shared" si="4"/>
        <v>-500</v>
      </c>
      <c r="M48" s="354">
        <f t="shared" si="5"/>
        <v>-0.16666666666666666</v>
      </c>
      <c r="O48" s="580"/>
    </row>
    <row r="49" spans="1:17" s="55" customFormat="1" ht="20.25" customHeight="1" x14ac:dyDescent="0.2">
      <c r="A49" s="54"/>
      <c r="B49" s="54"/>
      <c r="C49" s="58" t="s">
        <v>198</v>
      </c>
      <c r="D49" s="58"/>
      <c r="E49" s="58"/>
      <c r="F49" s="58"/>
      <c r="G49" s="193">
        <v>462</v>
      </c>
      <c r="H49" s="193">
        <v>4500</v>
      </c>
      <c r="I49" s="193">
        <f t="shared" si="3"/>
        <v>4962</v>
      </c>
      <c r="J49" s="193"/>
      <c r="K49" s="230">
        <v>9980</v>
      </c>
      <c r="L49" s="409">
        <f t="shared" si="4"/>
        <v>-5018</v>
      </c>
      <c r="M49" s="354">
        <f t="shared" si="5"/>
        <v>-0.50280561122244494</v>
      </c>
    </row>
    <row r="50" spans="1:17" s="55" customFormat="1" ht="20.25" x14ac:dyDescent="0.2">
      <c r="A50" s="58"/>
      <c r="B50" s="58"/>
      <c r="C50" s="58" t="s">
        <v>125</v>
      </c>
      <c r="D50" s="58"/>
      <c r="E50" s="58"/>
      <c r="F50" s="58"/>
      <c r="G50" s="193">
        <v>5810</v>
      </c>
      <c r="H50" s="193">
        <v>21380</v>
      </c>
      <c r="I50" s="193">
        <f>G50+H50</f>
        <v>27190</v>
      </c>
      <c r="J50" s="193"/>
      <c r="K50" s="230">
        <v>8437</v>
      </c>
      <c r="L50" s="409">
        <f>I50-K50</f>
        <v>18753</v>
      </c>
      <c r="M50" s="354">
        <f>L50/K50</f>
        <v>2.2227094938959344</v>
      </c>
    </row>
    <row r="51" spans="1:17" s="55" customFormat="1" ht="20.25" x14ac:dyDescent="0.2">
      <c r="A51" s="54"/>
      <c r="B51" s="54"/>
      <c r="C51" s="58" t="s">
        <v>164</v>
      </c>
      <c r="D51" s="58"/>
      <c r="E51" s="58"/>
      <c r="F51" s="58"/>
      <c r="G51" s="193">
        <v>18022</v>
      </c>
      <c r="H51" s="193">
        <v>39426</v>
      </c>
      <c r="I51" s="193">
        <f t="shared" ref="I51:I53" si="6">G51+H51</f>
        <v>57448</v>
      </c>
      <c r="J51" s="193"/>
      <c r="K51" s="230">
        <v>54075</v>
      </c>
      <c r="L51" s="409">
        <f t="shared" ref="L51:L53" si="7">I51-K51</f>
        <v>3373</v>
      </c>
      <c r="M51" s="354">
        <f t="shared" ref="M51:M54" si="8">L51/K51</f>
        <v>6.2376329172445677E-2</v>
      </c>
      <c r="Q51" s="285"/>
    </row>
    <row r="52" spans="1:17" s="55" customFormat="1" ht="20.25" x14ac:dyDescent="0.2">
      <c r="A52" s="54"/>
      <c r="B52" s="54"/>
      <c r="C52" s="58" t="s">
        <v>126</v>
      </c>
      <c r="D52" s="58"/>
      <c r="E52" s="58"/>
      <c r="F52" s="58"/>
      <c r="G52" s="193">
        <v>39998</v>
      </c>
      <c r="H52" s="193">
        <v>31489</v>
      </c>
      <c r="I52" s="193">
        <f t="shared" si="6"/>
        <v>71487</v>
      </c>
      <c r="J52" s="193"/>
      <c r="K52" s="230">
        <v>42592</v>
      </c>
      <c r="L52" s="409">
        <f t="shared" si="7"/>
        <v>28895</v>
      </c>
      <c r="M52" s="354">
        <f t="shared" si="8"/>
        <v>0.67841378662659657</v>
      </c>
    </row>
    <row r="53" spans="1:17" s="55" customFormat="1" ht="21" thickBot="1" x14ac:dyDescent="0.25">
      <c r="A53" s="54"/>
      <c r="B53" s="54"/>
      <c r="C53" s="58" t="s">
        <v>402</v>
      </c>
      <c r="D53" s="58"/>
      <c r="E53" s="58"/>
      <c r="F53" s="58"/>
      <c r="G53" s="200">
        <v>660</v>
      </c>
      <c r="H53" s="195">
        <f>660/4*5</f>
        <v>825</v>
      </c>
      <c r="I53" s="195">
        <f t="shared" si="6"/>
        <v>1485</v>
      </c>
      <c r="J53" s="195"/>
      <c r="K53" s="603">
        <v>1980</v>
      </c>
      <c r="L53" s="412">
        <f t="shared" si="7"/>
        <v>-495</v>
      </c>
      <c r="M53" s="354">
        <f t="shared" si="8"/>
        <v>-0.25</v>
      </c>
    </row>
    <row r="54" spans="1:17" s="55" customFormat="1" ht="20.25" x14ac:dyDescent="0.2">
      <c r="A54" s="58"/>
      <c r="B54" s="58"/>
      <c r="C54" s="54"/>
      <c r="D54" s="54"/>
      <c r="G54" s="193">
        <f>SUM(G32:G53)</f>
        <v>467625.31</v>
      </c>
      <c r="H54" s="193">
        <f>SUM(H32:H53)</f>
        <v>987103</v>
      </c>
      <c r="I54" s="193">
        <f>SUM(I32:I53)</f>
        <v>1454728.31</v>
      </c>
      <c r="J54" s="193"/>
      <c r="K54" s="193">
        <f>SUM(K32:K53)</f>
        <v>1402041</v>
      </c>
      <c r="L54" s="193">
        <f>SUM(L32:L53)</f>
        <v>52687.31</v>
      </c>
      <c r="M54" s="601">
        <f t="shared" si="8"/>
        <v>3.7579008031862121E-2</v>
      </c>
    </row>
    <row r="55" spans="1:17" s="55" customFormat="1" ht="8.25" customHeight="1" x14ac:dyDescent="0.2">
      <c r="A55" s="58"/>
      <c r="B55" s="58"/>
      <c r="C55" s="54"/>
      <c r="D55" s="54"/>
      <c r="G55" s="193"/>
      <c r="H55" s="193"/>
      <c r="I55" s="193"/>
      <c r="J55" s="193"/>
      <c r="K55" s="193"/>
    </row>
    <row r="56" spans="1:17" s="55" customFormat="1" ht="20.25" x14ac:dyDescent="0.2">
      <c r="A56" s="58"/>
      <c r="B56" s="58"/>
      <c r="C56" s="604" t="s">
        <v>416</v>
      </c>
      <c r="D56"/>
      <c r="E56" s="54"/>
      <c r="F56" s="54"/>
      <c r="G56" s="201">
        <f>G29-G54</f>
        <v>-10571.309999999939</v>
      </c>
      <c r="H56" s="201">
        <f>H29-H54</f>
        <v>3758.6933333333582</v>
      </c>
      <c r="I56" s="201">
        <f>G56+H56</f>
        <v>-6812.6166666665813</v>
      </c>
      <c r="J56" s="193"/>
      <c r="K56" s="201">
        <f>K29-K54</f>
        <v>-1206</v>
      </c>
      <c r="L56" s="605">
        <f t="shared" ref="L56" si="9">I56-K56</f>
        <v>-5606.6166666665813</v>
      </c>
      <c r="M56" s="601">
        <f t="shared" ref="M56" si="10">L56/K56</f>
        <v>4.6489358761746118</v>
      </c>
    </row>
    <row r="57" spans="1:17" s="55" customFormat="1" ht="9" customHeight="1" x14ac:dyDescent="0.2">
      <c r="A57" s="58"/>
      <c r="B57" s="58"/>
      <c r="C57" s="58"/>
      <c r="D57" s="58"/>
      <c r="E57" s="58"/>
      <c r="F57" s="58"/>
      <c r="G57" s="193"/>
      <c r="H57" s="193"/>
      <c r="I57" s="193"/>
      <c r="J57" s="193"/>
      <c r="K57" s="193"/>
    </row>
    <row r="58" spans="1:17" s="55" customFormat="1" ht="20.25" x14ac:dyDescent="0.2">
      <c r="A58" s="58"/>
      <c r="B58" s="58"/>
      <c r="C58" s="58" t="s">
        <v>124</v>
      </c>
      <c r="D58" s="58"/>
      <c r="F58" s="58"/>
      <c r="G58" s="193">
        <v>12820</v>
      </c>
      <c r="H58" s="193">
        <f>25640+6</f>
        <v>25646</v>
      </c>
      <c r="I58" s="193">
        <f>G58+H58</f>
        <v>38466</v>
      </c>
      <c r="J58" s="193"/>
      <c r="K58" s="193">
        <v>34092</v>
      </c>
    </row>
    <row r="59" spans="1:17" s="55" customFormat="1" ht="9" customHeight="1" x14ac:dyDescent="0.2">
      <c r="A59" s="58"/>
      <c r="B59" s="58"/>
      <c r="C59" s="58"/>
      <c r="D59" s="58"/>
      <c r="E59" s="58"/>
      <c r="F59" s="58"/>
      <c r="G59" s="193"/>
      <c r="H59" s="193"/>
      <c r="I59" s="193"/>
      <c r="J59" s="193"/>
      <c r="K59" s="193"/>
    </row>
    <row r="60" spans="1:17" s="55" customFormat="1" ht="21" thickBot="1" x14ac:dyDescent="0.25">
      <c r="A60" s="54"/>
      <c r="B60" s="54"/>
      <c r="C60" s="604" t="s">
        <v>417</v>
      </c>
      <c r="D60"/>
      <c r="E60"/>
      <c r="F60"/>
      <c r="G60" s="606">
        <f>G56-G58</f>
        <v>-23391.309999999939</v>
      </c>
      <c r="H60" s="606">
        <f>H56-H58</f>
        <v>-21887.306666666642</v>
      </c>
      <c r="I60" s="606">
        <f>I56-I58</f>
        <v>-45278.616666666581</v>
      </c>
      <c r="J60" s="196"/>
      <c r="K60" s="606">
        <f>K56-K58</f>
        <v>-35298</v>
      </c>
    </row>
    <row r="61" spans="1:17" s="55" customFormat="1" ht="21" thickTop="1" x14ac:dyDescent="0.2">
      <c r="A61" s="54"/>
      <c r="B61" s="54"/>
      <c r="C61" s="54"/>
      <c r="D61" s="54"/>
      <c r="E61" s="54"/>
      <c r="F61" s="54"/>
      <c r="G61" s="196"/>
      <c r="H61" s="196"/>
      <c r="I61" s="196"/>
      <c r="J61" s="196"/>
      <c r="K61" s="196"/>
    </row>
    <row r="62" spans="1:17" s="55" customFormat="1" ht="23.25" x14ac:dyDescent="0.2">
      <c r="A62" s="54"/>
      <c r="B62" s="222"/>
      <c r="C62" s="54"/>
      <c r="D62" s="54"/>
      <c r="E62" s="54"/>
      <c r="F62" s="54"/>
      <c r="G62" s="193"/>
      <c r="H62" s="193"/>
      <c r="I62" s="193"/>
      <c r="J62" s="193"/>
      <c r="K62" s="193"/>
    </row>
    <row r="63" spans="1:17" s="55" customFormat="1" ht="20.25" x14ac:dyDescent="0.2">
      <c r="A63" s="58"/>
      <c r="B63" s="58"/>
      <c r="D63" s="58"/>
      <c r="E63" s="58"/>
      <c r="F63" s="58"/>
      <c r="G63" s="193"/>
      <c r="H63" s="193"/>
      <c r="I63" s="193"/>
      <c r="J63" s="193"/>
      <c r="K63" s="193"/>
    </row>
    <row r="64" spans="1:17" s="55" customFormat="1" ht="20.25" x14ac:dyDescent="0.2">
      <c r="A64" s="58"/>
      <c r="B64" s="58"/>
      <c r="D64" s="58"/>
      <c r="E64" s="58"/>
      <c r="F64" s="54" t="s">
        <v>418</v>
      </c>
      <c r="G64" s="193"/>
      <c r="H64" s="193"/>
      <c r="I64" s="193"/>
      <c r="J64" s="193"/>
      <c r="K64" s="193"/>
    </row>
    <row r="65" spans="1:11" s="55" customFormat="1" ht="20.25" x14ac:dyDescent="0.2">
      <c r="A65" s="54"/>
      <c r="B65" s="54"/>
      <c r="D65" s="58"/>
      <c r="E65" s="54"/>
      <c r="F65" s="638" t="s">
        <v>436</v>
      </c>
      <c r="G65" s="193"/>
      <c r="H65" s="193"/>
      <c r="I65" s="193"/>
      <c r="J65" s="193"/>
      <c r="K65" s="193"/>
    </row>
    <row r="66" spans="1:11" s="55" customFormat="1" ht="23.25" x14ac:dyDescent="0.2">
      <c r="A66" s="54"/>
      <c r="B66" s="222"/>
      <c r="C66" s="54"/>
      <c r="D66" s="54"/>
      <c r="E66" s="54"/>
      <c r="F66" s="638" t="s">
        <v>437</v>
      </c>
      <c r="G66" s="196"/>
      <c r="H66" s="196"/>
      <c r="I66" s="196"/>
      <c r="J66" s="196"/>
      <c r="K66" s="196"/>
    </row>
    <row r="67" spans="1:11" s="55" customFormat="1" ht="20.25" x14ac:dyDescent="0.2">
      <c r="A67" s="54"/>
      <c r="B67" s="54"/>
      <c r="C67" s="54"/>
      <c r="D67" s="54"/>
      <c r="E67" s="54"/>
      <c r="F67" s="638" t="s">
        <v>438</v>
      </c>
      <c r="G67" s="193"/>
      <c r="H67" s="193"/>
      <c r="I67" s="193"/>
      <c r="J67" s="193"/>
      <c r="K67" s="193"/>
    </row>
    <row r="68" spans="1:11" s="62" customFormat="1" ht="26.25" x14ac:dyDescent="0.2">
      <c r="A68" s="219"/>
      <c r="B68" s="219"/>
      <c r="C68" s="219"/>
      <c r="D68" s="219"/>
      <c r="E68" s="219"/>
      <c r="F68" s="219"/>
      <c r="G68" s="196"/>
      <c r="H68" s="196"/>
      <c r="I68" s="196"/>
      <c r="J68" s="196"/>
      <c r="K68" s="196"/>
    </row>
    <row r="69" spans="1:11" ht="20.25" x14ac:dyDescent="0.3">
      <c r="G69" s="227"/>
      <c r="H69" s="227"/>
      <c r="I69" s="227"/>
      <c r="J69" s="227"/>
      <c r="K69" s="227"/>
    </row>
    <row r="70" spans="1:11" ht="20.25" x14ac:dyDescent="0.3">
      <c r="G70" s="227"/>
      <c r="H70" s="227"/>
      <c r="I70" s="227"/>
      <c r="J70" s="227"/>
      <c r="K70" s="227"/>
    </row>
    <row r="71" spans="1:11" ht="20.25" x14ac:dyDescent="0.3">
      <c r="G71" s="227"/>
      <c r="H71" s="227"/>
      <c r="I71" s="227"/>
      <c r="J71" s="227"/>
      <c r="K71" s="227"/>
    </row>
    <row r="72" spans="1:11" ht="20.25" x14ac:dyDescent="0.3">
      <c r="G72" s="224"/>
      <c r="H72" s="224"/>
      <c r="I72" s="224"/>
      <c r="J72" s="224"/>
      <c r="K72" s="22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72"/>
      <c r="M1" s="672"/>
      <c r="N1" s="47"/>
      <c r="O1" s="47"/>
      <c r="P1" s="47"/>
      <c r="Q1" s="47"/>
      <c r="R1" s="47"/>
      <c r="S1" s="47"/>
      <c r="T1" s="47"/>
      <c r="U1" s="47"/>
      <c r="V1" s="47"/>
      <c r="W1" s="47"/>
      <c r="X1" s="47"/>
      <c r="Y1" s="47"/>
      <c r="Z1" s="47"/>
      <c r="AA1" s="47"/>
      <c r="AB1" s="47"/>
      <c r="AC1" s="47"/>
      <c r="AD1" s="47"/>
    </row>
    <row r="2" spans="1:30" ht="22.5" customHeight="1" x14ac:dyDescent="0.4">
      <c r="A2" s="46" t="s">
        <v>473</v>
      </c>
      <c r="B2" s="47"/>
      <c r="C2" s="48"/>
      <c r="D2" s="48"/>
      <c r="E2" s="48"/>
      <c r="F2" s="47"/>
      <c r="G2" s="47"/>
      <c r="H2" s="47"/>
      <c r="I2" s="47"/>
      <c r="J2" s="47"/>
      <c r="K2" s="672"/>
      <c r="M2" s="672"/>
      <c r="N2" s="47"/>
      <c r="O2" s="47"/>
      <c r="P2" s="47"/>
      <c r="Q2" s="47"/>
      <c r="R2" s="47"/>
      <c r="S2" s="47"/>
      <c r="T2" s="47"/>
      <c r="U2" s="47"/>
      <c r="V2" s="47"/>
      <c r="W2" s="47"/>
      <c r="X2" s="47"/>
      <c r="Y2" s="47"/>
      <c r="Z2" s="47"/>
      <c r="AA2" s="47"/>
      <c r="AB2" s="47"/>
      <c r="AC2" s="47"/>
      <c r="AD2" s="47"/>
    </row>
    <row r="3" spans="1:30" ht="22.5" customHeight="1" x14ac:dyDescent="0.4">
      <c r="A3" s="46" t="s">
        <v>474</v>
      </c>
      <c r="B3" s="47"/>
      <c r="C3" s="48"/>
      <c r="D3" s="48"/>
      <c r="E3" s="48"/>
      <c r="F3" s="47"/>
      <c r="G3" s="47"/>
      <c r="H3" s="47"/>
      <c r="I3" s="47"/>
      <c r="J3" s="47"/>
      <c r="K3" s="672"/>
      <c r="M3" s="672"/>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73"/>
      <c r="L4" s="674"/>
      <c r="M4" s="673"/>
    </row>
    <row r="5" spans="1:30" s="55" customFormat="1" ht="8.25" customHeight="1" thickBot="1" x14ac:dyDescent="0.25">
      <c r="A5" s="54"/>
      <c r="B5" s="54"/>
      <c r="C5" s="54"/>
      <c r="D5" s="54"/>
      <c r="E5" s="54"/>
      <c r="F5" s="54"/>
      <c r="K5" s="675"/>
      <c r="L5" s="674"/>
      <c r="M5" s="675"/>
    </row>
    <row r="6" spans="1:30" s="55" customFormat="1" ht="48" customHeight="1" thickBot="1" x14ac:dyDescent="0.25">
      <c r="A6" s="54"/>
      <c r="B6" s="676" t="s">
        <v>99</v>
      </c>
      <c r="C6" s="676"/>
      <c r="D6" s="676"/>
      <c r="E6" s="676"/>
      <c r="F6" s="676"/>
      <c r="G6" s="677" t="s">
        <v>475</v>
      </c>
      <c r="H6" s="677"/>
      <c r="I6" s="677" t="s">
        <v>476</v>
      </c>
      <c r="K6" s="675"/>
      <c r="L6" s="674"/>
      <c r="M6" s="675"/>
    </row>
    <row r="7" spans="1:30" s="55" customFormat="1" ht="20.25" x14ac:dyDescent="0.2">
      <c r="A7" s="54"/>
      <c r="B7" s="54"/>
      <c r="C7" s="58" t="s">
        <v>100</v>
      </c>
      <c r="D7" s="58"/>
      <c r="E7" s="58"/>
      <c r="F7" s="54"/>
      <c r="G7" s="202">
        <v>768013</v>
      </c>
      <c r="H7" s="202"/>
      <c r="I7" s="202">
        <v>795100</v>
      </c>
      <c r="K7" s="675"/>
      <c r="L7" s="674"/>
      <c r="M7" s="675"/>
    </row>
    <row r="8" spans="1:30" s="55" customFormat="1" ht="20.25" x14ac:dyDescent="0.2">
      <c r="A8" s="54"/>
      <c r="B8" s="54"/>
      <c r="C8" s="58" t="s">
        <v>149</v>
      </c>
      <c r="D8" s="58"/>
      <c r="E8" s="58"/>
      <c r="F8" s="54"/>
      <c r="G8" s="193">
        <v>92000</v>
      </c>
      <c r="H8" s="193"/>
      <c r="I8" s="193">
        <v>88160</v>
      </c>
      <c r="K8" s="675"/>
      <c r="L8" s="674"/>
      <c r="M8" s="675"/>
    </row>
    <row r="9" spans="1:30" s="55" customFormat="1" ht="20.25" x14ac:dyDescent="0.2">
      <c r="A9" s="54"/>
      <c r="B9" s="54"/>
      <c r="C9" s="58" t="s">
        <v>178</v>
      </c>
      <c r="D9" s="58"/>
      <c r="E9" s="58"/>
      <c r="F9" s="54"/>
      <c r="G9" s="193">
        <v>42167</v>
      </c>
      <c r="H9" s="193"/>
      <c r="I9" s="193">
        <v>32100</v>
      </c>
      <c r="K9" s="675"/>
      <c r="L9" s="674"/>
      <c r="M9" s="675"/>
    </row>
    <row r="10" spans="1:30" s="55" customFormat="1" ht="20.25" x14ac:dyDescent="0.2">
      <c r="A10" s="54"/>
      <c r="B10" s="54"/>
      <c r="C10" s="58" t="s">
        <v>101</v>
      </c>
      <c r="D10" s="58"/>
      <c r="E10" s="58"/>
      <c r="F10" s="54"/>
      <c r="G10" s="193">
        <v>0</v>
      </c>
      <c r="H10" s="193"/>
      <c r="I10" s="193"/>
      <c r="K10" s="675"/>
      <c r="L10" s="674"/>
      <c r="M10" s="675"/>
    </row>
    <row r="11" spans="1:30" s="55" customFormat="1" ht="20.25" x14ac:dyDescent="0.2">
      <c r="A11" s="54"/>
      <c r="B11" s="54"/>
      <c r="D11" s="58" t="s">
        <v>138</v>
      </c>
      <c r="E11" s="58"/>
      <c r="F11" s="54"/>
      <c r="G11" s="193">
        <f>148159+47500+3687</f>
        <v>199346</v>
      </c>
      <c r="H11" s="193"/>
      <c r="I11" s="193">
        <v>204910</v>
      </c>
      <c r="J11" s="386"/>
      <c r="K11" s="675"/>
      <c r="L11" s="678"/>
      <c r="M11" s="675"/>
    </row>
    <row r="12" spans="1:30" s="55" customFormat="1" ht="20.25" x14ac:dyDescent="0.2">
      <c r="A12" s="54"/>
      <c r="B12" s="54"/>
      <c r="D12" s="58" t="s">
        <v>158</v>
      </c>
      <c r="E12" s="58"/>
      <c r="F12" s="54"/>
      <c r="G12" s="193">
        <v>18000</v>
      </c>
      <c r="H12" s="193"/>
      <c r="I12" s="193">
        <v>18000</v>
      </c>
      <c r="J12" s="322"/>
      <c r="K12" s="675"/>
      <c r="L12" s="674"/>
      <c r="M12" s="675"/>
    </row>
    <row r="13" spans="1:30" s="55" customFormat="1" ht="20.25" x14ac:dyDescent="0.2">
      <c r="A13" s="54"/>
      <c r="B13" s="54"/>
      <c r="C13" s="58"/>
      <c r="D13" s="58" t="s">
        <v>400</v>
      </c>
      <c r="E13" s="58"/>
      <c r="F13" s="54"/>
      <c r="G13" s="193">
        <v>30439</v>
      </c>
      <c r="H13" s="193"/>
      <c r="I13" s="193">
        <v>265600</v>
      </c>
      <c r="J13" s="322"/>
      <c r="K13" s="675"/>
      <c r="L13" s="674"/>
      <c r="M13" s="675"/>
    </row>
    <row r="14" spans="1:30" s="55" customFormat="1" ht="20.25" x14ac:dyDescent="0.2">
      <c r="A14" s="54"/>
      <c r="B14" s="54"/>
      <c r="C14" s="58" t="s">
        <v>375</v>
      </c>
      <c r="D14" s="58"/>
      <c r="E14" s="58"/>
      <c r="F14" s="54"/>
      <c r="G14" s="193">
        <v>20000</v>
      </c>
      <c r="H14" s="193"/>
      <c r="I14" s="193">
        <v>17600</v>
      </c>
      <c r="J14" s="322"/>
      <c r="K14" s="675"/>
      <c r="L14" s="674"/>
      <c r="M14" s="675"/>
    </row>
    <row r="15" spans="1:30" s="55" customFormat="1" ht="20.25" x14ac:dyDescent="0.2">
      <c r="A15" s="54"/>
      <c r="B15" s="54"/>
      <c r="C15" s="58" t="s">
        <v>109</v>
      </c>
      <c r="D15" s="58"/>
      <c r="E15" s="58"/>
      <c r="F15" s="54"/>
      <c r="G15" s="193">
        <v>684</v>
      </c>
      <c r="H15" s="193"/>
      <c r="I15" s="193">
        <v>420</v>
      </c>
      <c r="J15" s="322"/>
      <c r="K15" s="675"/>
      <c r="L15" s="674"/>
      <c r="M15" s="675"/>
    </row>
    <row r="16" spans="1:30" s="55" customFormat="1" ht="20.25" x14ac:dyDescent="0.2">
      <c r="A16" s="54"/>
      <c r="B16" s="54"/>
      <c r="C16" s="58" t="s">
        <v>236</v>
      </c>
      <c r="D16" s="58"/>
      <c r="E16" s="58"/>
      <c r="F16" s="54"/>
      <c r="G16" s="193">
        <v>1200</v>
      </c>
      <c r="H16" s="193"/>
      <c r="I16" s="193">
        <v>1000</v>
      </c>
      <c r="J16" s="322"/>
      <c r="K16" s="675"/>
      <c r="L16" s="674"/>
      <c r="M16" s="675"/>
    </row>
    <row r="17" spans="1:13" s="55" customFormat="1" ht="20.25" x14ac:dyDescent="0.2">
      <c r="A17" s="54"/>
      <c r="B17" s="54"/>
      <c r="C17" s="686" t="s">
        <v>319</v>
      </c>
      <c r="D17" s="686"/>
      <c r="E17" s="686"/>
      <c r="F17" s="687"/>
      <c r="G17" s="193">
        <v>-3000</v>
      </c>
      <c r="H17" s="193"/>
      <c r="I17" s="670">
        <v>-48000</v>
      </c>
      <c r="J17" s="322"/>
      <c r="K17" s="675"/>
      <c r="L17" s="674"/>
      <c r="M17" s="675"/>
    </row>
    <row r="18" spans="1:13" s="55" customFormat="1" ht="20.25" x14ac:dyDescent="0.2">
      <c r="A18" s="54"/>
      <c r="B18" s="54"/>
      <c r="C18" s="58" t="s">
        <v>412</v>
      </c>
      <c r="D18" s="58"/>
      <c r="E18" s="58"/>
      <c r="F18" s="54"/>
      <c r="G18" s="193">
        <v>282538</v>
      </c>
      <c r="H18" s="193"/>
      <c r="I18" s="193">
        <v>159000</v>
      </c>
      <c r="J18" s="318"/>
      <c r="K18" s="675"/>
      <c r="L18" s="674"/>
      <c r="M18" s="675"/>
    </row>
    <row r="19" spans="1:13" s="55" customFormat="1" ht="20.25" x14ac:dyDescent="0.2">
      <c r="A19" s="54"/>
      <c r="B19" s="54"/>
      <c r="C19" s="58" t="s">
        <v>108</v>
      </c>
      <c r="D19" s="593"/>
      <c r="E19" s="593"/>
      <c r="F19" s="593"/>
      <c r="G19" s="193">
        <v>52740</v>
      </c>
      <c r="H19" s="193"/>
      <c r="I19" s="193">
        <v>52740</v>
      </c>
      <c r="J19" s="318"/>
      <c r="K19" s="675"/>
      <c r="L19" s="674"/>
      <c r="M19" s="675"/>
    </row>
    <row r="20" spans="1:13" s="55" customFormat="1" ht="20.25" x14ac:dyDescent="0.2">
      <c r="A20" s="54"/>
      <c r="B20" s="54"/>
      <c r="C20" s="58" t="s">
        <v>415</v>
      </c>
      <c r="D20" s="593"/>
      <c r="E20" s="593"/>
      <c r="F20" s="593"/>
      <c r="G20" s="193">
        <v>10250</v>
      </c>
      <c r="H20" s="193"/>
      <c r="I20" s="193">
        <v>31710</v>
      </c>
      <c r="J20" s="318"/>
      <c r="K20" s="675"/>
      <c r="L20" s="674"/>
      <c r="M20" s="675"/>
    </row>
    <row r="21" spans="1:13" s="55" customFormat="1" ht="20.25" x14ac:dyDescent="0.2">
      <c r="A21" s="54"/>
      <c r="B21" s="54"/>
      <c r="C21" s="58" t="s">
        <v>101</v>
      </c>
      <c r="D21" s="593"/>
      <c r="E21" s="593"/>
      <c r="F21" s="593"/>
      <c r="G21" s="193">
        <v>20000</v>
      </c>
      <c r="H21" s="193"/>
      <c r="I21" s="193">
        <v>20000</v>
      </c>
      <c r="J21" s="318"/>
      <c r="K21" s="675"/>
      <c r="L21" s="674"/>
      <c r="M21" s="675"/>
    </row>
    <row r="22" spans="1:13" s="55" customFormat="1" ht="20.25" x14ac:dyDescent="0.2">
      <c r="A22" s="54"/>
      <c r="B22" s="54"/>
      <c r="C22" s="58" t="s">
        <v>318</v>
      </c>
      <c r="D22" s="593"/>
      <c r="E22" s="593"/>
      <c r="F22" s="593"/>
      <c r="G22" s="193">
        <v>52000</v>
      </c>
      <c r="H22" s="193"/>
      <c r="I22" s="193">
        <v>62400</v>
      </c>
      <c r="J22" s="318"/>
      <c r="K22" s="675"/>
      <c r="L22" s="674"/>
      <c r="M22" s="675"/>
    </row>
    <row r="23" spans="1:13" s="55" customFormat="1" ht="20.25" x14ac:dyDescent="0.2">
      <c r="A23" s="54"/>
      <c r="B23" s="54"/>
      <c r="C23" s="58" t="s">
        <v>320</v>
      </c>
      <c r="D23" s="593"/>
      <c r="E23" s="593"/>
      <c r="F23" s="593"/>
      <c r="G23" s="193">
        <v>18537</v>
      </c>
      <c r="H23" s="193"/>
      <c r="I23" s="193">
        <v>18600</v>
      </c>
      <c r="J23" s="318"/>
      <c r="K23" s="675"/>
      <c r="L23" s="674"/>
      <c r="M23" s="675"/>
    </row>
    <row r="24" spans="1:13" s="55" customFormat="1" ht="20.25" x14ac:dyDescent="0.2">
      <c r="A24" s="54"/>
      <c r="B24" s="54"/>
      <c r="C24" s="58"/>
      <c r="D24" s="54" t="s">
        <v>104</v>
      </c>
      <c r="E24" s="58"/>
      <c r="F24" s="54"/>
      <c r="G24" s="201">
        <f>SUM(G7:G23)</f>
        <v>1604914</v>
      </c>
      <c r="H24" s="201"/>
      <c r="I24" s="201">
        <f>SUM(I7:I23)</f>
        <v>1719340</v>
      </c>
      <c r="K24" s="675"/>
      <c r="L24" s="674"/>
      <c r="M24" s="675"/>
    </row>
    <row r="25" spans="1:13" s="55" customFormat="1" ht="21" thickBot="1" x14ac:dyDescent="0.25">
      <c r="A25" s="54"/>
      <c r="B25" s="54"/>
      <c r="C25" s="58"/>
      <c r="D25" s="54"/>
      <c r="E25" s="58"/>
      <c r="F25" s="54"/>
      <c r="G25" s="193"/>
      <c r="H25" s="193"/>
      <c r="I25" s="193"/>
      <c r="K25" s="675"/>
      <c r="L25" s="674"/>
      <c r="M25" s="675"/>
    </row>
    <row r="26" spans="1:13" s="55" customFormat="1" ht="54.75" thickBot="1" x14ac:dyDescent="0.25">
      <c r="A26" s="54"/>
      <c r="B26" s="676" t="s">
        <v>110</v>
      </c>
      <c r="C26" s="676"/>
      <c r="D26" s="676"/>
      <c r="E26" s="676"/>
      <c r="F26" s="676"/>
      <c r="G26" s="677" t="s">
        <v>475</v>
      </c>
      <c r="H26" s="677"/>
      <c r="I26" s="677" t="s">
        <v>476</v>
      </c>
      <c r="K26" s="675"/>
      <c r="L26" s="674"/>
      <c r="M26" s="675"/>
    </row>
    <row r="27" spans="1:13" s="55" customFormat="1" ht="20.25" x14ac:dyDescent="0.2">
      <c r="A27" s="54"/>
      <c r="B27" s="54"/>
      <c r="C27" s="58" t="s">
        <v>111</v>
      </c>
      <c r="D27" s="58"/>
      <c r="E27" s="58"/>
      <c r="F27" s="58"/>
      <c r="G27" s="193">
        <v>1121855</v>
      </c>
      <c r="H27" s="193"/>
      <c r="I27" s="193">
        <v>994800</v>
      </c>
      <c r="K27" s="675"/>
      <c r="L27" s="674"/>
      <c r="M27" s="675"/>
    </row>
    <row r="28" spans="1:13" s="55" customFormat="1" ht="20.25" x14ac:dyDescent="0.2">
      <c r="A28" s="54"/>
      <c r="B28" s="54"/>
      <c r="C28" s="58" t="s">
        <v>112</v>
      </c>
      <c r="D28" s="58"/>
      <c r="E28" s="58"/>
      <c r="F28" s="58"/>
      <c r="G28" s="193">
        <v>256895</v>
      </c>
      <c r="H28" s="193"/>
      <c r="I28" s="193">
        <f>199118+20000</f>
        <v>219118</v>
      </c>
      <c r="K28" s="675"/>
      <c r="L28" s="674"/>
      <c r="M28" s="675"/>
    </row>
    <row r="29" spans="1:13" s="55" customFormat="1" ht="20.25" x14ac:dyDescent="0.2">
      <c r="A29" s="54"/>
      <c r="B29" s="54"/>
      <c r="C29" s="58" t="s">
        <v>113</v>
      </c>
      <c r="D29" s="58"/>
      <c r="E29" s="58"/>
      <c r="F29" s="58"/>
      <c r="G29" s="193">
        <v>1800</v>
      </c>
      <c r="H29" s="193"/>
      <c r="I29" s="193">
        <v>1800</v>
      </c>
      <c r="K29" s="675"/>
      <c r="L29" s="674"/>
      <c r="M29" s="675"/>
    </row>
    <row r="30" spans="1:13" s="55" customFormat="1" ht="20.25" x14ac:dyDescent="0.2">
      <c r="A30" s="54"/>
      <c r="B30" s="54"/>
      <c r="C30" s="58" t="s">
        <v>103</v>
      </c>
      <c r="D30" s="58"/>
      <c r="E30" s="58"/>
      <c r="F30" s="58"/>
      <c r="G30" s="193">
        <v>52740</v>
      </c>
      <c r="H30" s="193"/>
      <c r="I30" s="193">
        <v>52740</v>
      </c>
      <c r="K30" s="675"/>
      <c r="L30" s="674"/>
      <c r="M30" s="675"/>
    </row>
    <row r="31" spans="1:13" s="55" customFormat="1" ht="20.25" x14ac:dyDescent="0.2">
      <c r="A31" s="54"/>
      <c r="B31" s="54"/>
      <c r="C31" s="58" t="s">
        <v>114</v>
      </c>
      <c r="D31" s="58"/>
      <c r="E31" s="58"/>
      <c r="F31" s="58"/>
      <c r="G31" s="193">
        <v>22940</v>
      </c>
      <c r="H31" s="193"/>
      <c r="I31" s="193">
        <v>21250</v>
      </c>
      <c r="K31" s="675"/>
      <c r="L31" s="674"/>
      <c r="M31" s="675"/>
    </row>
    <row r="32" spans="1:13" s="55" customFormat="1" ht="20.25" x14ac:dyDescent="0.2">
      <c r="A32" s="54"/>
      <c r="B32" s="54"/>
      <c r="C32" s="58" t="s">
        <v>115</v>
      </c>
      <c r="D32" s="58"/>
      <c r="E32" s="58"/>
      <c r="F32" s="58"/>
      <c r="G32" s="193">
        <v>2385</v>
      </c>
      <c r="H32" s="193"/>
      <c r="I32" s="193">
        <v>2520</v>
      </c>
      <c r="K32" s="675"/>
      <c r="L32" s="674"/>
      <c r="M32" s="675"/>
    </row>
    <row r="33" spans="1:14" s="55" customFormat="1" ht="20.25" x14ac:dyDescent="0.2">
      <c r="A33" s="54"/>
      <c r="B33" s="54"/>
      <c r="C33" s="58" t="s">
        <v>116</v>
      </c>
      <c r="D33" s="58"/>
      <c r="E33" s="58"/>
      <c r="F33" s="58"/>
      <c r="G33" s="193">
        <v>4620</v>
      </c>
      <c r="H33" s="193"/>
      <c r="I33" s="193">
        <v>3720</v>
      </c>
      <c r="K33" s="675"/>
      <c r="L33" s="674"/>
      <c r="M33" s="675"/>
    </row>
    <row r="34" spans="1:14" s="55" customFormat="1" ht="20.25" x14ac:dyDescent="0.2">
      <c r="A34" s="54"/>
      <c r="B34" s="54"/>
      <c r="C34" s="58" t="s">
        <v>117</v>
      </c>
      <c r="D34" s="58"/>
      <c r="E34" s="58"/>
      <c r="F34" s="58"/>
      <c r="G34" s="193">
        <v>13333</v>
      </c>
      <c r="H34" s="193"/>
      <c r="I34" s="193">
        <v>11230</v>
      </c>
      <c r="K34" s="675"/>
      <c r="L34" s="674"/>
      <c r="M34" s="675"/>
    </row>
    <row r="35" spans="1:14" s="55" customFormat="1" ht="20.25" x14ac:dyDescent="0.2">
      <c r="A35" s="54"/>
      <c r="B35" s="54"/>
      <c r="C35" s="58" t="s">
        <v>118</v>
      </c>
      <c r="D35" s="58"/>
      <c r="E35" s="58"/>
      <c r="F35" s="58"/>
      <c r="G35" s="193">
        <f>25674+15000</f>
        <v>40674</v>
      </c>
      <c r="H35" s="193"/>
      <c r="I35" s="193">
        <v>39910</v>
      </c>
      <c r="K35" s="675"/>
      <c r="L35" s="674"/>
      <c r="M35" s="675"/>
    </row>
    <row r="36" spans="1:14" s="55" customFormat="1" ht="20.25" x14ac:dyDescent="0.2">
      <c r="A36" s="54"/>
      <c r="B36" s="54"/>
      <c r="C36" s="58" t="s">
        <v>119</v>
      </c>
      <c r="D36" s="58"/>
      <c r="E36" s="58"/>
      <c r="F36" s="58"/>
      <c r="G36" s="193">
        <v>2918</v>
      </c>
      <c r="H36" s="193"/>
      <c r="I36" s="193">
        <v>3920</v>
      </c>
      <c r="K36" s="675"/>
      <c r="L36" s="674"/>
      <c r="M36" s="675"/>
    </row>
    <row r="37" spans="1:14" s="55" customFormat="1" ht="20.25" x14ac:dyDescent="0.2">
      <c r="A37" s="54"/>
      <c r="B37" s="54"/>
      <c r="C37" s="58" t="s">
        <v>120</v>
      </c>
      <c r="D37" s="58"/>
      <c r="E37" s="58"/>
      <c r="F37" s="58"/>
      <c r="G37" s="193">
        <v>1300</v>
      </c>
      <c r="H37" s="193"/>
      <c r="I37" s="193">
        <f>940+360</f>
        <v>1300</v>
      </c>
      <c r="K37" s="675"/>
      <c r="L37" s="674"/>
      <c r="M37" s="675"/>
    </row>
    <row r="38" spans="1:14" s="55" customFormat="1" ht="20.25" x14ac:dyDescent="0.2">
      <c r="A38" s="54"/>
      <c r="B38" s="54"/>
      <c r="C38" s="58" t="s">
        <v>165</v>
      </c>
      <c r="D38" s="58"/>
      <c r="E38" s="58"/>
      <c r="F38" s="58"/>
      <c r="G38" s="193">
        <v>15125</v>
      </c>
      <c r="H38" s="193"/>
      <c r="I38" s="193">
        <v>16375</v>
      </c>
      <c r="K38" s="675"/>
      <c r="L38" s="674"/>
      <c r="M38" s="675"/>
    </row>
    <row r="39" spans="1:14" s="55" customFormat="1" ht="20.25" x14ac:dyDescent="0.2">
      <c r="A39" s="54"/>
      <c r="B39" s="54"/>
      <c r="C39" s="784" t="s">
        <v>323</v>
      </c>
      <c r="D39" s="784"/>
      <c r="E39" s="784"/>
      <c r="F39" s="784"/>
      <c r="G39" s="193">
        <v>0</v>
      </c>
      <c r="H39" s="193"/>
      <c r="I39" s="193"/>
      <c r="J39" s="580"/>
      <c r="K39" s="675"/>
      <c r="L39" s="674"/>
      <c r="M39" s="675"/>
    </row>
    <row r="40" spans="1:14" s="55" customFormat="1" ht="20.25" x14ac:dyDescent="0.2">
      <c r="A40" s="54"/>
      <c r="B40" s="54"/>
      <c r="C40" s="58" t="s">
        <v>121</v>
      </c>
      <c r="D40" s="58"/>
      <c r="E40" s="58"/>
      <c r="F40" s="58"/>
      <c r="G40" s="193">
        <v>23851</v>
      </c>
      <c r="H40" s="193"/>
      <c r="I40" s="193">
        <v>22610</v>
      </c>
      <c r="K40" s="675"/>
      <c r="L40" s="674"/>
      <c r="M40" s="675"/>
      <c r="N40" s="675"/>
    </row>
    <row r="41" spans="1:14" s="55" customFormat="1" ht="20.25" x14ac:dyDescent="0.2">
      <c r="A41" s="54"/>
      <c r="B41" s="54"/>
      <c r="C41" s="58" t="s">
        <v>122</v>
      </c>
      <c r="D41" s="58"/>
      <c r="E41" s="58"/>
      <c r="F41" s="58"/>
      <c r="G41" s="193">
        <v>13155</v>
      </c>
      <c r="H41" s="193"/>
      <c r="I41" s="193">
        <v>12600</v>
      </c>
      <c r="J41" s="580"/>
      <c r="K41" s="675"/>
      <c r="L41" s="674"/>
      <c r="M41" s="675"/>
    </row>
    <row r="42" spans="1:14" s="55" customFormat="1" ht="20.25" x14ac:dyDescent="0.2">
      <c r="A42" s="54"/>
      <c r="B42" s="54"/>
      <c r="C42" s="58" t="s">
        <v>129</v>
      </c>
      <c r="D42" s="58"/>
      <c r="E42" s="58"/>
      <c r="F42" s="58"/>
      <c r="G42" s="193">
        <v>1320</v>
      </c>
      <c r="H42" s="193"/>
      <c r="I42" s="193">
        <v>900</v>
      </c>
      <c r="K42" s="675"/>
      <c r="L42" s="674"/>
      <c r="M42" s="675"/>
    </row>
    <row r="43" spans="1:14" s="55" customFormat="1" ht="20.25" x14ac:dyDescent="0.2">
      <c r="A43" s="54"/>
      <c r="B43" s="54"/>
      <c r="C43" s="58" t="s">
        <v>123</v>
      </c>
      <c r="D43" s="58"/>
      <c r="E43" s="58"/>
      <c r="F43" s="58"/>
      <c r="G43" s="193">
        <f>1500+4750</f>
        <v>6250</v>
      </c>
      <c r="H43" s="193"/>
      <c r="I43" s="193">
        <v>6750</v>
      </c>
      <c r="J43" s="580"/>
      <c r="K43" s="675"/>
      <c r="L43" s="674"/>
      <c r="M43" s="675"/>
    </row>
    <row r="44" spans="1:14" s="55" customFormat="1" ht="20.25" customHeight="1" x14ac:dyDescent="0.2">
      <c r="A44" s="54"/>
      <c r="B44" s="54"/>
      <c r="C44" s="58" t="s">
        <v>198</v>
      </c>
      <c r="D44" s="58"/>
      <c r="E44" s="58"/>
      <c r="F44" s="58"/>
      <c r="G44" s="193">
        <v>8812</v>
      </c>
      <c r="H44" s="193"/>
      <c r="I44" s="193">
        <v>8840</v>
      </c>
      <c r="K44" s="675"/>
      <c r="L44" s="674"/>
      <c r="M44" s="675"/>
    </row>
    <row r="45" spans="1:14" s="55" customFormat="1" ht="20.25" x14ac:dyDescent="0.2">
      <c r="A45" s="58"/>
      <c r="B45" s="58"/>
      <c r="C45" s="58" t="s">
        <v>125</v>
      </c>
      <c r="D45" s="58"/>
      <c r="E45" s="58"/>
      <c r="F45" s="58"/>
      <c r="G45" s="193">
        <v>13980</v>
      </c>
      <c r="H45" s="193"/>
      <c r="I45" s="193">
        <v>150220</v>
      </c>
      <c r="K45" s="675"/>
      <c r="L45" s="674"/>
      <c r="M45" s="675"/>
    </row>
    <row r="46" spans="1:14" s="55" customFormat="1" ht="20.25" x14ac:dyDescent="0.2">
      <c r="A46" s="54"/>
      <c r="B46" s="54"/>
      <c r="C46" s="58" t="s">
        <v>164</v>
      </c>
      <c r="D46" s="58"/>
      <c r="E46" s="58"/>
      <c r="F46" s="58"/>
      <c r="G46" s="193">
        <v>71775</v>
      </c>
      <c r="H46" s="193"/>
      <c r="I46" s="193">
        <v>75200</v>
      </c>
      <c r="K46" s="675"/>
      <c r="L46" s="674"/>
      <c r="M46" s="675"/>
    </row>
    <row r="47" spans="1:14" s="55" customFormat="1" ht="20.25" x14ac:dyDescent="0.2">
      <c r="A47" s="54"/>
      <c r="B47" s="54"/>
      <c r="C47" s="58" t="s">
        <v>126</v>
      </c>
      <c r="D47" s="58"/>
      <c r="E47" s="58"/>
      <c r="F47" s="58"/>
      <c r="G47" s="193">
        <f>3750+38808</f>
        <v>42558</v>
      </c>
      <c r="H47" s="193"/>
      <c r="I47" s="193">
        <v>79050</v>
      </c>
      <c r="K47" s="675"/>
      <c r="L47" s="674"/>
      <c r="M47" s="675"/>
    </row>
    <row r="48" spans="1:14" s="55" customFormat="1" ht="20.25" x14ac:dyDescent="0.2">
      <c r="A48" s="58"/>
      <c r="B48" s="58"/>
      <c r="D48" s="54" t="s">
        <v>127</v>
      </c>
      <c r="G48" s="193">
        <f>SUM(G27:G47)</f>
        <v>1718286</v>
      </c>
      <c r="H48" s="193"/>
      <c r="I48" s="193">
        <f>SUM(I27:I47)</f>
        <v>1724853</v>
      </c>
      <c r="K48" s="675"/>
      <c r="L48" s="674"/>
      <c r="M48" s="675"/>
    </row>
    <row r="49" spans="1:13" s="55" customFormat="1" ht="8.25" customHeight="1" x14ac:dyDescent="0.2">
      <c r="A49" s="58"/>
      <c r="B49" s="58"/>
      <c r="C49" s="54"/>
      <c r="D49" s="54"/>
      <c r="G49" s="193"/>
      <c r="H49" s="193"/>
      <c r="I49" s="193"/>
      <c r="K49" s="675"/>
      <c r="L49" s="674"/>
      <c r="M49" s="675"/>
    </row>
    <row r="50" spans="1:13" s="55" customFormat="1" ht="20.25" x14ac:dyDescent="0.2">
      <c r="A50" s="58"/>
      <c r="B50" s="58"/>
      <c r="C50" s="679" t="s">
        <v>416</v>
      </c>
      <c r="D50"/>
      <c r="E50" s="54"/>
      <c r="F50" s="54"/>
      <c r="G50" s="201">
        <f>G24-G48</f>
        <v>-113372</v>
      </c>
      <c r="H50" s="193"/>
      <c r="I50" s="201">
        <f>I24-I48</f>
        <v>-5513</v>
      </c>
      <c r="K50" s="675"/>
      <c r="L50" s="674"/>
      <c r="M50" s="675"/>
    </row>
    <row r="51" spans="1:13" s="55" customFormat="1" ht="9" customHeight="1" x14ac:dyDescent="0.2">
      <c r="A51" s="58"/>
      <c r="B51" s="58"/>
      <c r="C51" s="58"/>
      <c r="D51" s="58"/>
      <c r="E51" s="58"/>
      <c r="F51" s="58"/>
      <c r="G51" s="193"/>
      <c r="H51" s="193"/>
      <c r="I51" s="193"/>
      <c r="K51" s="675"/>
      <c r="L51" s="674"/>
      <c r="M51" s="675"/>
    </row>
    <row r="52" spans="1:13" s="55" customFormat="1" ht="23.25" customHeight="1" x14ac:dyDescent="0.2">
      <c r="A52" s="58"/>
      <c r="B52" s="58"/>
      <c r="C52" s="58" t="s">
        <v>466</v>
      </c>
      <c r="D52" s="58"/>
      <c r="F52" s="58"/>
      <c r="G52" s="193">
        <v>48285</v>
      </c>
      <c r="H52" s="193"/>
      <c r="I52" s="193">
        <v>39540</v>
      </c>
      <c r="K52" s="675"/>
      <c r="L52" s="674"/>
      <c r="M52" s="675"/>
    </row>
    <row r="53" spans="1:13" s="55" customFormat="1" ht="20.25" x14ac:dyDescent="0.2">
      <c r="A53" s="58"/>
      <c r="B53" s="58"/>
      <c r="C53" s="58" t="s">
        <v>32</v>
      </c>
      <c r="D53" s="58"/>
      <c r="F53" s="58"/>
      <c r="G53" s="193">
        <v>5933</v>
      </c>
      <c r="H53" s="193"/>
      <c r="I53" s="193">
        <v>465</v>
      </c>
      <c r="K53" s="675"/>
      <c r="L53" s="674"/>
      <c r="M53" s="675"/>
    </row>
    <row r="54" spans="1:13" s="55" customFormat="1" ht="9" customHeight="1" thickBot="1" x14ac:dyDescent="0.25">
      <c r="A54" s="58"/>
      <c r="B54" s="58"/>
      <c r="C54" s="58"/>
      <c r="D54" s="58"/>
      <c r="E54" s="58"/>
      <c r="F54" s="58"/>
      <c r="G54" s="193"/>
      <c r="H54" s="193"/>
      <c r="I54" s="193"/>
      <c r="K54" s="675"/>
      <c r="L54" s="674"/>
      <c r="M54" s="675"/>
    </row>
    <row r="55" spans="1:13" s="55" customFormat="1" ht="21.75" thickTop="1" thickBot="1" x14ac:dyDescent="0.25">
      <c r="A55" s="54"/>
      <c r="B55" s="54"/>
      <c r="C55" s="680" t="s">
        <v>417</v>
      </c>
      <c r="D55" s="681"/>
      <c r="E55" s="681"/>
      <c r="F55" s="681"/>
      <c r="G55" s="682">
        <f>G50-G53-G52</f>
        <v>-167590</v>
      </c>
      <c r="H55" s="682"/>
      <c r="I55" s="682">
        <f>I50-I53-I52</f>
        <v>-45518</v>
      </c>
      <c r="K55" s="675"/>
      <c r="L55" s="674"/>
      <c r="M55" s="675"/>
    </row>
    <row r="56" spans="1:13" s="55" customFormat="1" ht="21" thickTop="1" x14ac:dyDescent="0.2">
      <c r="A56" s="54"/>
      <c r="B56" s="54"/>
      <c r="C56" s="54"/>
      <c r="D56" s="54"/>
      <c r="E56" s="54"/>
      <c r="F56" s="54"/>
      <c r="G56" s="196"/>
      <c r="H56" s="196"/>
      <c r="K56" s="675"/>
      <c r="L56" s="674"/>
      <c r="M56" s="675"/>
    </row>
    <row r="57" spans="1:13" ht="20.25" x14ac:dyDescent="0.3">
      <c r="B57" s="683" t="s">
        <v>477</v>
      </c>
      <c r="C57" s="684"/>
      <c r="F57" s="609"/>
      <c r="G57" s="227"/>
      <c r="H57" s="227"/>
      <c r="I57" s="684"/>
    </row>
    <row r="58" spans="1:13" ht="9.75" customHeight="1" x14ac:dyDescent="0.3">
      <c r="B58" s="683"/>
      <c r="C58" s="684"/>
      <c r="F58" s="609"/>
      <c r="G58" s="227"/>
      <c r="H58" s="227"/>
      <c r="I58" s="684"/>
    </row>
    <row r="59" spans="1:13" ht="20.25" x14ac:dyDescent="0.3">
      <c r="B59" s="683"/>
      <c r="C59" s="30" t="s">
        <v>478</v>
      </c>
      <c r="F59" s="609"/>
      <c r="G59" s="227"/>
      <c r="H59" s="227"/>
      <c r="I59" s="684"/>
    </row>
    <row r="60" spans="1:13" ht="20.25" x14ac:dyDescent="0.3">
      <c r="B60" s="683"/>
      <c r="C60" s="442" t="s">
        <v>479</v>
      </c>
      <c r="F60" s="609"/>
      <c r="G60" s="227"/>
      <c r="H60" s="227"/>
      <c r="I60" s="684"/>
    </row>
    <row r="61" spans="1:13" ht="33.75" customHeight="1" x14ac:dyDescent="0.3">
      <c r="B61" s="683"/>
      <c r="C61" s="785" t="s">
        <v>529</v>
      </c>
      <c r="D61" s="785"/>
      <c r="E61" s="785"/>
      <c r="F61" s="785"/>
      <c r="G61" s="785"/>
      <c r="H61" s="785"/>
      <c r="I61" s="785"/>
    </row>
    <row r="62" spans="1:13" s="714" customFormat="1" ht="39" customHeight="1" x14ac:dyDescent="0.2">
      <c r="A62" s="712"/>
      <c r="B62" s="713"/>
      <c r="C62" s="786" t="s">
        <v>528</v>
      </c>
      <c r="D62" s="786"/>
      <c r="E62" s="786"/>
      <c r="F62" s="786"/>
      <c r="G62" s="786"/>
      <c r="H62" s="786"/>
      <c r="I62" s="786"/>
      <c r="K62" s="715"/>
      <c r="L62" s="715"/>
      <c r="M62" s="715"/>
    </row>
    <row r="63" spans="1:13" ht="20.25" x14ac:dyDescent="0.3">
      <c r="B63" s="683"/>
      <c r="C63" s="442" t="s">
        <v>525</v>
      </c>
      <c r="F63" s="609"/>
      <c r="G63" s="227"/>
      <c r="H63" s="227"/>
      <c r="I63" s="684"/>
    </row>
    <row r="64" spans="1:13" ht="20.25" x14ac:dyDescent="0.3">
      <c r="B64" s="683"/>
      <c r="C64">
        <v>1</v>
      </c>
      <c r="D64" s="442" t="s">
        <v>510</v>
      </c>
      <c r="F64" s="609"/>
      <c r="G64" s="227"/>
      <c r="H64" s="227"/>
      <c r="I64" s="684"/>
    </row>
    <row r="65" spans="2:9" ht="20.25" x14ac:dyDescent="0.3">
      <c r="B65" s="683"/>
      <c r="C65" s="442">
        <v>2</v>
      </c>
      <c r="D65" s="442" t="s">
        <v>511</v>
      </c>
      <c r="F65" s="609"/>
      <c r="G65" s="227"/>
      <c r="H65" s="227"/>
      <c r="I65" s="684"/>
    </row>
    <row r="66" spans="2:9" ht="20.25" x14ac:dyDescent="0.3">
      <c r="B66" s="683"/>
      <c r="C66" s="442">
        <v>3</v>
      </c>
      <c r="D66" s="442" t="s">
        <v>512</v>
      </c>
      <c r="F66" s="609"/>
      <c r="G66" s="227"/>
      <c r="H66" s="227"/>
      <c r="I66" s="684"/>
    </row>
    <row r="67" spans="2:9" ht="20.25" x14ac:dyDescent="0.3">
      <c r="B67" s="683"/>
      <c r="C67" s="442" t="s">
        <v>526</v>
      </c>
      <c r="D67" s="442"/>
      <c r="F67" s="609"/>
      <c r="G67" s="227"/>
      <c r="H67" s="227"/>
      <c r="I67" s="684"/>
    </row>
    <row r="68" spans="2:9" ht="39.75" customHeight="1" x14ac:dyDescent="0.3">
      <c r="B68" s="683"/>
      <c r="C68" s="785" t="s">
        <v>527</v>
      </c>
      <c r="D68" s="785"/>
      <c r="E68" s="785"/>
      <c r="F68" s="785"/>
      <c r="G68" s="785"/>
      <c r="H68" s="785"/>
      <c r="I68" s="785"/>
    </row>
    <row r="69" spans="2:9" ht="20.25" customHeight="1" x14ac:dyDescent="0.2">
      <c r="C69" s="785" t="s">
        <v>530</v>
      </c>
      <c r="D69" s="785"/>
      <c r="E69" s="785"/>
      <c r="F69" s="785"/>
      <c r="G69" s="785"/>
      <c r="H69" s="785"/>
      <c r="I69" s="785"/>
    </row>
    <row r="70" spans="2:9" ht="11.25" customHeight="1" x14ac:dyDescent="0.3">
      <c r="C70" s="442"/>
      <c r="F70" s="609"/>
      <c r="G70" s="227"/>
      <c r="H70" s="227"/>
      <c r="I70" s="684"/>
    </row>
    <row r="71" spans="2:9" ht="20.25" x14ac:dyDescent="0.3">
      <c r="C71" s="685" t="s">
        <v>480</v>
      </c>
      <c r="F71" s="609"/>
      <c r="G71" s="227"/>
      <c r="H71" s="227"/>
      <c r="I71" s="684"/>
    </row>
    <row r="72" spans="2:9" ht="38.25" customHeight="1" x14ac:dyDescent="0.2">
      <c r="C72" s="785" t="s">
        <v>481</v>
      </c>
      <c r="D72" s="785"/>
      <c r="E72" s="785"/>
      <c r="F72" s="785"/>
      <c r="G72" s="785"/>
      <c r="H72" s="785"/>
      <c r="I72" s="785"/>
    </row>
    <row r="73" spans="2:9" ht="37.5" customHeight="1" x14ac:dyDescent="0.2">
      <c r="C73" s="786" t="s">
        <v>524</v>
      </c>
      <c r="D73" s="786"/>
      <c r="E73" s="786"/>
      <c r="F73" s="786"/>
      <c r="G73" s="786"/>
      <c r="H73" s="786"/>
      <c r="I73" s="786"/>
    </row>
    <row r="74" spans="2:9" ht="18" x14ac:dyDescent="0.25">
      <c r="C74" s="442" t="s">
        <v>482</v>
      </c>
      <c r="F74" s="609"/>
      <c r="G74" s="684"/>
      <c r="H74" s="684"/>
      <c r="I74" s="684"/>
    </row>
    <row r="75" spans="2:9" ht="18" x14ac:dyDescent="0.25">
      <c r="C75" s="442" t="s">
        <v>522</v>
      </c>
      <c r="F75" s="609"/>
      <c r="G75" s="684"/>
      <c r="H75" s="684"/>
      <c r="I75" s="684"/>
    </row>
    <row r="76" spans="2:9" ht="29.25" customHeight="1" x14ac:dyDescent="0.2">
      <c r="C76" s="785" t="s">
        <v>523</v>
      </c>
      <c r="D76" s="785"/>
      <c r="E76" s="785"/>
      <c r="F76" s="785"/>
      <c r="G76" s="785"/>
      <c r="H76" s="785"/>
      <c r="I76" s="785"/>
    </row>
    <row r="77" spans="2:9" ht="18" x14ac:dyDescent="0.25">
      <c r="C77" s="229" t="s">
        <v>513</v>
      </c>
      <c r="F77" s="609"/>
      <c r="G77" s="684"/>
      <c r="H77" s="684"/>
      <c r="I77" s="684"/>
    </row>
    <row r="78" spans="2:9" ht="18" x14ac:dyDescent="0.25">
      <c r="C78" s="229">
        <v>1</v>
      </c>
      <c r="D78" s="229" t="s">
        <v>514</v>
      </c>
      <c r="F78" s="609"/>
      <c r="G78" s="684"/>
      <c r="H78" s="684"/>
      <c r="I78" s="684"/>
    </row>
    <row r="79" spans="2:9" ht="18" x14ac:dyDescent="0.25">
      <c r="C79" s="229">
        <v>2</v>
      </c>
      <c r="D79" s="229" t="s">
        <v>520</v>
      </c>
      <c r="F79" s="609"/>
    </row>
    <row r="80" spans="2:9" ht="18" x14ac:dyDescent="0.25">
      <c r="C80" s="229">
        <v>3</v>
      </c>
      <c r="D80" s="229" t="s">
        <v>521</v>
      </c>
      <c r="F80" s="609"/>
    </row>
    <row r="81" spans="3:6" ht="18" x14ac:dyDescent="0.25">
      <c r="C81" s="229">
        <v>4</v>
      </c>
      <c r="D81" s="229" t="s">
        <v>516</v>
      </c>
      <c r="F81" s="609"/>
    </row>
    <row r="82" spans="3:6" ht="18" x14ac:dyDescent="0.25">
      <c r="C82" s="229" t="s">
        <v>515</v>
      </c>
      <c r="D82" s="229"/>
      <c r="F82" s="609"/>
    </row>
    <row r="83" spans="3:6" ht="18" x14ac:dyDescent="0.25">
      <c r="C83" s="229" t="s">
        <v>518</v>
      </c>
      <c r="D83" s="229"/>
      <c r="F83" s="609"/>
    </row>
    <row r="84" spans="3:6" ht="18" x14ac:dyDescent="0.25">
      <c r="C84" s="229">
        <v>1</v>
      </c>
      <c r="D84" s="229" t="s">
        <v>517</v>
      </c>
      <c r="F84" s="88"/>
    </row>
    <row r="85" spans="3:6" ht="18" x14ac:dyDescent="0.25">
      <c r="C85" s="229">
        <v>2</v>
      </c>
      <c r="D85" s="229" t="s">
        <v>519</v>
      </c>
      <c r="F85" s="88"/>
    </row>
    <row r="86" spans="3:6" x14ac:dyDescent="0.2">
      <c r="C86" s="229" t="s">
        <v>515</v>
      </c>
      <c r="D86" s="229"/>
    </row>
    <row r="87" spans="3:6" x14ac:dyDescent="0.2">
      <c r="C87" s="229" t="s">
        <v>531</v>
      </c>
      <c r="D87" s="229"/>
    </row>
    <row r="88" spans="3:6" x14ac:dyDescent="0.2">
      <c r="C88" s="229" t="s">
        <v>532</v>
      </c>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4" x14ac:dyDescent="0.2">
      <c r="C97" s="229"/>
      <c r="D97" s="229"/>
    </row>
    <row r="98" spans="3:4" x14ac:dyDescent="0.2">
      <c r="C98" s="229"/>
    </row>
    <row r="99" spans="3:4" x14ac:dyDescent="0.2">
      <c r="C99" s="229"/>
    </row>
    <row r="100" spans="3:4" x14ac:dyDescent="0.2">
      <c r="C100" s="229"/>
    </row>
    <row r="101" spans="3:4" x14ac:dyDescent="0.2">
      <c r="C101" s="229"/>
    </row>
    <row r="102" spans="3:4" x14ac:dyDescent="0.2">
      <c r="C102" s="229"/>
    </row>
    <row r="103" spans="3:4" x14ac:dyDescent="0.2">
      <c r="C103" s="229"/>
    </row>
    <row r="104" spans="3:4" x14ac:dyDescent="0.2">
      <c r="C104" s="229"/>
    </row>
    <row r="105" spans="3:4" x14ac:dyDescent="0.2">
      <c r="C105" s="229"/>
    </row>
    <row r="106" spans="3:4" x14ac:dyDescent="0.2">
      <c r="C106" s="229"/>
    </row>
    <row r="107" spans="3:4" x14ac:dyDescent="0.2">
      <c r="C107" s="229"/>
    </row>
    <row r="108" spans="3:4" x14ac:dyDescent="0.2">
      <c r="C108" s="229"/>
    </row>
    <row r="109" spans="3:4" x14ac:dyDescent="0.2">
      <c r="C109" s="229"/>
    </row>
    <row r="110" spans="3:4" x14ac:dyDescent="0.2">
      <c r="C110" s="229"/>
    </row>
    <row r="111" spans="3:4" x14ac:dyDescent="0.2">
      <c r="C111" s="229"/>
    </row>
    <row r="112" spans="3:4" x14ac:dyDescent="0.2">
      <c r="C112" s="22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305"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93</v>
      </c>
      <c r="B1" s="47"/>
      <c r="C1" s="48"/>
      <c r="D1" s="48"/>
      <c r="E1" s="48"/>
      <c r="F1" s="47"/>
      <c r="G1" s="47"/>
      <c r="H1" s="47"/>
      <c r="I1" s="47"/>
      <c r="J1" s="47"/>
      <c r="K1" s="47"/>
      <c r="L1" s="301"/>
      <c r="M1" s="47"/>
      <c r="N1" s="47"/>
      <c r="O1" s="47"/>
      <c r="P1" s="47"/>
      <c r="Q1" s="47"/>
    </row>
    <row r="2" spans="1:39" ht="22.5" customHeight="1" x14ac:dyDescent="0.4">
      <c r="A2" s="46" t="s">
        <v>212</v>
      </c>
      <c r="B2" s="47"/>
      <c r="C2" s="48"/>
      <c r="D2" s="48"/>
      <c r="E2" s="48"/>
      <c r="F2" s="47"/>
      <c r="G2" s="47"/>
      <c r="H2" s="47"/>
      <c r="I2" s="47"/>
      <c r="J2" s="47"/>
      <c r="K2" s="47"/>
      <c r="L2" s="301"/>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301"/>
      <c r="M3" s="47"/>
      <c r="N3" s="47"/>
      <c r="O3" s="47"/>
      <c r="P3" s="47"/>
      <c r="Q3" s="47"/>
    </row>
    <row r="4" spans="1:39" ht="22.5" customHeight="1" x14ac:dyDescent="0.4">
      <c r="A4" s="46" t="s">
        <v>483</v>
      </c>
      <c r="B4" s="47"/>
      <c r="C4" s="48"/>
      <c r="D4" s="48"/>
      <c r="E4" s="48"/>
      <c r="F4" s="47"/>
      <c r="G4" s="47"/>
      <c r="H4" s="47"/>
      <c r="I4" s="47"/>
      <c r="J4" s="47"/>
      <c r="K4" s="47"/>
      <c r="L4" s="301"/>
      <c r="M4" s="47"/>
      <c r="N4" s="47"/>
      <c r="O4" s="47"/>
      <c r="P4" s="47"/>
      <c r="Q4" s="47"/>
    </row>
    <row r="5" spans="1:39" s="50" customFormat="1" ht="8.25" customHeight="1" thickBot="1" x14ac:dyDescent="0.25">
      <c r="A5" s="49"/>
      <c r="B5" s="49"/>
      <c r="C5" s="49"/>
      <c r="D5" s="49"/>
      <c r="E5" s="49"/>
      <c r="F5" s="49"/>
      <c r="G5" s="49"/>
      <c r="H5" s="49"/>
      <c r="I5" s="49"/>
      <c r="K5" s="269"/>
      <c r="L5" s="302"/>
      <c r="R5" s="688"/>
      <c r="W5" s="629"/>
      <c r="Y5" s="689"/>
    </row>
    <row r="6" spans="1:39" s="53" customFormat="1" ht="24.75" customHeight="1" thickTop="1" thickBot="1" x14ac:dyDescent="0.25">
      <c r="A6" s="51" t="s">
        <v>107</v>
      </c>
      <c r="B6" s="51"/>
      <c r="C6" s="51"/>
      <c r="D6" s="51"/>
      <c r="E6" s="51"/>
      <c r="F6" s="51"/>
      <c r="G6" s="51"/>
      <c r="H6" s="51"/>
      <c r="I6" s="51"/>
      <c r="J6" s="327"/>
      <c r="K6" s="690"/>
      <c r="L6" s="303"/>
      <c r="M6" s="52"/>
      <c r="N6" s="52"/>
      <c r="O6" s="52"/>
      <c r="P6" s="52"/>
      <c r="Q6" s="52"/>
      <c r="R6" s="691"/>
      <c r="S6" s="52"/>
      <c r="T6" s="52"/>
      <c r="U6" s="52"/>
      <c r="V6" s="52"/>
      <c r="W6" s="692"/>
      <c r="X6" s="52"/>
      <c r="Y6" s="693"/>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304"/>
      <c r="R7" s="579"/>
      <c r="W7" s="629"/>
      <c r="Y7" s="693"/>
    </row>
    <row r="8" spans="1:39" ht="21" thickBot="1" x14ac:dyDescent="0.35">
      <c r="A8" s="56"/>
      <c r="B8" s="120" t="s">
        <v>99</v>
      </c>
      <c r="C8" s="120"/>
      <c r="D8" s="120"/>
      <c r="E8" s="120"/>
      <c r="F8" s="120"/>
      <c r="G8" s="544">
        <v>43465</v>
      </c>
      <c r="H8" s="544">
        <v>43830</v>
      </c>
      <c r="I8" s="544">
        <v>44196</v>
      </c>
      <c r="J8" s="544">
        <v>44561</v>
      </c>
      <c r="K8" s="544">
        <v>44926</v>
      </c>
    </row>
    <row r="9" spans="1:39" s="55" customFormat="1" ht="20.25" x14ac:dyDescent="0.2">
      <c r="A9" s="54"/>
      <c r="B9" s="54"/>
      <c r="C9" s="58" t="s">
        <v>149</v>
      </c>
      <c r="D9" s="58"/>
      <c r="E9" s="58"/>
      <c r="F9" s="54"/>
      <c r="G9" s="202">
        <f>153461+3123</f>
        <v>156584</v>
      </c>
      <c r="H9" s="202">
        <v>158721</v>
      </c>
      <c r="I9" s="202">
        <f>68070.06</f>
        <v>68070.06</v>
      </c>
      <c r="J9" s="202">
        <v>85646.89</v>
      </c>
      <c r="K9" s="202">
        <f>57601.72+8000*2+14508</f>
        <v>88109.72</v>
      </c>
      <c r="L9" s="304"/>
      <c r="R9" s="579"/>
      <c r="W9" s="629"/>
      <c r="Y9" s="693"/>
    </row>
    <row r="10" spans="1:39" s="55" customFormat="1" ht="20.25" x14ac:dyDescent="0.2">
      <c r="A10" s="54"/>
      <c r="B10" s="54"/>
      <c r="C10" s="58" t="s">
        <v>213</v>
      </c>
      <c r="D10" s="58"/>
      <c r="E10" s="58"/>
      <c r="F10" s="54"/>
      <c r="G10" s="193">
        <v>20332</v>
      </c>
      <c r="H10" s="193">
        <v>12278.42</v>
      </c>
      <c r="I10" s="193">
        <v>16169.1</v>
      </c>
      <c r="J10" s="193">
        <v>34505.879999999997</v>
      </c>
      <c r="K10" s="193">
        <v>13825</v>
      </c>
      <c r="L10" s="304"/>
      <c r="R10" s="579"/>
      <c r="W10" s="629"/>
      <c r="Y10" s="693"/>
    </row>
    <row r="11" spans="1:39" s="55" customFormat="1" ht="20.25" x14ac:dyDescent="0.2">
      <c r="A11" s="54"/>
      <c r="B11" s="54"/>
      <c r="C11" s="58" t="s">
        <v>388</v>
      </c>
      <c r="D11" s="58"/>
      <c r="E11" s="58"/>
      <c r="F11" s="54"/>
      <c r="G11" s="193"/>
      <c r="H11" s="193">
        <v>10616</v>
      </c>
      <c r="I11" s="193">
        <v>3260</v>
      </c>
      <c r="J11" s="193">
        <v>0</v>
      </c>
      <c r="K11" s="193">
        <f>29668+15301</f>
        <v>44969</v>
      </c>
      <c r="L11" s="304"/>
      <c r="R11" s="579"/>
      <c r="W11" s="629"/>
      <c r="Y11" s="693"/>
    </row>
    <row r="12" spans="1:39" s="55" customFormat="1" ht="20.25" x14ac:dyDescent="0.2">
      <c r="A12" s="54"/>
      <c r="B12" s="54"/>
      <c r="C12" s="58" t="s">
        <v>101</v>
      </c>
      <c r="D12" s="58"/>
      <c r="E12" s="58"/>
      <c r="F12" s="54"/>
      <c r="G12" s="193"/>
      <c r="H12" s="193"/>
      <c r="I12" s="193"/>
      <c r="J12" s="193"/>
      <c r="K12" s="193"/>
      <c r="L12" s="304"/>
      <c r="R12" s="579"/>
      <c r="W12" s="629"/>
      <c r="Y12" s="693"/>
    </row>
    <row r="13" spans="1:39" s="55" customFormat="1" ht="20.25" x14ac:dyDescent="0.2">
      <c r="A13" s="54"/>
      <c r="B13" s="54"/>
      <c r="D13" s="58" t="s">
        <v>214</v>
      </c>
      <c r="E13" s="58"/>
      <c r="F13" s="54"/>
      <c r="G13" s="193">
        <v>42500</v>
      </c>
      <c r="H13" s="193">
        <v>44499.96</v>
      </c>
      <c r="I13" s="193">
        <f>3750*12</f>
        <v>45000</v>
      </c>
      <c r="J13" s="193">
        <v>45500</v>
      </c>
      <c r="K13" s="193">
        <v>46000</v>
      </c>
      <c r="L13" s="694"/>
      <c r="M13" s="385"/>
      <c r="N13" s="385"/>
      <c r="O13" s="385"/>
      <c r="P13" s="385"/>
      <c r="R13" s="579"/>
      <c r="W13" s="629"/>
      <c r="Y13" s="693"/>
    </row>
    <row r="14" spans="1:39" s="55" customFormat="1" ht="20.25" x14ac:dyDescent="0.2">
      <c r="A14" s="54"/>
      <c r="B14" s="54"/>
      <c r="D14" s="58" t="s">
        <v>158</v>
      </c>
      <c r="E14" s="58"/>
      <c r="F14" s="54"/>
      <c r="G14" s="193">
        <v>9000</v>
      </c>
      <c r="H14" s="193">
        <v>13000</v>
      </c>
      <c r="I14" s="193">
        <v>18000</v>
      </c>
      <c r="J14" s="193">
        <v>18000</v>
      </c>
      <c r="K14" s="193">
        <v>18000</v>
      </c>
      <c r="L14" s="304"/>
      <c r="M14" s="387"/>
      <c r="N14" s="387"/>
      <c r="O14" s="387"/>
      <c r="P14" s="58"/>
      <c r="R14" s="579"/>
      <c r="W14" s="629"/>
      <c r="Y14" s="693"/>
    </row>
    <row r="15" spans="1:39" s="55" customFormat="1" ht="20.25" x14ac:dyDescent="0.2">
      <c r="A15" s="54"/>
      <c r="B15" s="54"/>
      <c r="C15" s="58" t="s">
        <v>102</v>
      </c>
      <c r="D15" s="58"/>
      <c r="E15" s="58"/>
      <c r="F15" s="54"/>
      <c r="G15" s="193">
        <v>12796</v>
      </c>
      <c r="H15" s="193">
        <v>13071.46</v>
      </c>
      <c r="I15" s="193">
        <v>12695.06</v>
      </c>
      <c r="J15" s="193">
        <v>17445.740000000002</v>
      </c>
      <c r="K15" s="193">
        <v>17500</v>
      </c>
      <c r="L15" s="304"/>
      <c r="M15" s="387"/>
      <c r="N15" s="387"/>
      <c r="O15" s="387"/>
      <c r="P15" s="304"/>
      <c r="R15" s="579"/>
      <c r="W15" s="629"/>
      <c r="Y15" s="693"/>
    </row>
    <row r="16" spans="1:39" s="55" customFormat="1" ht="20.25" x14ac:dyDescent="0.2">
      <c r="A16" s="54"/>
      <c r="B16" s="54"/>
      <c r="C16" s="58" t="s">
        <v>484</v>
      </c>
      <c r="D16" s="58"/>
      <c r="E16" s="58"/>
      <c r="F16" s="54"/>
      <c r="G16" s="193">
        <f>25000</f>
        <v>25000</v>
      </c>
      <c r="H16" s="193">
        <v>71886</v>
      </c>
      <c r="I16" s="193">
        <v>77911.459999999992</v>
      </c>
      <c r="J16" s="193">
        <v>80378.48</v>
      </c>
      <c r="K16" s="193">
        <v>34118</v>
      </c>
      <c r="L16" s="304"/>
      <c r="M16" s="387"/>
      <c r="N16" s="387"/>
      <c r="O16" s="387"/>
      <c r="P16" s="304"/>
      <c r="R16" s="579"/>
      <c r="W16" s="629"/>
      <c r="Y16" s="693"/>
    </row>
    <row r="17" spans="1:25" s="55" customFormat="1" ht="20.25" x14ac:dyDescent="0.2">
      <c r="A17" s="54"/>
      <c r="B17" s="54"/>
      <c r="C17" s="58" t="s">
        <v>349</v>
      </c>
      <c r="D17" s="58"/>
      <c r="E17" s="58"/>
      <c r="F17" s="54"/>
      <c r="G17" s="193">
        <f>659</f>
        <v>659</v>
      </c>
      <c r="H17" s="193">
        <v>7946</v>
      </c>
      <c r="I17" s="193">
        <v>255.74</v>
      </c>
      <c r="J17" s="193">
        <v>3312.47</v>
      </c>
      <c r="K17" s="193">
        <v>180</v>
      </c>
      <c r="L17" s="304"/>
      <c r="M17" s="387"/>
      <c r="N17" s="387"/>
      <c r="O17" s="387"/>
      <c r="P17" s="304"/>
      <c r="R17" s="579"/>
      <c r="W17" s="629"/>
      <c r="Y17" s="693"/>
    </row>
    <row r="18" spans="1:25" s="55" customFormat="1" ht="21" thickBot="1" x14ac:dyDescent="0.25">
      <c r="A18" s="54"/>
      <c r="B18" s="54"/>
      <c r="C18" s="58" t="s">
        <v>216</v>
      </c>
      <c r="D18" s="58"/>
      <c r="E18" s="58"/>
      <c r="F18" s="54"/>
      <c r="G18" s="200">
        <v>9315</v>
      </c>
      <c r="H18" s="200">
        <v>9315</v>
      </c>
      <c r="I18" s="200">
        <v>9315</v>
      </c>
      <c r="J18" s="200">
        <v>10548</v>
      </c>
      <c r="K18" s="200">
        <v>10548</v>
      </c>
      <c r="L18" s="304"/>
      <c r="W18" s="629"/>
      <c r="Y18" s="693"/>
    </row>
    <row r="19" spans="1:25" s="55" customFormat="1" ht="20.25" x14ac:dyDescent="0.2">
      <c r="A19" s="54"/>
      <c r="B19" s="54"/>
      <c r="C19" s="58"/>
      <c r="D19" s="54" t="s">
        <v>104</v>
      </c>
      <c r="E19" s="58"/>
      <c r="F19" s="54"/>
      <c r="G19" s="193">
        <f>SUM(G9:G18)</f>
        <v>276186</v>
      </c>
      <c r="H19" s="193">
        <f>SUM(H9:H18)</f>
        <v>341333.83999999997</v>
      </c>
      <c r="I19" s="193">
        <f>SUM(I9:I18)</f>
        <v>250676.41999999998</v>
      </c>
      <c r="J19" s="193">
        <f>SUM(J9:J18)</f>
        <v>295337.45999999996</v>
      </c>
      <c r="K19" s="193">
        <f>SUM(K9:K18)</f>
        <v>273249.71999999997</v>
      </c>
      <c r="L19" s="304"/>
      <c r="W19" s="629"/>
      <c r="Y19" s="693"/>
    </row>
    <row r="20" spans="1:25" s="55" customFormat="1" ht="20.25" x14ac:dyDescent="0.2">
      <c r="A20" s="54"/>
      <c r="B20" s="54"/>
      <c r="C20" s="54" t="s">
        <v>217</v>
      </c>
      <c r="D20" s="58"/>
      <c r="E20" s="58"/>
      <c r="F20" s="54"/>
      <c r="G20" s="193">
        <v>19000</v>
      </c>
      <c r="H20" s="193">
        <v>19000</v>
      </c>
      <c r="I20" s="193">
        <v>19000</v>
      </c>
      <c r="J20" s="193">
        <v>18500</v>
      </c>
      <c r="K20" s="193">
        <f>13333/8*12</f>
        <v>19999.5</v>
      </c>
      <c r="L20" s="304"/>
      <c r="R20" s="579"/>
      <c r="W20" s="629"/>
      <c r="Y20" s="693"/>
    </row>
    <row r="21" spans="1:25" s="55" customFormat="1" ht="21" thickBot="1" x14ac:dyDescent="0.25">
      <c r="A21" s="54"/>
      <c r="B21" s="54"/>
      <c r="C21" s="54" t="s">
        <v>218</v>
      </c>
      <c r="D21" s="58"/>
      <c r="E21" s="58"/>
      <c r="F21" s="54"/>
      <c r="G21" s="200">
        <v>37641</v>
      </c>
      <c r="H21" s="200">
        <v>37834</v>
      </c>
      <c r="I21" s="200">
        <v>34669.31</v>
      </c>
      <c r="J21" s="200">
        <v>26400.720000000001</v>
      </c>
      <c r="K21" s="200">
        <v>43300</v>
      </c>
      <c r="L21" s="304"/>
      <c r="R21" s="579"/>
      <c r="W21" s="629"/>
      <c r="Y21" s="693"/>
    </row>
    <row r="22" spans="1:25" s="55" customFormat="1" ht="20.25" x14ac:dyDescent="0.2">
      <c r="A22" s="54"/>
      <c r="B22" s="54"/>
      <c r="C22" s="58"/>
      <c r="D22" s="54" t="s">
        <v>106</v>
      </c>
      <c r="E22" s="58"/>
      <c r="F22" s="54"/>
      <c r="G22" s="193">
        <f>SUM(G19:G21)</f>
        <v>332827</v>
      </c>
      <c r="H22" s="193">
        <f>SUM(H19:H21)</f>
        <v>398167.83999999997</v>
      </c>
      <c r="I22" s="193">
        <f>SUM(I19:I21)</f>
        <v>304345.73</v>
      </c>
      <c r="J22" s="193">
        <f>SUM(J19:J21)</f>
        <v>340238.17999999993</v>
      </c>
      <c r="K22" s="193">
        <f>SUM(K19:K21)</f>
        <v>336549.22</v>
      </c>
      <c r="L22" s="304"/>
      <c r="R22" s="579"/>
      <c r="W22" s="629"/>
      <c r="Y22" s="693"/>
    </row>
    <row r="23" spans="1:25" s="55" customFormat="1" ht="20.25" x14ac:dyDescent="0.2">
      <c r="A23" s="54"/>
      <c r="B23" s="54"/>
      <c r="C23" s="58"/>
      <c r="D23" s="54"/>
      <c r="E23" s="58"/>
      <c r="F23" s="54" t="s">
        <v>485</v>
      </c>
      <c r="G23" s="193"/>
      <c r="H23" s="193">
        <v>-46886</v>
      </c>
      <c r="I23" s="193"/>
      <c r="J23" s="193"/>
      <c r="K23" s="193"/>
      <c r="L23" s="304"/>
      <c r="R23" s="579"/>
      <c r="W23" s="629"/>
      <c r="Y23" s="693"/>
    </row>
    <row r="24" spans="1:25" s="55" customFormat="1" ht="20.25" x14ac:dyDescent="0.2">
      <c r="A24" s="54"/>
      <c r="B24" s="54"/>
      <c r="C24" s="58"/>
      <c r="D24" s="54" t="s">
        <v>486</v>
      </c>
      <c r="E24" s="58"/>
      <c r="F24" s="54"/>
      <c r="G24" s="193"/>
      <c r="H24" s="193">
        <f>SUM(H22:H23)</f>
        <v>351281.83999999997</v>
      </c>
      <c r="I24" s="193"/>
      <c r="J24" s="193"/>
      <c r="K24" s="193"/>
      <c r="L24" s="304"/>
      <c r="R24" s="579"/>
      <c r="W24" s="629"/>
      <c r="Y24" s="693"/>
    </row>
    <row r="25" spans="1:25" s="55" customFormat="1" ht="20.25" x14ac:dyDescent="0.2">
      <c r="A25" s="54"/>
      <c r="B25" s="54"/>
      <c r="C25" s="58"/>
      <c r="D25" s="54"/>
      <c r="E25" s="58"/>
      <c r="F25" s="54"/>
      <c r="G25" s="54"/>
      <c r="H25" s="54"/>
      <c r="I25" s="54"/>
      <c r="J25" s="481"/>
      <c r="K25" s="481"/>
      <c r="L25" s="304"/>
      <c r="R25" s="579"/>
      <c r="W25" s="629"/>
      <c r="Y25" s="693"/>
    </row>
    <row r="26" spans="1:25" s="55" customFormat="1" ht="21" thickBot="1" x14ac:dyDescent="0.25">
      <c r="A26" s="54"/>
      <c r="B26" s="66" t="s">
        <v>110</v>
      </c>
      <c r="C26" s="66"/>
      <c r="D26" s="66"/>
      <c r="E26" s="66"/>
      <c r="F26" s="66"/>
      <c r="G26" s="54"/>
      <c r="H26" s="54"/>
      <c r="I26" s="54"/>
      <c r="L26" s="304"/>
      <c r="R26" s="579"/>
      <c r="W26" s="629"/>
      <c r="Y26" s="693"/>
    </row>
    <row r="27" spans="1:25" s="55" customFormat="1" ht="20.25" x14ac:dyDescent="0.2">
      <c r="A27" s="54"/>
      <c r="B27" s="54"/>
      <c r="C27" s="58" t="s">
        <v>219</v>
      </c>
      <c r="D27" s="58"/>
      <c r="E27" s="58"/>
      <c r="F27" s="58"/>
      <c r="G27" s="58"/>
      <c r="H27" s="58"/>
      <c r="I27" s="58"/>
      <c r="J27" s="225"/>
      <c r="K27" s="225"/>
      <c r="L27" s="304"/>
      <c r="R27" s="579"/>
      <c r="W27" s="629"/>
      <c r="Y27" s="693"/>
    </row>
    <row r="28" spans="1:25" s="55" customFormat="1" ht="20.25" x14ac:dyDescent="0.2">
      <c r="A28" s="54"/>
      <c r="B28" s="54"/>
      <c r="C28" s="58"/>
      <c r="D28" s="784" t="s">
        <v>220</v>
      </c>
      <c r="E28" s="784"/>
      <c r="F28" s="784"/>
      <c r="G28" s="670">
        <v>146508</v>
      </c>
      <c r="H28" s="670">
        <v>162253.75</v>
      </c>
      <c r="I28" s="670">
        <v>133830.65</v>
      </c>
      <c r="J28" s="670">
        <v>155035.70000000001</v>
      </c>
      <c r="K28" s="670">
        <v>203000</v>
      </c>
      <c r="L28" s="304" t="s">
        <v>487</v>
      </c>
      <c r="R28" s="579"/>
      <c r="W28" s="629"/>
      <c r="Y28" s="693"/>
    </row>
    <row r="29" spans="1:25" s="55" customFormat="1" ht="20.25" x14ac:dyDescent="0.2">
      <c r="A29" s="54"/>
      <c r="B29" s="54"/>
      <c r="C29" s="58"/>
      <c r="D29" s="784" t="s">
        <v>221</v>
      </c>
      <c r="E29" s="784"/>
      <c r="F29" s="784"/>
      <c r="G29" s="193">
        <v>59928</v>
      </c>
      <c r="H29" s="193">
        <f>37966.12+23862.63+605.03+106.59</f>
        <v>62540.369999999995</v>
      </c>
      <c r="I29" s="193">
        <f>44061.17+21220.39</f>
        <v>65281.56</v>
      </c>
      <c r="J29" s="193">
        <f>43631.85+27917.65</f>
        <v>71549.5</v>
      </c>
      <c r="K29" s="193">
        <f>49205+29027</f>
        <v>78232</v>
      </c>
      <c r="L29" s="304"/>
      <c r="M29" s="285"/>
      <c r="R29" s="579"/>
      <c r="W29" s="629"/>
      <c r="Y29" s="693"/>
    </row>
    <row r="30" spans="1:25" s="55" customFormat="1" ht="20.25" x14ac:dyDescent="0.2">
      <c r="A30" s="54"/>
      <c r="B30" s="54"/>
      <c r="C30" s="58"/>
      <c r="D30" s="784" t="s">
        <v>112</v>
      </c>
      <c r="E30" s="784"/>
      <c r="F30" s="784"/>
      <c r="G30" s="193">
        <v>39636</v>
      </c>
      <c r="H30" s="193">
        <v>42279.58</v>
      </c>
      <c r="I30" s="193">
        <v>36601</v>
      </c>
      <c r="J30" s="193">
        <f>J28*0.213+J29*0.14</f>
        <v>43039.534100000004</v>
      </c>
      <c r="K30" s="193">
        <f>K28*0.213+K29*0.14</f>
        <v>54191.48</v>
      </c>
      <c r="L30" s="304"/>
      <c r="M30" s="285"/>
      <c r="N30" s="285"/>
      <c r="P30" s="285"/>
      <c r="R30" s="579"/>
      <c r="W30" s="629"/>
      <c r="Y30" s="693"/>
    </row>
    <row r="31" spans="1:25" s="55" customFormat="1" ht="20.25" x14ac:dyDescent="0.2">
      <c r="A31" s="54"/>
      <c r="B31" s="54"/>
      <c r="C31" s="58" t="s">
        <v>277</v>
      </c>
      <c r="D31" s="58"/>
      <c r="E31" s="58"/>
      <c r="F31" s="58"/>
      <c r="G31" s="613"/>
      <c r="H31" s="613"/>
      <c r="I31" s="613"/>
      <c r="J31" s="613"/>
      <c r="K31" s="613"/>
      <c r="L31" s="304"/>
      <c r="R31" s="579"/>
      <c r="W31" s="629"/>
      <c r="Y31" s="693"/>
    </row>
    <row r="32" spans="1:25" s="55" customFormat="1" ht="20.25" x14ac:dyDescent="0.2">
      <c r="A32" s="54"/>
      <c r="B32" s="54"/>
      <c r="C32" s="58"/>
      <c r="D32" s="784" t="s">
        <v>222</v>
      </c>
      <c r="E32" s="784"/>
      <c r="F32" s="784"/>
      <c r="G32" s="670">
        <v>27184</v>
      </c>
      <c r="H32" s="670">
        <v>25472.83</v>
      </c>
      <c r="I32" s="670">
        <v>15135.29</v>
      </c>
      <c r="J32" s="670">
        <v>25112.19</v>
      </c>
      <c r="K32" s="670">
        <v>38000</v>
      </c>
      <c r="L32" s="304" t="s">
        <v>487</v>
      </c>
      <c r="R32" s="579"/>
      <c r="W32" s="629"/>
      <c r="Y32" s="693"/>
    </row>
    <row r="33" spans="1:25" s="55" customFormat="1" ht="20.25" x14ac:dyDescent="0.2">
      <c r="A33" s="54"/>
      <c r="B33" s="54"/>
      <c r="C33" s="58"/>
      <c r="D33" s="784" t="s">
        <v>223</v>
      </c>
      <c r="E33" s="784"/>
      <c r="F33" s="784"/>
      <c r="G33" s="193">
        <v>15511</v>
      </c>
      <c r="H33" s="193">
        <v>17989.87</v>
      </c>
      <c r="I33" s="193">
        <v>22636.98</v>
      </c>
      <c r="J33" s="193">
        <v>23957.25</v>
      </c>
      <c r="K33" s="193">
        <f>24654.76+600</f>
        <v>25254.76</v>
      </c>
      <c r="L33" s="304"/>
      <c r="R33" s="579"/>
      <c r="W33" s="629"/>
      <c r="Y33" s="693"/>
    </row>
    <row r="34" spans="1:25" s="55" customFormat="1" ht="20.25" x14ac:dyDescent="0.2">
      <c r="A34" s="54"/>
      <c r="B34" s="54"/>
      <c r="C34" s="58"/>
      <c r="D34" s="784" t="s">
        <v>303</v>
      </c>
      <c r="E34" s="784"/>
      <c r="F34" s="784"/>
      <c r="G34" s="670">
        <v>12450</v>
      </c>
      <c r="H34" s="670">
        <v>16090.9</v>
      </c>
      <c r="I34" s="670">
        <v>11030.88</v>
      </c>
      <c r="J34" s="670">
        <v>19504.66</v>
      </c>
      <c r="K34" s="670">
        <v>8800</v>
      </c>
      <c r="L34" s="304" t="s">
        <v>487</v>
      </c>
      <c r="R34" s="579"/>
      <c r="W34" s="629"/>
      <c r="Y34" s="693"/>
    </row>
    <row r="35" spans="1:25" s="55" customFormat="1" ht="20.25" x14ac:dyDescent="0.2">
      <c r="A35" s="54"/>
      <c r="B35" s="54"/>
      <c r="C35" s="58"/>
      <c r="D35" s="784" t="s">
        <v>224</v>
      </c>
      <c r="E35" s="784"/>
      <c r="F35" s="784"/>
      <c r="G35" s="193">
        <v>377</v>
      </c>
      <c r="H35" s="193">
        <v>1427.75</v>
      </c>
      <c r="I35" s="193">
        <v>397</v>
      </c>
      <c r="J35" s="193">
        <v>663</v>
      </c>
      <c r="K35" s="193">
        <v>750</v>
      </c>
      <c r="L35" s="304"/>
      <c r="R35" s="579"/>
      <c r="W35" s="629"/>
      <c r="Y35" s="693"/>
    </row>
    <row r="36" spans="1:25" s="55" customFormat="1" ht="20.25" x14ac:dyDescent="0.2">
      <c r="A36" s="54"/>
      <c r="B36" s="54"/>
      <c r="C36" s="58" t="s">
        <v>468</v>
      </c>
      <c r="D36" s="58"/>
      <c r="E36" s="58"/>
      <c r="F36" s="58"/>
      <c r="G36" s="193">
        <v>25080</v>
      </c>
      <c r="H36" s="193">
        <f>22438.68+1591</f>
        <v>24029.68</v>
      </c>
      <c r="I36" s="193">
        <f>29909+1860</f>
        <v>31769</v>
      </c>
      <c r="J36" s="193">
        <f>1903+28481</f>
        <v>30384</v>
      </c>
      <c r="K36" s="193">
        <f>20556/8*12</f>
        <v>30834</v>
      </c>
      <c r="L36" s="304"/>
      <c r="R36" s="579"/>
      <c r="W36" s="629"/>
      <c r="Y36" s="693"/>
    </row>
    <row r="37" spans="1:25" s="55" customFormat="1" ht="20.25" x14ac:dyDescent="0.2">
      <c r="A37" s="54"/>
      <c r="B37" s="54"/>
      <c r="C37" s="58" t="s">
        <v>103</v>
      </c>
      <c r="D37" s="58"/>
      <c r="E37" s="58"/>
      <c r="F37" s="58"/>
      <c r="G37" s="193">
        <f>G18</f>
        <v>9315</v>
      </c>
      <c r="H37" s="193">
        <f>H18</f>
        <v>9315</v>
      </c>
      <c r="I37" s="193">
        <f>I18</f>
        <v>9315</v>
      </c>
      <c r="J37" s="193">
        <f>J18</f>
        <v>10548</v>
      </c>
      <c r="K37" s="193">
        <f>K18</f>
        <v>10548</v>
      </c>
      <c r="L37" s="304"/>
      <c r="R37" s="579"/>
      <c r="W37" s="629"/>
      <c r="Y37" s="693"/>
    </row>
    <row r="38" spans="1:25" s="55" customFormat="1" ht="20.25" x14ac:dyDescent="0.2">
      <c r="A38" s="54"/>
      <c r="B38" s="54"/>
      <c r="C38" s="58" t="s">
        <v>312</v>
      </c>
      <c r="D38" s="58"/>
      <c r="E38" s="58"/>
      <c r="F38" s="58"/>
      <c r="G38" s="193">
        <v>4075</v>
      </c>
      <c r="H38" s="193">
        <v>4497</v>
      </c>
      <c r="I38" s="193">
        <v>4682.25</v>
      </c>
      <c r="J38" s="193">
        <v>4231.88</v>
      </c>
      <c r="K38" s="193">
        <f>3948.9+400+400</f>
        <v>4748.8999999999996</v>
      </c>
      <c r="L38" s="304"/>
      <c r="R38" s="579"/>
      <c r="W38" s="629"/>
      <c r="Y38" s="693"/>
    </row>
    <row r="39" spans="1:25" s="55" customFormat="1" ht="20.25" x14ac:dyDescent="0.2">
      <c r="A39" s="54"/>
      <c r="B39" s="54"/>
      <c r="C39" s="58" t="s">
        <v>226</v>
      </c>
      <c r="D39" s="58"/>
      <c r="E39" s="58"/>
      <c r="F39" s="58"/>
      <c r="G39" s="193">
        <v>1496</v>
      </c>
      <c r="H39" s="193">
        <f>75+874</f>
        <v>949</v>
      </c>
      <c r="I39" s="193">
        <v>982</v>
      </c>
      <c r="J39" s="193">
        <f>99+937</f>
        <v>1036</v>
      </c>
      <c r="K39" s="193">
        <v>1314</v>
      </c>
      <c r="L39" s="304"/>
      <c r="R39" s="579"/>
      <c r="W39" s="629"/>
      <c r="Y39" s="693"/>
    </row>
    <row r="40" spans="1:25" s="55" customFormat="1" ht="20.25" x14ac:dyDescent="0.2">
      <c r="A40" s="54"/>
      <c r="B40" s="54"/>
      <c r="C40" s="58" t="s">
        <v>381</v>
      </c>
      <c r="D40" s="58"/>
      <c r="E40" s="58"/>
      <c r="F40" s="58"/>
      <c r="G40" s="193">
        <v>3430</v>
      </c>
      <c r="H40" s="193">
        <v>4436.1400000000003</v>
      </c>
      <c r="I40" s="193">
        <v>7774.44</v>
      </c>
      <c r="J40" s="193">
        <f>7884.62+184.74</f>
        <v>8069.36</v>
      </c>
      <c r="K40" s="193">
        <v>8600</v>
      </c>
      <c r="L40" s="304"/>
      <c r="R40" s="579"/>
      <c r="W40" s="629"/>
      <c r="Y40" s="693"/>
    </row>
    <row r="41" spans="1:25" s="55" customFormat="1" ht="20.25" x14ac:dyDescent="0.2">
      <c r="A41" s="54"/>
      <c r="B41" s="54"/>
      <c r="C41" s="58" t="s">
        <v>227</v>
      </c>
      <c r="D41" s="58"/>
      <c r="E41" s="58"/>
      <c r="F41" s="58"/>
      <c r="G41" s="193">
        <v>459</v>
      </c>
      <c r="H41" s="193">
        <f>223.01+568.51</f>
        <v>791.52</v>
      </c>
      <c r="I41" s="193">
        <v>636.94000000000005</v>
      </c>
      <c r="J41" s="193">
        <f>958.23+28.31+10.3+36.4+4907.37</f>
        <v>5940.61</v>
      </c>
      <c r="K41" s="193">
        <v>1811</v>
      </c>
      <c r="L41" s="304"/>
      <c r="R41" s="579"/>
      <c r="W41" s="629"/>
      <c r="Y41" s="693"/>
    </row>
    <row r="42" spans="1:25" s="55" customFormat="1" ht="20.25" x14ac:dyDescent="0.2">
      <c r="A42" s="54"/>
      <c r="B42" s="54"/>
      <c r="C42" s="58" t="s">
        <v>121</v>
      </c>
      <c r="D42" s="58"/>
      <c r="E42" s="58"/>
      <c r="F42" s="58"/>
      <c r="G42" s="193">
        <v>1041</v>
      </c>
      <c r="H42" s="193">
        <v>1826.56</v>
      </c>
      <c r="I42" s="193">
        <v>2528.2399999999998</v>
      </c>
      <c r="J42" s="193">
        <v>3426.72</v>
      </c>
      <c r="K42" s="193">
        <f>235.23+4801.81</f>
        <v>5037.04</v>
      </c>
      <c r="L42" s="304"/>
      <c r="R42" s="579"/>
      <c r="W42" s="629"/>
      <c r="Y42" s="693"/>
    </row>
    <row r="43" spans="1:25" s="55" customFormat="1" ht="20.25" x14ac:dyDescent="0.2">
      <c r="A43" s="54"/>
      <c r="B43" s="54"/>
      <c r="C43" s="58" t="s">
        <v>119</v>
      </c>
      <c r="D43" s="58"/>
      <c r="E43" s="58"/>
      <c r="F43" s="58"/>
      <c r="G43" s="193">
        <v>436</v>
      </c>
      <c r="H43" s="193">
        <v>396.82</v>
      </c>
      <c r="I43" s="193">
        <v>385.18</v>
      </c>
      <c r="J43" s="193">
        <v>420.52</v>
      </c>
      <c r="K43" s="193">
        <f>421/10*12+125</f>
        <v>630.20000000000005</v>
      </c>
      <c r="L43" s="304"/>
      <c r="R43" s="579"/>
      <c r="W43" s="629"/>
      <c r="Y43" s="693"/>
    </row>
    <row r="44" spans="1:25" s="55" customFormat="1" ht="20.25" hidden="1" x14ac:dyDescent="0.2">
      <c r="A44" s="54"/>
      <c r="B44" s="54"/>
      <c r="C44" s="58" t="s">
        <v>228</v>
      </c>
      <c r="D44" s="58"/>
      <c r="E44" s="58"/>
      <c r="F44" s="58"/>
      <c r="G44" s="193"/>
      <c r="H44" s="193"/>
      <c r="I44" s="193"/>
      <c r="J44" s="193"/>
      <c r="K44" s="193"/>
      <c r="L44" s="304"/>
      <c r="R44" s="579"/>
      <c r="W44" s="629"/>
      <c r="Y44" s="693"/>
    </row>
    <row r="45" spans="1:25" s="55" customFormat="1" ht="20.25" x14ac:dyDescent="0.2">
      <c r="A45" s="58"/>
      <c r="B45" s="58"/>
      <c r="C45" s="58" t="s">
        <v>115</v>
      </c>
      <c r="D45" s="58"/>
      <c r="E45" s="58"/>
      <c r="F45" s="58"/>
      <c r="G45" s="193">
        <v>205</v>
      </c>
      <c r="H45" s="193">
        <v>422.62</v>
      </c>
      <c r="I45" s="193">
        <v>265.58</v>
      </c>
      <c r="J45" s="193">
        <v>225.92</v>
      </c>
      <c r="K45" s="193">
        <f>226/8*12</f>
        <v>339</v>
      </c>
      <c r="L45" s="304"/>
      <c r="R45" s="579"/>
      <c r="W45" s="629"/>
      <c r="Y45" s="693"/>
    </row>
    <row r="46" spans="1:25" s="55" customFormat="1" ht="20.25" x14ac:dyDescent="0.2">
      <c r="A46" s="58"/>
      <c r="B46" s="58"/>
      <c r="C46" s="58" t="s">
        <v>229</v>
      </c>
      <c r="D46" s="58"/>
      <c r="E46" s="58"/>
      <c r="F46" s="58"/>
      <c r="G46" s="195">
        <v>542</v>
      </c>
      <c r="H46" s="195">
        <f>248.22+18.56+28.25+5</f>
        <v>300.02999999999997</v>
      </c>
      <c r="I46" s="195">
        <v>938.98</v>
      </c>
      <c r="J46" s="195">
        <f>292.24+4514.12-J38+84.23</f>
        <v>658.70999999999958</v>
      </c>
      <c r="K46" s="195">
        <v>225</v>
      </c>
      <c r="L46" s="304"/>
      <c r="R46" s="579"/>
      <c r="W46" s="629"/>
      <c r="Y46" s="693"/>
    </row>
    <row r="47" spans="1:25" s="55" customFormat="1" ht="21" thickBot="1" x14ac:dyDescent="0.25">
      <c r="A47" s="54"/>
      <c r="B47" s="54"/>
      <c r="C47" s="54"/>
      <c r="D47" s="54" t="s">
        <v>127</v>
      </c>
      <c r="E47" s="54"/>
      <c r="F47" s="54"/>
      <c r="G47" s="382">
        <f>SUM(G28:G46)</f>
        <v>347673</v>
      </c>
      <c r="H47" s="382">
        <f>SUM(H28:H46)</f>
        <v>375019.4200000001</v>
      </c>
      <c r="I47" s="382">
        <f>SUM(I28:I46)</f>
        <v>344190.97</v>
      </c>
      <c r="J47" s="382">
        <f>SUM(J28:J46)</f>
        <v>403803.55409999995</v>
      </c>
      <c r="K47" s="382">
        <f>SUM(K28:K46)</f>
        <v>472315.38</v>
      </c>
      <c r="L47" s="304"/>
      <c r="R47" s="579"/>
      <c r="W47" s="629"/>
      <c r="Y47" s="693"/>
    </row>
    <row r="48" spans="1:25" s="55" customFormat="1" ht="21" thickBot="1" x14ac:dyDescent="0.25">
      <c r="A48" s="54"/>
      <c r="B48" s="54"/>
      <c r="C48" s="54"/>
      <c r="D48" s="54" t="s">
        <v>128</v>
      </c>
      <c r="E48" s="54"/>
      <c r="F48" s="54"/>
      <c r="G48" s="383">
        <f>G22-G47</f>
        <v>-14846</v>
      </c>
      <c r="H48" s="383">
        <f>H22-H47</f>
        <v>23148.419999999867</v>
      </c>
      <c r="I48" s="383">
        <f>I22-I47</f>
        <v>-39845.239999999991</v>
      </c>
      <c r="J48" s="383">
        <f>J22-J47</f>
        <v>-63565.374100000015</v>
      </c>
      <c r="K48" s="383">
        <f>K22-K47</f>
        <v>-135766.16000000003</v>
      </c>
      <c r="L48" s="304"/>
      <c r="R48" s="579"/>
      <c r="W48" s="629"/>
      <c r="Y48" s="693"/>
    </row>
    <row r="49" spans="1:25" s="55" customFormat="1" ht="20.25" x14ac:dyDescent="0.2">
      <c r="A49" s="54"/>
      <c r="B49" s="54"/>
      <c r="C49" s="54"/>
      <c r="D49" s="54"/>
      <c r="E49" s="54"/>
      <c r="F49" s="54"/>
      <c r="G49" s="54"/>
      <c r="H49" s="54"/>
      <c r="I49" s="193"/>
      <c r="J49" s="193"/>
      <c r="K49" s="193"/>
      <c r="L49" s="304"/>
      <c r="R49" s="579"/>
      <c r="W49" s="629"/>
      <c r="Y49" s="693"/>
    </row>
    <row r="50" spans="1:25" s="52" customFormat="1" ht="26.25" x14ac:dyDescent="0.2">
      <c r="A50" s="219"/>
      <c r="B50" s="219"/>
      <c r="C50" s="58" t="s">
        <v>264</v>
      </c>
      <c r="E50" s="58"/>
      <c r="F50" s="58"/>
      <c r="G50" s="695"/>
      <c r="H50" s="695">
        <f>-69500</f>
        <v>-69500</v>
      </c>
      <c r="I50" s="58"/>
      <c r="J50" s="193"/>
      <c r="K50" s="193"/>
      <c r="L50" s="303"/>
      <c r="R50" s="691"/>
      <c r="W50" s="692"/>
      <c r="Y50" s="693"/>
    </row>
    <row r="51" spans="1:25" s="55" customFormat="1" ht="20.25" x14ac:dyDescent="0.2">
      <c r="A51" s="54"/>
      <c r="B51" s="54"/>
      <c r="C51" s="58" t="s">
        <v>449</v>
      </c>
      <c r="E51" s="54"/>
      <c r="G51" s="193">
        <f>G36</f>
        <v>25080</v>
      </c>
      <c r="H51" s="193">
        <f>H36</f>
        <v>24029.68</v>
      </c>
      <c r="I51" s="193">
        <f>I36</f>
        <v>31769</v>
      </c>
      <c r="J51" s="193">
        <f>J36</f>
        <v>30384</v>
      </c>
      <c r="K51" s="193">
        <f>K36</f>
        <v>30834</v>
      </c>
      <c r="L51" s="304"/>
      <c r="R51" s="579"/>
      <c r="W51" s="629"/>
      <c r="Y51" s="693"/>
    </row>
    <row r="52" spans="1:25" s="55" customFormat="1" ht="24" thickBot="1" x14ac:dyDescent="0.25">
      <c r="A52" s="54"/>
      <c r="B52" s="222"/>
      <c r="C52" s="54"/>
      <c r="D52" s="787" t="s">
        <v>231</v>
      </c>
      <c r="E52" s="787"/>
      <c r="F52" s="787"/>
      <c r="G52" s="384">
        <f>G48+G50+G51</f>
        <v>10234</v>
      </c>
      <c r="H52" s="384">
        <f>H48+H50+H51</f>
        <v>-22321.900000000132</v>
      </c>
      <c r="I52" s="384">
        <f>I48+I50+I51</f>
        <v>-8076.2399999999907</v>
      </c>
      <c r="J52" s="384">
        <f>J48+J50+J51</f>
        <v>-33181.374100000015</v>
      </c>
      <c r="K52" s="384">
        <f>K48+K50+K51</f>
        <v>-104932.16000000003</v>
      </c>
      <c r="L52" s="304"/>
      <c r="R52" s="579"/>
      <c r="W52" s="629"/>
      <c r="Y52" s="693"/>
    </row>
    <row r="53" spans="1:25" s="55" customFormat="1" ht="42" customHeight="1" thickTop="1" x14ac:dyDescent="0.2">
      <c r="A53" s="54"/>
      <c r="B53" s="54"/>
      <c r="C53" s="54"/>
      <c r="D53" s="54"/>
      <c r="E53" s="54"/>
      <c r="F53" s="54"/>
      <c r="G53" s="54"/>
      <c r="H53" s="54"/>
      <c r="I53" s="54"/>
      <c r="J53" s="193"/>
      <c r="K53" s="193"/>
      <c r="L53" s="304"/>
      <c r="R53" s="579"/>
      <c r="W53" s="629"/>
      <c r="Y53" s="693"/>
    </row>
    <row r="54" spans="1:25" s="55" customFormat="1" ht="20.25" x14ac:dyDescent="0.2">
      <c r="A54" s="58"/>
      <c r="B54" s="58"/>
      <c r="C54" s="58"/>
      <c r="D54" s="58"/>
      <c r="F54" s="58" t="s">
        <v>308</v>
      </c>
      <c r="G54" s="193">
        <v>225930</v>
      </c>
      <c r="H54" s="193">
        <v>227723</v>
      </c>
      <c r="I54" s="193">
        <v>178666</v>
      </c>
      <c r="J54" s="193">
        <v>206080</v>
      </c>
      <c r="K54" s="193">
        <v>226000</v>
      </c>
      <c r="L54" s="304"/>
      <c r="R54" s="579"/>
      <c r="W54" s="629"/>
      <c r="Y54" s="693"/>
    </row>
    <row r="55" spans="1:25" s="55" customFormat="1" ht="21" thickBot="1" x14ac:dyDescent="0.25">
      <c r="A55" s="58"/>
      <c r="B55" s="58"/>
      <c r="C55" s="58"/>
      <c r="D55" s="58"/>
      <c r="F55" s="58" t="s">
        <v>313</v>
      </c>
      <c r="G55" s="493">
        <f>(G47-G36-G37)/G54</f>
        <v>1.386615323330235</v>
      </c>
      <c r="H55" s="493">
        <f>(H47-H36-H37)/H54</f>
        <v>1.5003962709080774</v>
      </c>
      <c r="I55" s="493">
        <f>(I47-I36-I37)/I54</f>
        <v>1.6965005653006167</v>
      </c>
      <c r="J55" s="493">
        <f>(J47-J36-J37)/J54</f>
        <v>1.7608285816187885</v>
      </c>
      <c r="K55" s="493">
        <f>(K47-K36-K37)/K54</f>
        <v>1.9067848672566372</v>
      </c>
      <c r="L55" s="304"/>
      <c r="R55" s="579"/>
      <c r="W55" s="629"/>
      <c r="Y55" s="693"/>
    </row>
    <row r="56" spans="1:25" s="55" customFormat="1" ht="20.25" x14ac:dyDescent="0.2">
      <c r="A56" s="58"/>
      <c r="B56" s="58"/>
      <c r="C56" s="58"/>
      <c r="D56" s="58"/>
      <c r="F56" s="58"/>
      <c r="G56" s="58"/>
      <c r="H56" s="193"/>
      <c r="I56" s="193"/>
      <c r="J56" s="193"/>
      <c r="K56" s="193"/>
      <c r="L56" s="304"/>
      <c r="R56" s="579"/>
      <c r="W56" s="629"/>
      <c r="Y56" s="693"/>
    </row>
    <row r="57" spans="1:25" s="55" customFormat="1" ht="20.25" x14ac:dyDescent="0.2">
      <c r="A57" s="58"/>
      <c r="B57" s="58"/>
      <c r="C57" s="58"/>
      <c r="D57" s="58"/>
      <c r="F57" s="58" t="s">
        <v>309</v>
      </c>
      <c r="G57" s="193">
        <v>15755</v>
      </c>
      <c r="H57" s="193">
        <v>16457</v>
      </c>
      <c r="I57" s="193">
        <v>10151</v>
      </c>
      <c r="J57" s="193">
        <v>10428</v>
      </c>
      <c r="K57" s="193">
        <v>11740</v>
      </c>
      <c r="L57" s="304"/>
      <c r="R57" s="579"/>
      <c r="W57" s="629"/>
      <c r="Y57" s="693"/>
    </row>
    <row r="58" spans="1:25" s="55" customFormat="1" ht="21" thickBot="1" x14ac:dyDescent="0.25">
      <c r="A58" s="58"/>
      <c r="B58" s="58"/>
      <c r="C58" s="58"/>
      <c r="D58" s="58"/>
      <c r="F58" s="58" t="s">
        <v>370</v>
      </c>
      <c r="G58" s="493">
        <f>(G47-G36-G37)/G57</f>
        <v>19.884354173278325</v>
      </c>
      <c r="H58" s="493">
        <f>(H47-H36-H37)/H57</f>
        <v>20.761666160296535</v>
      </c>
      <c r="I58" s="493">
        <f>(I47-I36-I37)/I57</f>
        <v>29.859813811447147</v>
      </c>
      <c r="J58" s="493">
        <f>(J47-J36-J37)/J57</f>
        <v>34.797809177215186</v>
      </c>
      <c r="K58" s="493">
        <f>(K47-K36-K37)/K57</f>
        <v>36.706420783645655</v>
      </c>
      <c r="L58" s="304"/>
      <c r="R58" s="579"/>
      <c r="W58" s="629"/>
      <c r="Y58" s="693"/>
    </row>
    <row r="59" spans="1:25" s="55" customFormat="1" ht="20.25" x14ac:dyDescent="0.2">
      <c r="A59" s="58"/>
      <c r="B59" s="58"/>
      <c r="C59" s="58"/>
      <c r="D59" s="58"/>
      <c r="F59" s="58"/>
      <c r="G59" s="58"/>
      <c r="H59" s="193"/>
      <c r="I59" s="193"/>
      <c r="J59" s="193"/>
      <c r="K59" s="193"/>
      <c r="L59" s="304"/>
      <c r="R59" s="579"/>
      <c r="W59" s="629"/>
      <c r="Y59" s="693"/>
    </row>
    <row r="60" spans="1:25" s="55" customFormat="1" ht="20.25" hidden="1" x14ac:dyDescent="0.2">
      <c r="A60" s="58"/>
      <c r="B60" s="58"/>
      <c r="C60" s="54"/>
      <c r="D60" s="58"/>
      <c r="F60" s="58" t="s">
        <v>310</v>
      </c>
      <c r="G60" s="58"/>
      <c r="H60" s="193">
        <v>2102</v>
      </c>
      <c r="I60" s="193">
        <v>2696</v>
      </c>
      <c r="J60" s="193">
        <v>2714</v>
      </c>
      <c r="K60" s="193">
        <v>2714</v>
      </c>
      <c r="L60" s="304"/>
      <c r="R60" s="579"/>
      <c r="W60" s="629"/>
      <c r="Y60" s="693"/>
    </row>
    <row r="61" spans="1:25" s="55" customFormat="1" ht="21" hidden="1" thickBot="1" x14ac:dyDescent="0.25">
      <c r="A61" s="58"/>
      <c r="B61" s="58"/>
      <c r="C61" s="58"/>
      <c r="D61" s="58"/>
      <c r="E61" s="58"/>
      <c r="F61" s="58" t="s">
        <v>371</v>
      </c>
      <c r="G61" s="58"/>
      <c r="H61" s="493">
        <f>H10/H60</f>
        <v>5.8413035204567079</v>
      </c>
      <c r="I61" s="493">
        <f>I9/I60</f>
        <v>25.248538575667656</v>
      </c>
      <c r="J61" s="493">
        <f>J9/J60</f>
        <v>31.557439204126752</v>
      </c>
      <c r="K61" s="493">
        <f>K9/K60</f>
        <v>32.464893146647015</v>
      </c>
      <c r="L61" s="304"/>
      <c r="R61" s="579"/>
      <c r="W61" s="629"/>
      <c r="Y61" s="693"/>
    </row>
    <row r="62" spans="1:25" s="55" customFormat="1" ht="20.25" hidden="1" x14ac:dyDescent="0.2">
      <c r="A62" s="58"/>
      <c r="B62" s="58"/>
      <c r="C62" s="54"/>
      <c r="D62" s="54"/>
      <c r="I62" s="193"/>
      <c r="J62" s="193"/>
      <c r="K62" s="193"/>
      <c r="L62" s="304"/>
      <c r="R62" s="579"/>
      <c r="W62" s="629"/>
      <c r="Y62" s="693"/>
    </row>
    <row r="63" spans="1:25" s="55" customFormat="1" ht="20.25" hidden="1" x14ac:dyDescent="0.2">
      <c r="A63" s="58"/>
      <c r="B63" s="58"/>
      <c r="C63" s="58"/>
      <c r="D63" s="58"/>
      <c r="E63" s="58"/>
      <c r="F63" s="58" t="s">
        <v>488</v>
      </c>
      <c r="G63" s="58"/>
      <c r="H63" s="193">
        <v>195138</v>
      </c>
      <c r="I63" s="193">
        <v>104281</v>
      </c>
      <c r="J63" s="193">
        <v>114885</v>
      </c>
      <c r="K63" s="193">
        <v>134000</v>
      </c>
      <c r="L63" s="304"/>
      <c r="R63" s="579"/>
      <c r="W63" s="629"/>
      <c r="Y63" s="693"/>
    </row>
    <row r="64" spans="1:25" s="55" customFormat="1" ht="21" hidden="1" thickBot="1" x14ac:dyDescent="0.25">
      <c r="A64" s="58"/>
      <c r="B64" s="58"/>
      <c r="C64" s="58"/>
      <c r="D64" s="58"/>
      <c r="E64" s="58"/>
      <c r="F64" s="58" t="s">
        <v>313</v>
      </c>
      <c r="G64" s="58"/>
      <c r="H64" s="493">
        <f>(H47-H36-H37)/H63</f>
        <v>1.7509390277649668</v>
      </c>
      <c r="I64" s="493">
        <f>(I47-I36-I37)/I63</f>
        <v>2.9066365876813607</v>
      </c>
      <c r="J64" s="493">
        <f>(J47-J36-J37)/J63</f>
        <v>3.1585633816425118</v>
      </c>
      <c r="K64" s="493">
        <f>(K47-K36-K37)/K63</f>
        <v>3.2159207462686568</v>
      </c>
      <c r="L64" s="304"/>
      <c r="R64" s="579"/>
      <c r="W64" s="629"/>
      <c r="Y64" s="693"/>
    </row>
    <row r="65" spans="1:25" s="55" customFormat="1" ht="20.25" hidden="1" x14ac:dyDescent="0.2">
      <c r="A65" s="58"/>
      <c r="B65" s="58"/>
      <c r="C65" s="54"/>
      <c r="D65" s="58"/>
      <c r="F65" s="58"/>
      <c r="G65" s="58"/>
      <c r="H65" s="58"/>
      <c r="I65" s="193"/>
      <c r="J65" s="193"/>
      <c r="K65" s="193"/>
      <c r="L65" s="304"/>
      <c r="R65" s="579"/>
      <c r="W65" s="629"/>
      <c r="Y65" s="693"/>
    </row>
    <row r="66" spans="1:25" s="55" customFormat="1" ht="20.25" hidden="1" x14ac:dyDescent="0.2">
      <c r="A66" s="58"/>
      <c r="B66" s="58"/>
      <c r="C66" s="54"/>
      <c r="D66" s="58"/>
      <c r="F66" s="58" t="s">
        <v>488</v>
      </c>
      <c r="G66" s="58"/>
      <c r="H66" s="193">
        <v>195138</v>
      </c>
      <c r="I66" s="193">
        <v>104281</v>
      </c>
      <c r="J66" s="193">
        <v>114885</v>
      </c>
      <c r="K66" s="193">
        <f>K63</f>
        <v>134000</v>
      </c>
      <c r="L66" s="304"/>
      <c r="R66" s="579"/>
      <c r="W66" s="629"/>
      <c r="Y66" s="693"/>
    </row>
    <row r="67" spans="1:25" s="55" customFormat="1" ht="20.25" hidden="1" x14ac:dyDescent="0.2">
      <c r="A67" s="58"/>
      <c r="B67" s="58"/>
      <c r="C67" s="54"/>
      <c r="D67" s="58"/>
      <c r="F67" s="58" t="s">
        <v>309</v>
      </c>
      <c r="G67" s="58"/>
      <c r="H67" s="193">
        <v>16457</v>
      </c>
      <c r="I67" s="193">
        <v>10151</v>
      </c>
      <c r="J67" s="193">
        <v>10428</v>
      </c>
      <c r="K67" s="193">
        <f>K57</f>
        <v>11740</v>
      </c>
      <c r="L67" s="304"/>
      <c r="R67" s="579"/>
      <c r="W67" s="629"/>
      <c r="Y67" s="693"/>
    </row>
    <row r="68" spans="1:25" s="55" customFormat="1" ht="21" hidden="1" thickBot="1" x14ac:dyDescent="0.25">
      <c r="A68" s="58"/>
      <c r="B68" s="58"/>
      <c r="C68" s="58"/>
      <c r="D68" s="58"/>
      <c r="E68" s="58"/>
      <c r="F68" s="58" t="s">
        <v>489</v>
      </c>
      <c r="G68" s="58"/>
      <c r="H68" s="696">
        <f>H66/H67</f>
        <v>11.857446679224646</v>
      </c>
      <c r="I68" s="696">
        <f>I66/I67</f>
        <v>10.272978031721014</v>
      </c>
      <c r="J68" s="696">
        <f>J66/J67</f>
        <v>11.016973532796317</v>
      </c>
      <c r="K68" s="696">
        <f>K66/K67</f>
        <v>11.41396933560477</v>
      </c>
      <c r="L68" s="304"/>
      <c r="R68" s="579"/>
      <c r="W68" s="629"/>
      <c r="Y68" s="693"/>
    </row>
    <row r="69" spans="1:25" s="55" customFormat="1" ht="20.25" hidden="1" x14ac:dyDescent="0.2">
      <c r="A69" s="54"/>
      <c r="B69" s="54"/>
      <c r="C69" s="54"/>
      <c r="D69" s="54"/>
      <c r="E69" s="54"/>
      <c r="F69" s="54"/>
      <c r="G69" s="54"/>
      <c r="H69" s="54"/>
      <c r="I69" s="196"/>
      <c r="J69" s="196"/>
      <c r="K69" s="196"/>
      <c r="L69" s="304"/>
      <c r="R69" s="579"/>
      <c r="W69" s="629"/>
      <c r="Y69" s="693"/>
    </row>
    <row r="70" spans="1:25" s="55" customFormat="1" ht="20.25" hidden="1" x14ac:dyDescent="0.2">
      <c r="A70" s="54"/>
      <c r="B70" s="54"/>
      <c r="C70" s="54"/>
      <c r="D70" s="54"/>
      <c r="E70" s="54"/>
      <c r="F70" s="58" t="s">
        <v>490</v>
      </c>
      <c r="G70" s="58"/>
      <c r="H70" s="193">
        <v>227723</v>
      </c>
      <c r="I70" s="193">
        <v>178666</v>
      </c>
      <c r="J70" s="193">
        <v>206080</v>
      </c>
      <c r="K70" s="193">
        <f>K54</f>
        <v>226000</v>
      </c>
      <c r="L70" s="304"/>
      <c r="R70" s="579"/>
      <c r="W70" s="629"/>
      <c r="Y70" s="693"/>
    </row>
    <row r="71" spans="1:25" s="55" customFormat="1" ht="20.25" hidden="1" x14ac:dyDescent="0.2">
      <c r="A71" s="54"/>
      <c r="B71" s="54"/>
      <c r="C71" s="54"/>
      <c r="D71" s="54"/>
      <c r="E71" s="54"/>
      <c r="F71" s="58" t="s">
        <v>309</v>
      </c>
      <c r="G71" s="58"/>
      <c r="H71" s="193">
        <v>16457</v>
      </c>
      <c r="I71" s="193">
        <v>10151</v>
      </c>
      <c r="J71" s="193">
        <v>10428</v>
      </c>
      <c r="K71" s="193">
        <f>K57</f>
        <v>11740</v>
      </c>
      <c r="L71" s="304"/>
      <c r="R71" s="579"/>
      <c r="W71" s="629"/>
      <c r="Y71" s="693"/>
    </row>
    <row r="72" spans="1:25" s="55" customFormat="1" ht="21" hidden="1" thickBot="1" x14ac:dyDescent="0.25">
      <c r="A72" s="54"/>
      <c r="B72" s="54"/>
      <c r="C72" s="54"/>
      <c r="D72" s="54"/>
      <c r="E72" s="54"/>
      <c r="F72" s="58" t="s">
        <v>491</v>
      </c>
      <c r="G72" s="58"/>
      <c r="H72" s="696">
        <f>H70/H71</f>
        <v>13.837455186242936</v>
      </c>
      <c r="I72" s="696">
        <f>I70/I71</f>
        <v>17.600827504679341</v>
      </c>
      <c r="J72" s="696">
        <f>J70/J71</f>
        <v>19.762178749520523</v>
      </c>
      <c r="K72" s="696">
        <f>K70/K71</f>
        <v>19.250425894378193</v>
      </c>
      <c r="L72" s="304"/>
      <c r="R72" s="579"/>
      <c r="W72" s="629"/>
      <c r="Y72" s="693"/>
    </row>
    <row r="73" spans="1:25" s="55" customFormat="1" ht="20.25" hidden="1" x14ac:dyDescent="0.2">
      <c r="A73" s="54"/>
      <c r="B73" s="54"/>
      <c r="C73" s="54"/>
      <c r="D73" s="54"/>
      <c r="E73" s="54"/>
      <c r="F73" s="58"/>
      <c r="G73" s="58"/>
      <c r="H73" s="697"/>
      <c r="I73" s="697"/>
      <c r="J73" s="697"/>
      <c r="K73" s="697"/>
      <c r="L73" s="304"/>
      <c r="R73" s="579"/>
      <c r="W73" s="629"/>
      <c r="Y73" s="693"/>
    </row>
    <row r="74" spans="1:25" s="55" customFormat="1" ht="20.25" hidden="1" x14ac:dyDescent="0.2">
      <c r="A74" s="54"/>
      <c r="B74" s="54"/>
      <c r="C74" s="54"/>
      <c r="D74" s="54"/>
      <c r="E74" s="54"/>
      <c r="F74" s="698" t="s">
        <v>492</v>
      </c>
      <c r="G74" s="698"/>
      <c r="H74" s="54"/>
      <c r="I74" s="54"/>
      <c r="J74" s="196"/>
      <c r="K74" s="196"/>
      <c r="L74" s="304"/>
      <c r="R74" s="579"/>
      <c r="W74" s="629"/>
      <c r="Y74" s="693"/>
    </row>
    <row r="75" spans="1:25" s="55" customFormat="1" ht="20.25" hidden="1" x14ac:dyDescent="0.2">
      <c r="A75" s="54"/>
      <c r="B75" s="54"/>
      <c r="C75" s="54"/>
      <c r="D75" s="54"/>
      <c r="E75" s="54"/>
      <c r="F75" s="54" t="s">
        <v>493</v>
      </c>
      <c r="G75" s="54"/>
      <c r="H75" s="699">
        <f t="shared" ref="H75:J75" si="0">H28+(H28*0.21)+H32+H34</f>
        <v>237890.76749999999</v>
      </c>
      <c r="I75" s="699">
        <f t="shared" si="0"/>
        <v>188101.25649999999</v>
      </c>
      <c r="J75" s="699">
        <f t="shared" si="0"/>
        <v>232210.04700000002</v>
      </c>
      <c r="K75" s="699">
        <f>K28+(K28*0.2)+K32+K34</f>
        <v>290400</v>
      </c>
      <c r="L75" s="700"/>
      <c r="R75" s="579"/>
      <c r="W75" s="629"/>
      <c r="Y75" s="693"/>
    </row>
    <row r="76" spans="1:25" s="55" customFormat="1" ht="23.25" hidden="1" x14ac:dyDescent="0.2">
      <c r="A76" s="54"/>
      <c r="B76" s="222"/>
      <c r="C76" s="54"/>
      <c r="D76" s="54"/>
      <c r="E76" s="54"/>
      <c r="F76" s="54" t="s">
        <v>494</v>
      </c>
      <c r="G76" s="54"/>
      <c r="H76" s="196">
        <f>H47-H75-H77</f>
        <v>103783.97250000012</v>
      </c>
      <c r="I76" s="196">
        <f>I47-I75-I77</f>
        <v>115005.71349999998</v>
      </c>
      <c r="J76" s="196">
        <f>J47-J75-J77</f>
        <v>130661.50709999993</v>
      </c>
      <c r="K76" s="196">
        <f>K47-K75-K77</f>
        <v>140533.38</v>
      </c>
      <c r="L76" s="700"/>
      <c r="R76" s="579"/>
      <c r="W76" s="629"/>
      <c r="Y76" s="693"/>
    </row>
    <row r="77" spans="1:25" s="55" customFormat="1" ht="20.25" hidden="1" x14ac:dyDescent="0.2">
      <c r="A77" s="58"/>
      <c r="B77" s="58"/>
      <c r="D77" s="58"/>
      <c r="E77" s="58"/>
      <c r="F77" s="54" t="s">
        <v>495</v>
      </c>
      <c r="G77" s="54"/>
      <c r="H77" s="196">
        <f>H36+H37</f>
        <v>33344.68</v>
      </c>
      <c r="I77" s="196">
        <f>I36+I37</f>
        <v>41084</v>
      </c>
      <c r="J77" s="196">
        <f>J36+J37</f>
        <v>40932</v>
      </c>
      <c r="K77" s="196">
        <f>K36+K37</f>
        <v>41382</v>
      </c>
      <c r="L77" s="700"/>
      <c r="R77" s="579"/>
      <c r="W77" s="629"/>
      <c r="Y77" s="693"/>
    </row>
    <row r="78" spans="1:25" s="55" customFormat="1" ht="21" hidden="1" thickBot="1" x14ac:dyDescent="0.25">
      <c r="A78" s="58"/>
      <c r="B78" s="58"/>
      <c r="D78" s="58"/>
      <c r="E78" s="58"/>
      <c r="F78" s="54" t="s">
        <v>496</v>
      </c>
      <c r="G78" s="54"/>
      <c r="H78" s="701">
        <f>SUM(H75:H77)</f>
        <v>375019.4200000001</v>
      </c>
      <c r="I78" s="701">
        <f>SUM(I75:I77)</f>
        <v>344190.97</v>
      </c>
      <c r="J78" s="701">
        <f>SUM(J75:J77)</f>
        <v>403803.55409999995</v>
      </c>
      <c r="K78" s="701">
        <f>SUM(K75:K77)</f>
        <v>472315.38</v>
      </c>
      <c r="L78" s="700"/>
      <c r="R78" s="579"/>
      <c r="W78" s="629"/>
      <c r="Y78" s="693"/>
    </row>
    <row r="79" spans="1:25" s="55" customFormat="1" ht="20.25" hidden="1" x14ac:dyDescent="0.2">
      <c r="A79" s="58"/>
      <c r="B79" s="58"/>
      <c r="D79" s="58"/>
      <c r="E79" s="58"/>
      <c r="F79" s="54" t="s">
        <v>497</v>
      </c>
      <c r="G79" s="54"/>
      <c r="H79" s="702">
        <v>195138</v>
      </c>
      <c r="I79" s="702">
        <v>104281</v>
      </c>
      <c r="J79" s="703">
        <f>J63</f>
        <v>114885</v>
      </c>
      <c r="K79" s="703">
        <f>K63</f>
        <v>134000</v>
      </c>
      <c r="L79" s="700"/>
      <c r="R79" s="579"/>
      <c r="W79" s="629"/>
      <c r="Y79" s="693"/>
    </row>
    <row r="80" spans="1:25" s="55" customFormat="1" ht="20.25" hidden="1" x14ac:dyDescent="0.2">
      <c r="A80" s="58"/>
      <c r="B80" s="58"/>
      <c r="D80" s="58"/>
      <c r="E80" s="58"/>
      <c r="F80" s="54" t="s">
        <v>498</v>
      </c>
      <c r="G80" s="54"/>
      <c r="H80" s="704">
        <f>H75/H79</f>
        <v>1.2190899132921316</v>
      </c>
      <c r="I80" s="704">
        <f>I75/I79</f>
        <v>1.8037922200592629</v>
      </c>
      <c r="J80" s="704">
        <f>J75/J79</f>
        <v>2.0212390390390391</v>
      </c>
      <c r="K80" s="704">
        <f>K75/K79</f>
        <v>2.1671641791044776</v>
      </c>
      <c r="L80" s="700"/>
      <c r="R80" s="579"/>
      <c r="W80" s="629"/>
      <c r="Y80" s="693"/>
    </row>
    <row r="81" spans="1:25" s="55" customFormat="1" ht="20.25" hidden="1" x14ac:dyDescent="0.2">
      <c r="A81" s="58"/>
      <c r="B81" s="58"/>
      <c r="D81" s="58"/>
      <c r="E81" s="58"/>
      <c r="F81" s="54" t="s">
        <v>499</v>
      </c>
      <c r="G81" s="54"/>
      <c r="H81" s="704">
        <f>H76/H57</f>
        <v>6.3063725162544886</v>
      </c>
      <c r="I81" s="704">
        <f>I76/I57</f>
        <v>11.329495960989064</v>
      </c>
      <c r="J81" s="704">
        <f>J76/J57</f>
        <v>12.529872180667427</v>
      </c>
      <c r="K81" s="704">
        <f>K76/K57</f>
        <v>11.970475298126065</v>
      </c>
      <c r="L81" s="700"/>
      <c r="R81" s="579"/>
      <c r="W81" s="629"/>
      <c r="Y81" s="693"/>
    </row>
    <row r="82" spans="1:25" s="55" customFormat="1" ht="20.25" hidden="1" x14ac:dyDescent="0.2">
      <c r="A82" s="58"/>
      <c r="B82" s="58"/>
      <c r="D82" s="58"/>
      <c r="E82" s="58"/>
      <c r="F82" s="54"/>
      <c r="G82" s="54"/>
      <c r="H82" s="54"/>
      <c r="I82" s="704"/>
      <c r="J82" s="704"/>
      <c r="K82" s="704"/>
      <c r="L82" s="700"/>
      <c r="R82" s="579"/>
      <c r="W82" s="629"/>
      <c r="Y82" s="693"/>
    </row>
    <row r="83" spans="1:25" s="55" customFormat="1" ht="20.25" hidden="1" x14ac:dyDescent="0.2">
      <c r="A83" s="58"/>
      <c r="B83" s="58"/>
      <c r="D83" s="58"/>
      <c r="E83" s="58"/>
      <c r="H83" s="58"/>
      <c r="I83" s="58"/>
      <c r="J83" s="193"/>
      <c r="K83" s="193"/>
      <c r="L83" s="304"/>
      <c r="R83" s="579"/>
      <c r="W83" s="629"/>
      <c r="Y83" s="693"/>
    </row>
    <row r="84" spans="1:25" s="55" customFormat="1" ht="20.25" hidden="1" x14ac:dyDescent="0.2">
      <c r="A84" s="54"/>
      <c r="B84" s="54"/>
      <c r="D84" s="58"/>
      <c r="E84" s="54"/>
      <c r="F84" s="54" t="s">
        <v>493</v>
      </c>
      <c r="G84" s="54"/>
      <c r="H84" s="196">
        <f>H24-H85-H86</f>
        <v>238182.86749999985</v>
      </c>
      <c r="I84" s="196">
        <f>I22-I85-I86</f>
        <v>180025.0165</v>
      </c>
      <c r="J84" s="196">
        <f>J22-J85-J86</f>
        <v>199028.67290000001</v>
      </c>
      <c r="K84" s="196">
        <f>K22-K85-K86</f>
        <v>185467.83999999997</v>
      </c>
      <c r="L84" s="700"/>
      <c r="R84" s="579"/>
      <c r="W84" s="629"/>
      <c r="Y84" s="693"/>
    </row>
    <row r="85" spans="1:25" s="55" customFormat="1" ht="23.25" hidden="1" x14ac:dyDescent="0.2">
      <c r="A85" s="54"/>
      <c r="B85" s="222"/>
      <c r="C85" s="54"/>
      <c r="D85" s="54"/>
      <c r="E85" s="54"/>
      <c r="F85" s="54" t="s">
        <v>494</v>
      </c>
      <c r="G85" s="54"/>
      <c r="H85" s="702">
        <f>H76</f>
        <v>103783.97250000012</v>
      </c>
      <c r="I85" s="702">
        <f>I76</f>
        <v>115005.71349999998</v>
      </c>
      <c r="J85" s="196">
        <f>J76</f>
        <v>130661.50709999993</v>
      </c>
      <c r="K85" s="196">
        <f>K76</f>
        <v>140533.38</v>
      </c>
      <c r="L85" s="700"/>
      <c r="R85" s="579"/>
      <c r="W85" s="629"/>
      <c r="Y85" s="693"/>
    </row>
    <row r="86" spans="1:25" s="55" customFormat="1" ht="20.25" hidden="1" x14ac:dyDescent="0.2">
      <c r="A86" s="54"/>
      <c r="B86" s="54"/>
      <c r="C86" s="54"/>
      <c r="D86" s="54"/>
      <c r="E86" s="54"/>
      <c r="F86" s="54" t="s">
        <v>500</v>
      </c>
      <c r="G86" s="54"/>
      <c r="H86" s="702">
        <f>H18</f>
        <v>9315</v>
      </c>
      <c r="I86" s="702">
        <f>I18</f>
        <v>9315</v>
      </c>
      <c r="J86" s="196">
        <f>J37</f>
        <v>10548</v>
      </c>
      <c r="K86" s="196">
        <f>K37</f>
        <v>10548</v>
      </c>
      <c r="L86" s="700"/>
      <c r="R86" s="579"/>
      <c r="W86" s="629"/>
      <c r="Y86" s="693"/>
    </row>
    <row r="87" spans="1:25" s="62" customFormat="1" ht="27" hidden="1" thickBot="1" x14ac:dyDescent="0.25">
      <c r="A87" s="219"/>
      <c r="B87" s="219"/>
      <c r="C87" s="219"/>
      <c r="D87" s="219"/>
      <c r="E87" s="219"/>
      <c r="F87" s="54" t="s">
        <v>501</v>
      </c>
      <c r="G87" s="54"/>
      <c r="H87" s="606">
        <f>SUM(H84:H86)</f>
        <v>351281.83999999997</v>
      </c>
      <c r="I87" s="606">
        <f>SUM(I84:I86)</f>
        <v>304345.73</v>
      </c>
      <c r="J87" s="606">
        <f>SUM(J84:J86)</f>
        <v>340238.17999999993</v>
      </c>
      <c r="K87" s="606">
        <f>SUM(K84:K86)</f>
        <v>336549.22</v>
      </c>
      <c r="L87" s="306"/>
      <c r="R87" s="705"/>
      <c r="W87" s="706"/>
      <c r="Y87" s="707"/>
    </row>
    <row r="88" spans="1:25" s="62" customFormat="1" ht="26.25" hidden="1" x14ac:dyDescent="0.2">
      <c r="A88" s="219"/>
      <c r="B88" s="219"/>
      <c r="C88" s="219"/>
      <c r="D88" s="219"/>
      <c r="E88" s="219"/>
      <c r="F88" s="54" t="s">
        <v>502</v>
      </c>
      <c r="G88" s="54"/>
      <c r="H88" s="196">
        <f>H67</f>
        <v>16457</v>
      </c>
      <c r="I88" s="196">
        <f>I67</f>
        <v>10151</v>
      </c>
      <c r="J88" s="196">
        <f>J57</f>
        <v>10428</v>
      </c>
      <c r="K88" s="196">
        <v>11740</v>
      </c>
      <c r="L88" s="306"/>
      <c r="R88" s="705"/>
      <c r="W88" s="706"/>
      <c r="Y88" s="707"/>
    </row>
    <row r="89" spans="1:25" ht="20.25" hidden="1" x14ac:dyDescent="0.3">
      <c r="F89" s="54" t="s">
        <v>503</v>
      </c>
      <c r="G89" s="54"/>
      <c r="H89" s="708">
        <f>H84/H80/H68</f>
        <v>16477.207130148494</v>
      </c>
      <c r="I89" s="708">
        <f>I84/I80/I68</f>
        <v>9715.1607410527849</v>
      </c>
      <c r="J89" s="708">
        <f>J84/J80/J68</f>
        <v>8937.9035395535666</v>
      </c>
      <c r="K89" s="708">
        <f>K84/K80/K68</f>
        <v>7497.9078567493098</v>
      </c>
    </row>
    <row r="90" spans="1:25" ht="20.25" hidden="1" x14ac:dyDescent="0.3">
      <c r="F90" s="54" t="s">
        <v>504</v>
      </c>
      <c r="G90" s="54"/>
      <c r="H90" s="709">
        <f>H89-H88</f>
        <v>20.207130148493889</v>
      </c>
      <c r="I90" s="709">
        <f>I89-I88</f>
        <v>-435.83925894721506</v>
      </c>
      <c r="J90" s="709">
        <f>J89-J88</f>
        <v>-1490.0964604464334</v>
      </c>
      <c r="K90" s="709">
        <f>K89-K88</f>
        <v>-4242.0921432506902</v>
      </c>
    </row>
    <row r="91" spans="1:25" ht="20.25" hidden="1" x14ac:dyDescent="0.3">
      <c r="F91" s="54" t="s">
        <v>498</v>
      </c>
      <c r="G91" s="54"/>
      <c r="H91" s="710">
        <f>H84/(H89*H68)</f>
        <v>1.2190899132921318</v>
      </c>
      <c r="I91" s="710">
        <f>I84/(I89*I68)</f>
        <v>1.8037922200592629</v>
      </c>
      <c r="J91" s="710">
        <f>J84/(J89*J68)</f>
        <v>2.0212390390390391</v>
      </c>
      <c r="K91" s="710">
        <f>K84/(K89*K68)</f>
        <v>2.1671641791044776</v>
      </c>
    </row>
    <row r="92" spans="1:25" ht="20.25" hidden="1" x14ac:dyDescent="0.3">
      <c r="F92" s="54" t="s">
        <v>499</v>
      </c>
      <c r="G92" s="54"/>
      <c r="H92" s="710">
        <f>H85/H89</f>
        <v>6.2986385787495296</v>
      </c>
      <c r="I92" s="710">
        <f>I85/I89</f>
        <v>11.837757147344673</v>
      </c>
      <c r="J92" s="710">
        <f>J85/J89</f>
        <v>14.618809267942297</v>
      </c>
      <c r="K92" s="710">
        <f>K85/K89</f>
        <v>18.743012408921192</v>
      </c>
    </row>
    <row r="93" spans="1:25" ht="20.25" hidden="1" x14ac:dyDescent="0.3">
      <c r="F93" s="54"/>
      <c r="G93" s="54"/>
      <c r="H93" s="54"/>
      <c r="I93" s="710"/>
      <c r="J93" s="710"/>
      <c r="K93" s="710"/>
    </row>
    <row r="94" spans="1:25" ht="20.25" hidden="1" x14ac:dyDescent="0.3">
      <c r="J94" s="227"/>
      <c r="K94" s="227"/>
    </row>
    <row r="95" spans="1:25" ht="20.25" hidden="1" x14ac:dyDescent="0.3">
      <c r="J95" s="227"/>
      <c r="K95" s="227"/>
    </row>
    <row r="96" spans="1:25" ht="20.25" hidden="1" x14ac:dyDescent="0.3">
      <c r="F96" s="698" t="s">
        <v>505</v>
      </c>
      <c r="G96" s="698"/>
      <c r="J96" s="227"/>
      <c r="K96" s="227"/>
    </row>
    <row r="97" spans="6:12" ht="20.25" hidden="1" x14ac:dyDescent="0.25">
      <c r="F97" s="54" t="s">
        <v>493</v>
      </c>
      <c r="G97" s="54"/>
      <c r="H97" s="699">
        <f t="shared" ref="H97:J99" si="1">H75</f>
        <v>237890.76749999999</v>
      </c>
      <c r="I97" s="699">
        <f t="shared" si="1"/>
        <v>188101.25649999999</v>
      </c>
      <c r="J97" s="699">
        <f t="shared" si="1"/>
        <v>232210.04700000002</v>
      </c>
      <c r="K97" s="699">
        <f>K75</f>
        <v>290400</v>
      </c>
      <c r="L97" s="700"/>
    </row>
    <row r="98" spans="6:12" ht="20.25" hidden="1" x14ac:dyDescent="0.25">
      <c r="F98" s="54" t="s">
        <v>494</v>
      </c>
      <c r="G98" s="54"/>
      <c r="H98" s="196">
        <f t="shared" si="1"/>
        <v>103783.97250000012</v>
      </c>
      <c r="I98" s="196">
        <f t="shared" si="1"/>
        <v>115005.71349999998</v>
      </c>
      <c r="J98" s="196">
        <f t="shared" si="1"/>
        <v>130661.50709999993</v>
      </c>
      <c r="K98" s="196">
        <f>K76</f>
        <v>140533.38</v>
      </c>
      <c r="L98" s="700"/>
    </row>
    <row r="99" spans="6:12" ht="20.25" hidden="1" x14ac:dyDescent="0.25">
      <c r="F99" s="54" t="s">
        <v>495</v>
      </c>
      <c r="G99" s="54"/>
      <c r="H99" s="196">
        <f t="shared" si="1"/>
        <v>33344.68</v>
      </c>
      <c r="I99" s="196">
        <f t="shared" si="1"/>
        <v>41084</v>
      </c>
      <c r="J99" s="196">
        <f t="shared" si="1"/>
        <v>40932</v>
      </c>
      <c r="K99" s="196">
        <f>K77</f>
        <v>41382</v>
      </c>
      <c r="L99" s="700"/>
    </row>
    <row r="100" spans="6:12" ht="21" hidden="1" thickBot="1" x14ac:dyDescent="0.3">
      <c r="F100" s="54" t="s">
        <v>496</v>
      </c>
      <c r="G100" s="54"/>
      <c r="H100" s="701">
        <f>SUM(H97:H99)</f>
        <v>375019.4200000001</v>
      </c>
      <c r="I100" s="701">
        <f>SUM(I97:I99)</f>
        <v>344190.97</v>
      </c>
      <c r="J100" s="701">
        <f>SUM(J97:J99)</f>
        <v>403803.55409999995</v>
      </c>
      <c r="K100" s="701">
        <f>SUM(K97:K99)</f>
        <v>472315.38</v>
      </c>
      <c r="L100" s="700"/>
    </row>
    <row r="101" spans="6:12" ht="20.25" hidden="1" x14ac:dyDescent="0.25">
      <c r="F101" s="54" t="s">
        <v>506</v>
      </c>
      <c r="G101" s="54"/>
      <c r="H101" s="196">
        <f>H54</f>
        <v>227723</v>
      </c>
      <c r="I101" s="196">
        <f t="shared" ref="I101:K101" si="2">I54</f>
        <v>178666</v>
      </c>
      <c r="J101" s="196">
        <f t="shared" si="2"/>
        <v>206080</v>
      </c>
      <c r="K101" s="196">
        <f t="shared" si="2"/>
        <v>226000</v>
      </c>
      <c r="L101" s="700"/>
    </row>
    <row r="102" spans="6:12" ht="20.25" hidden="1" x14ac:dyDescent="0.25">
      <c r="F102" s="54" t="s">
        <v>507</v>
      </c>
      <c r="G102" s="54"/>
      <c r="H102" s="704">
        <f>H97/H101</f>
        <v>1.0446497169807178</v>
      </c>
      <c r="I102" s="704">
        <f>I97/I101</f>
        <v>1.0528094685054794</v>
      </c>
      <c r="J102" s="704">
        <f>J97/J101</f>
        <v>1.1267956473214287</v>
      </c>
      <c r="K102" s="704">
        <f>K97/K101</f>
        <v>1.2849557522123893</v>
      </c>
      <c r="L102" s="700"/>
    </row>
    <row r="103" spans="6:12" ht="20.25" hidden="1" x14ac:dyDescent="0.25">
      <c r="F103" s="54" t="s">
        <v>499</v>
      </c>
      <c r="G103" s="54"/>
      <c r="H103" s="704">
        <f t="shared" ref="H103:K103" si="3">H98/H57</f>
        <v>6.3063725162544886</v>
      </c>
      <c r="I103" s="704">
        <f t="shared" si="3"/>
        <v>11.329495960989064</v>
      </c>
      <c r="J103" s="704">
        <f t="shared" si="3"/>
        <v>12.529872180667427</v>
      </c>
      <c r="K103" s="704">
        <f t="shared" si="3"/>
        <v>11.970475298126065</v>
      </c>
      <c r="L103" s="700"/>
    </row>
    <row r="104" spans="6:12" ht="20.25" hidden="1" x14ac:dyDescent="0.3">
      <c r="H104" s="227"/>
      <c r="I104" s="227"/>
      <c r="J104" s="227"/>
      <c r="K104" s="227"/>
    </row>
    <row r="105" spans="6:12" ht="20.25" hidden="1" x14ac:dyDescent="0.25">
      <c r="H105" s="193"/>
      <c r="I105" s="193"/>
      <c r="J105" s="193"/>
      <c r="K105" s="193"/>
      <c r="L105" s="304"/>
    </row>
    <row r="106" spans="6:12" ht="20.25" hidden="1" x14ac:dyDescent="0.25">
      <c r="F106" s="54" t="s">
        <v>493</v>
      </c>
      <c r="G106" s="54"/>
      <c r="H106" s="196">
        <f>H24-H107-H108</f>
        <v>238182.86749999985</v>
      </c>
      <c r="I106" s="196">
        <f>I22-I107-I108</f>
        <v>180025.0165</v>
      </c>
      <c r="J106" s="196">
        <f>J22-J107-J108</f>
        <v>199028.67290000001</v>
      </c>
      <c r="K106" s="196">
        <f>K22-K107-K108</f>
        <v>185467.83999999997</v>
      </c>
      <c r="L106" s="700"/>
    </row>
    <row r="107" spans="6:12" ht="20.25" hidden="1" x14ac:dyDescent="0.25">
      <c r="F107" s="54" t="s">
        <v>494</v>
      </c>
      <c r="G107" s="54"/>
      <c r="H107" s="196">
        <f t="shared" ref="H107:I107" si="4">H98</f>
        <v>103783.97250000012</v>
      </c>
      <c r="I107" s="196">
        <f t="shared" si="4"/>
        <v>115005.71349999998</v>
      </c>
      <c r="J107" s="196">
        <f>J98</f>
        <v>130661.50709999993</v>
      </c>
      <c r="K107" s="196">
        <f t="shared" ref="K107" si="5">K98</f>
        <v>140533.38</v>
      </c>
      <c r="L107" s="700"/>
    </row>
    <row r="108" spans="6:12" ht="20.25" hidden="1" x14ac:dyDescent="0.25">
      <c r="F108" s="54" t="s">
        <v>103</v>
      </c>
      <c r="G108" s="54"/>
      <c r="H108" s="196">
        <f>H37</f>
        <v>9315</v>
      </c>
      <c r="I108" s="196">
        <f>I37</f>
        <v>9315</v>
      </c>
      <c r="J108" s="196">
        <f>J37</f>
        <v>10548</v>
      </c>
      <c r="K108" s="196">
        <f>K37</f>
        <v>10548</v>
      </c>
      <c r="L108" s="700"/>
    </row>
    <row r="109" spans="6:12" ht="27" hidden="1" thickBot="1" x14ac:dyDescent="0.3">
      <c r="F109" s="54" t="s">
        <v>501</v>
      </c>
      <c r="G109" s="54"/>
      <c r="H109" s="606">
        <f>SUM(H106:H108)</f>
        <v>351281.83999999997</v>
      </c>
      <c r="I109" s="606">
        <f>SUM(I106:I108)</f>
        <v>304345.73</v>
      </c>
      <c r="J109" s="606">
        <f>SUM(J106:J108)</f>
        <v>340238.17999999993</v>
      </c>
      <c r="K109" s="606">
        <f>SUM(K106:K108)</f>
        <v>336549.22</v>
      </c>
      <c r="L109" s="306"/>
    </row>
    <row r="110" spans="6:12" ht="20.25" hidden="1" x14ac:dyDescent="0.25">
      <c r="F110" s="54" t="s">
        <v>502</v>
      </c>
      <c r="G110" s="54"/>
      <c r="H110" s="196">
        <f>H88</f>
        <v>16457</v>
      </c>
      <c r="I110" s="196">
        <f>I88</f>
        <v>10151</v>
      </c>
      <c r="J110" s="196">
        <f>J88</f>
        <v>10428</v>
      </c>
      <c r="K110" s="196">
        <f>K88</f>
        <v>11740</v>
      </c>
    </row>
    <row r="111" spans="6:12" ht="20.25" hidden="1" x14ac:dyDescent="0.3">
      <c r="F111" s="54" t="s">
        <v>503</v>
      </c>
      <c r="G111" s="54"/>
      <c r="H111" s="708">
        <f t="shared" ref="H111:K111" si="6">H106/H102/H72</f>
        <v>16477.207130148494</v>
      </c>
      <c r="I111" s="708">
        <f t="shared" si="6"/>
        <v>9715.1607410527868</v>
      </c>
      <c r="J111" s="708">
        <f t="shared" si="6"/>
        <v>8937.9035395535648</v>
      </c>
      <c r="K111" s="708">
        <f t="shared" si="6"/>
        <v>7497.9078567493116</v>
      </c>
    </row>
    <row r="112" spans="6:12" ht="20.25" hidden="1" x14ac:dyDescent="0.3">
      <c r="F112" s="54" t="s">
        <v>504</v>
      </c>
      <c r="G112" s="54"/>
      <c r="H112" s="709">
        <f>H111-H110</f>
        <v>20.207130148493889</v>
      </c>
      <c r="I112" s="709">
        <f>I111-I110</f>
        <v>-435.83925894721324</v>
      </c>
      <c r="J112" s="709">
        <f>J111-J110</f>
        <v>-1490.0964604464352</v>
      </c>
      <c r="K112" s="709">
        <f>K111-K110</f>
        <v>-4242.0921432506884</v>
      </c>
    </row>
    <row r="113" spans="6:11" ht="20.25" hidden="1" x14ac:dyDescent="0.3">
      <c r="F113" s="54" t="s">
        <v>507</v>
      </c>
      <c r="G113" s="54"/>
      <c r="H113" s="710">
        <f>H106/(H111*H72)</f>
        <v>1.0446497169807178</v>
      </c>
      <c r="I113" s="710">
        <f t="shared" ref="I113:K113" si="7">I106/(I111*I72)</f>
        <v>1.0528094685054794</v>
      </c>
      <c r="J113" s="710">
        <f t="shared" si="7"/>
        <v>1.1267956473214289</v>
      </c>
      <c r="K113" s="710">
        <f t="shared" si="7"/>
        <v>1.2849557522123893</v>
      </c>
    </row>
    <row r="114" spans="6:11" ht="20.25" hidden="1" x14ac:dyDescent="0.3">
      <c r="F114" s="54" t="s">
        <v>508</v>
      </c>
      <c r="G114" s="54"/>
      <c r="H114" s="710">
        <f>H107/H111</f>
        <v>6.2986385787495296</v>
      </c>
      <c r="I114" s="710">
        <f>I107/I111</f>
        <v>11.837757147344671</v>
      </c>
      <c r="J114" s="710">
        <f>J107/J111</f>
        <v>14.618809267942298</v>
      </c>
      <c r="K114" s="710">
        <f>K107/K111</f>
        <v>18.743012408921185</v>
      </c>
    </row>
    <row r="115" spans="6:11" ht="20.25" x14ac:dyDescent="0.25">
      <c r="F115" s="54" t="s">
        <v>509</v>
      </c>
      <c r="G115" s="193">
        <f>G28+G32+G34+G28*0.21</f>
        <v>216908.68</v>
      </c>
      <c r="H115" s="193">
        <f t="shared" ref="H115:K115" si="8">H28+H32+H34+H28*0.21</f>
        <v>237890.76750000002</v>
      </c>
      <c r="I115" s="193">
        <f t="shared" si="8"/>
        <v>188101.25650000002</v>
      </c>
      <c r="J115" s="193">
        <f t="shared" si="8"/>
        <v>232210.04700000002</v>
      </c>
      <c r="K115" s="193">
        <f t="shared" si="8"/>
        <v>292430</v>
      </c>
    </row>
    <row r="116" spans="6:11" ht="20.25" x14ac:dyDescent="0.25">
      <c r="F116" s="54" t="s">
        <v>494</v>
      </c>
      <c r="G116" s="193">
        <f>G47-G115-G117</f>
        <v>105684.32</v>
      </c>
      <c r="H116" s="193">
        <f t="shared" ref="H116:K116" si="9">H47-H115-H117</f>
        <v>113098.97250000009</v>
      </c>
      <c r="I116" s="193">
        <f t="shared" si="9"/>
        <v>124320.71349999995</v>
      </c>
      <c r="J116" s="193">
        <f t="shared" si="9"/>
        <v>141209.50709999993</v>
      </c>
      <c r="K116" s="193">
        <f t="shared" si="9"/>
        <v>149051.38</v>
      </c>
    </row>
    <row r="117" spans="6:11" ht="20.25" x14ac:dyDescent="0.25">
      <c r="F117" s="54" t="s">
        <v>124</v>
      </c>
      <c r="G117" s="193">
        <f>G36</f>
        <v>25080</v>
      </c>
      <c r="H117" s="193">
        <f t="shared" ref="H117:K117" si="10">H36</f>
        <v>24029.68</v>
      </c>
      <c r="I117" s="193">
        <f t="shared" si="10"/>
        <v>31769</v>
      </c>
      <c r="J117" s="193">
        <f t="shared" si="10"/>
        <v>30384</v>
      </c>
      <c r="K117" s="193">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72"/>
      <c r="M1" s="672"/>
      <c r="N1" s="47"/>
      <c r="O1" s="47"/>
      <c r="P1" s="47"/>
      <c r="Q1" s="47"/>
      <c r="R1" s="47"/>
      <c r="S1" s="47"/>
      <c r="T1" s="47"/>
      <c r="U1" s="47"/>
      <c r="V1" s="47"/>
      <c r="W1" s="47"/>
      <c r="X1" s="47"/>
      <c r="Y1" s="47"/>
      <c r="Z1" s="47"/>
      <c r="AA1" s="47"/>
      <c r="AB1" s="47"/>
      <c r="AC1" s="47"/>
      <c r="AD1" s="47"/>
    </row>
    <row r="2" spans="1:30" ht="22.5" customHeight="1" x14ac:dyDescent="0.4">
      <c r="A2" s="46" t="s">
        <v>473</v>
      </c>
      <c r="B2" s="47"/>
      <c r="C2" s="48"/>
      <c r="D2" s="48"/>
      <c r="E2" s="48"/>
      <c r="F2" s="47"/>
      <c r="G2" s="47"/>
      <c r="H2" s="47"/>
      <c r="I2" s="47"/>
      <c r="J2" s="47"/>
      <c r="K2" s="672"/>
      <c r="M2" s="672"/>
      <c r="N2" s="47"/>
      <c r="O2" s="47"/>
      <c r="P2" s="47"/>
      <c r="Q2" s="47"/>
      <c r="R2" s="47"/>
      <c r="S2" s="47"/>
      <c r="T2" s="47"/>
      <c r="U2" s="47"/>
      <c r="V2" s="47"/>
      <c r="W2" s="47"/>
      <c r="X2" s="47"/>
      <c r="Y2" s="47"/>
      <c r="Z2" s="47"/>
      <c r="AA2" s="47"/>
      <c r="AB2" s="47"/>
      <c r="AC2" s="47"/>
      <c r="AD2" s="47"/>
    </row>
    <row r="3" spans="1:30" ht="22.5" customHeight="1" x14ac:dyDescent="0.4">
      <c r="A3" s="46" t="s">
        <v>620</v>
      </c>
      <c r="B3" s="47"/>
      <c r="C3" s="48"/>
      <c r="D3" s="48"/>
      <c r="E3" s="48"/>
      <c r="F3" s="47"/>
      <c r="G3" s="47"/>
      <c r="H3" s="47"/>
      <c r="I3" s="47"/>
      <c r="J3" s="47"/>
      <c r="K3" s="672"/>
      <c r="M3" s="672"/>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73"/>
      <c r="L4" s="674"/>
      <c r="M4" s="673"/>
    </row>
    <row r="5" spans="1:30" s="55" customFormat="1" ht="8.25" customHeight="1" thickBot="1" x14ac:dyDescent="0.25">
      <c r="A5" s="54"/>
      <c r="B5" s="54"/>
      <c r="C5" s="54"/>
      <c r="D5" s="54"/>
      <c r="E5" s="54"/>
      <c r="F5" s="54"/>
      <c r="K5" s="675"/>
      <c r="L5" s="674"/>
      <c r="M5" s="675"/>
    </row>
    <row r="6" spans="1:30" s="55" customFormat="1" ht="48" customHeight="1" thickBot="1" x14ac:dyDescent="0.25">
      <c r="A6" s="54"/>
      <c r="B6" s="676" t="s">
        <v>99</v>
      </c>
      <c r="C6" s="676"/>
      <c r="D6" s="676"/>
      <c r="E6" s="676"/>
      <c r="F6" s="676"/>
      <c r="G6" s="677" t="s">
        <v>621</v>
      </c>
      <c r="H6" s="677"/>
      <c r="I6" s="677" t="s">
        <v>622</v>
      </c>
      <c r="K6" s="675"/>
      <c r="L6" s="674"/>
      <c r="M6" s="675"/>
    </row>
    <row r="7" spans="1:30" s="55" customFormat="1" ht="20.25" x14ac:dyDescent="0.2">
      <c r="A7" s="54"/>
      <c r="B7" s="54"/>
      <c r="C7" s="58" t="s">
        <v>100</v>
      </c>
      <c r="D7" s="58"/>
      <c r="E7" s="58"/>
      <c r="F7" s="54"/>
      <c r="G7" s="202">
        <v>787392</v>
      </c>
      <c r="H7" s="202"/>
      <c r="I7" s="202">
        <v>702872</v>
      </c>
      <c r="K7" s="675"/>
      <c r="L7" s="674"/>
      <c r="M7" s="675"/>
    </row>
    <row r="8" spans="1:30" s="55" customFormat="1" ht="20.25" x14ac:dyDescent="0.2">
      <c r="A8" s="54"/>
      <c r="B8" s="54"/>
      <c r="C8" s="58" t="s">
        <v>149</v>
      </c>
      <c r="D8" s="58"/>
      <c r="E8" s="58"/>
      <c r="F8" s="54"/>
      <c r="G8" s="193">
        <v>115000</v>
      </c>
      <c r="H8" s="193"/>
      <c r="I8" s="193">
        <v>127749</v>
      </c>
      <c r="K8" s="675"/>
      <c r="L8" s="674"/>
      <c r="M8" s="675"/>
    </row>
    <row r="9" spans="1:30" s="55" customFormat="1" ht="20.25" x14ac:dyDescent="0.2">
      <c r="A9" s="54"/>
      <c r="B9" s="54"/>
      <c r="C9" s="58" t="s">
        <v>178</v>
      </c>
      <c r="D9" s="58"/>
      <c r="E9" s="58"/>
      <c r="F9" s="54"/>
      <c r="G9" s="193">
        <v>42500</v>
      </c>
      <c r="H9" s="193"/>
      <c r="I9" s="193">
        <v>42000</v>
      </c>
      <c r="K9" s="675"/>
      <c r="L9" s="674"/>
      <c r="M9" s="675"/>
    </row>
    <row r="10" spans="1:30" s="55" customFormat="1" ht="20.25" x14ac:dyDescent="0.2">
      <c r="A10" s="54"/>
      <c r="B10" s="54"/>
      <c r="C10" s="58" t="s">
        <v>101</v>
      </c>
      <c r="D10" s="58"/>
      <c r="E10" s="58"/>
      <c r="F10" s="54"/>
      <c r="G10" s="193">
        <v>0</v>
      </c>
      <c r="H10" s="193"/>
      <c r="I10" s="193"/>
      <c r="K10" s="675"/>
      <c r="L10" s="674"/>
      <c r="M10" s="675"/>
    </row>
    <row r="11" spans="1:30" s="55" customFormat="1" ht="20.25" x14ac:dyDescent="0.2">
      <c r="A11" s="54"/>
      <c r="B11" s="54"/>
      <c r="D11" s="58" t="s">
        <v>138</v>
      </c>
      <c r="E11" s="58"/>
      <c r="F11" s="54"/>
      <c r="G11" s="193">
        <f>208748+48500-42500</f>
        <v>214748</v>
      </c>
      <c r="H11" s="193"/>
      <c r="I11" s="193">
        <v>212125</v>
      </c>
      <c r="J11" s="386"/>
      <c r="K11" s="675"/>
      <c r="L11" s="678"/>
      <c r="M11" s="675"/>
    </row>
    <row r="12" spans="1:30" s="55" customFormat="1" ht="20.25" x14ac:dyDescent="0.2">
      <c r="A12" s="54"/>
      <c r="B12" s="54"/>
      <c r="D12" s="58" t="s">
        <v>158</v>
      </c>
      <c r="E12" s="58"/>
      <c r="F12" s="54"/>
      <c r="G12" s="193">
        <v>18000</v>
      </c>
      <c r="H12" s="193"/>
      <c r="I12" s="193">
        <v>18000</v>
      </c>
      <c r="J12" s="322"/>
      <c r="K12" s="675"/>
      <c r="L12" s="674"/>
      <c r="M12" s="675"/>
    </row>
    <row r="13" spans="1:30" s="55" customFormat="1" ht="20.25" x14ac:dyDescent="0.2">
      <c r="A13" s="54"/>
      <c r="B13" s="54"/>
      <c r="C13" s="58"/>
      <c r="D13" s="58" t="s">
        <v>400</v>
      </c>
      <c r="E13" s="58"/>
      <c r="F13" s="54"/>
      <c r="G13" s="193">
        <v>0</v>
      </c>
      <c r="H13" s="193"/>
      <c r="I13" s="193"/>
      <c r="J13" s="322"/>
      <c r="K13" s="675"/>
      <c r="L13" s="674"/>
      <c r="M13" s="675"/>
    </row>
    <row r="14" spans="1:30" s="55" customFormat="1" ht="20.25" x14ac:dyDescent="0.2">
      <c r="A14" s="54"/>
      <c r="B14" s="54"/>
      <c r="C14" s="58" t="s">
        <v>375</v>
      </c>
      <c r="D14" s="58"/>
      <c r="E14" s="58"/>
      <c r="F14" s="54"/>
      <c r="G14" s="193">
        <v>20000</v>
      </c>
      <c r="H14" s="193"/>
      <c r="I14" s="193">
        <v>22000</v>
      </c>
      <c r="J14" s="322"/>
      <c r="K14" s="675"/>
      <c r="L14" s="674"/>
      <c r="M14" s="675"/>
    </row>
    <row r="15" spans="1:30" s="55" customFormat="1" ht="20.25" x14ac:dyDescent="0.2">
      <c r="A15" s="54"/>
      <c r="B15" s="54"/>
      <c r="C15" s="58" t="s">
        <v>623</v>
      </c>
      <c r="D15" s="58"/>
      <c r="E15" s="58"/>
      <c r="F15" s="54"/>
      <c r="G15" s="193">
        <v>10000</v>
      </c>
      <c r="H15" s="193"/>
      <c r="I15" s="193">
        <f>29063</f>
        <v>29063</v>
      </c>
      <c r="J15" s="322"/>
      <c r="K15" s="675"/>
      <c r="L15" s="674"/>
      <c r="M15" s="675"/>
    </row>
    <row r="16" spans="1:30" s="55" customFormat="1" ht="20.25" x14ac:dyDescent="0.2">
      <c r="A16" s="54"/>
      <c r="B16" s="54"/>
      <c r="C16" s="58" t="s">
        <v>109</v>
      </c>
      <c r="D16" s="58"/>
      <c r="E16" s="58"/>
      <c r="F16" s="54"/>
      <c r="G16" s="193">
        <v>650</v>
      </c>
      <c r="H16" s="193"/>
      <c r="I16" s="193">
        <v>480</v>
      </c>
      <c r="J16" s="322"/>
      <c r="K16" s="675"/>
      <c r="L16" s="674"/>
      <c r="M16" s="675"/>
    </row>
    <row r="17" spans="1:13" s="55" customFormat="1" ht="20.25" x14ac:dyDescent="0.2">
      <c r="A17" s="54"/>
      <c r="B17" s="54"/>
      <c r="C17" s="58" t="s">
        <v>236</v>
      </c>
      <c r="D17" s="58"/>
      <c r="E17" s="58"/>
      <c r="F17" s="54"/>
      <c r="G17" s="193">
        <v>1200</v>
      </c>
      <c r="H17" s="193"/>
      <c r="I17" s="193">
        <v>2000</v>
      </c>
      <c r="J17" s="322"/>
      <c r="K17" s="675"/>
      <c r="L17" s="674"/>
      <c r="M17" s="675"/>
    </row>
    <row r="18" spans="1:13" s="55" customFormat="1" ht="20.25" x14ac:dyDescent="0.2">
      <c r="A18" s="54"/>
      <c r="B18" s="54"/>
      <c r="C18" s="58" t="s">
        <v>624</v>
      </c>
      <c r="D18" s="58"/>
      <c r="E18" s="58"/>
      <c r="F18" s="54"/>
      <c r="G18" s="193">
        <v>3000</v>
      </c>
      <c r="H18" s="193"/>
      <c r="I18" s="193">
        <v>5000</v>
      </c>
      <c r="J18" s="322"/>
      <c r="K18" s="675"/>
      <c r="L18" s="674"/>
      <c r="M18" s="675"/>
    </row>
    <row r="19" spans="1:13" s="55" customFormat="1" ht="20.25" x14ac:dyDescent="0.2">
      <c r="A19" s="54"/>
      <c r="B19" s="54"/>
      <c r="C19" s="58" t="s">
        <v>412</v>
      </c>
      <c r="D19" s="58"/>
      <c r="E19" s="58"/>
      <c r="F19" s="54"/>
      <c r="G19" s="193">
        <v>370038</v>
      </c>
      <c r="H19" s="193"/>
      <c r="I19" s="193">
        <f>153800+60000</f>
        <v>213800</v>
      </c>
      <c r="J19" s="318"/>
      <c r="K19" s="675"/>
      <c r="L19" s="674"/>
      <c r="M19" s="675"/>
    </row>
    <row r="20" spans="1:13" s="55" customFormat="1" ht="20.25" x14ac:dyDescent="0.2">
      <c r="A20" s="54"/>
      <c r="B20" s="54"/>
      <c r="C20" s="58" t="s">
        <v>108</v>
      </c>
      <c r="D20" s="593"/>
      <c r="E20" s="593"/>
      <c r="F20" s="593"/>
      <c r="G20" s="193">
        <v>52740</v>
      </c>
      <c r="H20" s="193"/>
      <c r="I20" s="193">
        <v>52740</v>
      </c>
      <c r="J20" s="318"/>
      <c r="K20" s="675"/>
      <c r="L20" s="674"/>
      <c r="M20" s="675"/>
    </row>
    <row r="21" spans="1:13" s="55" customFormat="1" ht="20.25" x14ac:dyDescent="0.2">
      <c r="A21" s="54"/>
      <c r="B21" s="54"/>
      <c r="C21" s="58" t="s">
        <v>415</v>
      </c>
      <c r="D21" s="593"/>
      <c r="E21" s="593"/>
      <c r="F21" s="593"/>
      <c r="G21" s="193">
        <v>17250</v>
      </c>
      <c r="H21" s="193"/>
      <c r="I21" s="193">
        <f>10683+5000+1800</f>
        <v>17483</v>
      </c>
      <c r="J21" s="318"/>
      <c r="K21" s="675"/>
      <c r="L21" s="674"/>
      <c r="M21" s="675"/>
    </row>
    <row r="22" spans="1:13" s="55" customFormat="1" ht="20.25" x14ac:dyDescent="0.2">
      <c r="A22" s="54"/>
      <c r="B22" s="54"/>
      <c r="C22" s="58" t="s">
        <v>101</v>
      </c>
      <c r="D22" s="593"/>
      <c r="E22" s="593"/>
      <c r="F22" s="593"/>
      <c r="G22" s="193">
        <v>21000</v>
      </c>
      <c r="H22" s="193"/>
      <c r="I22" s="193">
        <v>21000</v>
      </c>
      <c r="J22" s="318"/>
      <c r="K22" s="675"/>
      <c r="L22" s="674"/>
      <c r="M22" s="675"/>
    </row>
    <row r="23" spans="1:13" s="55" customFormat="1" ht="20.25" x14ac:dyDescent="0.2">
      <c r="A23" s="54"/>
      <c r="B23" s="54"/>
      <c r="C23" s="58" t="s">
        <v>318</v>
      </c>
      <c r="D23" s="593"/>
      <c r="E23" s="593"/>
      <c r="F23" s="593"/>
      <c r="G23" s="193">
        <v>54000</v>
      </c>
      <c r="H23" s="193"/>
      <c r="I23" s="193">
        <v>52000</v>
      </c>
      <c r="J23" s="318"/>
      <c r="K23" s="675"/>
      <c r="L23" s="674"/>
      <c r="M23" s="675"/>
    </row>
    <row r="24" spans="1:13" s="55" customFormat="1" ht="20.25" x14ac:dyDescent="0.2">
      <c r="A24" s="54"/>
      <c r="B24" s="54"/>
      <c r="C24" s="58" t="s">
        <v>320</v>
      </c>
      <c r="D24" s="593"/>
      <c r="E24" s="593"/>
      <c r="F24" s="593"/>
      <c r="G24" s="193">
        <v>18537</v>
      </c>
      <c r="H24" s="193"/>
      <c r="I24" s="193">
        <f>7034+1500+2000</f>
        <v>10534</v>
      </c>
      <c r="J24" s="318"/>
      <c r="K24" s="675"/>
      <c r="L24" s="674"/>
      <c r="M24" s="675"/>
    </row>
    <row r="25" spans="1:13" s="55" customFormat="1" ht="20.25" x14ac:dyDescent="0.2">
      <c r="A25" s="54"/>
      <c r="B25" s="54"/>
      <c r="C25" s="58"/>
      <c r="D25" s="54" t="s">
        <v>104</v>
      </c>
      <c r="E25" s="58"/>
      <c r="F25" s="54"/>
      <c r="G25" s="201">
        <f>SUM(G7:G24)</f>
        <v>1746055</v>
      </c>
      <c r="H25" s="201"/>
      <c r="I25" s="201">
        <f>SUM(I7:I24)</f>
        <v>1528846</v>
      </c>
      <c r="K25" s="675"/>
      <c r="L25" s="674"/>
      <c r="M25" s="675"/>
    </row>
    <row r="26" spans="1:13" s="55" customFormat="1" ht="21" thickBot="1" x14ac:dyDescent="0.25">
      <c r="A26" s="54"/>
      <c r="B26" s="54"/>
      <c r="C26" s="58"/>
      <c r="D26" s="54"/>
      <c r="E26" s="58"/>
      <c r="F26" s="54"/>
      <c r="G26" s="193"/>
      <c r="H26" s="193"/>
      <c r="I26" s="193"/>
      <c r="K26" s="675"/>
      <c r="L26" s="674"/>
      <c r="M26" s="675"/>
    </row>
    <row r="27" spans="1:13" s="55" customFormat="1" ht="54.75" thickBot="1" x14ac:dyDescent="0.25">
      <c r="A27" s="54"/>
      <c r="B27" s="676" t="s">
        <v>110</v>
      </c>
      <c r="C27" s="676"/>
      <c r="D27" s="676"/>
      <c r="E27" s="676"/>
      <c r="F27" s="676"/>
      <c r="G27" s="677" t="s">
        <v>621</v>
      </c>
      <c r="H27" s="677"/>
      <c r="I27" s="677" t="s">
        <v>622</v>
      </c>
      <c r="K27" s="675"/>
      <c r="L27" s="674"/>
      <c r="M27" s="675"/>
    </row>
    <row r="28" spans="1:13" s="55" customFormat="1" ht="20.25" x14ac:dyDescent="0.2">
      <c r="A28" s="54"/>
      <c r="B28" s="54"/>
      <c r="C28" s="58" t="s">
        <v>111</v>
      </c>
      <c r="D28" s="58"/>
      <c r="E28" s="58"/>
      <c r="F28" s="58"/>
      <c r="G28" s="193">
        <v>1094561</v>
      </c>
      <c r="H28" s="193"/>
      <c r="I28" s="193">
        <v>930000</v>
      </c>
      <c r="K28" s="675"/>
      <c r="L28" s="674"/>
      <c r="M28" s="675"/>
    </row>
    <row r="29" spans="1:13" s="55" customFormat="1" ht="20.25" x14ac:dyDescent="0.2">
      <c r="A29" s="54"/>
      <c r="B29" s="54"/>
      <c r="C29" s="58" t="s">
        <v>112</v>
      </c>
      <c r="D29" s="58"/>
      <c r="E29" s="58"/>
      <c r="F29" s="58"/>
      <c r="G29" s="193">
        <v>222612</v>
      </c>
      <c r="H29" s="193"/>
      <c r="I29" s="193">
        <v>182500</v>
      </c>
      <c r="K29" s="675"/>
      <c r="L29" s="674"/>
      <c r="M29" s="675"/>
    </row>
    <row r="30" spans="1:13" s="55" customFormat="1" ht="20.25" x14ac:dyDescent="0.2">
      <c r="A30" s="54"/>
      <c r="B30" s="54"/>
      <c r="C30" s="58" t="s">
        <v>113</v>
      </c>
      <c r="D30" s="58"/>
      <c r="E30" s="58"/>
      <c r="F30" s="58"/>
      <c r="G30" s="193">
        <v>1800</v>
      </c>
      <c r="H30" s="193"/>
      <c r="I30" s="193">
        <v>1800</v>
      </c>
      <c r="K30" s="675"/>
      <c r="L30" s="674"/>
      <c r="M30" s="675"/>
    </row>
    <row r="31" spans="1:13" s="55" customFormat="1" ht="20.25" x14ac:dyDescent="0.2">
      <c r="A31" s="54"/>
      <c r="B31" s="54"/>
      <c r="C31" s="58" t="s">
        <v>103</v>
      </c>
      <c r="D31" s="58"/>
      <c r="E31" s="58"/>
      <c r="F31" s="58"/>
      <c r="G31" s="193">
        <v>52740</v>
      </c>
      <c r="H31" s="193"/>
      <c r="I31" s="193">
        <v>52740</v>
      </c>
      <c r="K31" s="675"/>
      <c r="L31" s="674"/>
      <c r="M31" s="675"/>
    </row>
    <row r="32" spans="1:13" s="55" customFormat="1" ht="20.25" x14ac:dyDescent="0.2">
      <c r="A32" s="54"/>
      <c r="B32" s="54"/>
      <c r="C32" s="58" t="s">
        <v>114</v>
      </c>
      <c r="D32" s="58"/>
      <c r="E32" s="58"/>
      <c r="F32" s="58"/>
      <c r="G32" s="193">
        <v>22993</v>
      </c>
      <c r="H32" s="193"/>
      <c r="I32" s="193">
        <v>19478</v>
      </c>
      <c r="K32" s="675"/>
      <c r="L32" s="674"/>
      <c r="M32" s="675"/>
    </row>
    <row r="33" spans="1:14" s="55" customFormat="1" ht="20.25" x14ac:dyDescent="0.2">
      <c r="A33" s="54"/>
      <c r="B33" s="54"/>
      <c r="C33" s="58" t="s">
        <v>115</v>
      </c>
      <c r="D33" s="58"/>
      <c r="E33" s="58"/>
      <c r="F33" s="58"/>
      <c r="G33" s="193">
        <v>2820</v>
      </c>
      <c r="H33" s="193"/>
      <c r="I33" s="193">
        <v>3395</v>
      </c>
      <c r="K33" s="675"/>
      <c r="L33" s="674"/>
      <c r="M33" s="675"/>
    </row>
    <row r="34" spans="1:14" s="55" customFormat="1" ht="20.25" x14ac:dyDescent="0.2">
      <c r="A34" s="54"/>
      <c r="B34" s="54"/>
      <c r="C34" s="58" t="s">
        <v>116</v>
      </c>
      <c r="D34" s="58"/>
      <c r="E34" s="58"/>
      <c r="F34" s="58"/>
      <c r="G34" s="193">
        <v>5127</v>
      </c>
      <c r="H34" s="193"/>
      <c r="I34" s="193">
        <v>5398</v>
      </c>
      <c r="K34" s="675"/>
      <c r="L34" s="674"/>
      <c r="M34" s="675"/>
    </row>
    <row r="35" spans="1:14" s="55" customFormat="1" ht="20.25" x14ac:dyDescent="0.2">
      <c r="A35" s="54"/>
      <c r="B35" s="54"/>
      <c r="C35" s="58" t="s">
        <v>117</v>
      </c>
      <c r="D35" s="58"/>
      <c r="E35" s="58"/>
      <c r="F35" s="58"/>
      <c r="G35" s="193">
        <v>5612</v>
      </c>
      <c r="H35" s="193"/>
      <c r="I35" s="193">
        <v>8340</v>
      </c>
      <c r="K35" s="675"/>
      <c r="L35" s="674"/>
      <c r="M35" s="675"/>
    </row>
    <row r="36" spans="1:14" s="55" customFormat="1" ht="20.25" x14ac:dyDescent="0.2">
      <c r="A36" s="54"/>
      <c r="B36" s="54"/>
      <c r="C36" s="58" t="s">
        <v>118</v>
      </c>
      <c r="D36" s="58"/>
      <c r="E36" s="58"/>
      <c r="F36" s="58"/>
      <c r="G36" s="193">
        <v>42000</v>
      </c>
      <c r="H36" s="193"/>
      <c r="I36" s="193">
        <v>49000</v>
      </c>
      <c r="K36" s="675"/>
      <c r="L36" s="674"/>
      <c r="M36" s="675"/>
    </row>
    <row r="37" spans="1:14" s="55" customFormat="1" ht="20.25" x14ac:dyDescent="0.2">
      <c r="A37" s="54"/>
      <c r="B37" s="54"/>
      <c r="C37" s="58" t="s">
        <v>119</v>
      </c>
      <c r="D37" s="58"/>
      <c r="E37" s="58"/>
      <c r="F37" s="58"/>
      <c r="G37" s="193">
        <v>4960</v>
      </c>
      <c r="H37" s="193"/>
      <c r="I37" s="193">
        <v>5600</v>
      </c>
      <c r="K37" s="675"/>
      <c r="L37" s="674"/>
      <c r="M37" s="675"/>
    </row>
    <row r="38" spans="1:14" s="55" customFormat="1" ht="20.25" x14ac:dyDescent="0.2">
      <c r="A38" s="54"/>
      <c r="B38" s="54"/>
      <c r="C38" s="58" t="s">
        <v>120</v>
      </c>
      <c r="D38" s="58"/>
      <c r="E38" s="58"/>
      <c r="F38" s="58"/>
      <c r="G38" s="193">
        <v>1501</v>
      </c>
      <c r="H38" s="193"/>
      <c r="I38" s="193">
        <v>1450</v>
      </c>
      <c r="K38" s="675"/>
      <c r="L38" s="674"/>
      <c r="M38" s="675"/>
    </row>
    <row r="39" spans="1:14" s="55" customFormat="1" ht="20.25" x14ac:dyDescent="0.2">
      <c r="A39" s="54"/>
      <c r="B39" s="54"/>
      <c r="C39" s="58" t="s">
        <v>165</v>
      </c>
      <c r="D39" s="58"/>
      <c r="E39" s="58"/>
      <c r="F39" s="58"/>
      <c r="G39" s="193">
        <v>23000</v>
      </c>
      <c r="H39" s="193"/>
      <c r="I39" s="193">
        <v>12175</v>
      </c>
      <c r="K39" s="675"/>
      <c r="L39" s="674"/>
      <c r="M39" s="675"/>
    </row>
    <row r="40" spans="1:14" s="55" customFormat="1" ht="20.25" x14ac:dyDescent="0.2">
      <c r="A40" s="54"/>
      <c r="B40" s="54"/>
      <c r="C40" s="784" t="s">
        <v>323</v>
      </c>
      <c r="D40" s="784"/>
      <c r="E40" s="784"/>
      <c r="F40" s="784"/>
      <c r="G40" s="193">
        <v>0</v>
      </c>
      <c r="H40" s="193"/>
      <c r="I40" s="193">
        <v>410</v>
      </c>
      <c r="J40" s="580"/>
      <c r="K40" s="675"/>
      <c r="L40" s="674"/>
      <c r="M40" s="675"/>
    </row>
    <row r="41" spans="1:14" s="55" customFormat="1" ht="20.25" x14ac:dyDescent="0.2">
      <c r="A41" s="54"/>
      <c r="B41" s="54"/>
      <c r="C41" s="58" t="s">
        <v>121</v>
      </c>
      <c r="D41" s="58"/>
      <c r="E41" s="58"/>
      <c r="F41" s="58"/>
      <c r="G41" s="193">
        <v>29350</v>
      </c>
      <c r="H41" s="193"/>
      <c r="I41" s="193">
        <f>24841+42+42</f>
        <v>24925</v>
      </c>
      <c r="K41" s="675"/>
      <c r="L41" s="674"/>
      <c r="M41" s="675"/>
      <c r="N41" s="675"/>
    </row>
    <row r="42" spans="1:14" s="55" customFormat="1" ht="20.25" x14ac:dyDescent="0.2">
      <c r="A42" s="54"/>
      <c r="B42" s="54"/>
      <c r="C42" s="58" t="s">
        <v>122</v>
      </c>
      <c r="D42" s="58"/>
      <c r="E42" s="58"/>
      <c r="F42" s="58"/>
      <c r="G42" s="193">
        <v>25000</v>
      </c>
      <c r="H42" s="193"/>
      <c r="I42" s="193">
        <v>25700</v>
      </c>
      <c r="J42" s="580"/>
      <c r="K42" s="675"/>
      <c r="L42" s="674"/>
      <c r="M42" s="675"/>
    </row>
    <row r="43" spans="1:14" s="55" customFormat="1" ht="20.25" x14ac:dyDescent="0.2">
      <c r="A43" s="54"/>
      <c r="B43" s="54"/>
      <c r="C43" s="58" t="s">
        <v>129</v>
      </c>
      <c r="D43" s="58"/>
      <c r="E43" s="58"/>
      <c r="F43" s="58"/>
      <c r="G43" s="193">
        <v>700</v>
      </c>
      <c r="H43" s="193"/>
      <c r="I43" s="193">
        <v>303</v>
      </c>
      <c r="K43" s="675"/>
      <c r="L43" s="674"/>
      <c r="M43" s="675"/>
    </row>
    <row r="44" spans="1:14" s="55" customFormat="1" ht="20.25" x14ac:dyDescent="0.2">
      <c r="A44" s="54"/>
      <c r="B44" s="54"/>
      <c r="C44" s="58" t="s">
        <v>123</v>
      </c>
      <c r="D44" s="58"/>
      <c r="E44" s="58"/>
      <c r="F44" s="58"/>
      <c r="G44" s="193">
        <f>2000+3500</f>
        <v>5500</v>
      </c>
      <c r="H44" s="193"/>
      <c r="I44" s="193">
        <f>3012.83+6264</f>
        <v>9276.83</v>
      </c>
      <c r="J44" s="580"/>
      <c r="K44" s="675"/>
      <c r="L44" s="674"/>
      <c r="M44" s="675"/>
    </row>
    <row r="45" spans="1:14" s="55" customFormat="1" ht="20.25" customHeight="1" x14ac:dyDescent="0.2">
      <c r="A45" s="54"/>
      <c r="B45" s="54"/>
      <c r="C45" s="58" t="s">
        <v>198</v>
      </c>
      <c r="D45" s="58"/>
      <c r="E45" s="58"/>
      <c r="F45" s="58"/>
      <c r="G45" s="193">
        <v>8543</v>
      </c>
      <c r="H45" s="193"/>
      <c r="I45" s="193">
        <v>6326</v>
      </c>
      <c r="K45" s="675"/>
      <c r="L45" s="674"/>
      <c r="M45" s="675"/>
    </row>
    <row r="46" spans="1:14" s="55" customFormat="1" ht="20.25" x14ac:dyDescent="0.2">
      <c r="A46" s="58"/>
      <c r="B46" s="58"/>
      <c r="C46" s="58" t="s">
        <v>125</v>
      </c>
      <c r="D46" s="58"/>
      <c r="E46" s="58"/>
      <c r="F46" s="58"/>
      <c r="G46" s="193">
        <v>58875</v>
      </c>
      <c r="H46" s="193"/>
      <c r="I46" s="193">
        <v>25015</v>
      </c>
      <c r="K46" s="675"/>
      <c r="L46" s="674"/>
      <c r="M46" s="675"/>
    </row>
    <row r="47" spans="1:14" s="55" customFormat="1" ht="20.25" x14ac:dyDescent="0.2">
      <c r="A47" s="54"/>
      <c r="B47" s="54"/>
      <c r="C47" s="58" t="s">
        <v>164</v>
      </c>
      <c r="D47" s="58"/>
      <c r="E47" s="58"/>
      <c r="F47" s="58"/>
      <c r="G47" s="193">
        <v>60600</v>
      </c>
      <c r="H47" s="193"/>
      <c r="I47" s="193">
        <v>62119</v>
      </c>
      <c r="K47" s="675"/>
      <c r="L47" s="674"/>
      <c r="M47" s="675"/>
    </row>
    <row r="48" spans="1:14" s="55" customFormat="1" ht="20.25" x14ac:dyDescent="0.2">
      <c r="A48" s="54"/>
      <c r="B48" s="54"/>
      <c r="C48" s="58" t="s">
        <v>126</v>
      </c>
      <c r="D48" s="58"/>
      <c r="E48" s="58"/>
      <c r="F48" s="58"/>
      <c r="G48" s="195">
        <f>9000+35702</f>
        <v>44702</v>
      </c>
      <c r="H48" s="193"/>
      <c r="I48" s="195">
        <f>15559+52280</f>
        <v>67839</v>
      </c>
      <c r="K48" s="675"/>
      <c r="L48" s="674"/>
      <c r="M48" s="675"/>
    </row>
    <row r="49" spans="1:13" s="55" customFormat="1" ht="20.25" x14ac:dyDescent="0.2">
      <c r="A49" s="58"/>
      <c r="B49" s="58"/>
      <c r="D49" s="54" t="s">
        <v>127</v>
      </c>
      <c r="G49" s="193">
        <f>SUM(G28:G48)</f>
        <v>1712996</v>
      </c>
      <c r="H49" s="193"/>
      <c r="I49" s="193">
        <f>SUM(I28:I48)</f>
        <v>1493789.83</v>
      </c>
      <c r="K49" s="675"/>
      <c r="L49" s="674"/>
      <c r="M49" s="675"/>
    </row>
    <row r="50" spans="1:13" s="55" customFormat="1" ht="8.25" customHeight="1" x14ac:dyDescent="0.2">
      <c r="A50" s="58"/>
      <c r="B50" s="58"/>
      <c r="C50" s="54"/>
      <c r="D50" s="54"/>
      <c r="G50" s="193"/>
      <c r="H50" s="193"/>
      <c r="I50" s="193"/>
      <c r="K50" s="675"/>
      <c r="L50" s="674"/>
      <c r="M50" s="675"/>
    </row>
    <row r="51" spans="1:13" s="55" customFormat="1" ht="20.25" x14ac:dyDescent="0.2">
      <c r="A51" s="58"/>
      <c r="B51" s="58"/>
      <c r="C51" s="679" t="s">
        <v>416</v>
      </c>
      <c r="D51"/>
      <c r="E51" s="54"/>
      <c r="F51" s="54"/>
      <c r="G51" s="201">
        <f>G25-G49</f>
        <v>33059</v>
      </c>
      <c r="H51" s="193"/>
      <c r="I51" s="201">
        <f>I25-I49</f>
        <v>35056.169999999925</v>
      </c>
      <c r="K51" s="675"/>
      <c r="L51" s="674"/>
      <c r="M51" s="675"/>
    </row>
    <row r="52" spans="1:13" s="55" customFormat="1" ht="9" customHeight="1" x14ac:dyDescent="0.2">
      <c r="A52" s="58"/>
      <c r="B52" s="58"/>
      <c r="C52" s="58"/>
      <c r="D52" s="58"/>
      <c r="E52" s="58"/>
      <c r="F52" s="58"/>
      <c r="G52" s="193"/>
      <c r="H52" s="193"/>
      <c r="I52" s="193"/>
      <c r="K52" s="675"/>
      <c r="L52" s="674"/>
      <c r="M52" s="675"/>
    </row>
    <row r="53" spans="1:13" s="55" customFormat="1" ht="23.25" customHeight="1" x14ac:dyDescent="0.2">
      <c r="A53" s="58"/>
      <c r="B53" s="58"/>
      <c r="C53" s="58" t="s">
        <v>466</v>
      </c>
      <c r="D53" s="58"/>
      <c r="F53" s="58"/>
      <c r="G53" s="193">
        <v>24021</v>
      </c>
      <c r="H53" s="193"/>
      <c r="I53" s="193">
        <v>35278</v>
      </c>
      <c r="K53" s="675"/>
      <c r="L53" s="674"/>
      <c r="M53" s="675"/>
    </row>
    <row r="54" spans="1:13" s="55" customFormat="1" ht="20.25" x14ac:dyDescent="0.2">
      <c r="A54" s="58"/>
      <c r="B54" s="58"/>
      <c r="C54" s="58" t="s">
        <v>32</v>
      </c>
      <c r="D54" s="58"/>
      <c r="F54" s="58"/>
      <c r="G54" s="193">
        <v>5933</v>
      </c>
      <c r="H54" s="193"/>
      <c r="I54" s="193">
        <v>5330</v>
      </c>
      <c r="K54" s="675"/>
      <c r="L54" s="674"/>
      <c r="M54" s="675"/>
    </row>
    <row r="55" spans="1:13" s="55" customFormat="1" ht="9" customHeight="1" thickBot="1" x14ac:dyDescent="0.25">
      <c r="A55" s="58"/>
      <c r="B55" s="58"/>
      <c r="C55" s="58"/>
      <c r="D55" s="58"/>
      <c r="E55" s="58"/>
      <c r="F55" s="58"/>
      <c r="G55" s="193"/>
      <c r="H55" s="193"/>
      <c r="I55" s="193"/>
      <c r="K55" s="675"/>
      <c r="L55" s="674"/>
      <c r="M55" s="675"/>
    </row>
    <row r="56" spans="1:13" s="55" customFormat="1" ht="21.75" thickTop="1" thickBot="1" x14ac:dyDescent="0.25">
      <c r="A56" s="54"/>
      <c r="B56" s="54"/>
      <c r="C56" s="680" t="s">
        <v>417</v>
      </c>
      <c r="D56" s="681"/>
      <c r="E56" s="681"/>
      <c r="F56" s="681"/>
      <c r="G56" s="682">
        <f>G51-G54-G53</f>
        <v>3105</v>
      </c>
      <c r="H56" s="682"/>
      <c r="I56" s="682">
        <f>I51-I54-I53</f>
        <v>-5551.8300000000745</v>
      </c>
      <c r="K56" s="675"/>
      <c r="L56" s="674"/>
      <c r="M56" s="675"/>
    </row>
    <row r="57" spans="1:13" s="55" customFormat="1" ht="21" thickTop="1" x14ac:dyDescent="0.2">
      <c r="A57" s="54"/>
      <c r="B57" s="54"/>
      <c r="C57" s="54"/>
      <c r="D57" s="54"/>
      <c r="E57" s="54"/>
      <c r="F57" s="54"/>
      <c r="G57" s="196"/>
      <c r="H57" s="196"/>
      <c r="K57" s="675"/>
      <c r="L57" s="674"/>
      <c r="M57" s="675"/>
    </row>
    <row r="58" spans="1:13" ht="20.25" x14ac:dyDescent="0.3">
      <c r="B58" s="683" t="s">
        <v>625</v>
      </c>
      <c r="C58" s="684"/>
      <c r="F58" s="609"/>
      <c r="G58" s="227"/>
      <c r="H58" s="227"/>
      <c r="I58" s="684"/>
    </row>
    <row r="59" spans="1:13" ht="9.75" customHeight="1" x14ac:dyDescent="0.3">
      <c r="B59" s="683"/>
      <c r="C59" s="684"/>
      <c r="F59" s="609"/>
      <c r="G59" s="227"/>
      <c r="H59" s="227"/>
      <c r="I59" s="684"/>
    </row>
    <row r="60" spans="1:13" ht="20.25" x14ac:dyDescent="0.3">
      <c r="B60" s="683"/>
      <c r="C60" s="30" t="s">
        <v>478</v>
      </c>
      <c r="F60" s="609"/>
      <c r="G60" s="227"/>
      <c r="H60" s="227"/>
      <c r="I60" s="684"/>
    </row>
    <row r="61" spans="1:13" ht="20.25" x14ac:dyDescent="0.3">
      <c r="B61" s="683"/>
      <c r="C61" s="442" t="s">
        <v>479</v>
      </c>
      <c r="F61" s="609"/>
      <c r="G61" s="227"/>
      <c r="H61" s="227"/>
      <c r="I61" s="684"/>
    </row>
    <row r="62" spans="1:13" ht="33.75" customHeight="1" x14ac:dyDescent="0.3">
      <c r="B62" s="683"/>
      <c r="C62" s="785" t="s">
        <v>529</v>
      </c>
      <c r="D62" s="785"/>
      <c r="E62" s="785"/>
      <c r="F62" s="785"/>
      <c r="G62" s="785"/>
      <c r="H62" s="785"/>
      <c r="I62" s="785"/>
    </row>
    <row r="63" spans="1:13" ht="20.25" x14ac:dyDescent="0.3">
      <c r="B63" s="683"/>
      <c r="C63" s="442" t="s">
        <v>631</v>
      </c>
      <c r="F63" s="609"/>
      <c r="G63" s="227"/>
      <c r="H63" s="227"/>
      <c r="I63" s="684"/>
    </row>
    <row r="64" spans="1:13" ht="20.25" x14ac:dyDescent="0.3">
      <c r="B64" s="683"/>
      <c r="C64">
        <v>1</v>
      </c>
      <c r="D64" s="442" t="s">
        <v>626</v>
      </c>
      <c r="F64" s="609"/>
      <c r="G64" s="227"/>
      <c r="H64" s="227"/>
      <c r="I64" s="684"/>
    </row>
    <row r="65" spans="2:9" ht="20.25" x14ac:dyDescent="0.3">
      <c r="B65" s="683"/>
      <c r="C65" s="442">
        <v>2</v>
      </c>
      <c r="D65" s="442" t="s">
        <v>627</v>
      </c>
      <c r="F65" s="609"/>
      <c r="G65" s="227"/>
      <c r="H65" s="227"/>
      <c r="I65" s="684"/>
    </row>
    <row r="66" spans="2:9" ht="20.25" x14ac:dyDescent="0.3">
      <c r="B66" s="683"/>
      <c r="C66" s="442" t="s">
        <v>628</v>
      </c>
      <c r="D66" s="442"/>
      <c r="F66" s="609"/>
      <c r="G66" s="227"/>
      <c r="H66" s="227"/>
      <c r="I66" s="684"/>
    </row>
    <row r="67" spans="2:9" ht="39.75" customHeight="1" x14ac:dyDescent="0.3">
      <c r="B67" s="683"/>
      <c r="C67" s="785" t="s">
        <v>629</v>
      </c>
      <c r="D67" s="785"/>
      <c r="E67" s="785"/>
      <c r="F67" s="785"/>
      <c r="G67" s="785"/>
      <c r="H67" s="785"/>
      <c r="I67" s="785"/>
    </row>
    <row r="68" spans="2:9" ht="20.25" customHeight="1" x14ac:dyDescent="0.2">
      <c r="C68" s="785" t="s">
        <v>630</v>
      </c>
      <c r="D68" s="785"/>
      <c r="E68" s="785"/>
      <c r="F68" s="785"/>
      <c r="G68" s="785"/>
      <c r="H68" s="785"/>
      <c r="I68" s="785"/>
    </row>
    <row r="69" spans="2:9" ht="11.25" customHeight="1" x14ac:dyDescent="0.3">
      <c r="C69" s="442"/>
      <c r="F69" s="609"/>
      <c r="G69" s="227"/>
      <c r="H69" s="227"/>
      <c r="I69" s="684"/>
    </row>
    <row r="70" spans="2:9" ht="20.25" hidden="1" x14ac:dyDescent="0.3">
      <c r="C70" s="685" t="s">
        <v>480</v>
      </c>
      <c r="F70" s="609"/>
      <c r="G70" s="227"/>
      <c r="H70" s="227"/>
      <c r="I70" s="684"/>
    </row>
    <row r="71" spans="2:9" ht="38.25" hidden="1" customHeight="1" x14ac:dyDescent="0.2">
      <c r="C71" s="785" t="s">
        <v>481</v>
      </c>
      <c r="D71" s="785"/>
      <c r="E71" s="785"/>
      <c r="F71" s="785"/>
      <c r="G71" s="785"/>
      <c r="H71" s="785"/>
      <c r="I71" s="785"/>
    </row>
    <row r="72" spans="2:9" ht="37.5" hidden="1" customHeight="1" x14ac:dyDescent="0.2">
      <c r="C72" s="786" t="s">
        <v>524</v>
      </c>
      <c r="D72" s="786"/>
      <c r="E72" s="786"/>
      <c r="F72" s="786"/>
      <c r="G72" s="786"/>
      <c r="H72" s="786"/>
      <c r="I72" s="786"/>
    </row>
    <row r="73" spans="2:9" ht="18" hidden="1" x14ac:dyDescent="0.25">
      <c r="C73" s="442" t="s">
        <v>482</v>
      </c>
      <c r="F73" s="609"/>
      <c r="G73" s="684"/>
      <c r="H73" s="684"/>
      <c r="I73" s="684"/>
    </row>
    <row r="74" spans="2:9" ht="18" hidden="1" x14ac:dyDescent="0.25">
      <c r="C74" s="442" t="s">
        <v>522</v>
      </c>
      <c r="F74" s="609"/>
      <c r="G74" s="684"/>
      <c r="H74" s="684"/>
      <c r="I74" s="684"/>
    </row>
    <row r="75" spans="2:9" ht="29.25" hidden="1" customHeight="1" x14ac:dyDescent="0.2">
      <c r="C75" s="785" t="s">
        <v>523</v>
      </c>
      <c r="D75" s="785"/>
      <c r="E75" s="785"/>
      <c r="F75" s="785"/>
      <c r="G75" s="785"/>
      <c r="H75" s="785"/>
      <c r="I75" s="785"/>
    </row>
    <row r="76" spans="2:9" ht="18" hidden="1" x14ac:dyDescent="0.25">
      <c r="C76" s="229" t="s">
        <v>513</v>
      </c>
      <c r="F76" s="609"/>
      <c r="G76" s="684"/>
      <c r="H76" s="684"/>
      <c r="I76" s="684"/>
    </row>
    <row r="77" spans="2:9" ht="18" hidden="1" x14ac:dyDescent="0.25">
      <c r="C77" s="229">
        <v>1</v>
      </c>
      <c r="D77" s="229" t="s">
        <v>514</v>
      </c>
      <c r="F77" s="609"/>
      <c r="G77" s="684"/>
      <c r="H77" s="684"/>
      <c r="I77" s="684"/>
    </row>
    <row r="78" spans="2:9" ht="18" hidden="1" x14ac:dyDescent="0.25">
      <c r="C78" s="229">
        <v>2</v>
      </c>
      <c r="D78" s="229" t="s">
        <v>520</v>
      </c>
      <c r="F78" s="609"/>
    </row>
    <row r="79" spans="2:9" ht="18" hidden="1" x14ac:dyDescent="0.25">
      <c r="C79" s="229">
        <v>3</v>
      </c>
      <c r="D79" s="229" t="s">
        <v>521</v>
      </c>
      <c r="F79" s="609"/>
    </row>
    <row r="80" spans="2:9" ht="18" hidden="1" x14ac:dyDescent="0.25">
      <c r="C80" s="229">
        <v>4</v>
      </c>
      <c r="D80" s="229" t="s">
        <v>516</v>
      </c>
      <c r="F80" s="609"/>
    </row>
    <row r="81" spans="3:6" ht="18" hidden="1" x14ac:dyDescent="0.25">
      <c r="C81" s="229" t="s">
        <v>515</v>
      </c>
      <c r="D81" s="229"/>
      <c r="F81" s="609"/>
    </row>
    <row r="82" spans="3:6" ht="18" hidden="1" x14ac:dyDescent="0.25">
      <c r="C82" s="229" t="s">
        <v>518</v>
      </c>
      <c r="D82" s="229"/>
      <c r="F82" s="609"/>
    </row>
    <row r="83" spans="3:6" ht="18" hidden="1" x14ac:dyDescent="0.25">
      <c r="C83" s="229">
        <v>1</v>
      </c>
      <c r="D83" s="229" t="s">
        <v>517</v>
      </c>
      <c r="F83" s="88"/>
    </row>
    <row r="84" spans="3:6" ht="18" hidden="1" x14ac:dyDescent="0.25">
      <c r="C84" s="229">
        <v>2</v>
      </c>
      <c r="D84" s="229" t="s">
        <v>519</v>
      </c>
      <c r="F84" s="88"/>
    </row>
    <row r="85" spans="3:6" hidden="1" x14ac:dyDescent="0.2">
      <c r="C85" s="229" t="s">
        <v>515</v>
      </c>
      <c r="D85" s="229"/>
    </row>
    <row r="86" spans="3:6" hidden="1" x14ac:dyDescent="0.2">
      <c r="C86" s="229" t="s">
        <v>531</v>
      </c>
      <c r="D86" s="229"/>
    </row>
    <row r="87" spans="3:6" hidden="1" x14ac:dyDescent="0.2">
      <c r="C87" s="229" t="s">
        <v>532</v>
      </c>
      <c r="D87" s="229"/>
    </row>
    <row r="88" spans="3:6" x14ac:dyDescent="0.2">
      <c r="C88" s="229"/>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3" x14ac:dyDescent="0.2">
      <c r="C97" s="229"/>
    </row>
    <row r="98" spans="3:3" x14ac:dyDescent="0.2">
      <c r="C98" s="229"/>
    </row>
    <row r="99" spans="3:3" x14ac:dyDescent="0.2">
      <c r="C99" s="229"/>
    </row>
    <row r="100" spans="3:3" x14ac:dyDescent="0.2">
      <c r="C100" s="229"/>
    </row>
    <row r="101" spans="3:3" x14ac:dyDescent="0.2">
      <c r="C101" s="229"/>
    </row>
    <row r="102" spans="3:3" x14ac:dyDescent="0.2">
      <c r="C102" s="229"/>
    </row>
    <row r="103" spans="3:3" x14ac:dyDescent="0.2">
      <c r="C103" s="229"/>
    </row>
    <row r="104" spans="3:3" x14ac:dyDescent="0.2">
      <c r="C104" s="229"/>
    </row>
    <row r="105" spans="3:3" x14ac:dyDescent="0.2">
      <c r="C105" s="229"/>
    </row>
    <row r="106" spans="3:3" x14ac:dyDescent="0.2">
      <c r="C106" s="229"/>
    </row>
    <row r="107" spans="3:3" x14ac:dyDescent="0.2">
      <c r="C107" s="229"/>
    </row>
    <row r="108" spans="3:3" x14ac:dyDescent="0.2">
      <c r="C108" s="229"/>
    </row>
    <row r="109" spans="3:3" x14ac:dyDescent="0.2">
      <c r="C109" s="229"/>
    </row>
    <row r="110" spans="3:3" x14ac:dyDescent="0.2">
      <c r="C110" s="229"/>
    </row>
    <row r="111" spans="3:3" x14ac:dyDescent="0.2">
      <c r="C111" s="229"/>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9"/>
  <sheetViews>
    <sheetView tabSelected="1" zoomScaleNormal="100" workbookViewId="0">
      <selection activeCell="A5" sqref="A5:H5"/>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11" t="s">
        <v>170</v>
      </c>
      <c r="B1" s="811"/>
      <c r="C1" s="811"/>
      <c r="D1" s="811"/>
      <c r="E1" s="811"/>
      <c r="F1" s="811"/>
      <c r="G1" s="811"/>
      <c r="H1" s="811"/>
    </row>
    <row r="2" spans="1:8" ht="23.25" x14ac:dyDescent="0.2">
      <c r="A2" s="811" t="s">
        <v>171</v>
      </c>
      <c r="B2" s="811"/>
      <c r="C2" s="811"/>
      <c r="D2" s="811"/>
      <c r="E2" s="811"/>
      <c r="F2" s="811"/>
      <c r="G2" s="811"/>
      <c r="H2" s="811"/>
    </row>
    <row r="3" spans="1:8" ht="23.25" x14ac:dyDescent="0.2">
      <c r="A3" s="812">
        <v>45314</v>
      </c>
      <c r="B3" s="812"/>
      <c r="C3" s="812"/>
      <c r="D3" s="812"/>
      <c r="E3" s="812"/>
      <c r="F3" s="812"/>
      <c r="G3" s="812"/>
      <c r="H3" s="812"/>
    </row>
    <row r="4" spans="1:8" ht="21.75" customHeight="1" x14ac:dyDescent="0.2">
      <c r="A4" s="813" t="s">
        <v>181</v>
      </c>
      <c r="B4" s="813"/>
      <c r="C4" s="813"/>
      <c r="D4" s="813"/>
      <c r="E4" s="813"/>
      <c r="F4" s="813"/>
      <c r="G4" s="813"/>
      <c r="H4" s="813"/>
    </row>
    <row r="5" spans="1:8" ht="83.25" customHeight="1" x14ac:dyDescent="0.2">
      <c r="A5" s="792" t="s">
        <v>688</v>
      </c>
      <c r="B5" s="792"/>
      <c r="C5" s="792"/>
      <c r="D5" s="792"/>
      <c r="E5" s="792"/>
      <c r="F5" s="792"/>
      <c r="G5" s="792"/>
      <c r="H5" s="792"/>
    </row>
    <row r="6" spans="1:8" ht="81" customHeight="1" x14ac:dyDescent="0.2">
      <c r="A6" s="391"/>
      <c r="B6" s="391"/>
      <c r="C6" s="391"/>
      <c r="D6" s="391"/>
      <c r="E6" s="391"/>
      <c r="F6" s="391"/>
      <c r="G6" s="391"/>
      <c r="H6" s="391"/>
    </row>
    <row r="7" spans="1:8" ht="81" customHeight="1" x14ac:dyDescent="0.2">
      <c r="A7" s="391"/>
      <c r="B7" s="391"/>
      <c r="C7" s="391"/>
      <c r="D7" s="391"/>
      <c r="E7" s="391"/>
      <c r="F7" s="391"/>
      <c r="G7" s="391"/>
      <c r="H7" s="391"/>
    </row>
    <row r="8" spans="1:8" ht="81" customHeight="1" x14ac:dyDescent="0.2">
      <c r="A8" s="391"/>
      <c r="B8" s="391"/>
      <c r="C8" s="391"/>
      <c r="D8" s="391"/>
      <c r="E8" s="391"/>
      <c r="F8" s="391"/>
      <c r="G8" s="391"/>
      <c r="H8" s="391"/>
    </row>
    <row r="9" spans="1:8" ht="53.25" customHeight="1" x14ac:dyDescent="0.25">
      <c r="A9" s="803" t="s">
        <v>689</v>
      </c>
      <c r="B9" s="803"/>
      <c r="C9" s="803"/>
      <c r="D9" s="803"/>
      <c r="E9" s="803"/>
      <c r="F9" s="803"/>
      <c r="G9" s="803"/>
      <c r="H9" s="803"/>
    </row>
    <row r="10" spans="1:8" ht="15.75" x14ac:dyDescent="0.25">
      <c r="A10" s="364"/>
      <c r="B10" s="810"/>
      <c r="C10" s="810"/>
      <c r="D10" s="355"/>
      <c r="E10" s="361" t="s">
        <v>49</v>
      </c>
      <c r="F10" s="361" t="s">
        <v>356</v>
      </c>
      <c r="G10" s="356"/>
      <c r="H10" s="364"/>
    </row>
    <row r="11" spans="1:8" ht="15.75" customHeight="1" x14ac:dyDescent="0.25">
      <c r="A11" s="364"/>
      <c r="C11" s="808" t="s">
        <v>374</v>
      </c>
      <c r="D11" s="808"/>
      <c r="E11" s="160">
        <f>'December''23 AR Aging '!G8</f>
        <v>57169.4</v>
      </c>
      <c r="F11" s="545">
        <f t="shared" ref="F11:F16" si="0">E11/E$17</f>
        <v>0.21436563286502244</v>
      </c>
      <c r="G11" s="357"/>
      <c r="H11" s="364"/>
    </row>
    <row r="12" spans="1:8" ht="15.75" customHeight="1" x14ac:dyDescent="0.25">
      <c r="A12" s="364"/>
      <c r="C12" s="808" t="s">
        <v>372</v>
      </c>
      <c r="D12" s="808"/>
      <c r="E12" s="258">
        <f>'December''23 AR Aging '!G32</f>
        <v>52588.880000000005</v>
      </c>
      <c r="F12" s="545">
        <f t="shared" si="0"/>
        <v>0.19719025462682346</v>
      </c>
      <c r="G12" s="357"/>
      <c r="H12" s="364"/>
    </row>
    <row r="13" spans="1:8" ht="15.75" customHeight="1" x14ac:dyDescent="0.25">
      <c r="A13" s="364"/>
      <c r="C13" s="808" t="s">
        <v>373</v>
      </c>
      <c r="D13" s="808"/>
      <c r="E13" s="258">
        <f>'December''23 AR Aging '!G14</f>
        <v>59564</v>
      </c>
      <c r="F13" s="545">
        <f t="shared" si="0"/>
        <v>0.22334456118084492</v>
      </c>
      <c r="G13" s="357"/>
      <c r="H13" s="364"/>
    </row>
    <row r="14" spans="1:8" ht="15.75" customHeight="1" x14ac:dyDescent="0.25">
      <c r="A14" s="364"/>
      <c r="C14" s="810" t="s">
        <v>44</v>
      </c>
      <c r="D14" s="810"/>
      <c r="E14" s="258">
        <f>'December''23 AR Aging '!G43</f>
        <v>34159.61</v>
      </c>
      <c r="F14" s="545">
        <f t="shared" si="0"/>
        <v>0.1280868159552549</v>
      </c>
      <c r="G14" s="357"/>
      <c r="H14" s="364"/>
    </row>
    <row r="15" spans="1:8" ht="15.75" customHeight="1" x14ac:dyDescent="0.25">
      <c r="A15" s="364"/>
      <c r="C15" s="810" t="s">
        <v>429</v>
      </c>
      <c r="D15" s="810"/>
      <c r="E15" s="258">
        <f>'December''23 AR Aging '!G51+'December''23 AR Aging '!G56+'December''23 AR Aging '!G58+'December''23 AR Aging '!G39+'December''23 AR Aging '!G40+'December''23 AR Aging '!G71</f>
        <v>47273.420000000006</v>
      </c>
      <c r="F15" s="545">
        <f t="shared" si="0"/>
        <v>0.17725910357628399</v>
      </c>
      <c r="G15" s="357"/>
      <c r="H15" s="364"/>
    </row>
    <row r="16" spans="1:8" ht="15.75" customHeight="1" x14ac:dyDescent="0.25">
      <c r="A16" s="364"/>
      <c r="C16" s="810" t="s">
        <v>346</v>
      </c>
      <c r="D16" s="810"/>
      <c r="E16" s="258">
        <f>'December''23 AR Aging '!G60+'December''23 AR Aging '!G42+'December''23 AR Aging '!G62+'December''23 AR Aging '!G64+'December''23 AR Aging '!G67+'December''23 AR Aging '!G65+'December''23 AR Aging '!G41</f>
        <v>15935.76</v>
      </c>
      <c r="F16" s="545">
        <f t="shared" si="0"/>
        <v>5.9753631795770291E-2</v>
      </c>
      <c r="G16" s="357"/>
      <c r="H16" s="364"/>
    </row>
    <row r="17" spans="1:13" ht="16.5" customHeight="1" thickBot="1" x14ac:dyDescent="0.3">
      <c r="A17" s="364"/>
      <c r="B17" s="810" t="s">
        <v>690</v>
      </c>
      <c r="C17" s="810"/>
      <c r="D17" s="810"/>
      <c r="E17" s="362">
        <f>SUM(E11:E16)</f>
        <v>266691.07</v>
      </c>
      <c r="F17" s="546">
        <f>SUM(F11:F16)</f>
        <v>1</v>
      </c>
      <c r="G17" s="541"/>
      <c r="H17" s="364"/>
    </row>
    <row r="18" spans="1:13" ht="38.25" customHeight="1" thickTop="1" x14ac:dyDescent="0.2">
      <c r="A18" s="391"/>
      <c r="B18" s="391"/>
      <c r="C18" s="391"/>
      <c r="D18" s="391"/>
      <c r="E18" s="741"/>
      <c r="F18" s="391"/>
      <c r="G18" s="391"/>
      <c r="H18" s="391"/>
    </row>
    <row r="19" spans="1:13" ht="88.5" customHeight="1" x14ac:dyDescent="0.2">
      <c r="A19" s="391"/>
      <c r="B19" s="391"/>
      <c r="C19" s="391"/>
      <c r="D19" s="391"/>
      <c r="E19" s="391"/>
      <c r="F19" s="391"/>
      <c r="G19" s="391"/>
      <c r="H19" s="391"/>
    </row>
    <row r="20" spans="1:13" ht="88.5" customHeight="1" x14ac:dyDescent="0.2">
      <c r="A20" s="391"/>
      <c r="B20" s="391"/>
      <c r="C20" s="391"/>
      <c r="D20" s="391"/>
      <c r="E20" s="391"/>
      <c r="F20" s="391"/>
      <c r="G20" s="391"/>
      <c r="H20" s="391"/>
    </row>
    <row r="21" spans="1:13" ht="88.5" customHeight="1" x14ac:dyDescent="0.2">
      <c r="A21" s="391"/>
      <c r="B21" s="391"/>
      <c r="C21" s="391"/>
      <c r="D21" s="391"/>
      <c r="E21" s="391"/>
      <c r="F21" s="391"/>
      <c r="G21" s="391"/>
      <c r="H21" s="391"/>
    </row>
    <row r="22" spans="1:13" ht="35.25" hidden="1" customHeight="1" x14ac:dyDescent="0.2">
      <c r="A22" s="792" t="s">
        <v>276</v>
      </c>
      <c r="B22" s="792"/>
      <c r="C22" s="792"/>
      <c r="D22" s="792"/>
      <c r="E22" s="792"/>
      <c r="F22" s="792"/>
      <c r="G22" s="792"/>
      <c r="H22" s="792"/>
    </row>
    <row r="23" spans="1:13" ht="15" customHeight="1" x14ac:dyDescent="0.2">
      <c r="A23" s="391"/>
      <c r="B23" s="391"/>
      <c r="C23" s="391"/>
      <c r="D23" s="391"/>
      <c r="E23" s="391"/>
      <c r="F23" s="391"/>
      <c r="G23" s="391"/>
      <c r="H23" s="391"/>
    </row>
    <row r="24" spans="1:13" ht="55.5" customHeight="1" x14ac:dyDescent="0.2">
      <c r="A24" s="792" t="s">
        <v>691</v>
      </c>
      <c r="B24" s="792"/>
      <c r="C24" s="792"/>
      <c r="D24" s="792"/>
      <c r="E24" s="792"/>
      <c r="F24" s="792"/>
      <c r="G24" s="792"/>
      <c r="H24" s="792"/>
      <c r="L24" s="555"/>
    </row>
    <row r="25" spans="1:13" ht="38.25" customHeight="1" x14ac:dyDescent="0.2">
      <c r="A25" s="391"/>
      <c r="B25" s="391"/>
      <c r="C25" s="391"/>
      <c r="D25" s="391"/>
      <c r="E25" s="391"/>
      <c r="F25" s="391"/>
      <c r="G25" s="391"/>
      <c r="H25" s="391"/>
      <c r="L25" s="568"/>
    </row>
    <row r="26" spans="1:13" ht="38.25" customHeight="1" x14ac:dyDescent="0.2">
      <c r="A26" s="391"/>
      <c r="B26" s="391"/>
      <c r="C26" s="391"/>
      <c r="D26" s="391"/>
      <c r="E26" s="391"/>
      <c r="F26" s="391"/>
      <c r="G26" s="391"/>
      <c r="H26" s="391"/>
      <c r="J26" s="555"/>
      <c r="L26" s="568"/>
      <c r="M26" s="568"/>
    </row>
    <row r="27" spans="1:13" ht="38.25" customHeight="1" x14ac:dyDescent="0.2">
      <c r="A27" s="391"/>
      <c r="B27" s="391"/>
      <c r="C27" s="391"/>
      <c r="D27" s="391"/>
      <c r="E27" s="391"/>
      <c r="F27" s="391"/>
      <c r="G27" s="391"/>
      <c r="H27" s="391"/>
      <c r="J27" s="555"/>
      <c r="L27" s="568"/>
    </row>
    <row r="28" spans="1:13" ht="38.25" customHeight="1" x14ac:dyDescent="0.2">
      <c r="A28" s="391"/>
      <c r="B28" s="391"/>
      <c r="C28" s="391"/>
      <c r="D28" s="391"/>
      <c r="E28" s="391"/>
      <c r="F28" s="391"/>
      <c r="G28" s="391"/>
      <c r="H28" s="391"/>
    </row>
    <row r="29" spans="1:13" ht="38.25" customHeight="1" x14ac:dyDescent="0.2">
      <c r="A29" s="391"/>
      <c r="B29" s="391"/>
      <c r="C29" s="391"/>
      <c r="D29" s="391"/>
      <c r="E29" s="391"/>
      <c r="F29" s="391"/>
      <c r="G29" s="391"/>
      <c r="H29" s="391"/>
      <c r="J29" s="568"/>
    </row>
    <row r="30" spans="1:13" ht="38.25" customHeight="1" x14ac:dyDescent="0.2">
      <c r="A30" s="391"/>
      <c r="B30" s="391"/>
      <c r="C30" s="391"/>
      <c r="D30" s="391"/>
      <c r="E30" s="391"/>
      <c r="F30" s="391"/>
      <c r="G30" s="391"/>
      <c r="H30" s="391"/>
      <c r="J30" s="568"/>
    </row>
    <row r="31" spans="1:13" ht="38.25" customHeight="1" x14ac:dyDescent="0.2">
      <c r="A31" s="391"/>
      <c r="B31" s="391"/>
      <c r="C31" s="391"/>
      <c r="D31" s="391"/>
      <c r="E31" s="391"/>
      <c r="F31" s="391"/>
      <c r="G31" s="391"/>
      <c r="H31" s="391"/>
    </row>
    <row r="32" spans="1:13" ht="21.75" customHeight="1" x14ac:dyDescent="0.2">
      <c r="A32" s="391"/>
      <c r="B32" s="391"/>
      <c r="C32" s="391"/>
      <c r="D32" s="391"/>
      <c r="E32" s="391"/>
      <c r="F32" s="391"/>
      <c r="G32" s="391"/>
      <c r="H32" s="391"/>
    </row>
    <row r="33" spans="1:12" ht="30" hidden="1" customHeight="1" x14ac:dyDescent="0.25">
      <c r="A33" s="391"/>
      <c r="B33" s="496" t="s">
        <v>299</v>
      </c>
      <c r="C33" s="497" t="s">
        <v>336</v>
      </c>
      <c r="D33" s="496" t="s">
        <v>238</v>
      </c>
      <c r="E33" s="498" t="s">
        <v>363</v>
      </c>
      <c r="F33" s="498" t="s">
        <v>369</v>
      </c>
      <c r="G33" s="498" t="s">
        <v>392</v>
      </c>
      <c r="H33" s="498" t="s">
        <v>300</v>
      </c>
      <c r="I33" s="482"/>
      <c r="J33" s="482"/>
      <c r="K33" s="482"/>
    </row>
    <row r="34" spans="1:12" ht="15" hidden="1" x14ac:dyDescent="0.2">
      <c r="A34" s="391"/>
      <c r="B34" s="33" t="s">
        <v>366</v>
      </c>
      <c r="C34" s="477">
        <v>-20</v>
      </c>
      <c r="D34" s="477">
        <v>71.92</v>
      </c>
      <c r="E34" s="477">
        <f>10762-10528</f>
        <v>234</v>
      </c>
      <c r="F34" s="477">
        <v>-190</v>
      </c>
      <c r="G34" s="486">
        <v>95.95</v>
      </c>
      <c r="H34" s="562">
        <f>G34/G$44</f>
        <v>5.2028752623263139E-4</v>
      </c>
      <c r="J34" s="555"/>
    </row>
    <row r="35" spans="1:12" ht="15" hidden="1" x14ac:dyDescent="0.2">
      <c r="A35" s="391"/>
      <c r="B35" s="33" t="s">
        <v>239</v>
      </c>
      <c r="C35" s="489">
        <v>38489.56</v>
      </c>
      <c r="D35" s="489">
        <v>1957.5</v>
      </c>
      <c r="E35" s="489"/>
      <c r="F35" s="489">
        <v>3786.43</v>
      </c>
      <c r="G35" s="489">
        <f>C35+D35+F35+E35</f>
        <v>44233.49</v>
      </c>
      <c r="H35" s="562">
        <f>G35/G$44</f>
        <v>0.2398554777356523</v>
      </c>
      <c r="I35" s="483"/>
      <c r="J35" s="555"/>
      <c r="K35" s="556"/>
    </row>
    <row r="36" spans="1:12" ht="15" hidden="1" x14ac:dyDescent="0.25">
      <c r="A36" s="391"/>
      <c r="B36" s="33" t="s">
        <v>240</v>
      </c>
      <c r="C36" s="489">
        <v>14903.11</v>
      </c>
      <c r="D36" s="489">
        <v>192.85</v>
      </c>
      <c r="E36" s="489">
        <v>-15478.91</v>
      </c>
      <c r="F36" s="489">
        <v>382.95</v>
      </c>
      <c r="G36" s="489">
        <f t="shared" ref="G36:G43" si="1">C36+D36+F36+E36</f>
        <v>0</v>
      </c>
      <c r="H36" s="562"/>
      <c r="I36" s="484"/>
      <c r="J36" s="555"/>
      <c r="K36" s="556"/>
      <c r="L36" s="232"/>
    </row>
    <row r="37" spans="1:12" ht="15" hidden="1" x14ac:dyDescent="0.2">
      <c r="A37" s="391"/>
      <c r="B37" s="33" t="s">
        <v>241</v>
      </c>
      <c r="C37" s="489">
        <v>44091.09</v>
      </c>
      <c r="D37" s="489">
        <f>3207.47-14</f>
        <v>3193.47</v>
      </c>
      <c r="E37" s="489"/>
      <c r="F37" s="489">
        <f>10544.9+14</f>
        <v>10558.9</v>
      </c>
      <c r="G37" s="489">
        <f t="shared" si="1"/>
        <v>57843.46</v>
      </c>
      <c r="H37" s="562">
        <f>G37/G$44</f>
        <v>0.31365534874555673</v>
      </c>
      <c r="I37" s="483"/>
      <c r="J37" s="555"/>
      <c r="K37" s="556"/>
      <c r="L37" s="232"/>
    </row>
    <row r="38" spans="1:12" ht="15" hidden="1" x14ac:dyDescent="0.25">
      <c r="A38" s="391"/>
      <c r="B38" s="33" t="s">
        <v>242</v>
      </c>
      <c r="C38" s="489">
        <v>21132.04</v>
      </c>
      <c r="D38" s="489">
        <v>549.69000000000005</v>
      </c>
      <c r="E38" s="489"/>
      <c r="F38" s="489">
        <v>-212.79</v>
      </c>
      <c r="G38" s="489">
        <f t="shared" si="1"/>
        <v>21468.94</v>
      </c>
      <c r="H38" s="562">
        <f>G38/G$44</f>
        <v>0.11641502536150901</v>
      </c>
      <c r="I38" s="484"/>
      <c r="J38" s="555"/>
      <c r="K38" s="556"/>
      <c r="L38" s="232"/>
    </row>
    <row r="39" spans="1:12" ht="15" hidden="1" x14ac:dyDescent="0.25">
      <c r="A39" s="391"/>
      <c r="B39" s="33" t="s">
        <v>243</v>
      </c>
      <c r="C39" s="489">
        <v>21091.57</v>
      </c>
      <c r="D39" s="489">
        <v>438.93</v>
      </c>
      <c r="E39" s="489">
        <v>-22513.11</v>
      </c>
      <c r="F39" s="489">
        <v>982.61</v>
      </c>
      <c r="G39" s="489">
        <f t="shared" si="1"/>
        <v>0</v>
      </c>
      <c r="H39" s="562"/>
      <c r="I39" s="484"/>
      <c r="J39" s="555"/>
      <c r="K39" s="556"/>
      <c r="L39" s="232"/>
    </row>
    <row r="40" spans="1:12" ht="15" hidden="1" x14ac:dyDescent="0.25">
      <c r="A40" s="391"/>
      <c r="B40" s="33" t="s">
        <v>244</v>
      </c>
      <c r="C40" s="489">
        <v>19933.830000000002</v>
      </c>
      <c r="D40" s="489">
        <v>860.03</v>
      </c>
      <c r="E40" s="489">
        <v>-10770</v>
      </c>
      <c r="F40" s="489">
        <v>-375.6</v>
      </c>
      <c r="G40" s="489">
        <f t="shared" si="1"/>
        <v>9648.260000000002</v>
      </c>
      <c r="H40" s="562">
        <f>G40/G$44</f>
        <v>5.2317554224588322E-2</v>
      </c>
      <c r="I40" s="484"/>
      <c r="J40" s="555"/>
      <c r="K40" s="556"/>
      <c r="L40" s="232"/>
    </row>
    <row r="41" spans="1:12" ht="15" hidden="1" x14ac:dyDescent="0.25">
      <c r="A41" s="391"/>
      <c r="B41" s="33" t="s">
        <v>364</v>
      </c>
      <c r="C41" s="489"/>
      <c r="D41" s="489">
        <v>140.21</v>
      </c>
      <c r="E41" s="489">
        <v>15482.91</v>
      </c>
      <c r="F41" s="489">
        <v>64.31</v>
      </c>
      <c r="G41" s="489">
        <f t="shared" si="1"/>
        <v>15687.43</v>
      </c>
      <c r="H41" s="562">
        <f>G41/G$44</f>
        <v>8.5064868657087747E-2</v>
      </c>
      <c r="I41" s="484"/>
      <c r="J41" s="555"/>
      <c r="K41" s="556"/>
      <c r="L41" s="232"/>
    </row>
    <row r="42" spans="1:12" ht="15" hidden="1" x14ac:dyDescent="0.25">
      <c r="A42" s="391"/>
      <c r="B42" s="33" t="s">
        <v>365</v>
      </c>
      <c r="C42" s="489"/>
      <c r="D42" s="489">
        <v>512.02</v>
      </c>
      <c r="E42" s="489">
        <v>22517.11</v>
      </c>
      <c r="F42" s="489">
        <v>817.76</v>
      </c>
      <c r="G42" s="489">
        <f t="shared" si="1"/>
        <v>23846.89</v>
      </c>
      <c r="H42" s="562">
        <f>G42/G$44</f>
        <v>0.12930942580971</v>
      </c>
      <c r="I42" s="484"/>
      <c r="J42" s="555"/>
      <c r="K42" s="556"/>
      <c r="L42" s="232"/>
    </row>
    <row r="43" spans="1:12" ht="17.25" hidden="1" customHeight="1" x14ac:dyDescent="0.2">
      <c r="A43" s="391"/>
      <c r="B43" s="33" t="s">
        <v>385</v>
      </c>
      <c r="C43" s="477"/>
      <c r="D43" s="423">
        <v>81.599999999999994</v>
      </c>
      <c r="E43" s="564">
        <v>10528</v>
      </c>
      <c r="F43" s="477">
        <v>983.24</v>
      </c>
      <c r="G43" s="477">
        <f t="shared" si="1"/>
        <v>11592.84</v>
      </c>
      <c r="H43" s="562">
        <f>G43/G$44</f>
        <v>6.2862011939663356E-2</v>
      </c>
      <c r="I43" s="483"/>
      <c r="J43" s="555"/>
      <c r="K43" s="556"/>
      <c r="L43" s="232"/>
    </row>
    <row r="44" spans="1:12" ht="15" hidden="1" x14ac:dyDescent="0.25">
      <c r="A44" s="391"/>
      <c r="B44" s="478" t="s">
        <v>256</v>
      </c>
      <c r="C44" s="479">
        <f>SUM(C34:C43)</f>
        <v>159621.20000000001</v>
      </c>
      <c r="D44" s="480">
        <f>SUM(D35:D43)</f>
        <v>7926.3000000000011</v>
      </c>
      <c r="E44" s="479">
        <f>SUM(E34:E43)</f>
        <v>0</v>
      </c>
      <c r="F44" s="479">
        <f>SUM(F34:F43)+72</f>
        <v>16869.809999999998</v>
      </c>
      <c r="G44" s="479">
        <f>SUM(G34:G43)</f>
        <v>184417.25999999998</v>
      </c>
      <c r="H44" s="563">
        <f>SUM(H34:H43)</f>
        <v>1.0000000000000002</v>
      </c>
      <c r="I44" s="485"/>
      <c r="J44" s="555"/>
      <c r="K44" s="556"/>
    </row>
    <row r="45" spans="1:12" ht="15" hidden="1" x14ac:dyDescent="0.2">
      <c r="A45" s="391"/>
      <c r="B45" s="82"/>
      <c r="C45" s="557"/>
      <c r="D45" s="557"/>
      <c r="E45" s="557"/>
      <c r="F45" s="557"/>
      <c r="G45" s="558"/>
      <c r="J45" s="555"/>
      <c r="K45" s="556"/>
    </row>
    <row r="46" spans="1:12" ht="15" hidden="1" x14ac:dyDescent="0.2">
      <c r="A46" s="391"/>
      <c r="C46" s="258"/>
      <c r="D46" s="258"/>
      <c r="E46" s="258"/>
      <c r="F46" s="258"/>
      <c r="G46" s="554"/>
      <c r="J46" s="555"/>
      <c r="K46" s="556"/>
    </row>
    <row r="47" spans="1:12" ht="15" hidden="1" x14ac:dyDescent="0.2">
      <c r="A47" s="391"/>
      <c r="B47" s="809" t="s">
        <v>361</v>
      </c>
      <c r="C47" s="809"/>
      <c r="D47" s="809"/>
      <c r="E47" s="809"/>
      <c r="F47" s="391"/>
      <c r="G47" s="391"/>
      <c r="H47" s="391"/>
      <c r="J47" s="555"/>
      <c r="K47" s="556"/>
    </row>
    <row r="48" spans="1:12" ht="47.25" hidden="1" customHeight="1" x14ac:dyDescent="0.2">
      <c r="A48" s="391"/>
      <c r="B48" s="814" t="s">
        <v>253</v>
      </c>
      <c r="C48" s="815"/>
      <c r="D48" s="815"/>
      <c r="E48" s="815"/>
      <c r="F48" s="815"/>
      <c r="G48" s="815"/>
      <c r="H48" s="405"/>
      <c r="J48" s="555"/>
      <c r="K48" s="556"/>
    </row>
    <row r="49" spans="1:11" ht="47.25" hidden="1" customHeight="1" x14ac:dyDescent="0.2">
      <c r="A49" s="391"/>
      <c r="B49" s="814" t="s">
        <v>255</v>
      </c>
      <c r="C49" s="815"/>
      <c r="D49" s="815"/>
      <c r="E49" s="815"/>
      <c r="F49" s="815"/>
      <c r="G49" s="815"/>
      <c r="H49" s="405"/>
      <c r="J49" s="555"/>
      <c r="K49" s="556"/>
    </row>
    <row r="50" spans="1:11" ht="42" hidden="1" customHeight="1" x14ac:dyDescent="0.2">
      <c r="A50" s="391"/>
      <c r="B50" s="816" t="s">
        <v>252</v>
      </c>
      <c r="C50" s="817"/>
      <c r="D50" s="817"/>
      <c r="E50" s="817"/>
      <c r="F50" s="817"/>
      <c r="G50" s="817"/>
      <c r="H50" s="405"/>
      <c r="J50" s="555"/>
      <c r="K50" s="556"/>
    </row>
    <row r="51" spans="1:11" ht="47.25" hidden="1" customHeight="1" x14ac:dyDescent="0.2">
      <c r="A51" s="391"/>
      <c r="B51" s="814" t="s">
        <v>251</v>
      </c>
      <c r="C51" s="815"/>
      <c r="D51" s="815"/>
      <c r="E51" s="815"/>
      <c r="F51" s="815"/>
      <c r="G51" s="815"/>
      <c r="H51" s="405"/>
      <c r="J51" s="555"/>
      <c r="K51" s="556"/>
    </row>
    <row r="52" spans="1:11" ht="47.25" hidden="1" customHeight="1" x14ac:dyDescent="0.2">
      <c r="A52" s="391"/>
      <c r="B52" s="814" t="s">
        <v>250</v>
      </c>
      <c r="C52" s="815"/>
      <c r="D52" s="815"/>
      <c r="E52" s="815"/>
      <c r="F52" s="815"/>
      <c r="G52" s="815"/>
      <c r="H52" s="405"/>
      <c r="J52" s="555"/>
      <c r="K52" s="556"/>
    </row>
    <row r="53" spans="1:11" ht="47.25" hidden="1" customHeight="1" x14ac:dyDescent="0.2">
      <c r="A53" s="391"/>
      <c r="B53" s="814" t="s">
        <v>249</v>
      </c>
      <c r="C53" s="815"/>
      <c r="D53" s="815"/>
      <c r="E53" s="815"/>
      <c r="F53" s="815"/>
      <c r="G53" s="815"/>
      <c r="H53" s="405"/>
      <c r="J53" s="555"/>
      <c r="K53" s="556"/>
    </row>
    <row r="54" spans="1:11" ht="46.5" hidden="1" customHeight="1" x14ac:dyDescent="0.2">
      <c r="A54" s="391"/>
      <c r="B54" s="814" t="s">
        <v>367</v>
      </c>
      <c r="C54" s="815"/>
      <c r="D54" s="815"/>
      <c r="E54" s="815"/>
      <c r="F54" s="815"/>
      <c r="G54" s="815"/>
      <c r="H54" s="405"/>
      <c r="J54" s="555"/>
      <c r="K54" s="561"/>
    </row>
    <row r="55" spans="1:11" ht="38.25" hidden="1" customHeight="1" x14ac:dyDescent="0.2">
      <c r="A55" s="391"/>
      <c r="B55" s="814" t="s">
        <v>368</v>
      </c>
      <c r="C55" s="815"/>
      <c r="D55" s="815"/>
      <c r="E55" s="815"/>
      <c r="F55" s="815"/>
      <c r="G55" s="815"/>
      <c r="H55" s="405"/>
      <c r="J55" s="555"/>
      <c r="K55" s="556"/>
    </row>
    <row r="56" spans="1:11" ht="93" hidden="1" customHeight="1" x14ac:dyDescent="0.2">
      <c r="A56" s="391"/>
      <c r="B56" s="821" t="s">
        <v>384</v>
      </c>
      <c r="C56" s="815"/>
      <c r="D56" s="815"/>
      <c r="E56" s="815"/>
      <c r="F56" s="815"/>
      <c r="G56" s="815"/>
      <c r="H56" s="391"/>
      <c r="J56" s="555"/>
      <c r="K56" s="556"/>
    </row>
    <row r="57" spans="1:11" ht="32.25" customHeight="1" x14ac:dyDescent="0.25">
      <c r="A57" s="803" t="s">
        <v>428</v>
      </c>
      <c r="B57" s="803"/>
      <c r="C57" s="803"/>
      <c r="D57" s="803"/>
      <c r="E57" s="803"/>
      <c r="F57" s="803"/>
      <c r="G57" s="803"/>
      <c r="H57" s="803"/>
      <c r="J57" s="555"/>
      <c r="K57" s="556"/>
    </row>
    <row r="58" spans="1:11" ht="16.5" customHeight="1" x14ac:dyDescent="0.25">
      <c r="A58" s="542"/>
      <c r="B58" s="553" t="s">
        <v>359</v>
      </c>
      <c r="C58" s="542"/>
      <c r="D58" s="542"/>
      <c r="E58" s="542"/>
      <c r="F58" s="542"/>
      <c r="G58" s="542"/>
      <c r="H58" s="542"/>
      <c r="J58" s="555"/>
      <c r="K58" s="556"/>
    </row>
    <row r="59" spans="1:11" ht="15" x14ac:dyDescent="0.25">
      <c r="A59" s="391"/>
      <c r="B59" s="592" t="s">
        <v>245</v>
      </c>
      <c r="C59" s="392" t="s">
        <v>246</v>
      </c>
      <c r="D59" s="592" t="s">
        <v>247</v>
      </c>
      <c r="E59" s="819" t="s">
        <v>24</v>
      </c>
      <c r="F59" s="820"/>
      <c r="G59" s="592" t="s">
        <v>248</v>
      </c>
      <c r="H59" s="391"/>
      <c r="J59" s="555"/>
      <c r="K59" s="556"/>
    </row>
    <row r="60" spans="1:11" ht="30" customHeight="1" x14ac:dyDescent="0.2">
      <c r="A60" s="391"/>
      <c r="B60" s="393">
        <v>44927</v>
      </c>
      <c r="C60" s="397" t="s">
        <v>469</v>
      </c>
      <c r="D60" s="488" t="s">
        <v>470</v>
      </c>
      <c r="E60" s="806" t="s">
        <v>549</v>
      </c>
      <c r="F60" s="806"/>
      <c r="G60" s="394">
        <v>25959</v>
      </c>
      <c r="H60" s="391"/>
    </row>
    <row r="61" spans="1:11" ht="30" customHeight="1" x14ac:dyDescent="0.2">
      <c r="A61" s="391"/>
      <c r="B61" s="393">
        <v>44927</v>
      </c>
      <c r="C61" s="397" t="s">
        <v>469</v>
      </c>
      <c r="D61" s="488" t="s">
        <v>470</v>
      </c>
      <c r="E61" s="806" t="s">
        <v>549</v>
      </c>
      <c r="F61" s="806"/>
      <c r="G61" s="394">
        <v>23259</v>
      </c>
      <c r="H61" s="391"/>
    </row>
    <row r="62" spans="1:11" ht="30" customHeight="1" x14ac:dyDescent="0.2">
      <c r="A62" s="391"/>
      <c r="B62" s="393">
        <v>44927</v>
      </c>
      <c r="C62" s="397" t="s">
        <v>469</v>
      </c>
      <c r="D62" s="488" t="s">
        <v>470</v>
      </c>
      <c r="E62" s="806" t="s">
        <v>549</v>
      </c>
      <c r="F62" s="806"/>
      <c r="G62" s="394">
        <v>23259</v>
      </c>
      <c r="H62" s="391"/>
    </row>
    <row r="63" spans="1:11" ht="30" customHeight="1" x14ac:dyDescent="0.2">
      <c r="A63" s="391"/>
      <c r="B63" s="393">
        <v>44927</v>
      </c>
      <c r="C63" s="397" t="s">
        <v>469</v>
      </c>
      <c r="D63" s="488" t="s">
        <v>470</v>
      </c>
      <c r="E63" s="806" t="s">
        <v>549</v>
      </c>
      <c r="F63" s="806"/>
      <c r="G63" s="394">
        <v>23459</v>
      </c>
      <c r="H63" s="502"/>
    </row>
    <row r="64" spans="1:11" ht="39" customHeight="1" x14ac:dyDescent="0.2">
      <c r="A64" s="391"/>
      <c r="B64" s="393">
        <v>44986</v>
      </c>
      <c r="C64" s="397" t="s">
        <v>65</v>
      </c>
      <c r="D64" s="488" t="s">
        <v>595</v>
      </c>
      <c r="E64" s="806" t="s">
        <v>596</v>
      </c>
      <c r="F64" s="806"/>
      <c r="G64" s="394">
        <v>1827</v>
      </c>
      <c r="H64" s="391"/>
    </row>
    <row r="65" spans="1:8" ht="30" hidden="1" customHeight="1" x14ac:dyDescent="0.2">
      <c r="A65" s="391"/>
      <c r="B65" s="393"/>
      <c r="C65" s="397"/>
      <c r="D65" s="488"/>
      <c r="E65" s="806"/>
      <c r="F65" s="806"/>
      <c r="G65" s="394"/>
      <c r="H65" s="391"/>
    </row>
    <row r="66" spans="1:8" ht="30" hidden="1" customHeight="1" x14ac:dyDescent="0.2">
      <c r="A66" s="391"/>
      <c r="B66" s="393"/>
      <c r="C66" s="397"/>
      <c r="D66" s="439"/>
      <c r="E66" s="806"/>
      <c r="F66" s="806"/>
      <c r="G66" s="394"/>
      <c r="H66" s="391"/>
    </row>
    <row r="67" spans="1:8" ht="15" x14ac:dyDescent="0.2">
      <c r="A67" s="391"/>
      <c r="B67" s="432"/>
      <c r="C67" s="433"/>
      <c r="D67" s="434"/>
      <c r="E67" s="433"/>
      <c r="F67" s="396" t="s">
        <v>344</v>
      </c>
      <c r="G67" s="633">
        <f>SUM(G60:G66)</f>
        <v>97763</v>
      </c>
      <c r="H67" s="391"/>
    </row>
    <row r="68" spans="1:8" ht="8.25" customHeight="1" x14ac:dyDescent="0.2">
      <c r="A68" s="391"/>
      <c r="B68" s="432"/>
      <c r="C68" s="433"/>
      <c r="D68" s="434"/>
      <c r="E68" s="433"/>
      <c r="F68" s="396"/>
      <c r="G68" s="634"/>
      <c r="H68" s="391"/>
    </row>
    <row r="69" spans="1:8" ht="21.75" customHeight="1" x14ac:dyDescent="0.2">
      <c r="A69" s="391"/>
      <c r="B69" s="807"/>
      <c r="C69" s="807"/>
      <c r="D69" s="807"/>
      <c r="E69" s="807"/>
      <c r="F69" s="807"/>
      <c r="G69" s="807"/>
      <c r="H69" s="391"/>
    </row>
    <row r="70" spans="1:8" ht="15" x14ac:dyDescent="0.2">
      <c r="A70" s="391"/>
      <c r="B70" s="435" t="s">
        <v>360</v>
      </c>
      <c r="C70" s="436" t="s">
        <v>272</v>
      </c>
      <c r="D70" s="437" t="s">
        <v>271</v>
      </c>
      <c r="E70" s="799" t="s">
        <v>24</v>
      </c>
      <c r="F70" s="800"/>
      <c r="G70" s="438" t="s">
        <v>556</v>
      </c>
      <c r="H70" s="391"/>
    </row>
    <row r="71" spans="1:8" ht="15" x14ac:dyDescent="0.2">
      <c r="A71" s="391"/>
      <c r="B71" s="393">
        <v>44958</v>
      </c>
      <c r="C71" s="488" t="s">
        <v>470</v>
      </c>
      <c r="D71" s="732">
        <v>169208</v>
      </c>
      <c r="E71" s="797" t="s">
        <v>552</v>
      </c>
      <c r="F71" s="798"/>
      <c r="G71" s="735">
        <v>2585</v>
      </c>
      <c r="H71" s="391"/>
    </row>
    <row r="72" spans="1:8" ht="15" x14ac:dyDescent="0.2">
      <c r="A72" s="391"/>
      <c r="B72" s="393">
        <v>44958</v>
      </c>
      <c r="C72" s="488" t="s">
        <v>470</v>
      </c>
      <c r="D72" s="732">
        <v>189553</v>
      </c>
      <c r="E72" s="797" t="s">
        <v>551</v>
      </c>
      <c r="F72" s="798"/>
      <c r="G72" s="735">
        <v>1485</v>
      </c>
      <c r="H72" s="391"/>
    </row>
    <row r="73" spans="1:8" ht="15" x14ac:dyDescent="0.2">
      <c r="A73" s="391"/>
      <c r="B73" s="393">
        <v>44958</v>
      </c>
      <c r="C73" s="488" t="s">
        <v>470</v>
      </c>
      <c r="D73" s="732">
        <v>196400</v>
      </c>
      <c r="E73" s="797" t="s">
        <v>554</v>
      </c>
      <c r="F73" s="798"/>
      <c r="G73" s="735">
        <v>1585</v>
      </c>
      <c r="H73" s="391"/>
    </row>
    <row r="74" spans="1:8" ht="22.5" customHeight="1" x14ac:dyDescent="0.2">
      <c r="A74" s="391"/>
      <c r="B74" s="393">
        <v>44958</v>
      </c>
      <c r="C74" s="488" t="s">
        <v>470</v>
      </c>
      <c r="D74" s="732">
        <v>138945</v>
      </c>
      <c r="E74" s="797" t="s">
        <v>553</v>
      </c>
      <c r="F74" s="798"/>
      <c r="G74" s="735">
        <v>6285</v>
      </c>
      <c r="H74" s="391"/>
    </row>
    <row r="75" spans="1:8" ht="15" x14ac:dyDescent="0.2">
      <c r="A75" s="391"/>
      <c r="B75" s="393">
        <v>44927</v>
      </c>
      <c r="C75" s="488" t="s">
        <v>470</v>
      </c>
      <c r="D75" s="732">
        <v>133109</v>
      </c>
      <c r="E75" s="804" t="s">
        <v>555</v>
      </c>
      <c r="F75" s="804"/>
      <c r="G75" s="735">
        <v>7175</v>
      </c>
      <c r="H75" s="391"/>
    </row>
    <row r="76" spans="1:8" ht="15" x14ac:dyDescent="0.2">
      <c r="A76" s="391"/>
      <c r="B76" s="393">
        <v>44927</v>
      </c>
      <c r="C76" s="488" t="s">
        <v>470</v>
      </c>
      <c r="D76" s="732">
        <v>116338</v>
      </c>
      <c r="E76" s="804" t="s">
        <v>550</v>
      </c>
      <c r="F76" s="804"/>
      <c r="G76" s="735">
        <v>8675</v>
      </c>
      <c r="H76" s="391"/>
    </row>
    <row r="77" spans="1:8" ht="15" x14ac:dyDescent="0.2">
      <c r="A77" s="391"/>
      <c r="B77" s="395"/>
      <c r="C77" s="395"/>
      <c r="D77" s="733"/>
      <c r="E77" s="395"/>
      <c r="F77" s="396" t="s">
        <v>345</v>
      </c>
      <c r="G77" s="734">
        <f>SUM(G71:G76)</f>
        <v>27790</v>
      </c>
      <c r="H77" s="391"/>
    </row>
    <row r="78" spans="1:8" ht="11.25" customHeight="1" x14ac:dyDescent="0.2">
      <c r="A78" s="391"/>
      <c r="B78" s="391"/>
      <c r="C78" s="391"/>
      <c r="D78" s="391"/>
      <c r="E78" s="391"/>
      <c r="F78" s="391"/>
      <c r="G78" s="391"/>
      <c r="H78" s="391"/>
    </row>
    <row r="79" spans="1:8" ht="38.25" customHeight="1" x14ac:dyDescent="0.2">
      <c r="A79" s="792" t="s">
        <v>692</v>
      </c>
      <c r="B79" s="792"/>
      <c r="C79" s="792"/>
      <c r="D79" s="792"/>
      <c r="E79" s="792"/>
      <c r="F79" s="792"/>
      <c r="G79" s="792"/>
      <c r="H79" s="792"/>
    </row>
    <row r="80" spans="1:8" ht="15.75" hidden="1" customHeight="1" x14ac:dyDescent="0.2">
      <c r="A80" s="358"/>
      <c r="C80" s="795" t="s">
        <v>270</v>
      </c>
      <c r="D80" s="795"/>
      <c r="E80" s="398">
        <v>1823.85</v>
      </c>
      <c r="F80" s="805" t="s">
        <v>273</v>
      </c>
      <c r="G80" s="805"/>
      <c r="H80" s="358"/>
    </row>
    <row r="81" spans="1:23" ht="15.75" hidden="1" customHeight="1" x14ac:dyDescent="0.2">
      <c r="A81" s="358"/>
      <c r="C81" s="795"/>
      <c r="D81" s="795"/>
      <c r="E81" s="398"/>
      <c r="F81" s="805"/>
      <c r="G81" s="805"/>
      <c r="H81" s="358"/>
    </row>
    <row r="82" spans="1:23" ht="15.75" hidden="1" customHeight="1" x14ac:dyDescent="0.2">
      <c r="A82" s="358"/>
      <c r="C82" s="795"/>
      <c r="D82" s="795"/>
      <c r="E82" s="398"/>
      <c r="F82" s="805"/>
      <c r="G82" s="805"/>
      <c r="H82" s="358"/>
    </row>
    <row r="83" spans="1:23" ht="15.75" hidden="1" customHeight="1" x14ac:dyDescent="0.2">
      <c r="A83" s="358"/>
      <c r="C83" s="795" t="s">
        <v>232</v>
      </c>
      <c r="D83" s="795"/>
      <c r="E83" s="398">
        <f>1689.92+2978.07</f>
        <v>4667.99</v>
      </c>
      <c r="F83" s="805" t="s">
        <v>274</v>
      </c>
      <c r="G83" s="805"/>
      <c r="H83" s="358"/>
    </row>
    <row r="84" spans="1:23" ht="16.5" hidden="1" thickBot="1" x14ac:dyDescent="0.25">
      <c r="A84" s="358"/>
      <c r="B84" s="366"/>
      <c r="C84" s="790" t="s">
        <v>208</v>
      </c>
      <c r="D84" s="790"/>
      <c r="E84" s="363">
        <f>SUM(E80:E83)</f>
        <v>6491.84</v>
      </c>
      <c r="F84" s="366"/>
      <c r="G84" s="366"/>
      <c r="H84" s="358"/>
    </row>
    <row r="85" spans="1:23" ht="9.75" customHeight="1" x14ac:dyDescent="0.2">
      <c r="A85" s="358"/>
      <c r="B85" s="366"/>
      <c r="C85" s="367"/>
      <c r="D85" s="367"/>
      <c r="E85" s="440"/>
      <c r="F85" s="366"/>
      <c r="G85" s="366"/>
      <c r="H85" s="358"/>
    </row>
    <row r="86" spans="1:23" ht="33" customHeight="1" x14ac:dyDescent="0.25">
      <c r="A86" s="803" t="s">
        <v>597</v>
      </c>
      <c r="B86" s="803"/>
      <c r="C86" s="803"/>
      <c r="D86" s="803"/>
      <c r="E86" s="803"/>
      <c r="F86" s="803"/>
      <c r="G86" s="803"/>
      <c r="H86" s="803"/>
    </row>
    <row r="87" spans="1:23" ht="11.25" hidden="1" customHeight="1" x14ac:dyDescent="0.2">
      <c r="A87" s="542"/>
      <c r="B87" s="542"/>
      <c r="C87" s="542"/>
      <c r="D87" s="542"/>
      <c r="E87" s="542"/>
      <c r="F87" s="542"/>
      <c r="G87" s="542"/>
      <c r="H87" s="542"/>
    </row>
    <row r="88" spans="1:23" ht="47.25" hidden="1" customHeight="1" x14ac:dyDescent="0.2">
      <c r="A88" s="796" t="s">
        <v>394</v>
      </c>
      <c r="B88" s="796"/>
      <c r="C88" s="796"/>
      <c r="D88" s="796"/>
      <c r="E88" s="796"/>
      <c r="F88" s="796"/>
      <c r="G88" s="796"/>
      <c r="H88" s="796"/>
    </row>
    <row r="89" spans="1:23" ht="8.25" customHeight="1" x14ac:dyDescent="0.2">
      <c r="A89" s="358"/>
      <c r="B89" s="366"/>
      <c r="C89" s="367"/>
      <c r="D89" s="367"/>
      <c r="E89" s="440"/>
      <c r="F89" s="366"/>
      <c r="G89" s="366"/>
      <c r="H89" s="358"/>
    </row>
    <row r="90" spans="1:23" ht="97.5" customHeight="1" x14ac:dyDescent="0.2">
      <c r="A90" s="792" t="s">
        <v>694</v>
      </c>
      <c r="B90" s="792"/>
      <c r="C90" s="792"/>
      <c r="D90" s="792"/>
      <c r="E90" s="792"/>
      <c r="F90" s="792"/>
      <c r="G90" s="792"/>
      <c r="H90" s="792"/>
      <c r="V90" s="390"/>
      <c r="W90" s="160"/>
    </row>
    <row r="91" spans="1:23" ht="47.25" x14ac:dyDescent="0.2">
      <c r="A91" s="365"/>
      <c r="B91" s="793" t="s">
        <v>199</v>
      </c>
      <c r="C91" s="793"/>
      <c r="D91" s="368" t="s">
        <v>200</v>
      </c>
      <c r="E91" s="359" t="s">
        <v>201</v>
      </c>
      <c r="F91" s="368" t="s">
        <v>202</v>
      </c>
      <c r="G91" s="368" t="s">
        <v>693</v>
      </c>
      <c r="H91" s="365"/>
      <c r="V91" s="390"/>
      <c r="W91" s="160"/>
    </row>
    <row r="92" spans="1:23" ht="15.75" customHeight="1" x14ac:dyDescent="0.2">
      <c r="A92" s="365"/>
      <c r="B92" s="802" t="s">
        <v>11</v>
      </c>
      <c r="C92" s="802"/>
      <c r="D92" s="802"/>
      <c r="E92" s="367"/>
      <c r="F92" s="367"/>
      <c r="G92" s="367"/>
      <c r="H92" s="365"/>
      <c r="V92" s="390"/>
      <c r="W92" s="160"/>
    </row>
    <row r="93" spans="1:23" ht="15.75" customHeight="1" x14ac:dyDescent="0.2">
      <c r="A93" s="365"/>
      <c r="B93" s="794" t="s">
        <v>233</v>
      </c>
      <c r="C93" s="794"/>
      <c r="D93" s="367">
        <v>3836.17</v>
      </c>
      <c r="E93" s="367">
        <f>4000+7500</f>
        <v>11500</v>
      </c>
      <c r="F93" s="367">
        <f>-D93-E93+G93</f>
        <v>-8118.21</v>
      </c>
      <c r="G93" s="367">
        <f>'December''23 Revenues &amp; Expenses'!K52</f>
        <v>7217.96</v>
      </c>
      <c r="H93" s="599"/>
      <c r="I93" s="190"/>
      <c r="V93" s="390"/>
      <c r="W93" s="160"/>
    </row>
    <row r="94" spans="1:23" ht="15.75" customHeight="1" x14ac:dyDescent="0.2">
      <c r="A94" s="365"/>
      <c r="B94" s="794" t="s">
        <v>234</v>
      </c>
      <c r="C94" s="794"/>
      <c r="D94" s="367">
        <v>27500</v>
      </c>
      <c r="E94" s="367">
        <v>25000</v>
      </c>
      <c r="F94" s="367">
        <f>-'December''23 Revenues &amp; Expenses'!H48</f>
        <v>-27500</v>
      </c>
      <c r="G94" s="367">
        <f>'December''23 Revenues &amp; Expenses'!K49+'December''23 Revenues &amp; Expenses'!K48</f>
        <v>25000</v>
      </c>
      <c r="H94" s="365"/>
      <c r="V94" s="390"/>
      <c r="W94" s="160"/>
    </row>
    <row r="95" spans="1:23" ht="15.75" customHeight="1" x14ac:dyDescent="0.2">
      <c r="A95" s="365"/>
      <c r="B95" s="794" t="s">
        <v>446</v>
      </c>
      <c r="C95" s="794"/>
      <c r="D95" s="367">
        <v>100000</v>
      </c>
      <c r="E95" s="367">
        <v>100000</v>
      </c>
      <c r="F95" s="367">
        <f>-'December''23 Revenues &amp; Expenses'!H53</f>
        <v>-100000</v>
      </c>
      <c r="G95" s="367">
        <f>'December''23 Revenues &amp; Expenses'!K53+'December''23 Revenues &amp; Expenses'!K54</f>
        <v>100000</v>
      </c>
      <c r="H95" s="365"/>
      <c r="V95" s="390"/>
      <c r="W95" s="160"/>
    </row>
    <row r="96" spans="1:23" ht="15.75" customHeight="1" x14ac:dyDescent="0.2">
      <c r="A96" s="365"/>
      <c r="B96" s="802" t="s">
        <v>17</v>
      </c>
      <c r="C96" s="802"/>
      <c r="D96" s="367"/>
      <c r="E96" s="367"/>
      <c r="F96" s="367"/>
      <c r="G96" s="367"/>
      <c r="H96" s="365"/>
      <c r="V96" s="390"/>
    </row>
    <row r="97" spans="1:22" ht="15.75" customHeight="1" x14ac:dyDescent="0.2">
      <c r="A97" s="365"/>
      <c r="B97" s="794" t="s">
        <v>695</v>
      </c>
      <c r="C97" s="794"/>
      <c r="D97" s="367">
        <v>50000</v>
      </c>
      <c r="E97" s="367">
        <v>65000</v>
      </c>
      <c r="F97" s="367">
        <f>-'December''23 Revenues &amp; Expenses'!H55</f>
        <v>-50000</v>
      </c>
      <c r="G97" s="367">
        <f>'December''23 Revenues &amp; Expenses'!K56</f>
        <v>65000</v>
      </c>
      <c r="H97" s="365"/>
      <c r="V97" s="390"/>
    </row>
    <row r="98" spans="1:22" ht="15.75" hidden="1" customHeight="1" x14ac:dyDescent="0.2">
      <c r="A98" s="365"/>
      <c r="B98" s="802"/>
      <c r="C98" s="802"/>
      <c r="D98" s="367"/>
      <c r="E98" s="367"/>
      <c r="F98" s="367"/>
      <c r="G98" s="367"/>
      <c r="H98" s="365"/>
      <c r="V98" s="390"/>
    </row>
    <row r="99" spans="1:22" ht="15.75" hidden="1" customHeight="1" x14ac:dyDescent="0.2">
      <c r="A99" s="365"/>
      <c r="B99" s="794"/>
      <c r="C99" s="794"/>
      <c r="D99" s="367">
        <v>0</v>
      </c>
      <c r="E99" s="367"/>
      <c r="F99" s="367">
        <f>-'December''23 Revenues &amp; Expenses'!H59</f>
        <v>0</v>
      </c>
      <c r="G99" s="367">
        <f>'December''23 Revenues &amp; Expenses'!K59</f>
        <v>0</v>
      </c>
      <c r="H99" s="365"/>
      <c r="V99" s="390"/>
    </row>
    <row r="100" spans="1:22" ht="15.75" customHeight="1" x14ac:dyDescent="0.2">
      <c r="A100" s="365"/>
      <c r="B100" s="802" t="s">
        <v>697</v>
      </c>
      <c r="C100" s="802"/>
      <c r="D100" s="367"/>
      <c r="E100" s="367"/>
      <c r="F100" s="367"/>
      <c r="G100" s="367"/>
      <c r="H100" s="365"/>
      <c r="V100" s="390"/>
    </row>
    <row r="101" spans="1:22" ht="15.75" customHeight="1" x14ac:dyDescent="0.2">
      <c r="A101" s="365"/>
      <c r="B101" s="795" t="s">
        <v>696</v>
      </c>
      <c r="C101" s="795"/>
      <c r="D101" s="367">
        <v>0</v>
      </c>
      <c r="E101" s="367">
        <v>125000</v>
      </c>
      <c r="F101" s="367"/>
      <c r="G101" s="367">
        <f>E101</f>
        <v>125000</v>
      </c>
      <c r="H101" s="365"/>
      <c r="V101" s="390"/>
    </row>
    <row r="102" spans="1:22" ht="7.5" customHeight="1" x14ac:dyDescent="0.2">
      <c r="A102" s="365"/>
      <c r="B102" s="801"/>
      <c r="C102" s="801"/>
      <c r="D102" s="367"/>
      <c r="E102" s="367"/>
      <c r="F102" s="367"/>
      <c r="G102" s="367"/>
      <c r="H102" s="365"/>
      <c r="V102" s="390"/>
    </row>
    <row r="103" spans="1:22" ht="15.75" customHeight="1" thickBot="1" x14ac:dyDescent="0.25">
      <c r="A103" s="365"/>
      <c r="B103" s="791" t="s">
        <v>235</v>
      </c>
      <c r="C103" s="791"/>
      <c r="D103" s="360">
        <f>SUM(D92:D102)</f>
        <v>181336.16999999998</v>
      </c>
      <c r="E103" s="360">
        <f>SUM(E92:E102)</f>
        <v>326500</v>
      </c>
      <c r="F103" s="360">
        <f>SUM(F92:F102)</f>
        <v>-185618.21</v>
      </c>
      <c r="G103" s="360">
        <f>SUM(G92:G102)</f>
        <v>322217.95999999996</v>
      </c>
      <c r="H103" s="365"/>
      <c r="V103" s="390"/>
    </row>
    <row r="104" spans="1:22" ht="11.25" customHeight="1" thickTop="1" x14ac:dyDescent="0.2">
      <c r="A104" s="365"/>
      <c r="B104" s="388"/>
      <c r="C104" s="388"/>
      <c r="D104" s="389"/>
      <c r="E104" s="389"/>
      <c r="F104" s="389"/>
      <c r="G104" s="389"/>
      <c r="H104" s="365"/>
      <c r="V104" s="390"/>
    </row>
    <row r="105" spans="1:22" ht="67.5" customHeight="1" x14ac:dyDescent="0.2">
      <c r="A105" s="792" t="s">
        <v>698</v>
      </c>
      <c r="B105" s="792"/>
      <c r="C105" s="792"/>
      <c r="D105" s="792"/>
      <c r="E105" s="792"/>
      <c r="F105" s="792"/>
      <c r="G105" s="792"/>
      <c r="H105" s="792"/>
    </row>
    <row r="106" spans="1:22" ht="47.25" x14ac:dyDescent="0.2">
      <c r="A106" s="365"/>
      <c r="B106" s="793" t="s">
        <v>199</v>
      </c>
      <c r="C106" s="793"/>
      <c r="D106" s="368" t="s">
        <v>200</v>
      </c>
      <c r="E106" s="359" t="s">
        <v>201</v>
      </c>
      <c r="F106" s="368" t="s">
        <v>202</v>
      </c>
      <c r="G106" s="368" t="str">
        <f>G91</f>
        <v>Ending Balance at Dec 31, 2023</v>
      </c>
      <c r="H106" s="365"/>
    </row>
    <row r="107" spans="1:22" ht="15.75" customHeight="1" x14ac:dyDescent="0.2">
      <c r="A107" s="365"/>
      <c r="B107" s="789" t="s">
        <v>203</v>
      </c>
      <c r="C107" s="789"/>
      <c r="D107" s="367">
        <v>0</v>
      </c>
      <c r="E107" s="367">
        <v>52000</v>
      </c>
      <c r="F107" s="367">
        <f>-'December''23 Revenues &amp; Expenses'!J66</f>
        <v>-52000</v>
      </c>
      <c r="G107" s="367">
        <f t="shared" ref="G107:G113" si="2">D107+E107+F107</f>
        <v>0</v>
      </c>
      <c r="H107" s="365"/>
    </row>
    <row r="108" spans="1:22" ht="15.75" customHeight="1" x14ac:dyDescent="0.2">
      <c r="A108" s="365"/>
      <c r="B108" s="789" t="s">
        <v>254</v>
      </c>
      <c r="C108" s="789"/>
      <c r="D108" s="367">
        <v>0</v>
      </c>
      <c r="E108" s="367">
        <v>21000</v>
      </c>
      <c r="F108" s="367">
        <f>-'December''23 Revenues &amp; Expenses'!J68</f>
        <v>-21000</v>
      </c>
      <c r="G108" s="367">
        <f t="shared" si="2"/>
        <v>0</v>
      </c>
      <c r="H108" s="365"/>
    </row>
    <row r="109" spans="1:22" ht="15.75" customHeight="1" x14ac:dyDescent="0.2">
      <c r="A109" s="365"/>
      <c r="B109" s="789" t="s">
        <v>204</v>
      </c>
      <c r="C109" s="789"/>
      <c r="D109" s="367">
        <f>'December''23 Revenues &amp; Expenses'!G76</f>
        <v>14792.17</v>
      </c>
      <c r="E109" s="367">
        <f>'December''23 Revenues &amp; Expenses'!H76</f>
        <v>8533.8100000000013</v>
      </c>
      <c r="F109" s="367">
        <f>-'December''23 Revenues &amp; Expenses'!J76</f>
        <v>-10291.48</v>
      </c>
      <c r="G109" s="367">
        <f t="shared" si="2"/>
        <v>13034.500000000004</v>
      </c>
      <c r="H109" s="365"/>
    </row>
    <row r="110" spans="1:22" ht="15.75" customHeight="1" x14ac:dyDescent="0.2">
      <c r="A110" s="365"/>
      <c r="B110" s="789" t="s">
        <v>205</v>
      </c>
      <c r="C110" s="789"/>
      <c r="D110" s="367">
        <f>'December''23 Revenues &amp; Expenses'!G77</f>
        <v>9827.7800000000007</v>
      </c>
      <c r="E110" s="367">
        <f>'December''23 Revenues &amp; Expenses'!H77</f>
        <v>0</v>
      </c>
      <c r="F110" s="367">
        <f>-'December''23 Revenues &amp; Expenses'!J77</f>
        <v>-1493.92</v>
      </c>
      <c r="G110" s="367">
        <f t="shared" si="2"/>
        <v>8333.86</v>
      </c>
      <c r="H110" s="365"/>
    </row>
    <row r="111" spans="1:22" ht="15.75" customHeight="1" x14ac:dyDescent="0.2">
      <c r="A111" s="365"/>
      <c r="B111" s="789" t="s">
        <v>302</v>
      </c>
      <c r="C111" s="789"/>
      <c r="D111" s="367">
        <f>'December''23 Revenues &amp; Expenses'!G58</f>
        <v>898.7</v>
      </c>
      <c r="E111" s="367"/>
      <c r="F111" s="367">
        <f>-'December''23 Revenues &amp; Expenses'!H58</f>
        <v>0</v>
      </c>
      <c r="G111" s="367">
        <f t="shared" si="2"/>
        <v>898.7</v>
      </c>
      <c r="H111" s="365"/>
    </row>
    <row r="112" spans="1:22" ht="15.75" x14ac:dyDescent="0.2">
      <c r="A112" s="365"/>
      <c r="B112" s="789" t="s">
        <v>206</v>
      </c>
      <c r="C112" s="789"/>
      <c r="D112" s="367">
        <f>'December''23 Revenues &amp; Expenses'!G75</f>
        <v>374.76</v>
      </c>
      <c r="E112" s="367"/>
      <c r="F112" s="367">
        <f>-'December''23 Revenues &amp; Expenses'!J75</f>
        <v>0</v>
      </c>
      <c r="G112" s="367">
        <f>D112+E112+F112</f>
        <v>374.76</v>
      </c>
      <c r="H112" s="365"/>
      <c r="K112" s="555"/>
    </row>
    <row r="113" spans="1:11" ht="15.75" customHeight="1" x14ac:dyDescent="0.2">
      <c r="A113" s="365"/>
      <c r="B113" s="795" t="s">
        <v>598</v>
      </c>
      <c r="C113" s="795"/>
      <c r="D113" s="367">
        <v>50000</v>
      </c>
      <c r="E113" s="367"/>
      <c r="F113" s="367">
        <f>-'December''23 Revenues &amp; Expenses'!H57</f>
        <v>-50000</v>
      </c>
      <c r="G113" s="367">
        <f t="shared" si="2"/>
        <v>0</v>
      </c>
      <c r="H113" s="365"/>
    </row>
    <row r="114" spans="1:11" ht="15.75" x14ac:dyDescent="0.2">
      <c r="A114" s="365"/>
      <c r="B114" s="789" t="s">
        <v>599</v>
      </c>
      <c r="C114" s="789"/>
      <c r="D114" s="367"/>
      <c r="E114" s="367">
        <v>50000</v>
      </c>
      <c r="F114" s="367">
        <f>-'December''23 Revenues &amp; Expenses'!J78</f>
        <v>-50000</v>
      </c>
      <c r="G114" s="367">
        <f>D114+E114+F114</f>
        <v>0</v>
      </c>
      <c r="H114" s="365"/>
      <c r="K114" s="555"/>
    </row>
    <row r="115" spans="1:11" ht="15.75" x14ac:dyDescent="0.2">
      <c r="A115" s="365"/>
      <c r="B115" s="818" t="s">
        <v>699</v>
      </c>
      <c r="C115" s="818"/>
      <c r="D115" s="367"/>
      <c r="E115" s="367">
        <f>'December''23 Revenues &amp; Expenses'!H74</f>
        <v>8693.64</v>
      </c>
      <c r="F115" s="367">
        <f>'December''23 Revenues &amp; Expenses'!J80</f>
        <v>0</v>
      </c>
      <c r="G115" s="367">
        <f>'December''23 Revenues &amp; Expenses'!K74</f>
        <v>8693.64</v>
      </c>
      <c r="H115" s="365"/>
      <c r="K115" s="555"/>
    </row>
    <row r="116" spans="1:11" ht="15.75" customHeight="1" thickBot="1" x14ac:dyDescent="0.25">
      <c r="A116" s="365"/>
      <c r="B116" s="788" t="s">
        <v>207</v>
      </c>
      <c r="C116" s="788"/>
      <c r="D116" s="360">
        <f>SUM(D107:D113)</f>
        <v>75893.41</v>
      </c>
      <c r="E116" s="360">
        <f>SUM(E107:E115)</f>
        <v>140227.45000000001</v>
      </c>
      <c r="F116" s="360">
        <f>SUM(F107:F115)</f>
        <v>-184785.4</v>
      </c>
      <c r="G116" s="360">
        <f>SUM(G107:G115)</f>
        <v>31335.460000000003</v>
      </c>
      <c r="H116" s="365"/>
    </row>
    <row r="117" spans="1:11" ht="16.5" thickTop="1" x14ac:dyDescent="0.2">
      <c r="A117" s="358"/>
      <c r="B117" s="366"/>
      <c r="C117" s="366"/>
      <c r="D117" s="366"/>
      <c r="E117" s="366"/>
      <c r="F117" s="366"/>
      <c r="G117" s="366"/>
      <c r="H117" s="358"/>
    </row>
    <row r="118" spans="1:11" ht="15.75" customHeight="1" x14ac:dyDescent="0.2"/>
    <row r="119" spans="1:11" ht="6.75" customHeight="1" x14ac:dyDescent="0.2"/>
  </sheetData>
  <mergeCells count="81">
    <mergeCell ref="B115:C115"/>
    <mergeCell ref="B54:G54"/>
    <mergeCell ref="B55:G55"/>
    <mergeCell ref="E59:F59"/>
    <mergeCell ref="B56:G56"/>
    <mergeCell ref="E65:F65"/>
    <mergeCell ref="A57:H57"/>
    <mergeCell ref="E60:F60"/>
    <mergeCell ref="B95:C95"/>
    <mergeCell ref="A79:H79"/>
    <mergeCell ref="E61:F61"/>
    <mergeCell ref="E63:F63"/>
    <mergeCell ref="E64:F64"/>
    <mergeCell ref="E75:F75"/>
    <mergeCell ref="E71:F71"/>
    <mergeCell ref="E72:F72"/>
    <mergeCell ref="B52:G52"/>
    <mergeCell ref="B49:G49"/>
    <mergeCell ref="B48:G48"/>
    <mergeCell ref="B51:G51"/>
    <mergeCell ref="B50:G50"/>
    <mergeCell ref="A1:H1"/>
    <mergeCell ref="A2:H2"/>
    <mergeCell ref="A3:H3"/>
    <mergeCell ref="C11:D11"/>
    <mergeCell ref="C12:D12"/>
    <mergeCell ref="B10:C10"/>
    <mergeCell ref="A4:H4"/>
    <mergeCell ref="A5:H5"/>
    <mergeCell ref="A9:H9"/>
    <mergeCell ref="C13:D13"/>
    <mergeCell ref="B47:E47"/>
    <mergeCell ref="C14:D14"/>
    <mergeCell ref="C15:D15"/>
    <mergeCell ref="C16:D16"/>
    <mergeCell ref="B17:D17"/>
    <mergeCell ref="A24:H24"/>
    <mergeCell ref="A22:H22"/>
    <mergeCell ref="B92:D92"/>
    <mergeCell ref="E76:F76"/>
    <mergeCell ref="C80:D80"/>
    <mergeCell ref="F80:G80"/>
    <mergeCell ref="E62:F62"/>
    <mergeCell ref="C83:D83"/>
    <mergeCell ref="F83:G83"/>
    <mergeCell ref="C81:D81"/>
    <mergeCell ref="F81:G81"/>
    <mergeCell ref="C82:D82"/>
    <mergeCell ref="F82:G82"/>
    <mergeCell ref="B69:G69"/>
    <mergeCell ref="E66:F66"/>
    <mergeCell ref="E73:F73"/>
    <mergeCell ref="B53:G53"/>
    <mergeCell ref="E74:F74"/>
    <mergeCell ref="E70:F70"/>
    <mergeCell ref="B110:C110"/>
    <mergeCell ref="B111:C111"/>
    <mergeCell ref="B102:C102"/>
    <mergeCell ref="B96:C96"/>
    <mergeCell ref="B98:C98"/>
    <mergeCell ref="B99:C99"/>
    <mergeCell ref="B97:C97"/>
    <mergeCell ref="B100:C100"/>
    <mergeCell ref="B101:C101"/>
    <mergeCell ref="A86:H86"/>
    <mergeCell ref="B116:C116"/>
    <mergeCell ref="B112:C112"/>
    <mergeCell ref="B107:C107"/>
    <mergeCell ref="B108:C108"/>
    <mergeCell ref="C84:D84"/>
    <mergeCell ref="B109:C109"/>
    <mergeCell ref="B103:C103"/>
    <mergeCell ref="A90:H90"/>
    <mergeCell ref="B91:C91"/>
    <mergeCell ref="B93:C93"/>
    <mergeCell ref="B94:C94"/>
    <mergeCell ref="B106:C106"/>
    <mergeCell ref="B114:C114"/>
    <mergeCell ref="B113:C113"/>
    <mergeCell ref="A88:H88"/>
    <mergeCell ref="A105:H105"/>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127"/>
  <sheetViews>
    <sheetView topLeftCell="A522" workbookViewId="0">
      <selection activeCell="J615" sqref="J615:J618"/>
    </sheetView>
  </sheetViews>
  <sheetFormatPr defaultRowHeight="14.25" x14ac:dyDescent="0.2"/>
  <cols>
    <col min="1" max="1" width="24.625" style="422" bestFit="1" customWidth="1"/>
    <col min="2" max="2" width="9" style="40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419" t="s">
        <v>259</v>
      </c>
      <c r="B3" s="400" t="s">
        <v>260</v>
      </c>
    </row>
    <row r="4" spans="1:2" ht="15" thickTop="1" x14ac:dyDescent="0.2">
      <c r="A4" s="420">
        <v>42370</v>
      </c>
      <c r="B4" s="401">
        <v>316020.78000000003</v>
      </c>
    </row>
    <row r="5" spans="1:2" x14ac:dyDescent="0.2">
      <c r="A5" s="421">
        <v>42373</v>
      </c>
      <c r="B5" s="402">
        <v>315970.78000000003</v>
      </c>
    </row>
    <row r="6" spans="1:2" x14ac:dyDescent="0.2">
      <c r="A6" s="421">
        <v>42374</v>
      </c>
      <c r="B6" s="402">
        <v>320557.63</v>
      </c>
    </row>
    <row r="7" spans="1:2" x14ac:dyDescent="0.2">
      <c r="A7" s="421">
        <v>42375</v>
      </c>
      <c r="B7" s="402">
        <f>B6</f>
        <v>320557.63</v>
      </c>
    </row>
    <row r="8" spans="1:2" x14ac:dyDescent="0.2">
      <c r="A8" s="421">
        <v>42376</v>
      </c>
      <c r="B8" s="402">
        <v>323108.86</v>
      </c>
    </row>
    <row r="9" spans="1:2" x14ac:dyDescent="0.2">
      <c r="A9" s="421">
        <v>42377</v>
      </c>
      <c r="B9" s="402">
        <f>B8</f>
        <v>323108.86</v>
      </c>
    </row>
    <row r="10" spans="1:2" x14ac:dyDescent="0.2">
      <c r="A10" s="421">
        <v>42380</v>
      </c>
      <c r="B10" s="402">
        <v>323239.86</v>
      </c>
    </row>
    <row r="11" spans="1:2" x14ac:dyDescent="0.2">
      <c r="A11" s="421">
        <v>42381</v>
      </c>
      <c r="B11" s="402">
        <v>288792.71999999997</v>
      </c>
    </row>
    <row r="12" spans="1:2" x14ac:dyDescent="0.2">
      <c r="A12" s="421">
        <v>42382</v>
      </c>
      <c r="B12" s="402">
        <f>B11</f>
        <v>288792.71999999997</v>
      </c>
    </row>
    <row r="13" spans="1:2" x14ac:dyDescent="0.2">
      <c r="A13" s="421">
        <v>42383</v>
      </c>
      <c r="B13" s="402">
        <v>277881.3</v>
      </c>
    </row>
    <row r="14" spans="1:2" x14ac:dyDescent="0.2">
      <c r="A14" s="421">
        <v>42384</v>
      </c>
      <c r="B14" s="402">
        <v>293922.15000000002</v>
      </c>
    </row>
    <row r="15" spans="1:2" x14ac:dyDescent="0.2">
      <c r="A15" s="421">
        <v>42387</v>
      </c>
      <c r="B15" s="402">
        <f>B14</f>
        <v>293922.15000000002</v>
      </c>
    </row>
    <row r="16" spans="1:2" x14ac:dyDescent="0.2">
      <c r="A16" s="421">
        <v>42388</v>
      </c>
      <c r="B16" s="402">
        <f>B14</f>
        <v>293922.15000000002</v>
      </c>
    </row>
    <row r="17" spans="1:2" x14ac:dyDescent="0.2">
      <c r="A17" s="421">
        <v>42389</v>
      </c>
      <c r="B17" s="402">
        <v>294002.2</v>
      </c>
    </row>
    <row r="18" spans="1:2" x14ac:dyDescent="0.2">
      <c r="A18" s="421">
        <v>42390</v>
      </c>
      <c r="B18" s="402">
        <v>285645.33</v>
      </c>
    </row>
    <row r="19" spans="1:2" x14ac:dyDescent="0.2">
      <c r="A19" s="421">
        <v>42391</v>
      </c>
      <c r="B19" s="402">
        <f>B18</f>
        <v>285645.33</v>
      </c>
    </row>
    <row r="20" spans="1:2" x14ac:dyDescent="0.2">
      <c r="A20" s="421">
        <v>42394</v>
      </c>
      <c r="B20" s="402">
        <v>310939.57</v>
      </c>
    </row>
    <row r="21" spans="1:2" x14ac:dyDescent="0.2">
      <c r="A21" s="421">
        <v>42395</v>
      </c>
      <c r="B21" s="402">
        <v>285520.28000000003</v>
      </c>
    </row>
    <row r="22" spans="1:2" x14ac:dyDescent="0.2">
      <c r="A22" s="421">
        <v>42396</v>
      </c>
      <c r="B22" s="402">
        <f>B21</f>
        <v>285520.28000000003</v>
      </c>
    </row>
    <row r="23" spans="1:2" x14ac:dyDescent="0.2">
      <c r="A23" s="421">
        <v>42397</v>
      </c>
      <c r="B23" s="402">
        <v>282022.58</v>
      </c>
    </row>
    <row r="24" spans="1:2" x14ac:dyDescent="0.2">
      <c r="A24" s="421">
        <v>42398</v>
      </c>
      <c r="B24" s="402">
        <v>294848.15999999997</v>
      </c>
    </row>
    <row r="25" spans="1:2" x14ac:dyDescent="0.2">
      <c r="A25" s="421">
        <v>42401</v>
      </c>
      <c r="B25" s="402">
        <v>295971.7</v>
      </c>
    </row>
    <row r="26" spans="1:2" x14ac:dyDescent="0.2">
      <c r="A26" s="421">
        <v>42402</v>
      </c>
      <c r="B26" s="402">
        <v>342700.41</v>
      </c>
    </row>
    <row r="27" spans="1:2" x14ac:dyDescent="0.2">
      <c r="A27" s="421">
        <v>42403</v>
      </c>
      <c r="B27" s="402">
        <f>B26</f>
        <v>342700.41</v>
      </c>
    </row>
    <row r="28" spans="1:2" x14ac:dyDescent="0.2">
      <c r="A28" s="421">
        <v>42404</v>
      </c>
      <c r="B28" s="402">
        <v>337638.63</v>
      </c>
    </row>
    <row r="29" spans="1:2" x14ac:dyDescent="0.2">
      <c r="A29" s="421">
        <v>42405</v>
      </c>
      <c r="B29" s="402">
        <v>367843.39</v>
      </c>
    </row>
    <row r="30" spans="1:2" x14ac:dyDescent="0.2">
      <c r="A30" s="421">
        <v>42408</v>
      </c>
      <c r="B30" s="402">
        <v>367773.39</v>
      </c>
    </row>
    <row r="31" spans="1:2" x14ac:dyDescent="0.2">
      <c r="A31" s="421">
        <v>42409</v>
      </c>
      <c r="B31" s="402">
        <v>339527.33</v>
      </c>
    </row>
    <row r="32" spans="1:2" x14ac:dyDescent="0.2">
      <c r="A32" s="421">
        <v>42410</v>
      </c>
      <c r="B32" s="402">
        <f>B31</f>
        <v>339527.33</v>
      </c>
    </row>
    <row r="33" spans="1:2" x14ac:dyDescent="0.2">
      <c r="A33" s="421">
        <v>42411</v>
      </c>
      <c r="B33" s="402">
        <v>336968.79</v>
      </c>
    </row>
    <row r="34" spans="1:2" x14ac:dyDescent="0.2">
      <c r="A34" s="421">
        <v>42412</v>
      </c>
      <c r="B34" s="402">
        <v>337055.76</v>
      </c>
    </row>
    <row r="35" spans="1:2" x14ac:dyDescent="0.2">
      <c r="A35" s="421">
        <v>42415</v>
      </c>
      <c r="B35" s="402">
        <f>B34</f>
        <v>337055.76</v>
      </c>
    </row>
    <row r="36" spans="1:2" x14ac:dyDescent="0.2">
      <c r="A36" s="421">
        <v>42416</v>
      </c>
      <c r="B36" s="402">
        <f>B35</f>
        <v>337055.76</v>
      </c>
    </row>
    <row r="37" spans="1:2" x14ac:dyDescent="0.2">
      <c r="A37" s="421">
        <v>42417</v>
      </c>
      <c r="B37" s="402">
        <v>365266.06</v>
      </c>
    </row>
    <row r="38" spans="1:2" x14ac:dyDescent="0.2">
      <c r="A38" s="421">
        <v>42418</v>
      </c>
      <c r="B38" s="402">
        <v>360871.98</v>
      </c>
    </row>
    <row r="39" spans="1:2" x14ac:dyDescent="0.2">
      <c r="A39" s="421">
        <v>42419</v>
      </c>
      <c r="B39" s="402">
        <f>B38</f>
        <v>360871.98</v>
      </c>
    </row>
    <row r="40" spans="1:2" x14ac:dyDescent="0.2">
      <c r="A40" s="421">
        <v>42421</v>
      </c>
      <c r="B40" s="402">
        <f>B39</f>
        <v>360871.98</v>
      </c>
    </row>
    <row r="41" spans="1:2" x14ac:dyDescent="0.2">
      <c r="A41" s="421">
        <v>42423</v>
      </c>
      <c r="B41" s="402">
        <v>355845.62</v>
      </c>
    </row>
    <row r="42" spans="1:2" x14ac:dyDescent="0.2">
      <c r="A42" s="421">
        <v>42424</v>
      </c>
      <c r="B42" s="402">
        <f>B41</f>
        <v>355845.62</v>
      </c>
    </row>
    <row r="43" spans="1:2" x14ac:dyDescent="0.2">
      <c r="A43" s="421">
        <v>42425</v>
      </c>
      <c r="B43" s="402">
        <v>345399.7</v>
      </c>
    </row>
    <row r="44" spans="1:2" x14ac:dyDescent="0.2">
      <c r="A44" s="421">
        <v>42426</v>
      </c>
      <c r="B44" s="402">
        <v>370500.69</v>
      </c>
    </row>
    <row r="45" spans="1:2" x14ac:dyDescent="0.2">
      <c r="A45" s="421">
        <v>42429</v>
      </c>
      <c r="B45" s="402">
        <v>389846.49</v>
      </c>
    </row>
    <row r="46" spans="1:2" x14ac:dyDescent="0.2">
      <c r="A46" s="421">
        <v>42430</v>
      </c>
      <c r="B46" s="402">
        <f>B45</f>
        <v>389846.49</v>
      </c>
    </row>
    <row r="47" spans="1:2" x14ac:dyDescent="0.2">
      <c r="A47" s="421">
        <v>42431</v>
      </c>
      <c r="B47" s="402">
        <f>B46</f>
        <v>389846.49</v>
      </c>
    </row>
    <row r="48" spans="1:2" x14ac:dyDescent="0.2">
      <c r="A48" s="421">
        <v>42432</v>
      </c>
      <c r="B48" s="402">
        <v>378391.97</v>
      </c>
    </row>
    <row r="49" spans="1:2" x14ac:dyDescent="0.2">
      <c r="A49" s="421">
        <v>42433</v>
      </c>
      <c r="B49" s="402">
        <v>424034.23</v>
      </c>
    </row>
    <row r="50" spans="1:2" x14ac:dyDescent="0.2">
      <c r="A50" s="421">
        <v>42436</v>
      </c>
      <c r="B50" s="402">
        <f>B49</f>
        <v>424034.23</v>
      </c>
    </row>
    <row r="51" spans="1:2" x14ac:dyDescent="0.2">
      <c r="A51" s="421">
        <v>42437</v>
      </c>
      <c r="B51" s="402">
        <v>386665.73</v>
      </c>
    </row>
    <row r="52" spans="1:2" x14ac:dyDescent="0.2">
      <c r="A52" s="421">
        <v>42438</v>
      </c>
      <c r="B52" s="402">
        <f>B51</f>
        <v>386665.73</v>
      </c>
    </row>
    <row r="53" spans="1:2" x14ac:dyDescent="0.2">
      <c r="A53" s="421">
        <v>42439</v>
      </c>
      <c r="B53" s="402">
        <v>389219.85</v>
      </c>
    </row>
    <row r="54" spans="1:2" x14ac:dyDescent="0.2">
      <c r="A54" s="421">
        <v>42440</v>
      </c>
      <c r="B54" s="402">
        <v>406100.98</v>
      </c>
    </row>
    <row r="55" spans="1:2" x14ac:dyDescent="0.2">
      <c r="A55" s="421">
        <v>42443</v>
      </c>
      <c r="B55" s="402">
        <v>407873.33</v>
      </c>
    </row>
    <row r="56" spans="1:2" x14ac:dyDescent="0.2">
      <c r="A56" s="421">
        <v>42444</v>
      </c>
      <c r="B56" s="402">
        <v>407992.23</v>
      </c>
    </row>
    <row r="57" spans="1:2" x14ac:dyDescent="0.2">
      <c r="A57" s="421">
        <v>42445</v>
      </c>
      <c r="B57" s="402">
        <v>433808.81</v>
      </c>
    </row>
    <row r="58" spans="1:2" x14ac:dyDescent="0.2">
      <c r="A58" s="421">
        <v>42446</v>
      </c>
      <c r="B58" s="402">
        <v>422290.94</v>
      </c>
    </row>
    <row r="59" spans="1:2" x14ac:dyDescent="0.2">
      <c r="A59" s="421">
        <v>42447</v>
      </c>
      <c r="B59" s="402">
        <v>468026.54</v>
      </c>
    </row>
    <row r="60" spans="1:2" x14ac:dyDescent="0.2">
      <c r="A60" s="421">
        <v>42450</v>
      </c>
      <c r="B60" s="402">
        <v>348026.54</v>
      </c>
    </row>
    <row r="61" spans="1:2" x14ac:dyDescent="0.2">
      <c r="A61" s="421">
        <v>42451</v>
      </c>
      <c r="B61" s="402">
        <v>312876.71000000002</v>
      </c>
    </row>
    <row r="62" spans="1:2" x14ac:dyDescent="0.2">
      <c r="A62" s="421">
        <v>42452</v>
      </c>
      <c r="B62" s="402">
        <v>314939.26</v>
      </c>
    </row>
    <row r="63" spans="1:2" x14ac:dyDescent="0.2">
      <c r="A63" s="421">
        <v>42453</v>
      </c>
      <c r="B63" s="402">
        <v>309254.23</v>
      </c>
    </row>
    <row r="64" spans="1:2" x14ac:dyDescent="0.2">
      <c r="A64" s="421">
        <v>42454</v>
      </c>
      <c r="B64" s="402">
        <v>308314.94</v>
      </c>
    </row>
    <row r="65" spans="1:2" x14ac:dyDescent="0.2">
      <c r="A65" s="421">
        <v>42457</v>
      </c>
      <c r="B65" s="402">
        <f>B64</f>
        <v>308314.94</v>
      </c>
    </row>
    <row r="66" spans="1:2" x14ac:dyDescent="0.2">
      <c r="A66" s="421">
        <v>42458</v>
      </c>
      <c r="B66" s="402">
        <v>308501.75</v>
      </c>
    </row>
    <row r="67" spans="1:2" x14ac:dyDescent="0.2">
      <c r="A67" s="421">
        <v>42459</v>
      </c>
      <c r="B67" s="402">
        <f>B66</f>
        <v>308501.75</v>
      </c>
    </row>
    <row r="68" spans="1:2" x14ac:dyDescent="0.2">
      <c r="A68" s="421">
        <v>42460</v>
      </c>
      <c r="B68" s="402">
        <v>309191.53000000003</v>
      </c>
    </row>
    <row r="69" spans="1:2" x14ac:dyDescent="0.2">
      <c r="A69" s="421">
        <v>42461</v>
      </c>
      <c r="B69" s="402">
        <f>B68</f>
        <v>309191.53000000003</v>
      </c>
    </row>
    <row r="70" spans="1:2" x14ac:dyDescent="0.2">
      <c r="A70" s="421">
        <v>42464</v>
      </c>
      <c r="B70" s="402">
        <v>273521.59999999998</v>
      </c>
    </row>
    <row r="71" spans="1:2" x14ac:dyDescent="0.2">
      <c r="A71" s="421">
        <v>42465</v>
      </c>
      <c r="B71" s="402">
        <f>B70</f>
        <v>273521.59999999998</v>
      </c>
    </row>
    <row r="72" spans="1:2" x14ac:dyDescent="0.2">
      <c r="A72" s="421">
        <v>42466</v>
      </c>
      <c r="B72" s="402">
        <v>272690.59999999998</v>
      </c>
    </row>
    <row r="73" spans="1:2" x14ac:dyDescent="0.2">
      <c r="A73" s="421">
        <v>42467</v>
      </c>
      <c r="B73" s="402">
        <v>269582.73</v>
      </c>
    </row>
    <row r="74" spans="1:2" x14ac:dyDescent="0.2">
      <c r="A74" s="421">
        <v>42468</v>
      </c>
      <c r="B74" s="402">
        <f>B73</f>
        <v>269582.73</v>
      </c>
    </row>
    <row r="75" spans="1:2" x14ac:dyDescent="0.2">
      <c r="A75" s="421">
        <v>42471</v>
      </c>
      <c r="B75" s="402">
        <v>269763.98</v>
      </c>
    </row>
    <row r="76" spans="1:2" x14ac:dyDescent="0.2">
      <c r="A76" s="421">
        <v>42472</v>
      </c>
      <c r="B76" s="402">
        <f>B75</f>
        <v>269763.98</v>
      </c>
    </row>
    <row r="77" spans="1:2" x14ac:dyDescent="0.2">
      <c r="A77" s="421">
        <v>42473</v>
      </c>
      <c r="B77" s="402">
        <v>269925.98</v>
      </c>
    </row>
    <row r="78" spans="1:2" x14ac:dyDescent="0.2">
      <c r="A78" s="421">
        <v>42474</v>
      </c>
      <c r="B78" s="402">
        <v>262853.87</v>
      </c>
    </row>
    <row r="79" spans="1:2" x14ac:dyDescent="0.2">
      <c r="A79" s="421">
        <v>42475</v>
      </c>
      <c r="B79" s="402">
        <v>285492.90999999997</v>
      </c>
    </row>
    <row r="80" spans="1:2" x14ac:dyDescent="0.2">
      <c r="A80" s="421">
        <v>42478</v>
      </c>
      <c r="B80" s="402">
        <v>248936.49</v>
      </c>
    </row>
    <row r="81" spans="1:2" x14ac:dyDescent="0.2">
      <c r="A81" s="421">
        <v>42479</v>
      </c>
      <c r="B81" s="402">
        <v>299276.93</v>
      </c>
    </row>
    <row r="82" spans="1:2" x14ac:dyDescent="0.2">
      <c r="A82" s="421">
        <v>42480</v>
      </c>
      <c r="B82" s="402">
        <v>298671.93</v>
      </c>
    </row>
    <row r="83" spans="1:2" x14ac:dyDescent="0.2">
      <c r="A83" s="421">
        <v>42481</v>
      </c>
      <c r="B83" s="402">
        <v>300188.76</v>
      </c>
    </row>
    <row r="84" spans="1:2" x14ac:dyDescent="0.2">
      <c r="A84" s="421">
        <v>42482</v>
      </c>
      <c r="B84" s="402">
        <v>320014.86</v>
      </c>
    </row>
    <row r="85" spans="1:2" x14ac:dyDescent="0.2">
      <c r="A85" s="421">
        <v>42485</v>
      </c>
      <c r="B85" s="402">
        <v>316702.44</v>
      </c>
    </row>
    <row r="86" spans="1:2" x14ac:dyDescent="0.2">
      <c r="A86" s="421">
        <v>42486</v>
      </c>
      <c r="B86" s="402">
        <f>B85</f>
        <v>316702.44</v>
      </c>
    </row>
    <row r="87" spans="1:2" x14ac:dyDescent="0.2">
      <c r="A87" s="421">
        <v>42487</v>
      </c>
      <c r="B87" s="402">
        <v>316945.44</v>
      </c>
    </row>
    <row r="88" spans="1:2" x14ac:dyDescent="0.2">
      <c r="A88" s="421">
        <v>42488</v>
      </c>
      <c r="B88" s="402">
        <v>320979.96999999997</v>
      </c>
    </row>
    <row r="89" spans="1:2" x14ac:dyDescent="0.2">
      <c r="A89" s="421">
        <v>42489</v>
      </c>
      <c r="B89" s="402">
        <f>B88</f>
        <v>320979.96999999997</v>
      </c>
    </row>
    <row r="90" spans="1:2" x14ac:dyDescent="0.2">
      <c r="A90" s="421">
        <v>42492</v>
      </c>
      <c r="B90" s="402">
        <v>285992.84000000003</v>
      </c>
    </row>
    <row r="91" spans="1:2" x14ac:dyDescent="0.2">
      <c r="A91" s="421">
        <v>42493</v>
      </c>
      <c r="B91" s="402">
        <v>286063.08</v>
      </c>
    </row>
    <row r="92" spans="1:2" x14ac:dyDescent="0.2">
      <c r="A92" s="421">
        <v>42494</v>
      </c>
      <c r="B92" s="402">
        <v>314586.46000000002</v>
      </c>
    </row>
    <row r="93" spans="1:2" x14ac:dyDescent="0.2">
      <c r="A93" s="421">
        <v>42495</v>
      </c>
      <c r="B93" s="402">
        <v>317747.52</v>
      </c>
    </row>
    <row r="94" spans="1:2" x14ac:dyDescent="0.2">
      <c r="A94" s="421">
        <v>42496</v>
      </c>
      <c r="B94" s="402">
        <f>B93</f>
        <v>317747.52</v>
      </c>
    </row>
    <row r="95" spans="1:2" x14ac:dyDescent="0.2">
      <c r="A95" s="421">
        <v>42499</v>
      </c>
      <c r="B95" s="402">
        <v>317647.52</v>
      </c>
    </row>
    <row r="96" spans="1:2" x14ac:dyDescent="0.2">
      <c r="A96" s="421">
        <v>42500</v>
      </c>
      <c r="B96" s="402">
        <v>354645.16</v>
      </c>
    </row>
    <row r="97" spans="1:2" x14ac:dyDescent="0.2">
      <c r="A97" s="421">
        <v>42501</v>
      </c>
      <c r="B97" s="402">
        <f>B96</f>
        <v>354645.16</v>
      </c>
    </row>
    <row r="98" spans="1:2" x14ac:dyDescent="0.2">
      <c r="A98" s="421">
        <v>42502</v>
      </c>
      <c r="B98" s="402">
        <v>334676.08</v>
      </c>
    </row>
    <row r="99" spans="1:2" x14ac:dyDescent="0.2">
      <c r="A99" s="421">
        <v>42503</v>
      </c>
      <c r="B99" s="402">
        <v>335053.34999999998</v>
      </c>
    </row>
    <row r="100" spans="1:2" x14ac:dyDescent="0.2">
      <c r="A100" s="421">
        <v>42506</v>
      </c>
      <c r="B100" s="402">
        <v>299641.7</v>
      </c>
    </row>
    <row r="101" spans="1:2" x14ac:dyDescent="0.2">
      <c r="A101" s="421">
        <v>42507</v>
      </c>
      <c r="B101" s="402">
        <f>B100</f>
        <v>299641.7</v>
      </c>
    </row>
    <row r="102" spans="1:2" x14ac:dyDescent="0.2">
      <c r="A102" s="421">
        <v>42508</v>
      </c>
      <c r="B102" s="402">
        <v>316034.81</v>
      </c>
    </row>
    <row r="103" spans="1:2" x14ac:dyDescent="0.2">
      <c r="A103" s="421">
        <v>42509</v>
      </c>
      <c r="B103" s="402">
        <v>320069.11</v>
      </c>
    </row>
    <row r="104" spans="1:2" x14ac:dyDescent="0.2">
      <c r="A104" s="421">
        <v>42510</v>
      </c>
      <c r="B104" s="402">
        <v>328514.03000000003</v>
      </c>
    </row>
    <row r="105" spans="1:2" x14ac:dyDescent="0.2">
      <c r="A105" s="421">
        <v>42513</v>
      </c>
      <c r="B105" s="402">
        <f>B104</f>
        <v>328514.03000000003</v>
      </c>
    </row>
    <row r="106" spans="1:2" x14ac:dyDescent="0.2">
      <c r="A106" s="421">
        <v>42514</v>
      </c>
      <c r="B106" s="402">
        <v>334541.26</v>
      </c>
    </row>
    <row r="107" spans="1:2" x14ac:dyDescent="0.2">
      <c r="A107" s="421">
        <v>42515</v>
      </c>
      <c r="B107" s="402">
        <v>329880.45</v>
      </c>
    </row>
    <row r="108" spans="1:2" x14ac:dyDescent="0.2">
      <c r="A108" s="421">
        <v>42516</v>
      </c>
      <c r="B108" s="403">
        <v>337992.17</v>
      </c>
    </row>
    <row r="109" spans="1:2" x14ac:dyDescent="0.2">
      <c r="A109" s="421">
        <v>42517</v>
      </c>
      <c r="B109" s="403">
        <v>347755.4</v>
      </c>
    </row>
    <row r="110" spans="1:2" x14ac:dyDescent="0.2">
      <c r="A110" s="421">
        <v>42520</v>
      </c>
      <c r="B110" s="403">
        <v>347755.4</v>
      </c>
    </row>
    <row r="111" spans="1:2" x14ac:dyDescent="0.2">
      <c r="A111" s="421">
        <v>42521</v>
      </c>
      <c r="B111" s="403">
        <v>312817.88</v>
      </c>
    </row>
    <row r="112" spans="1:2" x14ac:dyDescent="0.2">
      <c r="A112" s="421">
        <v>42522</v>
      </c>
      <c r="B112" s="403">
        <v>314571.3</v>
      </c>
    </row>
    <row r="113" spans="1:2" x14ac:dyDescent="0.2">
      <c r="A113" s="421">
        <v>42523</v>
      </c>
      <c r="B113" s="403">
        <v>302515.78000000003</v>
      </c>
    </row>
    <row r="114" spans="1:2" x14ac:dyDescent="0.2">
      <c r="A114" s="421">
        <v>42524</v>
      </c>
      <c r="B114" s="403">
        <v>302516</v>
      </c>
    </row>
    <row r="115" spans="1:2" x14ac:dyDescent="0.2">
      <c r="A115" s="421">
        <v>42527</v>
      </c>
      <c r="B115" s="403">
        <v>302516</v>
      </c>
    </row>
    <row r="116" spans="1:2" x14ac:dyDescent="0.2">
      <c r="A116" s="421">
        <v>42528</v>
      </c>
      <c r="B116" s="403">
        <v>302516</v>
      </c>
    </row>
    <row r="117" spans="1:2" x14ac:dyDescent="0.2">
      <c r="A117" s="421">
        <v>42529</v>
      </c>
      <c r="B117" s="403">
        <v>279865.95</v>
      </c>
    </row>
    <row r="118" spans="1:2" x14ac:dyDescent="0.2">
      <c r="A118" s="421">
        <v>42530</v>
      </c>
      <c r="B118" s="403">
        <v>279866</v>
      </c>
    </row>
    <row r="119" spans="1:2" x14ac:dyDescent="0.2">
      <c r="A119" s="421">
        <v>42531</v>
      </c>
      <c r="B119" s="403">
        <v>279866</v>
      </c>
    </row>
    <row r="120" spans="1:2" x14ac:dyDescent="0.2">
      <c r="A120" s="421">
        <v>42534</v>
      </c>
      <c r="B120" s="403">
        <v>279866</v>
      </c>
    </row>
    <row r="121" spans="1:2" x14ac:dyDescent="0.2">
      <c r="A121" s="421">
        <v>42535</v>
      </c>
      <c r="B121" s="403">
        <v>279866</v>
      </c>
    </row>
    <row r="122" spans="1:2" x14ac:dyDescent="0.2">
      <c r="A122" s="421">
        <v>42536</v>
      </c>
      <c r="B122" s="403">
        <v>290096.01</v>
      </c>
    </row>
    <row r="123" spans="1:2" x14ac:dyDescent="0.2">
      <c r="A123" s="421">
        <v>42537</v>
      </c>
      <c r="B123" s="403">
        <v>247423.5</v>
      </c>
    </row>
    <row r="124" spans="1:2" x14ac:dyDescent="0.2">
      <c r="A124" s="421">
        <v>42538</v>
      </c>
      <c r="B124" s="403">
        <v>247424</v>
      </c>
    </row>
    <row r="125" spans="1:2" x14ac:dyDescent="0.2">
      <c r="A125" s="421">
        <v>42541</v>
      </c>
      <c r="B125" s="403">
        <v>247424</v>
      </c>
    </row>
    <row r="126" spans="1:2" x14ac:dyDescent="0.2">
      <c r="A126" s="421">
        <v>42542</v>
      </c>
      <c r="B126" s="403">
        <v>255459.85</v>
      </c>
    </row>
    <row r="127" spans="1:2" x14ac:dyDescent="0.2">
      <c r="A127" s="421">
        <v>42543</v>
      </c>
      <c r="B127" s="403">
        <v>255460</v>
      </c>
    </row>
    <row r="128" spans="1:2" x14ac:dyDescent="0.2">
      <c r="A128" s="404">
        <f>A127+1</f>
        <v>42544</v>
      </c>
      <c r="B128" s="403">
        <v>240780.4</v>
      </c>
    </row>
    <row r="129" spans="1:2" x14ac:dyDescent="0.2">
      <c r="A129" s="404">
        <f>A128+1</f>
        <v>42545</v>
      </c>
      <c r="B129" s="403">
        <v>240780</v>
      </c>
    </row>
    <row r="130" spans="1:2" x14ac:dyDescent="0.2">
      <c r="A130" s="404">
        <f>A125+7</f>
        <v>42548</v>
      </c>
      <c r="B130" s="403">
        <v>205735.12</v>
      </c>
    </row>
    <row r="131" spans="1:2" x14ac:dyDescent="0.2">
      <c r="A131" s="404">
        <f>A126+7</f>
        <v>42549</v>
      </c>
      <c r="B131" s="403">
        <v>207489.37</v>
      </c>
    </row>
    <row r="132" spans="1:2" x14ac:dyDescent="0.2">
      <c r="A132" s="404">
        <f t="shared" ref="A132:A195" si="0">A127+7</f>
        <v>42550</v>
      </c>
      <c r="B132" s="403">
        <v>213757.9</v>
      </c>
    </row>
    <row r="133" spans="1:2" x14ac:dyDescent="0.2">
      <c r="A133" s="404">
        <f t="shared" si="0"/>
        <v>42551</v>
      </c>
      <c r="B133" s="403">
        <v>220332.56</v>
      </c>
    </row>
    <row r="134" spans="1:2" x14ac:dyDescent="0.2">
      <c r="A134" s="404">
        <f t="shared" si="0"/>
        <v>42552</v>
      </c>
      <c r="B134" s="403">
        <v>212813.84</v>
      </c>
    </row>
    <row r="135" spans="1:2" x14ac:dyDescent="0.2">
      <c r="A135" s="404">
        <f t="shared" si="0"/>
        <v>42555</v>
      </c>
      <c r="B135" s="403">
        <v>212814</v>
      </c>
    </row>
    <row r="136" spans="1:2" x14ac:dyDescent="0.2">
      <c r="A136" s="404">
        <f t="shared" si="0"/>
        <v>42556</v>
      </c>
      <c r="B136" s="403">
        <v>236539.45</v>
      </c>
    </row>
    <row r="137" spans="1:2" x14ac:dyDescent="0.2">
      <c r="A137" s="404">
        <f t="shared" si="0"/>
        <v>42557</v>
      </c>
      <c r="B137" s="403">
        <v>234224.42</v>
      </c>
    </row>
    <row r="138" spans="1:2" x14ac:dyDescent="0.2">
      <c r="A138" s="404">
        <f t="shared" si="0"/>
        <v>42558</v>
      </c>
      <c r="B138" s="403">
        <v>234132.08</v>
      </c>
    </row>
    <row r="139" spans="1:2" x14ac:dyDescent="0.2">
      <c r="A139" s="404">
        <f t="shared" si="0"/>
        <v>42559</v>
      </c>
      <c r="B139" s="403">
        <v>234132.08</v>
      </c>
    </row>
    <row r="140" spans="1:2" x14ac:dyDescent="0.2">
      <c r="A140" s="404">
        <f t="shared" si="0"/>
        <v>42562</v>
      </c>
      <c r="B140" s="403">
        <v>199890.85</v>
      </c>
    </row>
    <row r="141" spans="1:2" x14ac:dyDescent="0.2">
      <c r="A141" s="404">
        <f t="shared" si="0"/>
        <v>42563</v>
      </c>
      <c r="B141" s="403">
        <v>221114.27</v>
      </c>
    </row>
    <row r="142" spans="1:2" x14ac:dyDescent="0.2">
      <c r="A142" s="404">
        <f t="shared" si="0"/>
        <v>42564</v>
      </c>
      <c r="B142" s="403">
        <v>221114</v>
      </c>
    </row>
    <row r="143" spans="1:2" x14ac:dyDescent="0.2">
      <c r="A143" s="404">
        <f t="shared" si="0"/>
        <v>42565</v>
      </c>
      <c r="B143" s="403">
        <v>214752.25</v>
      </c>
    </row>
    <row r="144" spans="1:2" x14ac:dyDescent="0.2">
      <c r="A144" s="404">
        <f t="shared" si="0"/>
        <v>42566</v>
      </c>
      <c r="B144" s="403">
        <v>294578.96999999997</v>
      </c>
    </row>
    <row r="145" spans="1:2" x14ac:dyDescent="0.2">
      <c r="A145" s="404">
        <f t="shared" si="0"/>
        <v>42569</v>
      </c>
      <c r="B145" s="403">
        <v>294579</v>
      </c>
    </row>
    <row r="146" spans="1:2" x14ac:dyDescent="0.2">
      <c r="A146" s="404">
        <f t="shared" si="0"/>
        <v>42570</v>
      </c>
      <c r="B146" s="403">
        <v>294579</v>
      </c>
    </row>
    <row r="147" spans="1:2" x14ac:dyDescent="0.2">
      <c r="A147" s="404">
        <f t="shared" si="0"/>
        <v>42571</v>
      </c>
      <c r="B147" s="403">
        <v>328195.42</v>
      </c>
    </row>
    <row r="148" spans="1:2" x14ac:dyDescent="0.2">
      <c r="A148" s="404">
        <f t="shared" si="0"/>
        <v>42572</v>
      </c>
      <c r="B148" s="403">
        <v>407865.86</v>
      </c>
    </row>
    <row r="149" spans="1:2" x14ac:dyDescent="0.2">
      <c r="A149" s="404">
        <f t="shared" si="0"/>
        <v>42573</v>
      </c>
      <c r="B149" s="403">
        <v>409053.93</v>
      </c>
    </row>
    <row r="150" spans="1:2" x14ac:dyDescent="0.2">
      <c r="A150" s="404">
        <f t="shared" si="0"/>
        <v>42576</v>
      </c>
      <c r="B150" s="403">
        <v>372421.56</v>
      </c>
    </row>
    <row r="151" spans="1:2" x14ac:dyDescent="0.2">
      <c r="A151" s="404">
        <f t="shared" si="0"/>
        <v>42577</v>
      </c>
      <c r="B151" s="403">
        <v>375562.78</v>
      </c>
    </row>
    <row r="152" spans="1:2" x14ac:dyDescent="0.2">
      <c r="A152" s="404">
        <f t="shared" si="0"/>
        <v>42578</v>
      </c>
      <c r="B152" s="403">
        <v>375563</v>
      </c>
    </row>
    <row r="153" spans="1:2" x14ac:dyDescent="0.2">
      <c r="A153" s="404">
        <f t="shared" si="0"/>
        <v>42579</v>
      </c>
      <c r="B153" s="403">
        <v>366510.98</v>
      </c>
    </row>
    <row r="154" spans="1:2" x14ac:dyDescent="0.2">
      <c r="A154" s="404">
        <f t="shared" si="0"/>
        <v>42580</v>
      </c>
      <c r="B154" s="403">
        <v>366609.48</v>
      </c>
    </row>
    <row r="155" spans="1:2" x14ac:dyDescent="0.2">
      <c r="A155" s="404">
        <f t="shared" si="0"/>
        <v>42583</v>
      </c>
      <c r="B155" s="403">
        <v>382689.69</v>
      </c>
    </row>
    <row r="156" spans="1:2" x14ac:dyDescent="0.2">
      <c r="A156" s="404">
        <f t="shared" si="0"/>
        <v>42584</v>
      </c>
      <c r="B156" s="403">
        <v>382690</v>
      </c>
    </row>
    <row r="157" spans="1:2" x14ac:dyDescent="0.2">
      <c r="A157" s="404">
        <f t="shared" si="0"/>
        <v>42585</v>
      </c>
      <c r="B157" s="403">
        <v>387013.59</v>
      </c>
    </row>
    <row r="158" spans="1:2" x14ac:dyDescent="0.2">
      <c r="A158" s="404">
        <f t="shared" si="0"/>
        <v>42586</v>
      </c>
      <c r="B158" s="403">
        <v>382543.7</v>
      </c>
    </row>
    <row r="159" spans="1:2" x14ac:dyDescent="0.2">
      <c r="A159" s="404">
        <f t="shared" si="0"/>
        <v>42587</v>
      </c>
      <c r="B159" s="403">
        <v>382544</v>
      </c>
    </row>
    <row r="160" spans="1:2" x14ac:dyDescent="0.2">
      <c r="A160" s="404">
        <f t="shared" si="0"/>
        <v>42590</v>
      </c>
      <c r="B160" s="403">
        <v>344510.17</v>
      </c>
    </row>
    <row r="161" spans="1:2" x14ac:dyDescent="0.2">
      <c r="A161" s="404">
        <f t="shared" si="0"/>
        <v>42591</v>
      </c>
      <c r="B161" s="403">
        <v>350095.94</v>
      </c>
    </row>
    <row r="162" spans="1:2" x14ac:dyDescent="0.2">
      <c r="A162" s="404">
        <f t="shared" si="0"/>
        <v>42592</v>
      </c>
      <c r="B162" s="403">
        <v>350096</v>
      </c>
    </row>
    <row r="163" spans="1:2" x14ac:dyDescent="0.2">
      <c r="A163" s="404">
        <f t="shared" si="0"/>
        <v>42593</v>
      </c>
      <c r="B163" s="403">
        <v>355079.15</v>
      </c>
    </row>
    <row r="164" spans="1:2" x14ac:dyDescent="0.2">
      <c r="A164" s="404">
        <f t="shared" si="0"/>
        <v>42594</v>
      </c>
      <c r="B164" s="403">
        <v>356502.11</v>
      </c>
    </row>
    <row r="165" spans="1:2" x14ac:dyDescent="0.2">
      <c r="A165" s="404">
        <f t="shared" si="0"/>
        <v>42597</v>
      </c>
      <c r="B165" s="403">
        <v>408622.46</v>
      </c>
    </row>
    <row r="166" spans="1:2" x14ac:dyDescent="0.2">
      <c r="A166" s="404">
        <f t="shared" si="0"/>
        <v>42598</v>
      </c>
      <c r="B166" s="403">
        <v>408622</v>
      </c>
    </row>
    <row r="167" spans="1:2" x14ac:dyDescent="0.2">
      <c r="A167" s="404">
        <f t="shared" si="0"/>
        <v>42599</v>
      </c>
      <c r="B167" s="403">
        <v>408622</v>
      </c>
    </row>
    <row r="168" spans="1:2" x14ac:dyDescent="0.2">
      <c r="A168" s="404">
        <f t="shared" si="0"/>
        <v>42600</v>
      </c>
      <c r="B168" s="403">
        <v>409931.67</v>
      </c>
    </row>
    <row r="169" spans="1:2" x14ac:dyDescent="0.2">
      <c r="A169" s="404">
        <f t="shared" si="0"/>
        <v>42601</v>
      </c>
      <c r="B169" s="403">
        <v>410189.3</v>
      </c>
    </row>
    <row r="170" spans="1:2" x14ac:dyDescent="0.2">
      <c r="A170" s="404">
        <f t="shared" si="0"/>
        <v>42604</v>
      </c>
      <c r="B170" s="403">
        <v>370399.56</v>
      </c>
    </row>
    <row r="171" spans="1:2" x14ac:dyDescent="0.2">
      <c r="A171" s="404">
        <f t="shared" si="0"/>
        <v>42605</v>
      </c>
      <c r="B171" s="403">
        <v>370399.56</v>
      </c>
    </row>
    <row r="172" spans="1:2" x14ac:dyDescent="0.2">
      <c r="A172" s="404">
        <f t="shared" si="0"/>
        <v>42606</v>
      </c>
      <c r="B172" s="403">
        <v>370400</v>
      </c>
    </row>
    <row r="173" spans="1:2" x14ac:dyDescent="0.2">
      <c r="A173" s="404">
        <f t="shared" si="0"/>
        <v>42607</v>
      </c>
      <c r="B173" s="403">
        <v>359591.19</v>
      </c>
    </row>
    <row r="174" spans="1:2" x14ac:dyDescent="0.2">
      <c r="A174" s="404">
        <f t="shared" si="0"/>
        <v>42608</v>
      </c>
      <c r="B174" s="403">
        <v>399163.14</v>
      </c>
    </row>
    <row r="175" spans="1:2" x14ac:dyDescent="0.2">
      <c r="A175" s="404">
        <f t="shared" si="0"/>
        <v>42611</v>
      </c>
      <c r="B175" s="403">
        <v>407196.62</v>
      </c>
    </row>
    <row r="176" spans="1:2" x14ac:dyDescent="0.2">
      <c r="A176" s="404">
        <f t="shared" si="0"/>
        <v>42612</v>
      </c>
      <c r="B176" s="403">
        <v>422526.97</v>
      </c>
    </row>
    <row r="177" spans="1:5" x14ac:dyDescent="0.2">
      <c r="A177" s="404">
        <f t="shared" si="0"/>
        <v>42613</v>
      </c>
      <c r="B177" s="403">
        <v>479216.05</v>
      </c>
    </row>
    <row r="178" spans="1:5" x14ac:dyDescent="0.2">
      <c r="A178" s="404">
        <f t="shared" si="0"/>
        <v>42614</v>
      </c>
      <c r="B178" s="403">
        <v>479216</v>
      </c>
    </row>
    <row r="179" spans="1:5" x14ac:dyDescent="0.2">
      <c r="A179" s="404">
        <f t="shared" si="0"/>
        <v>42615</v>
      </c>
      <c r="B179" s="403">
        <v>479216</v>
      </c>
    </row>
    <row r="180" spans="1:5" x14ac:dyDescent="0.2">
      <c r="A180" s="404">
        <f t="shared" si="0"/>
        <v>42618</v>
      </c>
      <c r="B180" s="403">
        <v>479216</v>
      </c>
    </row>
    <row r="181" spans="1:5" x14ac:dyDescent="0.2">
      <c r="A181" s="404">
        <f t="shared" si="0"/>
        <v>42619</v>
      </c>
      <c r="B181" s="403">
        <v>440784.82</v>
      </c>
    </row>
    <row r="182" spans="1:5" x14ac:dyDescent="0.2">
      <c r="A182" s="404">
        <f t="shared" si="0"/>
        <v>42620</v>
      </c>
      <c r="B182" s="403">
        <v>440785</v>
      </c>
      <c r="D182" s="390"/>
      <c r="E182" s="160"/>
    </row>
    <row r="183" spans="1:5" x14ac:dyDescent="0.2">
      <c r="A183" s="404">
        <f t="shared" si="0"/>
        <v>42621</v>
      </c>
      <c r="B183" s="403">
        <v>445373.31</v>
      </c>
    </row>
    <row r="184" spans="1:5" x14ac:dyDescent="0.2">
      <c r="A184" s="404">
        <f t="shared" si="0"/>
        <v>42622</v>
      </c>
      <c r="B184" s="403">
        <v>463896.46</v>
      </c>
      <c r="D184" s="390"/>
      <c r="E184" s="160"/>
    </row>
    <row r="185" spans="1:5" x14ac:dyDescent="0.2">
      <c r="A185" s="404">
        <f t="shared" si="0"/>
        <v>42625</v>
      </c>
      <c r="B185" s="403">
        <v>463296.46</v>
      </c>
      <c r="D185" s="390"/>
      <c r="E185" s="160"/>
    </row>
    <row r="186" spans="1:5" x14ac:dyDescent="0.2">
      <c r="A186" s="404">
        <f t="shared" si="0"/>
        <v>42626</v>
      </c>
      <c r="B186" s="403">
        <v>465024.54</v>
      </c>
      <c r="D186" s="390"/>
      <c r="E186" s="160"/>
    </row>
    <row r="187" spans="1:5" x14ac:dyDescent="0.2">
      <c r="A187" s="404">
        <f t="shared" si="0"/>
        <v>42627</v>
      </c>
      <c r="B187" s="403">
        <v>465025</v>
      </c>
      <c r="D187" s="390"/>
      <c r="E187" s="160"/>
    </row>
    <row r="188" spans="1:5" x14ac:dyDescent="0.2">
      <c r="A188" s="404">
        <f t="shared" si="0"/>
        <v>42628</v>
      </c>
      <c r="B188" s="403">
        <v>447444.34</v>
      </c>
      <c r="D188" s="390"/>
      <c r="E188" s="160"/>
    </row>
    <row r="189" spans="1:5" x14ac:dyDescent="0.2">
      <c r="A189" s="404">
        <f t="shared" si="0"/>
        <v>42629</v>
      </c>
      <c r="B189" s="403">
        <v>451135.42</v>
      </c>
      <c r="D189" s="390"/>
      <c r="E189" s="160"/>
    </row>
    <row r="190" spans="1:5" x14ac:dyDescent="0.2">
      <c r="A190" s="404">
        <f t="shared" si="0"/>
        <v>42632</v>
      </c>
      <c r="B190" s="403">
        <v>413924.51</v>
      </c>
      <c r="D190" s="390"/>
      <c r="E190" s="160"/>
    </row>
    <row r="191" spans="1:5" x14ac:dyDescent="0.2">
      <c r="A191" s="404">
        <f t="shared" si="0"/>
        <v>42633</v>
      </c>
      <c r="B191" s="403">
        <v>395080.96000000002</v>
      </c>
      <c r="D191" s="390"/>
      <c r="E191" s="160"/>
    </row>
    <row r="192" spans="1:5" x14ac:dyDescent="0.2">
      <c r="A192" s="404">
        <f t="shared" si="0"/>
        <v>42634</v>
      </c>
      <c r="B192" s="403">
        <v>393852.1</v>
      </c>
      <c r="D192" s="390"/>
      <c r="E192" s="160"/>
    </row>
    <row r="193" spans="1:5" x14ac:dyDescent="0.2">
      <c r="A193" s="404">
        <f t="shared" si="0"/>
        <v>42635</v>
      </c>
      <c r="B193" s="403">
        <v>397757.18</v>
      </c>
      <c r="D193" s="390"/>
      <c r="E193" s="160"/>
    </row>
    <row r="194" spans="1:5" x14ac:dyDescent="0.2">
      <c r="A194" s="404">
        <f t="shared" si="0"/>
        <v>42636</v>
      </c>
      <c r="B194" s="403">
        <v>397757</v>
      </c>
      <c r="D194" s="390"/>
      <c r="E194" s="160"/>
    </row>
    <row r="195" spans="1:5" x14ac:dyDescent="0.2">
      <c r="A195" s="404">
        <f t="shared" si="0"/>
        <v>42639</v>
      </c>
      <c r="B195" s="403">
        <v>397757</v>
      </c>
      <c r="D195" s="390"/>
      <c r="E195" s="160"/>
    </row>
    <row r="196" spans="1:5" x14ac:dyDescent="0.2">
      <c r="A196" s="404">
        <f t="shared" ref="A196:A259" si="1">A191+7</f>
        <v>42640</v>
      </c>
      <c r="B196" s="403">
        <v>403105.59</v>
      </c>
      <c r="D196" s="390"/>
      <c r="E196" s="160"/>
    </row>
    <row r="197" spans="1:5" x14ac:dyDescent="0.2">
      <c r="A197" s="404">
        <f t="shared" si="1"/>
        <v>42641</v>
      </c>
      <c r="B197" s="403">
        <v>394170.51</v>
      </c>
      <c r="D197" s="390"/>
      <c r="E197" s="160"/>
    </row>
    <row r="198" spans="1:5" x14ac:dyDescent="0.2">
      <c r="A198" s="404">
        <f t="shared" si="1"/>
        <v>42642</v>
      </c>
      <c r="B198" s="403">
        <v>397917.56</v>
      </c>
      <c r="D198" s="390"/>
      <c r="E198" s="160"/>
    </row>
    <row r="199" spans="1:5" x14ac:dyDescent="0.2">
      <c r="A199" s="404">
        <f t="shared" si="1"/>
        <v>42643</v>
      </c>
      <c r="B199" s="403">
        <v>397918</v>
      </c>
      <c r="D199" s="390"/>
      <c r="E199" s="160"/>
    </row>
    <row r="200" spans="1:5" x14ac:dyDescent="0.2">
      <c r="A200" s="404">
        <f t="shared" si="1"/>
        <v>42646</v>
      </c>
      <c r="B200" s="403">
        <v>361701.8</v>
      </c>
      <c r="D200" s="390"/>
      <c r="E200" s="160"/>
    </row>
    <row r="201" spans="1:5" x14ac:dyDescent="0.2">
      <c r="A201" s="404">
        <f t="shared" si="1"/>
        <v>42647</v>
      </c>
      <c r="B201" s="403">
        <v>362031.95</v>
      </c>
      <c r="D201" s="390"/>
      <c r="E201" s="160"/>
    </row>
    <row r="202" spans="1:5" x14ac:dyDescent="0.2">
      <c r="A202" s="404">
        <f t="shared" si="1"/>
        <v>42648</v>
      </c>
      <c r="B202" s="403">
        <v>362032</v>
      </c>
    </row>
    <row r="203" spans="1:5" x14ac:dyDescent="0.2">
      <c r="A203" s="404">
        <f t="shared" si="1"/>
        <v>42649</v>
      </c>
      <c r="B203" s="403">
        <v>360433.13</v>
      </c>
    </row>
    <row r="204" spans="1:5" x14ac:dyDescent="0.2">
      <c r="A204" s="404">
        <f t="shared" si="1"/>
        <v>42650</v>
      </c>
      <c r="B204" s="403">
        <v>361754.66</v>
      </c>
    </row>
    <row r="205" spans="1:5" x14ac:dyDescent="0.2">
      <c r="A205" s="404">
        <f t="shared" si="1"/>
        <v>42653</v>
      </c>
      <c r="B205" s="403">
        <v>361755</v>
      </c>
    </row>
    <row r="206" spans="1:5" x14ac:dyDescent="0.2">
      <c r="A206" s="404">
        <f t="shared" si="1"/>
        <v>42654</v>
      </c>
      <c r="B206" s="403">
        <v>361755</v>
      </c>
    </row>
    <row r="207" spans="1:5" x14ac:dyDescent="0.2">
      <c r="A207" s="404">
        <f t="shared" si="1"/>
        <v>42655</v>
      </c>
      <c r="B207" s="403">
        <v>365429.62</v>
      </c>
    </row>
    <row r="208" spans="1:5" x14ac:dyDescent="0.2">
      <c r="A208" s="404">
        <f t="shared" si="1"/>
        <v>42656</v>
      </c>
      <c r="B208" s="403">
        <v>375400.83</v>
      </c>
    </row>
    <row r="209" spans="1:2" x14ac:dyDescent="0.2">
      <c r="A209" s="404">
        <f t="shared" si="1"/>
        <v>42657</v>
      </c>
      <c r="B209" s="403">
        <v>375484.03</v>
      </c>
    </row>
    <row r="210" spans="1:2" x14ac:dyDescent="0.2">
      <c r="A210" s="404">
        <f t="shared" si="1"/>
        <v>42660</v>
      </c>
      <c r="B210" s="403">
        <v>339702.96</v>
      </c>
    </row>
    <row r="211" spans="1:2" x14ac:dyDescent="0.2">
      <c r="A211" s="404">
        <f t="shared" si="1"/>
        <v>42661</v>
      </c>
      <c r="B211" s="403">
        <v>343741.39</v>
      </c>
    </row>
    <row r="212" spans="1:2" x14ac:dyDescent="0.2">
      <c r="A212" s="404">
        <f t="shared" si="1"/>
        <v>42662</v>
      </c>
      <c r="B212" s="403">
        <v>343741</v>
      </c>
    </row>
    <row r="213" spans="1:2" x14ac:dyDescent="0.2">
      <c r="A213" s="404">
        <f t="shared" si="1"/>
        <v>42663</v>
      </c>
      <c r="B213" s="403">
        <v>332267.31</v>
      </c>
    </row>
    <row r="214" spans="1:2" x14ac:dyDescent="0.2">
      <c r="A214" s="404">
        <f t="shared" si="1"/>
        <v>42664</v>
      </c>
      <c r="B214" s="403">
        <v>332482.06</v>
      </c>
    </row>
    <row r="215" spans="1:2" x14ac:dyDescent="0.2">
      <c r="A215" s="404">
        <f t="shared" si="1"/>
        <v>42667</v>
      </c>
      <c r="B215" s="403">
        <v>332482</v>
      </c>
    </row>
    <row r="216" spans="1:2" x14ac:dyDescent="0.2">
      <c r="A216" s="404">
        <f t="shared" si="1"/>
        <v>42668</v>
      </c>
      <c r="B216" s="403">
        <v>337085.39</v>
      </c>
    </row>
    <row r="217" spans="1:2" x14ac:dyDescent="0.2">
      <c r="A217" s="404">
        <f t="shared" si="1"/>
        <v>42669</v>
      </c>
      <c r="B217" s="403">
        <v>337085</v>
      </c>
    </row>
    <row r="218" spans="1:2" x14ac:dyDescent="0.2">
      <c r="A218" s="404">
        <f t="shared" si="1"/>
        <v>42670</v>
      </c>
      <c r="B218" s="403">
        <v>333113.26</v>
      </c>
    </row>
    <row r="219" spans="1:2" x14ac:dyDescent="0.2">
      <c r="A219" s="404">
        <f t="shared" si="1"/>
        <v>42671</v>
      </c>
      <c r="B219" s="403">
        <v>360993.03</v>
      </c>
    </row>
    <row r="220" spans="1:2" x14ac:dyDescent="0.2">
      <c r="A220" s="404">
        <f t="shared" si="1"/>
        <v>42674</v>
      </c>
      <c r="B220" s="403">
        <v>350567.25</v>
      </c>
    </row>
    <row r="221" spans="1:2" x14ac:dyDescent="0.2">
      <c r="A221" s="404">
        <f t="shared" si="1"/>
        <v>42675</v>
      </c>
      <c r="B221" s="403">
        <v>350939.21</v>
      </c>
    </row>
    <row r="222" spans="1:2" x14ac:dyDescent="0.2">
      <c r="A222" s="404">
        <f t="shared" si="1"/>
        <v>42676</v>
      </c>
      <c r="B222" s="403">
        <v>350939</v>
      </c>
    </row>
    <row r="223" spans="1:2" x14ac:dyDescent="0.2">
      <c r="A223" s="404">
        <f t="shared" si="1"/>
        <v>42677</v>
      </c>
      <c r="B223" s="403">
        <v>344148.64</v>
      </c>
    </row>
    <row r="224" spans="1:2" x14ac:dyDescent="0.2">
      <c r="A224" s="404">
        <f t="shared" si="1"/>
        <v>42678</v>
      </c>
      <c r="B224" s="403">
        <v>399084.27</v>
      </c>
    </row>
    <row r="225" spans="1:2" x14ac:dyDescent="0.2">
      <c r="A225" s="404">
        <f t="shared" si="1"/>
        <v>42681</v>
      </c>
      <c r="B225" s="403">
        <v>399084</v>
      </c>
    </row>
    <row r="226" spans="1:2" x14ac:dyDescent="0.2">
      <c r="A226" s="404">
        <f t="shared" si="1"/>
        <v>42682</v>
      </c>
      <c r="B226" s="403">
        <v>403667.29</v>
      </c>
    </row>
    <row r="227" spans="1:2" x14ac:dyDescent="0.2">
      <c r="A227" s="404">
        <f t="shared" si="1"/>
        <v>42683</v>
      </c>
      <c r="B227" s="403">
        <v>403667</v>
      </c>
    </row>
    <row r="228" spans="1:2" x14ac:dyDescent="0.2">
      <c r="A228" s="404">
        <f t="shared" si="1"/>
        <v>42684</v>
      </c>
      <c r="B228" s="403">
        <v>383477.25</v>
      </c>
    </row>
    <row r="229" spans="1:2" x14ac:dyDescent="0.2">
      <c r="A229" s="404">
        <f t="shared" si="1"/>
        <v>42685</v>
      </c>
      <c r="B229" s="403">
        <v>383477</v>
      </c>
    </row>
    <row r="230" spans="1:2" x14ac:dyDescent="0.2">
      <c r="A230" s="404">
        <f t="shared" si="1"/>
        <v>42688</v>
      </c>
      <c r="B230" s="403">
        <v>347717.6</v>
      </c>
    </row>
    <row r="231" spans="1:2" x14ac:dyDescent="0.2">
      <c r="A231" s="404">
        <f t="shared" si="1"/>
        <v>42689</v>
      </c>
      <c r="B231" s="403">
        <v>347836.75</v>
      </c>
    </row>
    <row r="232" spans="1:2" x14ac:dyDescent="0.2">
      <c r="A232" s="404">
        <f t="shared" si="1"/>
        <v>42690</v>
      </c>
      <c r="B232" s="403">
        <v>347836.75</v>
      </c>
    </row>
    <row r="233" spans="1:2" x14ac:dyDescent="0.2">
      <c r="A233" s="404">
        <f t="shared" si="1"/>
        <v>42691</v>
      </c>
      <c r="B233" s="403">
        <v>350935.56</v>
      </c>
    </row>
    <row r="234" spans="1:2" x14ac:dyDescent="0.2">
      <c r="A234" s="404">
        <f t="shared" si="1"/>
        <v>42692</v>
      </c>
      <c r="B234" s="403">
        <v>350936</v>
      </c>
    </row>
    <row r="235" spans="1:2" x14ac:dyDescent="0.2">
      <c r="A235" s="404">
        <f t="shared" si="1"/>
        <v>42695</v>
      </c>
      <c r="B235" s="403">
        <v>350936</v>
      </c>
    </row>
    <row r="236" spans="1:2" x14ac:dyDescent="0.2">
      <c r="A236" s="404">
        <f t="shared" si="1"/>
        <v>42696</v>
      </c>
      <c r="B236" s="403">
        <v>351588.06</v>
      </c>
    </row>
    <row r="237" spans="1:2" x14ac:dyDescent="0.2">
      <c r="A237" s="404">
        <f t="shared" si="1"/>
        <v>42697</v>
      </c>
      <c r="B237" s="403">
        <v>349477.96</v>
      </c>
    </row>
    <row r="238" spans="1:2" x14ac:dyDescent="0.2">
      <c r="A238" s="404">
        <f t="shared" si="1"/>
        <v>42698</v>
      </c>
      <c r="B238" s="403">
        <v>349478</v>
      </c>
    </row>
    <row r="239" spans="1:2" x14ac:dyDescent="0.2">
      <c r="A239" s="404">
        <f t="shared" si="1"/>
        <v>42699</v>
      </c>
      <c r="B239" s="403">
        <v>368170.66</v>
      </c>
    </row>
    <row r="240" spans="1:2" x14ac:dyDescent="0.2">
      <c r="A240" s="404">
        <f t="shared" si="1"/>
        <v>42702</v>
      </c>
      <c r="B240" s="403">
        <v>368170.66</v>
      </c>
    </row>
    <row r="241" spans="1:2" x14ac:dyDescent="0.2">
      <c r="A241" s="404">
        <f t="shared" si="1"/>
        <v>42703</v>
      </c>
      <c r="B241" s="403">
        <v>328902.64</v>
      </c>
    </row>
    <row r="242" spans="1:2" x14ac:dyDescent="0.2">
      <c r="A242" s="404">
        <f t="shared" si="1"/>
        <v>42704</v>
      </c>
      <c r="B242" s="403">
        <v>338455.85</v>
      </c>
    </row>
    <row r="243" spans="1:2" x14ac:dyDescent="0.2">
      <c r="A243" s="404">
        <f t="shared" si="1"/>
        <v>42705</v>
      </c>
      <c r="B243" s="403">
        <v>336997.18</v>
      </c>
    </row>
    <row r="244" spans="1:2" x14ac:dyDescent="0.2">
      <c r="A244" s="404">
        <f t="shared" si="1"/>
        <v>42706</v>
      </c>
      <c r="B244" s="403">
        <v>342825.59</v>
      </c>
    </row>
    <row r="245" spans="1:2" x14ac:dyDescent="0.2">
      <c r="A245" s="404">
        <f t="shared" si="1"/>
        <v>42709</v>
      </c>
      <c r="B245" s="403">
        <v>342826</v>
      </c>
    </row>
    <row r="246" spans="1:2" x14ac:dyDescent="0.2">
      <c r="A246" s="404">
        <f t="shared" si="1"/>
        <v>42710</v>
      </c>
      <c r="B246" s="403">
        <v>344457.81</v>
      </c>
    </row>
    <row r="247" spans="1:2" x14ac:dyDescent="0.2">
      <c r="A247" s="404">
        <f t="shared" si="1"/>
        <v>42711</v>
      </c>
      <c r="B247" s="403">
        <v>366772.64</v>
      </c>
    </row>
    <row r="248" spans="1:2" x14ac:dyDescent="0.2">
      <c r="A248" s="404">
        <f t="shared" si="1"/>
        <v>42712</v>
      </c>
      <c r="B248" s="403">
        <v>366772.6</v>
      </c>
    </row>
    <row r="249" spans="1:2" x14ac:dyDescent="0.2">
      <c r="A249" s="404">
        <f t="shared" si="1"/>
        <v>42713</v>
      </c>
      <c r="B249" s="403">
        <v>366773</v>
      </c>
    </row>
    <row r="250" spans="1:2" x14ac:dyDescent="0.2">
      <c r="A250" s="404">
        <f t="shared" si="1"/>
        <v>42716</v>
      </c>
      <c r="B250" s="403">
        <v>366773</v>
      </c>
    </row>
    <row r="251" spans="1:2" x14ac:dyDescent="0.2">
      <c r="A251" s="404">
        <f t="shared" si="1"/>
        <v>42717</v>
      </c>
      <c r="B251" s="403">
        <v>346535.44</v>
      </c>
    </row>
    <row r="252" spans="1:2" x14ac:dyDescent="0.2">
      <c r="A252" s="404">
        <f t="shared" si="1"/>
        <v>42718</v>
      </c>
      <c r="B252" s="403">
        <v>346535</v>
      </c>
    </row>
    <row r="253" spans="1:2" x14ac:dyDescent="0.2">
      <c r="A253" s="404">
        <f t="shared" si="1"/>
        <v>42719</v>
      </c>
      <c r="B253" s="403">
        <v>335522.11</v>
      </c>
    </row>
    <row r="254" spans="1:2" x14ac:dyDescent="0.2">
      <c r="A254" s="404">
        <f t="shared" si="1"/>
        <v>42720</v>
      </c>
      <c r="B254" s="403">
        <v>335675.99</v>
      </c>
    </row>
    <row r="255" spans="1:2" x14ac:dyDescent="0.2">
      <c r="A255" s="404">
        <f t="shared" si="1"/>
        <v>42723</v>
      </c>
      <c r="B255" s="403">
        <v>357268.43</v>
      </c>
    </row>
    <row r="256" spans="1:2" x14ac:dyDescent="0.2">
      <c r="A256" s="404">
        <f t="shared" si="1"/>
        <v>42724</v>
      </c>
      <c r="B256" s="403">
        <v>357268</v>
      </c>
    </row>
    <row r="257" spans="1:2" x14ac:dyDescent="0.2">
      <c r="A257" s="404">
        <f t="shared" si="1"/>
        <v>42725</v>
      </c>
      <c r="B257" s="403">
        <v>366192.91</v>
      </c>
    </row>
    <row r="258" spans="1:2" x14ac:dyDescent="0.2">
      <c r="A258" s="404">
        <f t="shared" si="1"/>
        <v>42726</v>
      </c>
      <c r="B258" s="403">
        <v>377001.67</v>
      </c>
    </row>
    <row r="259" spans="1:2" x14ac:dyDescent="0.2">
      <c r="A259" s="404">
        <f t="shared" si="1"/>
        <v>42727</v>
      </c>
      <c r="B259" s="403">
        <v>377329.67</v>
      </c>
    </row>
    <row r="260" spans="1:2" x14ac:dyDescent="0.2">
      <c r="A260" s="404">
        <f t="shared" ref="A260:A264" si="2">A255+7</f>
        <v>42730</v>
      </c>
      <c r="B260" s="403">
        <v>377330</v>
      </c>
    </row>
    <row r="261" spans="1:2" x14ac:dyDescent="0.2">
      <c r="A261" s="404">
        <f t="shared" si="2"/>
        <v>42731</v>
      </c>
      <c r="B261" s="403">
        <v>339782.53</v>
      </c>
    </row>
    <row r="262" spans="1:2" x14ac:dyDescent="0.2">
      <c r="A262" s="404">
        <f t="shared" si="2"/>
        <v>42732</v>
      </c>
      <c r="B262" s="403">
        <v>339783</v>
      </c>
    </row>
    <row r="263" spans="1:2" x14ac:dyDescent="0.2">
      <c r="A263" s="404">
        <f t="shared" si="2"/>
        <v>42733</v>
      </c>
      <c r="B263" s="403">
        <v>337987.77</v>
      </c>
    </row>
    <row r="264" spans="1:2" x14ac:dyDescent="0.2">
      <c r="A264" s="404">
        <f t="shared" si="2"/>
        <v>42734</v>
      </c>
      <c r="B264" s="403">
        <v>354814.33</v>
      </c>
    </row>
    <row r="265" spans="1:2" x14ac:dyDescent="0.2">
      <c r="A265" s="417">
        <v>42737</v>
      </c>
      <c r="B265" s="418">
        <v>354814</v>
      </c>
    </row>
    <row r="266" spans="1:2" x14ac:dyDescent="0.2">
      <c r="A266" s="417">
        <v>42738</v>
      </c>
      <c r="B266" s="418">
        <v>361866.86</v>
      </c>
    </row>
    <row r="267" spans="1:2" x14ac:dyDescent="0.2">
      <c r="A267" s="417">
        <v>42739</v>
      </c>
      <c r="B267" s="418">
        <v>363519.32</v>
      </c>
    </row>
    <row r="268" spans="1:2" x14ac:dyDescent="0.2">
      <c r="A268" s="417">
        <v>42740</v>
      </c>
      <c r="B268" s="418">
        <v>361866.66</v>
      </c>
    </row>
    <row r="269" spans="1:2" x14ac:dyDescent="0.2">
      <c r="A269" s="417">
        <v>42741</v>
      </c>
      <c r="B269" s="418">
        <v>363519</v>
      </c>
    </row>
    <row r="270" spans="1:2" x14ac:dyDescent="0.2">
      <c r="A270" s="417">
        <v>42744</v>
      </c>
      <c r="B270" s="418">
        <v>363543.47</v>
      </c>
    </row>
    <row r="271" spans="1:2" x14ac:dyDescent="0.2">
      <c r="A271" s="417">
        <v>42745</v>
      </c>
      <c r="B271" s="418">
        <v>328707.83</v>
      </c>
    </row>
    <row r="272" spans="1:2" x14ac:dyDescent="0.2">
      <c r="A272" s="417">
        <v>42746</v>
      </c>
      <c r="B272" s="418">
        <v>328708</v>
      </c>
    </row>
    <row r="273" spans="1:2" x14ac:dyDescent="0.2">
      <c r="A273" s="417">
        <v>42747</v>
      </c>
      <c r="B273" s="418">
        <v>321086.01</v>
      </c>
    </row>
    <row r="274" spans="1:2" x14ac:dyDescent="0.2">
      <c r="A274" s="417">
        <v>42748</v>
      </c>
      <c r="B274" s="418">
        <v>334097.28000000003</v>
      </c>
    </row>
    <row r="275" spans="1:2" x14ac:dyDescent="0.2">
      <c r="A275" s="417">
        <v>42751</v>
      </c>
      <c r="B275" s="418">
        <v>334097</v>
      </c>
    </row>
    <row r="276" spans="1:2" x14ac:dyDescent="0.2">
      <c r="A276" s="417">
        <v>42752</v>
      </c>
      <c r="B276" s="418">
        <v>268850.96000000002</v>
      </c>
    </row>
    <row r="277" spans="1:2" x14ac:dyDescent="0.2">
      <c r="A277" s="417">
        <v>42753</v>
      </c>
      <c r="B277" s="418">
        <v>268851</v>
      </c>
    </row>
    <row r="278" spans="1:2" x14ac:dyDescent="0.2">
      <c r="A278" s="417">
        <v>42754</v>
      </c>
      <c r="B278" s="418">
        <v>269075.21000000002</v>
      </c>
    </row>
    <row r="279" spans="1:2" x14ac:dyDescent="0.2">
      <c r="A279" s="417">
        <v>42755</v>
      </c>
      <c r="B279" s="418">
        <v>270983.21000000002</v>
      </c>
    </row>
    <row r="280" spans="1:2" x14ac:dyDescent="0.2">
      <c r="A280" s="417">
        <v>42758</v>
      </c>
      <c r="B280" s="418">
        <v>270983</v>
      </c>
    </row>
    <row r="281" spans="1:2" x14ac:dyDescent="0.2">
      <c r="A281" s="417">
        <v>42759</v>
      </c>
      <c r="B281" s="418">
        <v>270723.98</v>
      </c>
    </row>
    <row r="282" spans="1:2" x14ac:dyDescent="0.2">
      <c r="A282" s="417">
        <v>42760</v>
      </c>
      <c r="B282" s="418">
        <v>281353.09999999998</v>
      </c>
    </row>
    <row r="283" spans="1:2" x14ac:dyDescent="0.2">
      <c r="A283" s="417">
        <v>42761</v>
      </c>
      <c r="B283" s="418">
        <v>274313.84999999998</v>
      </c>
    </row>
    <row r="284" spans="1:2" x14ac:dyDescent="0.2">
      <c r="A284" s="417">
        <v>42762</v>
      </c>
      <c r="B284" s="418">
        <v>296447.59999999998</v>
      </c>
    </row>
    <row r="285" spans="1:2" x14ac:dyDescent="0.2">
      <c r="A285" s="417">
        <v>42765</v>
      </c>
      <c r="B285" s="418">
        <v>295107.96000000002</v>
      </c>
    </row>
    <row r="286" spans="1:2" x14ac:dyDescent="0.2">
      <c r="A286" s="417">
        <v>42766</v>
      </c>
      <c r="B286" s="418">
        <v>314030.53000000003</v>
      </c>
    </row>
    <row r="287" spans="1:2" x14ac:dyDescent="0.2">
      <c r="A287" s="417">
        <v>42767</v>
      </c>
      <c r="B287" s="418">
        <v>314031</v>
      </c>
    </row>
    <row r="288" spans="1:2" x14ac:dyDescent="0.2">
      <c r="A288" s="417">
        <v>42768</v>
      </c>
      <c r="B288" s="418">
        <v>312808.53999999998</v>
      </c>
    </row>
    <row r="289" spans="1:2" x14ac:dyDescent="0.2">
      <c r="A289" s="417">
        <v>42769</v>
      </c>
      <c r="B289" s="418">
        <v>316461.53999999998</v>
      </c>
    </row>
    <row r="290" spans="1:2" x14ac:dyDescent="0.2">
      <c r="A290" s="417">
        <v>42772</v>
      </c>
      <c r="B290" s="418">
        <v>316462</v>
      </c>
    </row>
    <row r="291" spans="1:2" x14ac:dyDescent="0.2">
      <c r="A291" s="417">
        <v>42773</v>
      </c>
      <c r="B291" s="418">
        <v>289560.21999999997</v>
      </c>
    </row>
    <row r="292" spans="1:2" x14ac:dyDescent="0.2">
      <c r="A292" s="417">
        <v>42774</v>
      </c>
      <c r="B292" s="418">
        <v>297310.21999999997</v>
      </c>
    </row>
    <row r="293" spans="1:2" x14ac:dyDescent="0.2">
      <c r="A293" s="417">
        <v>42775</v>
      </c>
      <c r="B293" s="418">
        <v>352433.91</v>
      </c>
    </row>
    <row r="294" spans="1:2" x14ac:dyDescent="0.2">
      <c r="A294" s="417">
        <v>42776</v>
      </c>
      <c r="B294" s="418">
        <v>352434</v>
      </c>
    </row>
    <row r="295" spans="1:2" x14ac:dyDescent="0.2">
      <c r="A295" s="417">
        <v>42779</v>
      </c>
      <c r="B295" s="418">
        <v>352434</v>
      </c>
    </row>
    <row r="296" spans="1:2" x14ac:dyDescent="0.2">
      <c r="A296" s="417">
        <v>42780</v>
      </c>
      <c r="B296" s="418">
        <v>352434</v>
      </c>
    </row>
    <row r="297" spans="1:2" x14ac:dyDescent="0.2">
      <c r="A297" s="417">
        <v>42781</v>
      </c>
      <c r="B297" s="418">
        <v>352542.46</v>
      </c>
    </row>
    <row r="298" spans="1:2" x14ac:dyDescent="0.2">
      <c r="A298" s="417">
        <v>42782</v>
      </c>
      <c r="B298" s="418">
        <v>383231.99</v>
      </c>
    </row>
    <row r="299" spans="1:2" x14ac:dyDescent="0.2">
      <c r="A299" s="417">
        <v>42783</v>
      </c>
      <c r="B299" s="444">
        <v>404679.36</v>
      </c>
    </row>
    <row r="300" spans="1:2" x14ac:dyDescent="0.2">
      <c r="A300" s="417">
        <v>42785</v>
      </c>
      <c r="B300" s="418">
        <v>404679</v>
      </c>
    </row>
    <row r="301" spans="1:2" x14ac:dyDescent="0.2">
      <c r="A301" s="417">
        <v>42787</v>
      </c>
      <c r="B301" s="418">
        <v>368703.72</v>
      </c>
    </row>
    <row r="302" spans="1:2" x14ac:dyDescent="0.2">
      <c r="A302" s="417">
        <v>42788</v>
      </c>
      <c r="B302" s="418">
        <v>368203.72</v>
      </c>
    </row>
    <row r="303" spans="1:2" x14ac:dyDescent="0.2">
      <c r="A303" s="417">
        <v>42789</v>
      </c>
      <c r="B303" s="418">
        <v>349211.92</v>
      </c>
    </row>
    <row r="304" spans="1:2" x14ac:dyDescent="0.2">
      <c r="A304" s="417">
        <v>42790</v>
      </c>
      <c r="B304" s="418">
        <v>384176.45</v>
      </c>
    </row>
    <row r="305" spans="1:2" x14ac:dyDescent="0.2">
      <c r="A305" s="417">
        <v>42793</v>
      </c>
      <c r="B305" s="418">
        <v>384176</v>
      </c>
    </row>
    <row r="306" spans="1:2" x14ac:dyDescent="0.2">
      <c r="A306" s="417">
        <v>42794</v>
      </c>
      <c r="B306" s="418">
        <v>384176</v>
      </c>
    </row>
    <row r="307" spans="1:2" x14ac:dyDescent="0.2">
      <c r="A307" s="417">
        <v>42795</v>
      </c>
      <c r="B307" s="418">
        <v>384176</v>
      </c>
    </row>
    <row r="308" spans="1:2" x14ac:dyDescent="0.2">
      <c r="A308" s="417">
        <v>42796</v>
      </c>
      <c r="B308" s="418">
        <v>395396.43</v>
      </c>
    </row>
    <row r="309" spans="1:2" x14ac:dyDescent="0.2">
      <c r="A309" s="417">
        <v>42797</v>
      </c>
      <c r="B309" s="418">
        <v>395396</v>
      </c>
    </row>
    <row r="310" spans="1:2" x14ac:dyDescent="0.2">
      <c r="A310" s="417">
        <v>42800</v>
      </c>
      <c r="B310" s="418">
        <v>395396</v>
      </c>
    </row>
    <row r="311" spans="1:2" x14ac:dyDescent="0.2">
      <c r="A311" s="417">
        <v>42801</v>
      </c>
      <c r="B311" s="418">
        <v>361856.47</v>
      </c>
    </row>
    <row r="312" spans="1:2" x14ac:dyDescent="0.2">
      <c r="A312" s="417">
        <v>42802</v>
      </c>
      <c r="B312" s="418">
        <v>361856</v>
      </c>
    </row>
    <row r="313" spans="1:2" x14ac:dyDescent="0.2">
      <c r="A313" s="417">
        <v>42803</v>
      </c>
      <c r="B313" s="418">
        <v>349877.16</v>
      </c>
    </row>
    <row r="314" spans="1:2" x14ac:dyDescent="0.2">
      <c r="A314" s="417">
        <v>42804</v>
      </c>
      <c r="B314" s="418">
        <v>359297.81</v>
      </c>
    </row>
    <row r="315" spans="1:2" x14ac:dyDescent="0.2">
      <c r="A315" s="417">
        <v>42807</v>
      </c>
      <c r="B315" s="418">
        <v>361678.91</v>
      </c>
    </row>
    <row r="316" spans="1:2" x14ac:dyDescent="0.2">
      <c r="A316" s="417">
        <v>42808</v>
      </c>
      <c r="B316" s="418">
        <v>361679</v>
      </c>
    </row>
    <row r="317" spans="1:2" x14ac:dyDescent="0.2">
      <c r="A317" s="417">
        <v>42809</v>
      </c>
      <c r="B317" s="418">
        <v>370843.37</v>
      </c>
    </row>
    <row r="318" spans="1:2" x14ac:dyDescent="0.2">
      <c r="A318" s="417">
        <v>42810</v>
      </c>
      <c r="B318" s="418">
        <v>377566.07</v>
      </c>
    </row>
    <row r="319" spans="1:2" x14ac:dyDescent="0.2">
      <c r="A319" s="417">
        <v>42811</v>
      </c>
      <c r="B319" s="418">
        <v>370373.97</v>
      </c>
    </row>
    <row r="320" spans="1:2" x14ac:dyDescent="0.2">
      <c r="A320" s="417">
        <v>42814</v>
      </c>
      <c r="B320" s="418">
        <v>338340.3</v>
      </c>
    </row>
    <row r="321" spans="1:2" x14ac:dyDescent="0.2">
      <c r="A321" s="417">
        <v>42815</v>
      </c>
      <c r="B321" s="418">
        <v>338340</v>
      </c>
    </row>
    <row r="322" spans="1:2" x14ac:dyDescent="0.2">
      <c r="A322" s="417">
        <v>42816</v>
      </c>
      <c r="B322" s="418">
        <v>338340</v>
      </c>
    </row>
    <row r="323" spans="1:2" x14ac:dyDescent="0.2">
      <c r="A323" s="417">
        <v>42817</v>
      </c>
      <c r="B323" s="418">
        <f>25944.71+322493.66</f>
        <v>348438.37</v>
      </c>
    </row>
    <row r="324" spans="1:2" x14ac:dyDescent="0.2">
      <c r="A324" s="417">
        <v>42818</v>
      </c>
      <c r="B324" s="418">
        <v>348438</v>
      </c>
    </row>
    <row r="325" spans="1:2" x14ac:dyDescent="0.2">
      <c r="A325" s="417">
        <v>42821</v>
      </c>
      <c r="B325" s="418">
        <v>348360.51</v>
      </c>
    </row>
    <row r="326" spans="1:2" x14ac:dyDescent="0.2">
      <c r="A326" s="417">
        <v>42822</v>
      </c>
      <c r="B326" s="403">
        <v>348440.48</v>
      </c>
    </row>
    <row r="327" spans="1:2" x14ac:dyDescent="0.2">
      <c r="A327" s="417">
        <v>42823</v>
      </c>
      <c r="B327" s="403">
        <v>348440</v>
      </c>
    </row>
    <row r="328" spans="1:2" x14ac:dyDescent="0.2">
      <c r="A328" s="417">
        <v>42824</v>
      </c>
      <c r="B328" s="403">
        <v>350305.92</v>
      </c>
    </row>
    <row r="329" spans="1:2" x14ac:dyDescent="0.2">
      <c r="A329" s="417">
        <v>42825</v>
      </c>
      <c r="B329" s="403">
        <v>350306</v>
      </c>
    </row>
    <row r="330" spans="1:2" x14ac:dyDescent="0.2">
      <c r="A330" s="417">
        <v>42828</v>
      </c>
      <c r="B330" s="403">
        <v>350306</v>
      </c>
    </row>
    <row r="331" spans="1:2" x14ac:dyDescent="0.2">
      <c r="A331" s="417">
        <v>42829</v>
      </c>
      <c r="B331" s="403">
        <v>320389.65000000002</v>
      </c>
    </row>
    <row r="332" spans="1:2" x14ac:dyDescent="0.2">
      <c r="A332" s="417">
        <v>42830</v>
      </c>
      <c r="B332" s="403">
        <v>320390</v>
      </c>
    </row>
    <row r="333" spans="1:2" x14ac:dyDescent="0.2">
      <c r="A333" s="417">
        <v>42831</v>
      </c>
      <c r="B333" s="403">
        <v>313344</v>
      </c>
    </row>
    <row r="334" spans="1:2" x14ac:dyDescent="0.2">
      <c r="A334" s="417">
        <v>42832</v>
      </c>
      <c r="B334" s="403">
        <v>313344</v>
      </c>
    </row>
    <row r="335" spans="1:2" x14ac:dyDescent="0.2">
      <c r="A335" s="417">
        <v>42835</v>
      </c>
      <c r="B335" s="403">
        <v>306132.78000000003</v>
      </c>
    </row>
    <row r="336" spans="1:2" x14ac:dyDescent="0.2">
      <c r="A336" s="417">
        <v>42836</v>
      </c>
      <c r="B336" s="403">
        <v>286047.34999999998</v>
      </c>
    </row>
    <row r="337" spans="1:2" x14ac:dyDescent="0.2">
      <c r="A337" s="417">
        <v>42837</v>
      </c>
      <c r="B337" s="403">
        <v>286047</v>
      </c>
    </row>
    <row r="338" spans="1:2" x14ac:dyDescent="0.2">
      <c r="A338" s="417">
        <v>42838</v>
      </c>
      <c r="B338" s="403">
        <v>272128.99</v>
      </c>
    </row>
    <row r="339" spans="1:2" x14ac:dyDescent="0.2">
      <c r="A339" s="417">
        <v>42839</v>
      </c>
      <c r="B339" s="403">
        <v>272229.71000000002</v>
      </c>
    </row>
    <row r="340" spans="1:2" x14ac:dyDescent="0.2">
      <c r="A340" s="417">
        <v>42842</v>
      </c>
      <c r="B340" s="403">
        <v>236683.56</v>
      </c>
    </row>
    <row r="341" spans="1:2" x14ac:dyDescent="0.2">
      <c r="A341" s="417">
        <v>42843</v>
      </c>
      <c r="B341" s="403">
        <v>244114.64</v>
      </c>
    </row>
    <row r="342" spans="1:2" x14ac:dyDescent="0.2">
      <c r="A342" s="417">
        <v>42844</v>
      </c>
      <c r="B342" s="403">
        <v>244115</v>
      </c>
    </row>
    <row r="343" spans="1:2" x14ac:dyDescent="0.2">
      <c r="A343" s="417">
        <v>42845</v>
      </c>
      <c r="B343" s="403">
        <v>241798.76</v>
      </c>
    </row>
    <row r="344" spans="1:2" x14ac:dyDescent="0.2">
      <c r="A344" s="417">
        <v>42846</v>
      </c>
      <c r="B344" s="403">
        <v>241799</v>
      </c>
    </row>
    <row r="345" spans="1:2" x14ac:dyDescent="0.2">
      <c r="A345" s="417">
        <v>42849</v>
      </c>
      <c r="B345" s="403">
        <v>241973.76000000001</v>
      </c>
    </row>
    <row r="346" spans="1:2" x14ac:dyDescent="0.2">
      <c r="A346" s="417">
        <v>42850</v>
      </c>
      <c r="B346" s="403">
        <v>243364.2</v>
      </c>
    </row>
    <row r="347" spans="1:2" x14ac:dyDescent="0.2">
      <c r="A347" s="417">
        <v>42851</v>
      </c>
      <c r="B347" s="403">
        <v>243364</v>
      </c>
    </row>
    <row r="348" spans="1:2" x14ac:dyDescent="0.2">
      <c r="A348" s="417">
        <v>42852</v>
      </c>
      <c r="B348" s="403">
        <v>259265.45</v>
      </c>
    </row>
    <row r="349" spans="1:2" x14ac:dyDescent="0.2">
      <c r="A349" s="417">
        <v>42853</v>
      </c>
      <c r="B349" s="403">
        <v>290731.18</v>
      </c>
    </row>
    <row r="350" spans="1:2" x14ac:dyDescent="0.2">
      <c r="A350" s="417">
        <v>42856</v>
      </c>
      <c r="B350" s="403">
        <v>251486.17</v>
      </c>
    </row>
    <row r="351" spans="1:2" x14ac:dyDescent="0.2">
      <c r="A351" s="417">
        <v>42857</v>
      </c>
      <c r="B351" s="403">
        <v>253188.17</v>
      </c>
    </row>
    <row r="352" spans="1:2" x14ac:dyDescent="0.2">
      <c r="A352" s="417">
        <v>42858</v>
      </c>
      <c r="B352" s="403">
        <v>253188</v>
      </c>
    </row>
    <row r="353" spans="1:2" x14ac:dyDescent="0.2">
      <c r="A353" s="417">
        <v>42859</v>
      </c>
      <c r="B353" s="403">
        <v>232739.33</v>
      </c>
    </row>
    <row r="354" spans="1:2" x14ac:dyDescent="0.2">
      <c r="A354" s="417">
        <v>42860</v>
      </c>
      <c r="B354" s="403">
        <v>234049.33</v>
      </c>
    </row>
    <row r="355" spans="1:2" x14ac:dyDescent="0.2">
      <c r="A355" s="417">
        <v>42863</v>
      </c>
      <c r="B355" s="403">
        <v>314317.77</v>
      </c>
    </row>
    <row r="356" spans="1:2" x14ac:dyDescent="0.2">
      <c r="A356" s="417">
        <v>42864</v>
      </c>
      <c r="B356" s="403">
        <v>314318</v>
      </c>
    </row>
    <row r="357" spans="1:2" x14ac:dyDescent="0.2">
      <c r="A357" s="417">
        <v>42865</v>
      </c>
      <c r="B357" s="403">
        <v>314318</v>
      </c>
    </row>
    <row r="358" spans="1:2" x14ac:dyDescent="0.2">
      <c r="A358" s="417">
        <v>42866</v>
      </c>
      <c r="B358" s="403">
        <v>313971.28000000003</v>
      </c>
    </row>
    <row r="359" spans="1:2" x14ac:dyDescent="0.2">
      <c r="A359" s="417">
        <v>42867</v>
      </c>
      <c r="B359" s="403">
        <v>313971</v>
      </c>
    </row>
    <row r="360" spans="1:2" x14ac:dyDescent="0.2">
      <c r="A360" s="417">
        <v>42870</v>
      </c>
      <c r="B360" s="403">
        <v>271063.69</v>
      </c>
    </row>
    <row r="361" spans="1:2" x14ac:dyDescent="0.2">
      <c r="A361" s="417">
        <v>42871</v>
      </c>
      <c r="B361" s="403">
        <v>271064</v>
      </c>
    </row>
    <row r="362" spans="1:2" x14ac:dyDescent="0.2">
      <c r="A362" s="417">
        <v>42872</v>
      </c>
      <c r="B362" s="403">
        <v>271064</v>
      </c>
    </row>
    <row r="363" spans="1:2" x14ac:dyDescent="0.2">
      <c r="A363" s="417">
        <v>42873</v>
      </c>
      <c r="B363" s="403">
        <v>261497.73</v>
      </c>
    </row>
    <row r="364" spans="1:2" x14ac:dyDescent="0.2">
      <c r="A364" s="417">
        <v>42874</v>
      </c>
      <c r="B364" s="403">
        <v>311507.92</v>
      </c>
    </row>
    <row r="365" spans="1:2" x14ac:dyDescent="0.2">
      <c r="A365" s="417">
        <v>42877</v>
      </c>
      <c r="B365" s="403">
        <v>290080.52</v>
      </c>
    </row>
    <row r="366" spans="1:2" x14ac:dyDescent="0.2">
      <c r="A366" s="417">
        <v>42878</v>
      </c>
      <c r="B366" s="403">
        <v>290081</v>
      </c>
    </row>
    <row r="367" spans="1:2" x14ac:dyDescent="0.2">
      <c r="A367" s="417">
        <v>42879</v>
      </c>
      <c r="B367" s="403">
        <v>327080.46000000002</v>
      </c>
    </row>
    <row r="368" spans="1:2" x14ac:dyDescent="0.2">
      <c r="A368" s="417">
        <v>42880</v>
      </c>
      <c r="B368" s="403">
        <v>327080</v>
      </c>
    </row>
    <row r="369" spans="1:2" x14ac:dyDescent="0.2">
      <c r="A369" s="417">
        <v>42881</v>
      </c>
      <c r="B369" s="403">
        <v>336844.12</v>
      </c>
    </row>
    <row r="370" spans="1:2" x14ac:dyDescent="0.2">
      <c r="A370" s="417">
        <v>42884</v>
      </c>
      <c r="B370" s="403">
        <v>336844</v>
      </c>
    </row>
    <row r="371" spans="1:2" x14ac:dyDescent="0.2">
      <c r="A371" s="417">
        <v>42885</v>
      </c>
      <c r="B371" s="403">
        <v>300553.48</v>
      </c>
    </row>
    <row r="372" spans="1:2" x14ac:dyDescent="0.2">
      <c r="A372" s="417">
        <v>42886</v>
      </c>
      <c r="B372" s="403">
        <v>296887.5</v>
      </c>
    </row>
    <row r="373" spans="1:2" x14ac:dyDescent="0.2">
      <c r="A373" s="417">
        <v>42887</v>
      </c>
      <c r="B373" s="403">
        <v>297355.68</v>
      </c>
    </row>
    <row r="374" spans="1:2" x14ac:dyDescent="0.2">
      <c r="A374" s="417">
        <v>42888</v>
      </c>
      <c r="B374" s="403">
        <v>298760.68</v>
      </c>
    </row>
    <row r="375" spans="1:2" x14ac:dyDescent="0.2">
      <c r="A375" s="417">
        <v>42891</v>
      </c>
      <c r="B375" s="403">
        <v>279006.82</v>
      </c>
    </row>
    <row r="376" spans="1:2" x14ac:dyDescent="0.2">
      <c r="A376" s="417">
        <v>42892</v>
      </c>
      <c r="B376" s="403">
        <v>279007</v>
      </c>
    </row>
    <row r="377" spans="1:2" x14ac:dyDescent="0.2">
      <c r="A377" s="417">
        <v>42893</v>
      </c>
      <c r="B377" s="403">
        <v>279007</v>
      </c>
    </row>
    <row r="378" spans="1:2" x14ac:dyDescent="0.2">
      <c r="A378" s="417">
        <v>42894</v>
      </c>
      <c r="B378" s="403">
        <v>279112.07</v>
      </c>
    </row>
    <row r="379" spans="1:2" x14ac:dyDescent="0.2">
      <c r="A379" s="417">
        <v>42895</v>
      </c>
      <c r="B379" s="403">
        <v>279112</v>
      </c>
    </row>
    <row r="380" spans="1:2" x14ac:dyDescent="0.2">
      <c r="A380" s="417">
        <v>42898</v>
      </c>
      <c r="B380" s="403">
        <v>244072.02</v>
      </c>
    </row>
    <row r="381" spans="1:2" x14ac:dyDescent="0.2">
      <c r="A381" s="417">
        <v>42899</v>
      </c>
      <c r="B381" s="403">
        <v>249325.41</v>
      </c>
    </row>
    <row r="382" spans="1:2" x14ac:dyDescent="0.2">
      <c r="A382" s="417">
        <v>42900</v>
      </c>
      <c r="B382" s="403">
        <v>249325</v>
      </c>
    </row>
    <row r="383" spans="1:2" x14ac:dyDescent="0.2">
      <c r="A383" s="417">
        <v>42901</v>
      </c>
      <c r="B383" s="403">
        <v>252874.48</v>
      </c>
    </row>
    <row r="384" spans="1:2" x14ac:dyDescent="0.2">
      <c r="A384" s="417">
        <v>42902</v>
      </c>
      <c r="B384" s="403">
        <v>253128.65</v>
      </c>
    </row>
    <row r="385" spans="1:2" x14ac:dyDescent="0.2">
      <c r="A385" s="417">
        <v>42905</v>
      </c>
      <c r="B385" s="403">
        <v>255098.96</v>
      </c>
    </row>
    <row r="386" spans="1:2" x14ac:dyDescent="0.2">
      <c r="A386" s="417">
        <v>42906</v>
      </c>
      <c r="B386" s="403">
        <v>253521.42</v>
      </c>
    </row>
    <row r="387" spans="1:2" x14ac:dyDescent="0.2">
      <c r="A387" s="417">
        <v>42907</v>
      </c>
      <c r="B387" s="403">
        <v>253521</v>
      </c>
    </row>
    <row r="388" spans="1:2" x14ac:dyDescent="0.2">
      <c r="A388" s="417">
        <v>42908</v>
      </c>
      <c r="B388" s="403">
        <v>235912.36</v>
      </c>
    </row>
    <row r="389" spans="1:2" x14ac:dyDescent="0.2">
      <c r="A389" s="417">
        <v>42909</v>
      </c>
      <c r="B389" s="403">
        <v>235912</v>
      </c>
    </row>
    <row r="390" spans="1:2" x14ac:dyDescent="0.2">
      <c r="A390" s="417">
        <v>42912</v>
      </c>
      <c r="B390" s="445">
        <v>198879.76</v>
      </c>
    </row>
    <row r="391" spans="1:2" x14ac:dyDescent="0.2">
      <c r="A391" s="417">
        <v>42913</v>
      </c>
      <c r="B391" s="403">
        <v>199009.76</v>
      </c>
    </row>
    <row r="392" spans="1:2" x14ac:dyDescent="0.2">
      <c r="A392" s="417">
        <v>42914</v>
      </c>
      <c r="B392" s="403">
        <v>199010</v>
      </c>
    </row>
    <row r="393" spans="1:2" x14ac:dyDescent="0.2">
      <c r="A393" s="417">
        <v>42915</v>
      </c>
      <c r="B393" s="403">
        <v>210354</v>
      </c>
    </row>
    <row r="394" spans="1:2" x14ac:dyDescent="0.2">
      <c r="A394" s="417">
        <v>42916</v>
      </c>
      <c r="B394" s="403">
        <v>260779.62</v>
      </c>
    </row>
    <row r="395" spans="1:2" x14ac:dyDescent="0.2">
      <c r="A395" s="417">
        <v>42919</v>
      </c>
      <c r="B395" s="403">
        <v>260780</v>
      </c>
    </row>
    <row r="396" spans="1:2" x14ac:dyDescent="0.2">
      <c r="A396" s="417">
        <v>42920</v>
      </c>
      <c r="B396" s="403">
        <v>260780</v>
      </c>
    </row>
    <row r="397" spans="1:2" x14ac:dyDescent="0.2">
      <c r="A397" s="417">
        <v>42921</v>
      </c>
      <c r="B397" s="403">
        <v>260780</v>
      </c>
    </row>
    <row r="398" spans="1:2" x14ac:dyDescent="0.2">
      <c r="A398" s="417">
        <v>42922</v>
      </c>
      <c r="B398" s="403">
        <v>261774.11</v>
      </c>
    </row>
    <row r="399" spans="1:2" x14ac:dyDescent="0.2">
      <c r="A399" s="417">
        <v>42923</v>
      </c>
      <c r="B399" s="403">
        <v>261774</v>
      </c>
    </row>
    <row r="400" spans="1:2" x14ac:dyDescent="0.2">
      <c r="A400" s="417">
        <v>42926</v>
      </c>
      <c r="B400" s="403">
        <v>226950.89</v>
      </c>
    </row>
    <row r="401" spans="1:2" x14ac:dyDescent="0.2">
      <c r="A401" s="417">
        <v>42927</v>
      </c>
      <c r="B401" s="403">
        <v>226951</v>
      </c>
    </row>
    <row r="402" spans="1:2" x14ac:dyDescent="0.2">
      <c r="A402" s="417">
        <v>42928</v>
      </c>
      <c r="B402" s="403">
        <v>248711.94</v>
      </c>
    </row>
    <row r="403" spans="1:2" x14ac:dyDescent="0.2">
      <c r="A403" s="417">
        <v>42929</v>
      </c>
      <c r="B403" s="403">
        <v>256201.58</v>
      </c>
    </row>
    <row r="404" spans="1:2" x14ac:dyDescent="0.2">
      <c r="A404" s="417">
        <v>42930</v>
      </c>
      <c r="B404" s="403">
        <v>256272.97</v>
      </c>
    </row>
    <row r="405" spans="1:2" x14ac:dyDescent="0.2">
      <c r="A405" s="417">
        <v>42933</v>
      </c>
      <c r="B405" s="403">
        <v>256056.42</v>
      </c>
    </row>
    <row r="406" spans="1:2" x14ac:dyDescent="0.2">
      <c r="A406" s="417">
        <v>42934</v>
      </c>
      <c r="B406" s="403">
        <v>257213.96</v>
      </c>
    </row>
    <row r="407" spans="1:2" x14ac:dyDescent="0.2">
      <c r="A407" s="417">
        <v>42935</v>
      </c>
      <c r="B407" s="403">
        <v>257214</v>
      </c>
    </row>
    <row r="408" spans="1:2" x14ac:dyDescent="0.2">
      <c r="A408" s="417">
        <v>42936</v>
      </c>
      <c r="B408" s="403">
        <v>260075.5</v>
      </c>
    </row>
    <row r="409" spans="1:2" x14ac:dyDescent="0.2">
      <c r="A409" s="417">
        <v>42937</v>
      </c>
      <c r="B409" s="403">
        <v>339825.5</v>
      </c>
    </row>
    <row r="410" spans="1:2" x14ac:dyDescent="0.2">
      <c r="A410" s="417">
        <v>42940</v>
      </c>
      <c r="B410" s="403">
        <v>303182.65000000002</v>
      </c>
    </row>
    <row r="411" spans="1:2" x14ac:dyDescent="0.2">
      <c r="A411" s="417">
        <v>42941</v>
      </c>
      <c r="B411" s="403">
        <v>322340.12</v>
      </c>
    </row>
    <row r="412" spans="1:2" x14ac:dyDescent="0.2">
      <c r="A412" s="417">
        <v>42942</v>
      </c>
      <c r="B412" s="403">
        <v>322340</v>
      </c>
    </row>
    <row r="413" spans="1:2" x14ac:dyDescent="0.2">
      <c r="A413" s="417">
        <v>42943</v>
      </c>
      <c r="B413" s="403">
        <v>308772.78999999998</v>
      </c>
    </row>
    <row r="414" spans="1:2" x14ac:dyDescent="0.2">
      <c r="A414" s="417">
        <v>42944</v>
      </c>
      <c r="B414" s="403">
        <v>317343.40999999997</v>
      </c>
    </row>
    <row r="415" spans="1:2" x14ac:dyDescent="0.2">
      <c r="A415" s="417">
        <v>42947</v>
      </c>
      <c r="B415" s="403">
        <v>317343</v>
      </c>
    </row>
    <row r="416" spans="1:2" x14ac:dyDescent="0.2">
      <c r="A416" s="417">
        <v>42948</v>
      </c>
      <c r="B416" s="403">
        <v>369152.35</v>
      </c>
    </row>
    <row r="417" spans="1:2" x14ac:dyDescent="0.2">
      <c r="A417" s="417">
        <v>42949</v>
      </c>
      <c r="B417" s="403">
        <v>371061.94</v>
      </c>
    </row>
    <row r="418" spans="1:2" x14ac:dyDescent="0.2">
      <c r="A418" s="417">
        <v>42950</v>
      </c>
      <c r="B418" s="403">
        <v>372080.87</v>
      </c>
    </row>
    <row r="419" spans="1:2" x14ac:dyDescent="0.2">
      <c r="A419" s="417">
        <v>42951</v>
      </c>
      <c r="B419" s="403">
        <v>372080.87</v>
      </c>
    </row>
    <row r="420" spans="1:2" x14ac:dyDescent="0.2">
      <c r="A420" s="417">
        <v>42954</v>
      </c>
      <c r="B420" s="403">
        <v>336189.47</v>
      </c>
    </row>
    <row r="421" spans="1:2" x14ac:dyDescent="0.2">
      <c r="A421" s="417">
        <v>42955</v>
      </c>
      <c r="B421" s="403">
        <v>340998.07</v>
      </c>
    </row>
    <row r="422" spans="1:2" x14ac:dyDescent="0.2">
      <c r="A422" s="417">
        <v>42956</v>
      </c>
      <c r="B422" s="403">
        <v>332763.65000000002</v>
      </c>
    </row>
    <row r="423" spans="1:2" x14ac:dyDescent="0.2">
      <c r="A423" s="417">
        <v>42957</v>
      </c>
      <c r="B423" s="403">
        <v>375651.45</v>
      </c>
    </row>
    <row r="424" spans="1:2" x14ac:dyDescent="0.2">
      <c r="A424" s="417">
        <v>42958</v>
      </c>
      <c r="B424" s="403">
        <v>378293.21</v>
      </c>
    </row>
    <row r="425" spans="1:2" x14ac:dyDescent="0.2">
      <c r="A425" s="417">
        <v>42961</v>
      </c>
      <c r="B425" s="403">
        <v>378293</v>
      </c>
    </row>
    <row r="426" spans="1:2" x14ac:dyDescent="0.2">
      <c r="A426" s="417">
        <v>42962</v>
      </c>
      <c r="B426" s="403">
        <v>401190.06</v>
      </c>
    </row>
    <row r="427" spans="1:2" x14ac:dyDescent="0.2">
      <c r="A427" s="417">
        <v>42963</v>
      </c>
      <c r="B427" s="403">
        <v>401190</v>
      </c>
    </row>
    <row r="428" spans="1:2" x14ac:dyDescent="0.2">
      <c r="A428" s="417">
        <v>42964</v>
      </c>
      <c r="B428" s="403">
        <v>401569.72</v>
      </c>
    </row>
    <row r="429" spans="1:2" x14ac:dyDescent="0.2">
      <c r="A429" s="417">
        <v>42965</v>
      </c>
      <c r="B429" s="403">
        <v>403837.72</v>
      </c>
    </row>
    <row r="430" spans="1:2" x14ac:dyDescent="0.2">
      <c r="A430" s="417">
        <v>42968</v>
      </c>
      <c r="B430" s="403">
        <v>369495.17</v>
      </c>
    </row>
    <row r="431" spans="1:2" x14ac:dyDescent="0.2">
      <c r="A431" s="417">
        <v>42969</v>
      </c>
      <c r="B431" s="403">
        <v>379169.06</v>
      </c>
    </row>
    <row r="432" spans="1:2" x14ac:dyDescent="0.2">
      <c r="A432" s="417">
        <v>42970</v>
      </c>
      <c r="B432" s="403">
        <v>379169</v>
      </c>
    </row>
    <row r="433" spans="1:2" x14ac:dyDescent="0.2">
      <c r="A433" s="417">
        <v>42971</v>
      </c>
      <c r="B433" s="403">
        <v>372540.41</v>
      </c>
    </row>
    <row r="434" spans="1:2" x14ac:dyDescent="0.2">
      <c r="A434" s="417">
        <v>42972</v>
      </c>
      <c r="B434" s="403">
        <v>372540</v>
      </c>
    </row>
    <row r="435" spans="1:2" x14ac:dyDescent="0.2">
      <c r="A435" s="417">
        <v>42975</v>
      </c>
      <c r="B435" s="403">
        <v>372540</v>
      </c>
    </row>
    <row r="436" spans="1:2" x14ac:dyDescent="0.2">
      <c r="A436" s="417">
        <v>42976</v>
      </c>
      <c r="B436" s="403">
        <v>374625.25</v>
      </c>
    </row>
    <row r="437" spans="1:2" x14ac:dyDescent="0.2">
      <c r="A437" s="417">
        <v>42977</v>
      </c>
      <c r="B437" s="403">
        <v>382658.46</v>
      </c>
    </row>
    <row r="438" spans="1:2" x14ac:dyDescent="0.2">
      <c r="A438" s="417">
        <v>42978</v>
      </c>
      <c r="B438" s="403">
        <v>389160.26</v>
      </c>
    </row>
    <row r="439" spans="1:2" x14ac:dyDescent="0.2">
      <c r="A439" s="417">
        <v>42979</v>
      </c>
      <c r="B439" s="403">
        <v>389160</v>
      </c>
    </row>
    <row r="440" spans="1:2" x14ac:dyDescent="0.2">
      <c r="A440" s="417">
        <v>42982</v>
      </c>
      <c r="B440" s="403">
        <v>389160</v>
      </c>
    </row>
    <row r="441" spans="1:2" x14ac:dyDescent="0.2">
      <c r="A441" s="417">
        <v>42983</v>
      </c>
      <c r="B441" s="403">
        <v>352908.42</v>
      </c>
    </row>
    <row r="442" spans="1:2" x14ac:dyDescent="0.2">
      <c r="A442" s="417">
        <v>42984</v>
      </c>
      <c r="B442" s="403">
        <v>383959.41</v>
      </c>
    </row>
    <row r="443" spans="1:2" x14ac:dyDescent="0.2">
      <c r="A443" s="417">
        <v>42985</v>
      </c>
      <c r="B443" s="403">
        <v>403148.81</v>
      </c>
    </row>
    <row r="444" spans="1:2" x14ac:dyDescent="0.2">
      <c r="A444" s="417">
        <v>42986</v>
      </c>
      <c r="B444" s="403">
        <v>403344.11</v>
      </c>
    </row>
    <row r="445" spans="1:2" x14ac:dyDescent="0.2">
      <c r="A445" s="417">
        <v>42989</v>
      </c>
      <c r="B445" s="403">
        <v>403344</v>
      </c>
    </row>
    <row r="446" spans="1:2" x14ac:dyDescent="0.2">
      <c r="A446" s="417">
        <v>42990</v>
      </c>
      <c r="B446" s="403">
        <v>403344</v>
      </c>
    </row>
    <row r="447" spans="1:2" x14ac:dyDescent="0.2">
      <c r="A447" s="417">
        <v>42991</v>
      </c>
      <c r="B447" s="403">
        <v>403344</v>
      </c>
    </row>
    <row r="448" spans="1:2" x14ac:dyDescent="0.2">
      <c r="A448" s="417">
        <v>42992</v>
      </c>
      <c r="B448" s="403">
        <v>400016.8</v>
      </c>
    </row>
    <row r="449" spans="1:2" x14ac:dyDescent="0.2">
      <c r="A449" s="417">
        <v>42993</v>
      </c>
      <c r="B449" s="403">
        <v>400134.96</v>
      </c>
    </row>
    <row r="450" spans="1:2" x14ac:dyDescent="0.2">
      <c r="A450" s="417">
        <v>42996</v>
      </c>
      <c r="B450" s="403">
        <v>364805.11</v>
      </c>
    </row>
    <row r="451" spans="1:2" x14ac:dyDescent="0.2">
      <c r="A451" s="417">
        <v>42997</v>
      </c>
      <c r="B451" s="403">
        <v>364805</v>
      </c>
    </row>
    <row r="452" spans="1:2" x14ac:dyDescent="0.2">
      <c r="A452" s="417">
        <v>42998</v>
      </c>
      <c r="B452" s="403">
        <v>371804.33</v>
      </c>
    </row>
    <row r="453" spans="1:2" x14ac:dyDescent="0.2">
      <c r="A453" s="417">
        <v>42999</v>
      </c>
      <c r="B453" s="403">
        <v>370759.85</v>
      </c>
    </row>
    <row r="454" spans="1:2" x14ac:dyDescent="0.2">
      <c r="A454" s="417">
        <v>43000</v>
      </c>
      <c r="B454" s="403">
        <v>389878.66</v>
      </c>
    </row>
    <row r="455" spans="1:2" x14ac:dyDescent="0.2">
      <c r="A455" s="417">
        <v>43003</v>
      </c>
      <c r="B455" s="403">
        <v>393013.02</v>
      </c>
    </row>
    <row r="456" spans="1:2" x14ac:dyDescent="0.2">
      <c r="A456" s="417">
        <v>43004</v>
      </c>
      <c r="B456" s="403">
        <v>393593.22</v>
      </c>
    </row>
    <row r="457" spans="1:2" x14ac:dyDescent="0.2">
      <c r="A457" s="417">
        <v>43005</v>
      </c>
      <c r="B457" s="403">
        <v>393593</v>
      </c>
    </row>
    <row r="458" spans="1:2" x14ac:dyDescent="0.2">
      <c r="A458" s="417">
        <v>43006</v>
      </c>
      <c r="B458" s="403">
        <v>385433.95</v>
      </c>
    </row>
    <row r="459" spans="1:2" x14ac:dyDescent="0.2">
      <c r="A459" s="417">
        <v>43007</v>
      </c>
      <c r="B459" s="403">
        <v>385678.15</v>
      </c>
    </row>
    <row r="460" spans="1:2" x14ac:dyDescent="0.2">
      <c r="A460" s="417">
        <v>43010</v>
      </c>
      <c r="B460" s="403">
        <v>350949.28</v>
      </c>
    </row>
    <row r="461" spans="1:2" x14ac:dyDescent="0.2">
      <c r="A461" s="417">
        <v>43011</v>
      </c>
      <c r="B461" s="403">
        <v>352010.98</v>
      </c>
    </row>
    <row r="462" spans="1:2" x14ac:dyDescent="0.2">
      <c r="A462" s="417">
        <v>43012</v>
      </c>
      <c r="B462" s="403">
        <v>352011</v>
      </c>
    </row>
    <row r="463" spans="1:2" x14ac:dyDescent="0.2">
      <c r="A463" s="417">
        <v>43013</v>
      </c>
      <c r="B463" s="403">
        <v>348679</v>
      </c>
    </row>
    <row r="464" spans="1:2" x14ac:dyDescent="0.2">
      <c r="A464" s="417">
        <v>43014</v>
      </c>
      <c r="B464" s="403">
        <v>348679</v>
      </c>
    </row>
    <row r="465" spans="1:2" x14ac:dyDescent="0.2">
      <c r="A465" s="417">
        <v>43017</v>
      </c>
      <c r="B465" s="403">
        <v>348679</v>
      </c>
    </row>
    <row r="466" spans="1:2" x14ac:dyDescent="0.2">
      <c r="A466" s="417">
        <v>43018</v>
      </c>
      <c r="B466" s="403">
        <v>348679</v>
      </c>
    </row>
    <row r="467" spans="1:2" x14ac:dyDescent="0.2">
      <c r="A467" s="417">
        <v>43019</v>
      </c>
      <c r="B467" s="403">
        <v>348761.24</v>
      </c>
    </row>
    <row r="468" spans="1:2" x14ac:dyDescent="0.2">
      <c r="A468" s="417">
        <v>43020</v>
      </c>
      <c r="B468" s="403">
        <v>349998.26</v>
      </c>
    </row>
    <row r="469" spans="1:2" x14ac:dyDescent="0.2">
      <c r="A469" s="417">
        <v>43021</v>
      </c>
      <c r="B469" s="403">
        <v>370561.14</v>
      </c>
    </row>
    <row r="470" spans="1:2" x14ac:dyDescent="0.2">
      <c r="A470" s="417">
        <v>43024</v>
      </c>
      <c r="B470" s="403">
        <v>336220.14</v>
      </c>
    </row>
    <row r="471" spans="1:2" x14ac:dyDescent="0.2">
      <c r="A471" s="417">
        <v>43025</v>
      </c>
      <c r="B471" s="403">
        <v>336332.14</v>
      </c>
    </row>
    <row r="472" spans="1:2" x14ac:dyDescent="0.2">
      <c r="A472" s="417">
        <v>43026</v>
      </c>
      <c r="B472" s="403">
        <v>336332</v>
      </c>
    </row>
    <row r="473" spans="1:2" x14ac:dyDescent="0.2">
      <c r="A473" s="417">
        <v>43027</v>
      </c>
      <c r="B473" s="403">
        <v>339185.02</v>
      </c>
    </row>
    <row r="474" spans="1:2" x14ac:dyDescent="0.2">
      <c r="A474" s="417">
        <v>43028</v>
      </c>
      <c r="B474" s="403">
        <v>344936.35</v>
      </c>
    </row>
    <row r="475" spans="1:2" x14ac:dyDescent="0.2">
      <c r="A475" s="417">
        <v>43031</v>
      </c>
      <c r="B475" s="403">
        <v>344564.68</v>
      </c>
    </row>
    <row r="476" spans="1:2" x14ac:dyDescent="0.2">
      <c r="A476" s="417">
        <v>43032</v>
      </c>
      <c r="B476" s="403">
        <v>344565</v>
      </c>
    </row>
    <row r="477" spans="1:2" x14ac:dyDescent="0.2">
      <c r="A477" s="417">
        <v>43033</v>
      </c>
      <c r="B477" s="403">
        <v>344829.18</v>
      </c>
    </row>
    <row r="478" spans="1:2" x14ac:dyDescent="0.2">
      <c r="A478" s="417">
        <v>43034</v>
      </c>
      <c r="B478" s="403">
        <v>339942.05</v>
      </c>
    </row>
    <row r="479" spans="1:2" x14ac:dyDescent="0.2">
      <c r="A479" s="417">
        <v>43035</v>
      </c>
      <c r="B479" s="403">
        <v>360185.72</v>
      </c>
    </row>
    <row r="480" spans="1:2" x14ac:dyDescent="0.2">
      <c r="A480" s="417">
        <v>43038</v>
      </c>
      <c r="B480" s="403">
        <v>323067.73</v>
      </c>
    </row>
    <row r="481" spans="1:2" x14ac:dyDescent="0.2">
      <c r="A481" s="417">
        <v>43039</v>
      </c>
      <c r="B481" s="403">
        <v>323197.73</v>
      </c>
    </row>
    <row r="482" spans="1:2" x14ac:dyDescent="0.2">
      <c r="A482" s="417">
        <v>43040</v>
      </c>
      <c r="B482" s="403">
        <v>323198</v>
      </c>
    </row>
    <row r="483" spans="1:2" x14ac:dyDescent="0.2">
      <c r="A483" s="417">
        <v>43041</v>
      </c>
      <c r="B483" s="403">
        <v>341044.7</v>
      </c>
    </row>
    <row r="484" spans="1:2" x14ac:dyDescent="0.2">
      <c r="A484" s="417">
        <v>43042</v>
      </c>
      <c r="B484" s="403">
        <v>341676.17</v>
      </c>
    </row>
    <row r="485" spans="1:2" x14ac:dyDescent="0.2">
      <c r="A485" s="417">
        <v>43045</v>
      </c>
      <c r="B485" s="403">
        <v>341676</v>
      </c>
    </row>
    <row r="486" spans="1:2" x14ac:dyDescent="0.2">
      <c r="A486" s="417">
        <v>43046</v>
      </c>
      <c r="B486" s="403">
        <v>341676</v>
      </c>
    </row>
    <row r="487" spans="1:2" x14ac:dyDescent="0.2">
      <c r="A487" s="417">
        <v>43047</v>
      </c>
      <c r="B487" s="403">
        <v>379863.97</v>
      </c>
    </row>
    <row r="488" spans="1:2" x14ac:dyDescent="0.2">
      <c r="A488" s="417">
        <v>43048</v>
      </c>
      <c r="B488" s="403">
        <v>378842.06</v>
      </c>
    </row>
    <row r="489" spans="1:2" x14ac:dyDescent="0.2">
      <c r="A489" s="417">
        <v>43049</v>
      </c>
      <c r="B489" s="403">
        <v>378842</v>
      </c>
    </row>
    <row r="490" spans="1:2" x14ac:dyDescent="0.2">
      <c r="A490" s="417">
        <v>43052</v>
      </c>
      <c r="B490" s="403">
        <v>340784.14</v>
      </c>
    </row>
    <row r="491" spans="1:2" x14ac:dyDescent="0.2">
      <c r="A491" s="417">
        <v>43053</v>
      </c>
      <c r="B491" s="403">
        <v>340784</v>
      </c>
    </row>
    <row r="492" spans="1:2" x14ac:dyDescent="0.2">
      <c r="A492" s="417">
        <v>43054</v>
      </c>
      <c r="B492" s="403">
        <v>340895.76</v>
      </c>
    </row>
    <row r="493" spans="1:2" x14ac:dyDescent="0.2">
      <c r="A493" s="417">
        <v>43055</v>
      </c>
      <c r="B493" s="403">
        <v>354246.44</v>
      </c>
    </row>
    <row r="494" spans="1:2" x14ac:dyDescent="0.2">
      <c r="A494" s="417">
        <v>43056</v>
      </c>
      <c r="B494" s="403">
        <v>354246.44</v>
      </c>
    </row>
    <row r="495" spans="1:2" x14ac:dyDescent="0.2">
      <c r="A495" s="417">
        <v>43059</v>
      </c>
      <c r="B495" s="403">
        <v>354264.44</v>
      </c>
    </row>
    <row r="496" spans="1:2" x14ac:dyDescent="0.2">
      <c r="A496" s="417">
        <v>43060</v>
      </c>
      <c r="B496" s="403">
        <v>354264</v>
      </c>
    </row>
    <row r="497" spans="1:2" x14ac:dyDescent="0.2">
      <c r="A497" s="417">
        <v>43061</v>
      </c>
      <c r="B497" s="403">
        <v>357804.55</v>
      </c>
    </row>
    <row r="498" spans="1:2" x14ac:dyDescent="0.2">
      <c r="A498" s="417">
        <v>43062</v>
      </c>
      <c r="B498" s="403">
        <v>357805</v>
      </c>
    </row>
    <row r="499" spans="1:2" x14ac:dyDescent="0.2">
      <c r="A499" s="417">
        <v>43063</v>
      </c>
      <c r="B499" s="403">
        <v>361119.05</v>
      </c>
    </row>
    <row r="500" spans="1:2" x14ac:dyDescent="0.2">
      <c r="A500" s="417">
        <v>43066</v>
      </c>
      <c r="B500" s="403">
        <v>318415.71000000002</v>
      </c>
    </row>
    <row r="501" spans="1:2" x14ac:dyDescent="0.2">
      <c r="A501" s="417">
        <v>43067</v>
      </c>
      <c r="B501" s="403">
        <v>320237.53999999998</v>
      </c>
    </row>
    <row r="502" spans="1:2" x14ac:dyDescent="0.2">
      <c r="A502" s="417">
        <v>43068</v>
      </c>
      <c r="B502" s="403">
        <v>320237.53999999998</v>
      </c>
    </row>
    <row r="503" spans="1:2" x14ac:dyDescent="0.2">
      <c r="A503" s="417">
        <v>43069</v>
      </c>
      <c r="B503" s="403">
        <v>325286.46999999997</v>
      </c>
    </row>
    <row r="504" spans="1:2" x14ac:dyDescent="0.2">
      <c r="A504" s="417">
        <v>43070</v>
      </c>
      <c r="B504" s="403">
        <v>334247.03000000003</v>
      </c>
    </row>
    <row r="505" spans="1:2" x14ac:dyDescent="0.2">
      <c r="A505" s="417">
        <v>43073</v>
      </c>
      <c r="B505" s="403">
        <v>334247</v>
      </c>
    </row>
    <row r="506" spans="1:2" x14ac:dyDescent="0.2">
      <c r="A506" s="417">
        <v>43074</v>
      </c>
      <c r="B506" s="403">
        <v>334247.03000000003</v>
      </c>
    </row>
    <row r="507" spans="1:2" x14ac:dyDescent="0.2">
      <c r="A507" s="417">
        <v>43075</v>
      </c>
      <c r="B507" s="403">
        <v>334247</v>
      </c>
    </row>
    <row r="508" spans="1:2" x14ac:dyDescent="0.2">
      <c r="A508" s="417">
        <v>43076</v>
      </c>
      <c r="B508" s="403">
        <v>323171.46000000002</v>
      </c>
    </row>
    <row r="509" spans="1:2" x14ac:dyDescent="0.2">
      <c r="A509" s="417">
        <v>43077</v>
      </c>
      <c r="B509" s="403">
        <v>324229.90999999997</v>
      </c>
    </row>
    <row r="510" spans="1:2" x14ac:dyDescent="0.2">
      <c r="A510" s="417">
        <v>43080</v>
      </c>
      <c r="B510" s="403">
        <v>324230</v>
      </c>
    </row>
    <row r="511" spans="1:2" x14ac:dyDescent="0.2">
      <c r="A511" s="417">
        <v>43081</v>
      </c>
      <c r="B511" s="403">
        <v>286030.39</v>
      </c>
    </row>
    <row r="512" spans="1:2" x14ac:dyDescent="0.2">
      <c r="A512" s="417">
        <v>43082</v>
      </c>
      <c r="B512" s="403">
        <v>286197.44</v>
      </c>
    </row>
    <row r="513" spans="1:14" x14ac:dyDescent="0.2">
      <c r="A513" s="417">
        <v>43083</v>
      </c>
      <c r="B513" s="403">
        <v>280065.2</v>
      </c>
    </row>
    <row r="514" spans="1:14" x14ac:dyDescent="0.2">
      <c r="A514" s="417">
        <v>43084</v>
      </c>
      <c r="B514" s="403">
        <v>284409.09999999998</v>
      </c>
    </row>
    <row r="515" spans="1:14" x14ac:dyDescent="0.2">
      <c r="A515" s="417">
        <v>43087</v>
      </c>
      <c r="B515" s="403">
        <v>285119.09999999998</v>
      </c>
    </row>
    <row r="516" spans="1:14" x14ac:dyDescent="0.2">
      <c r="A516" s="417">
        <v>43088</v>
      </c>
      <c r="B516" s="403">
        <v>285395.49</v>
      </c>
    </row>
    <row r="517" spans="1:14" x14ac:dyDescent="0.2">
      <c r="A517" s="417">
        <v>43089</v>
      </c>
      <c r="B517" s="403">
        <v>285395</v>
      </c>
    </row>
    <row r="518" spans="1:14" x14ac:dyDescent="0.2">
      <c r="A518" s="417">
        <v>43090</v>
      </c>
      <c r="B518" s="403">
        <v>285542.49</v>
      </c>
    </row>
    <row r="519" spans="1:14" x14ac:dyDescent="0.2">
      <c r="A519" s="417">
        <v>43091</v>
      </c>
      <c r="B519" s="403">
        <v>285542</v>
      </c>
    </row>
    <row r="520" spans="1:14" x14ac:dyDescent="0.2">
      <c r="A520" s="417">
        <v>43094</v>
      </c>
      <c r="B520" s="403">
        <v>285542</v>
      </c>
    </row>
    <row r="521" spans="1:14" x14ac:dyDescent="0.2">
      <c r="A521" s="417">
        <v>43095</v>
      </c>
      <c r="B521" s="403">
        <v>248584.72</v>
      </c>
    </row>
    <row r="522" spans="1:14" x14ac:dyDescent="0.2">
      <c r="A522" s="417">
        <v>43096</v>
      </c>
      <c r="B522" s="403">
        <v>248585</v>
      </c>
    </row>
    <row r="523" spans="1:14" x14ac:dyDescent="0.2">
      <c r="A523" s="417">
        <v>43097</v>
      </c>
      <c r="B523" s="403">
        <v>270685.83</v>
      </c>
    </row>
    <row r="524" spans="1:14" x14ac:dyDescent="0.2">
      <c r="A524" s="417">
        <v>43098</v>
      </c>
      <c r="B524" s="403">
        <v>282558.58</v>
      </c>
    </row>
    <row r="525" spans="1:14" x14ac:dyDescent="0.2">
      <c r="A525" s="417">
        <v>43101</v>
      </c>
      <c r="B525" s="403">
        <v>282559</v>
      </c>
      <c r="F525" s="390"/>
      <c r="G525" t="s">
        <v>184</v>
      </c>
      <c r="H525" t="s">
        <v>211</v>
      </c>
      <c r="J525" t="s">
        <v>360</v>
      </c>
      <c r="K525" t="s">
        <v>211</v>
      </c>
      <c r="N525">
        <v>0.06</v>
      </c>
    </row>
    <row r="526" spans="1:14" x14ac:dyDescent="0.2">
      <c r="A526" s="417">
        <v>43102</v>
      </c>
      <c r="B526" s="403">
        <v>282508.58</v>
      </c>
      <c r="F526" s="390">
        <v>42370</v>
      </c>
      <c r="G526" s="160">
        <v>369484</v>
      </c>
      <c r="H526" s="206">
        <v>31036</v>
      </c>
      <c r="J526" s="390">
        <v>42461</v>
      </c>
      <c r="K526" s="206">
        <v>151036</v>
      </c>
      <c r="N526" s="560">
        <f>K526*N525/12 +K526</f>
        <v>151791.18</v>
      </c>
    </row>
    <row r="527" spans="1:14" x14ac:dyDescent="0.2">
      <c r="A527" s="417">
        <v>43103</v>
      </c>
      <c r="B527" s="403">
        <v>282509</v>
      </c>
      <c r="F527" s="390">
        <v>42401</v>
      </c>
      <c r="G527" s="160">
        <v>295493.53000000003</v>
      </c>
      <c r="H527" s="206">
        <v>31035.72</v>
      </c>
      <c r="J527" s="390">
        <v>42491</v>
      </c>
      <c r="K527" s="206">
        <v>151087.09</v>
      </c>
      <c r="N527" s="560">
        <f>N$525*N526/12 +N526</f>
        <v>152550.13589999999</v>
      </c>
    </row>
    <row r="528" spans="1:14" x14ac:dyDescent="0.2">
      <c r="A528" s="417">
        <v>43104</v>
      </c>
      <c r="B528" s="403">
        <v>283213.14</v>
      </c>
      <c r="F528" s="390">
        <v>42430</v>
      </c>
      <c r="G528" s="160">
        <v>255865.07</v>
      </c>
      <c r="H528" s="206">
        <v>151035.72</v>
      </c>
      <c r="J528" s="390">
        <v>42551</v>
      </c>
      <c r="K528" s="206">
        <v>151336.84</v>
      </c>
      <c r="N528" s="560">
        <f t="shared" ref="N528:N591" si="3">N$525*N527/12 +N527</f>
        <v>153312.88657949999</v>
      </c>
    </row>
    <row r="529" spans="1:14" x14ac:dyDescent="0.2">
      <c r="A529" s="417">
        <v>43105</v>
      </c>
      <c r="B529" s="403">
        <v>297779.06</v>
      </c>
      <c r="F529" s="390">
        <v>42461</v>
      </c>
      <c r="G529" s="160">
        <v>294098.96000000002</v>
      </c>
      <c r="H529" s="206">
        <v>151036</v>
      </c>
      <c r="J529" s="390">
        <v>42582</v>
      </c>
      <c r="K529" s="206">
        <v>151611.29999999999</v>
      </c>
      <c r="N529" s="560">
        <f t="shared" si="3"/>
        <v>154079.45101239748</v>
      </c>
    </row>
    <row r="530" spans="1:14" x14ac:dyDescent="0.2">
      <c r="A530" s="417">
        <v>43108</v>
      </c>
      <c r="B530" s="403">
        <v>263886.2</v>
      </c>
      <c r="F530" s="390">
        <v>42491</v>
      </c>
      <c r="G530" s="160">
        <v>333922.02</v>
      </c>
      <c r="H530" s="206">
        <v>151087.09</v>
      </c>
      <c r="J530" s="390">
        <v>42583</v>
      </c>
      <c r="K530" s="206">
        <v>151776.70000000001</v>
      </c>
      <c r="N530" s="560">
        <f t="shared" si="3"/>
        <v>154849.84826745946</v>
      </c>
    </row>
    <row r="531" spans="1:14" x14ac:dyDescent="0.2">
      <c r="A531" s="417">
        <v>43109</v>
      </c>
      <c r="B531" s="403">
        <v>277030.96999999997</v>
      </c>
      <c r="F531" s="390">
        <v>42551</v>
      </c>
      <c r="G531" s="160">
        <v>384005.8</v>
      </c>
      <c r="H531" s="206">
        <v>151336.84</v>
      </c>
      <c r="J531" s="390">
        <v>42614</v>
      </c>
      <c r="K531" s="206">
        <v>151844.44</v>
      </c>
      <c r="N531" s="560">
        <f t="shared" si="3"/>
        <v>155624.09750879675</v>
      </c>
    </row>
    <row r="532" spans="1:14" x14ac:dyDescent="0.2">
      <c r="A532" s="417">
        <v>43110</v>
      </c>
      <c r="B532" s="403">
        <v>277031</v>
      </c>
      <c r="F532" s="390">
        <v>42582</v>
      </c>
      <c r="G532" s="160">
        <v>292004.15999999997</v>
      </c>
      <c r="H532" s="206">
        <v>151611.29999999999</v>
      </c>
      <c r="J532" s="390">
        <v>42644</v>
      </c>
      <c r="K532" s="206">
        <v>152036.04</v>
      </c>
      <c r="N532" s="560">
        <f t="shared" si="3"/>
        <v>156402.21799634074</v>
      </c>
    </row>
    <row r="533" spans="1:14" x14ac:dyDescent="0.2">
      <c r="A533" s="417">
        <v>43111</v>
      </c>
      <c r="B533" s="403">
        <v>281394.14</v>
      </c>
      <c r="F533" s="390">
        <v>42583</v>
      </c>
      <c r="G533" s="160">
        <v>182562.29</v>
      </c>
      <c r="H533" s="206">
        <v>151776.70000000001</v>
      </c>
      <c r="J533" s="390">
        <v>42675</v>
      </c>
      <c r="K533" s="206">
        <v>152464.91</v>
      </c>
      <c r="N533" s="560">
        <f t="shared" si="3"/>
        <v>157184.22908632245</v>
      </c>
    </row>
    <row r="534" spans="1:14" x14ac:dyDescent="0.2">
      <c r="A534" s="417">
        <v>43112</v>
      </c>
      <c r="B534" s="403">
        <v>281470.18</v>
      </c>
      <c r="F534" s="390">
        <v>42614</v>
      </c>
      <c r="G534" s="160">
        <v>242442.87</v>
      </c>
      <c r="H534" s="206">
        <v>151844.44</v>
      </c>
      <c r="J534" s="390">
        <v>42705</v>
      </c>
      <c r="K534" s="206">
        <v>154533.13</v>
      </c>
      <c r="N534" s="560">
        <f t="shared" si="3"/>
        <v>157970.15023175406</v>
      </c>
    </row>
    <row r="535" spans="1:14" x14ac:dyDescent="0.2">
      <c r="A535" s="417">
        <v>43115</v>
      </c>
      <c r="B535" s="403">
        <v>281470</v>
      </c>
      <c r="F535" s="390">
        <v>42644</v>
      </c>
      <c r="G535" s="160">
        <v>247104.37</v>
      </c>
      <c r="H535" s="206">
        <v>152036.04</v>
      </c>
      <c r="J535" s="390">
        <v>42736</v>
      </c>
      <c r="K535" s="206">
        <v>155633.59</v>
      </c>
      <c r="N535" s="560">
        <f t="shared" si="3"/>
        <v>158760.00098291284</v>
      </c>
    </row>
    <row r="536" spans="1:14" x14ac:dyDescent="0.2">
      <c r="A536" s="417">
        <v>43116</v>
      </c>
      <c r="B536" s="403">
        <v>284325.94</v>
      </c>
      <c r="F536" s="390">
        <v>42675</v>
      </c>
      <c r="G536" s="160">
        <v>246462.95</v>
      </c>
      <c r="H536" s="206">
        <v>152464.91</v>
      </c>
      <c r="J536" s="390">
        <v>42767</v>
      </c>
      <c r="K536" s="206">
        <v>158448.25</v>
      </c>
      <c r="N536" s="560">
        <f t="shared" si="3"/>
        <v>159553.80098782742</v>
      </c>
    </row>
    <row r="537" spans="1:14" x14ac:dyDescent="0.2">
      <c r="A537" s="417">
        <v>43117</v>
      </c>
      <c r="B537" s="403">
        <v>305911.78000000003</v>
      </c>
      <c r="F537" s="390">
        <v>42705</v>
      </c>
      <c r="G537" s="160">
        <v>249839.51</v>
      </c>
      <c r="H537" s="206">
        <v>154533.13</v>
      </c>
      <c r="J537" s="390">
        <v>42795</v>
      </c>
      <c r="K537" s="206">
        <v>159113.29</v>
      </c>
      <c r="N537" s="560">
        <f t="shared" si="3"/>
        <v>160351.56999276654</v>
      </c>
    </row>
    <row r="538" spans="1:14" x14ac:dyDescent="0.2">
      <c r="A538" s="417">
        <v>43118</v>
      </c>
      <c r="B538" s="403">
        <v>305752.93</v>
      </c>
      <c r="F538" s="390">
        <v>42736</v>
      </c>
      <c r="G538" s="160">
        <v>351420</v>
      </c>
      <c r="H538" s="206">
        <v>155633.59</v>
      </c>
      <c r="J538" s="390">
        <v>42826</v>
      </c>
      <c r="K538" s="206">
        <v>159614.53</v>
      </c>
      <c r="N538" s="560">
        <f t="shared" si="3"/>
        <v>161153.32784273036</v>
      </c>
    </row>
    <row r="539" spans="1:14" x14ac:dyDescent="0.2">
      <c r="A539" s="417">
        <v>43119</v>
      </c>
      <c r="B539" s="403">
        <v>332730.14</v>
      </c>
      <c r="F539" s="390">
        <v>42767</v>
      </c>
      <c r="G539" s="160">
        <v>253330</v>
      </c>
      <c r="H539" s="206">
        <v>158448.25</v>
      </c>
      <c r="J539" s="390">
        <v>42856</v>
      </c>
      <c r="K539" s="206">
        <v>160436.21</v>
      </c>
      <c r="N539" s="560">
        <f t="shared" si="3"/>
        <v>161959.09448194402</v>
      </c>
    </row>
    <row r="540" spans="1:14" x14ac:dyDescent="0.2">
      <c r="A540" s="417">
        <v>43122</v>
      </c>
      <c r="B540" s="403">
        <v>291419.49</v>
      </c>
      <c r="F540" s="390">
        <v>42795</v>
      </c>
      <c r="G540" s="160">
        <v>280744</v>
      </c>
      <c r="H540" s="206">
        <v>159113.29</v>
      </c>
      <c r="J540" s="390">
        <v>42887</v>
      </c>
      <c r="K540" s="206">
        <v>160443.22</v>
      </c>
      <c r="N540" s="560">
        <f t="shared" si="3"/>
        <v>162768.88995435374</v>
      </c>
    </row>
    <row r="541" spans="1:14" x14ac:dyDescent="0.2">
      <c r="A541" s="417">
        <v>43123</v>
      </c>
      <c r="B541" s="403">
        <v>293419.65000000002</v>
      </c>
      <c r="F541" s="390">
        <v>42826</v>
      </c>
      <c r="G541" s="160">
        <v>319478.15999999997</v>
      </c>
      <c r="H541" s="206">
        <v>159614.53</v>
      </c>
      <c r="J541" s="390">
        <v>42917</v>
      </c>
      <c r="K541" s="206">
        <v>161526.35999999999</v>
      </c>
      <c r="N541" s="560">
        <f t="shared" si="3"/>
        <v>163582.73440412551</v>
      </c>
    </row>
    <row r="542" spans="1:14" x14ac:dyDescent="0.2">
      <c r="A542" s="417">
        <v>43124</v>
      </c>
      <c r="B542" s="403">
        <v>293420</v>
      </c>
      <c r="F542" s="390">
        <v>42856</v>
      </c>
      <c r="G542" s="160">
        <v>241828.1</v>
      </c>
      <c r="H542" s="206">
        <v>160436.21</v>
      </c>
      <c r="J542" s="390">
        <v>42948</v>
      </c>
      <c r="K542" s="206">
        <v>162013.01</v>
      </c>
      <c r="N542" s="560">
        <f t="shared" si="3"/>
        <v>164400.64807614614</v>
      </c>
    </row>
    <row r="543" spans="1:14" x14ac:dyDescent="0.2">
      <c r="A543" s="417">
        <v>43125</v>
      </c>
      <c r="B543" s="403">
        <v>301331.82</v>
      </c>
      <c r="F543" s="390">
        <v>42887</v>
      </c>
      <c r="G543" s="160">
        <v>248981.18</v>
      </c>
      <c r="H543" s="206">
        <v>160443.22</v>
      </c>
      <c r="J543" s="390">
        <v>42979</v>
      </c>
      <c r="K543" s="206">
        <v>163493.49</v>
      </c>
      <c r="M543" s="206"/>
      <c r="N543" s="560">
        <f t="shared" si="3"/>
        <v>165222.65131652687</v>
      </c>
    </row>
    <row r="544" spans="1:14" x14ac:dyDescent="0.2">
      <c r="A544" s="417">
        <v>43126</v>
      </c>
      <c r="B544" s="403">
        <v>327084.28999999998</v>
      </c>
      <c r="F544" s="390">
        <v>42917</v>
      </c>
      <c r="G544" s="160">
        <v>268937.63</v>
      </c>
      <c r="H544" s="206">
        <v>161526.35999999999</v>
      </c>
      <c r="J544" s="390">
        <v>43009</v>
      </c>
      <c r="K544" s="206">
        <v>164090.28</v>
      </c>
      <c r="M544" s="190"/>
      <c r="N544" s="560">
        <f t="shared" si="3"/>
        <v>166048.76457310951</v>
      </c>
    </row>
    <row r="545" spans="1:14" x14ac:dyDescent="0.2">
      <c r="A545" s="417">
        <v>43129</v>
      </c>
      <c r="B545" s="403">
        <v>327084</v>
      </c>
      <c r="F545" s="390">
        <v>42948</v>
      </c>
      <c r="G545" s="160">
        <v>198251.6</v>
      </c>
      <c r="H545" s="206">
        <v>162013.01</v>
      </c>
      <c r="J545" s="390">
        <v>43040</v>
      </c>
      <c r="K545" s="206">
        <v>164908.01</v>
      </c>
      <c r="M545" s="190"/>
      <c r="N545" s="560">
        <f t="shared" si="3"/>
        <v>166879.00839597505</v>
      </c>
    </row>
    <row r="546" spans="1:14" x14ac:dyDescent="0.2">
      <c r="A546" s="417">
        <v>43130</v>
      </c>
      <c r="B546" s="403">
        <v>327084</v>
      </c>
      <c r="F546" s="390">
        <v>42979</v>
      </c>
      <c r="G546" s="160">
        <v>178964.63</v>
      </c>
      <c r="H546" s="206">
        <v>163493.49</v>
      </c>
      <c r="J546" s="390">
        <v>43070</v>
      </c>
      <c r="K546" s="206">
        <v>164937.87</v>
      </c>
      <c r="M546" s="190"/>
      <c r="N546" s="560">
        <f t="shared" si="3"/>
        <v>167713.40343795493</v>
      </c>
    </row>
    <row r="547" spans="1:14" x14ac:dyDescent="0.2">
      <c r="A547" s="417">
        <v>43131</v>
      </c>
      <c r="B547" s="403">
        <v>337130.63</v>
      </c>
      <c r="F547" s="390">
        <v>43009</v>
      </c>
      <c r="G547" s="160">
        <v>199171.39</v>
      </c>
      <c r="H547" s="206">
        <v>164090.28</v>
      </c>
      <c r="J547" s="390">
        <v>43101</v>
      </c>
      <c r="K547" s="206">
        <v>167966.33</v>
      </c>
      <c r="M547" s="190"/>
      <c r="N547" s="560">
        <f t="shared" si="3"/>
        <v>168551.97045514471</v>
      </c>
    </row>
    <row r="548" spans="1:14" x14ac:dyDescent="0.2">
      <c r="A548" s="417">
        <v>43132</v>
      </c>
      <c r="B548" s="403">
        <v>334292.59999999998</v>
      </c>
      <c r="F548" s="390">
        <v>43040</v>
      </c>
      <c r="G548" s="160">
        <v>180584.58</v>
      </c>
      <c r="H548" s="206">
        <v>164908.01</v>
      </c>
      <c r="J548" s="390">
        <v>43132</v>
      </c>
      <c r="K548" s="206">
        <v>164746.72</v>
      </c>
      <c r="M548" s="190"/>
      <c r="N548" s="560">
        <f t="shared" si="3"/>
        <v>169394.73030742042</v>
      </c>
    </row>
    <row r="549" spans="1:14" x14ac:dyDescent="0.2">
      <c r="A549" s="417">
        <v>43133</v>
      </c>
      <c r="B549" s="403">
        <v>335977.23</v>
      </c>
      <c r="F549" s="390">
        <v>43070</v>
      </c>
      <c r="G549" s="160">
        <v>258260.86</v>
      </c>
      <c r="H549" s="206">
        <v>164937.87</v>
      </c>
      <c r="J549" s="390">
        <v>43160</v>
      </c>
      <c r="K549" s="206">
        <v>163400.39000000001</v>
      </c>
      <c r="N549" s="560">
        <f t="shared" si="3"/>
        <v>170241.70395895751</v>
      </c>
    </row>
    <row r="550" spans="1:14" x14ac:dyDescent="0.2">
      <c r="A550" s="417">
        <v>43136</v>
      </c>
      <c r="B550" s="403">
        <v>300614.99</v>
      </c>
      <c r="F550" s="390">
        <v>43101</v>
      </c>
      <c r="G550" s="160">
        <v>297556.56</v>
      </c>
      <c r="H550" s="206">
        <v>167966.33</v>
      </c>
      <c r="J550" s="390">
        <v>43191</v>
      </c>
      <c r="K550" s="206">
        <v>163874.63</v>
      </c>
      <c r="N550" s="560">
        <f t="shared" si="3"/>
        <v>171092.91247875229</v>
      </c>
    </row>
    <row r="551" spans="1:14" x14ac:dyDescent="0.2">
      <c r="A551" s="417">
        <v>43137</v>
      </c>
      <c r="B551" s="403">
        <v>295509.53999999998</v>
      </c>
      <c r="F551" s="390">
        <v>43132</v>
      </c>
      <c r="G551" s="160">
        <v>287550</v>
      </c>
      <c r="H551" s="206">
        <v>164746.72</v>
      </c>
      <c r="J551" s="390">
        <v>43221</v>
      </c>
      <c r="K551" s="206">
        <v>165109.67000000001</v>
      </c>
      <c r="N551" s="560">
        <f t="shared" si="3"/>
        <v>171948.37704114604</v>
      </c>
    </row>
    <row r="552" spans="1:14" x14ac:dyDescent="0.2">
      <c r="A552" s="417">
        <v>43138</v>
      </c>
      <c r="B552" s="403">
        <v>295510</v>
      </c>
      <c r="F552" s="390">
        <v>43160</v>
      </c>
      <c r="G552" s="160">
        <v>277699.34999999998</v>
      </c>
      <c r="H552" s="206">
        <v>163400.39000000001</v>
      </c>
      <c r="J552" s="390">
        <v>43252</v>
      </c>
      <c r="K552" s="206">
        <v>164894.5</v>
      </c>
      <c r="M552" s="206"/>
      <c r="N552" s="560">
        <f t="shared" si="3"/>
        <v>172808.11892635177</v>
      </c>
    </row>
    <row r="553" spans="1:14" x14ac:dyDescent="0.2">
      <c r="A553" s="417">
        <v>43139</v>
      </c>
      <c r="B553" s="403">
        <v>295623.09999999998</v>
      </c>
      <c r="F553" s="390">
        <v>43191</v>
      </c>
      <c r="G553" s="160">
        <v>310068.02</v>
      </c>
      <c r="H553" s="206">
        <v>163874.63</v>
      </c>
      <c r="J553" s="390">
        <v>43282</v>
      </c>
      <c r="K553" s="206">
        <v>168308.43</v>
      </c>
      <c r="N553" s="560">
        <f t="shared" si="3"/>
        <v>173672.15952098352</v>
      </c>
    </row>
    <row r="554" spans="1:14" x14ac:dyDescent="0.2">
      <c r="A554" s="417">
        <v>43140</v>
      </c>
      <c r="B554" s="403">
        <v>295623</v>
      </c>
      <c r="F554" s="390">
        <v>43221</v>
      </c>
      <c r="G554" s="160">
        <v>338828.68</v>
      </c>
      <c r="H554" s="206">
        <v>165109.67000000001</v>
      </c>
      <c r="J554" s="390">
        <v>43313</v>
      </c>
      <c r="K554" s="206">
        <v>169314.31</v>
      </c>
      <c r="M554" s="160"/>
      <c r="N554" s="560">
        <f t="shared" si="3"/>
        <v>174540.52031858845</v>
      </c>
    </row>
    <row r="555" spans="1:14" x14ac:dyDescent="0.2">
      <c r="A555" s="417">
        <v>43143</v>
      </c>
      <c r="B555" s="403">
        <v>299232.09999999998</v>
      </c>
      <c r="F555" s="390">
        <v>43252</v>
      </c>
      <c r="G555" s="160">
        <v>316601.96000000002</v>
      </c>
      <c r="H555" s="206">
        <v>164894.5</v>
      </c>
      <c r="J555" s="390">
        <v>43344</v>
      </c>
      <c r="K555" s="206">
        <v>170138.99</v>
      </c>
      <c r="N555" s="560">
        <f t="shared" si="3"/>
        <v>175413.22292018138</v>
      </c>
    </row>
    <row r="556" spans="1:14" x14ac:dyDescent="0.2">
      <c r="A556" s="417">
        <v>43144</v>
      </c>
      <c r="B556" s="403">
        <v>304422.01</v>
      </c>
      <c r="F556" s="390">
        <v>43282</v>
      </c>
      <c r="G556" s="160">
        <v>282196.90999999997</v>
      </c>
      <c r="H556" s="206">
        <v>168308.43</v>
      </c>
      <c r="J556" s="390">
        <v>43374</v>
      </c>
      <c r="K556" s="206">
        <v>164332.01</v>
      </c>
      <c r="M556" s="305"/>
      <c r="N556" s="560">
        <f t="shared" si="3"/>
        <v>176290.28903478227</v>
      </c>
    </row>
    <row r="557" spans="1:14" x14ac:dyDescent="0.2">
      <c r="A557" s="417">
        <v>43145</v>
      </c>
      <c r="B557" s="403">
        <v>330191.24</v>
      </c>
      <c r="F557" s="390">
        <v>43313</v>
      </c>
      <c r="G557" s="160">
        <v>287391.71999999997</v>
      </c>
      <c r="H557" s="206">
        <v>169314.31</v>
      </c>
      <c r="J557" s="390">
        <v>43405</v>
      </c>
      <c r="K557" s="206">
        <v>166031.76999999999</v>
      </c>
      <c r="N557" s="560">
        <f t="shared" si="3"/>
        <v>177171.74047995618</v>
      </c>
    </row>
    <row r="558" spans="1:14" x14ac:dyDescent="0.2">
      <c r="A558" s="417">
        <v>43146</v>
      </c>
      <c r="B558" s="403">
        <v>313471.64</v>
      </c>
      <c r="F558" s="390">
        <v>43344</v>
      </c>
      <c r="G558" s="160">
        <v>327095.84000000003</v>
      </c>
      <c r="H558" s="206">
        <v>170138.99</v>
      </c>
      <c r="J558" s="390">
        <v>43435</v>
      </c>
      <c r="K558" s="206">
        <v>159621.23000000001</v>
      </c>
      <c r="N558" s="560">
        <f t="shared" si="3"/>
        <v>178057.59918235595</v>
      </c>
    </row>
    <row r="559" spans="1:14" x14ac:dyDescent="0.2">
      <c r="A559" s="417">
        <v>43147</v>
      </c>
      <c r="B559" s="403">
        <v>313472</v>
      </c>
      <c r="F559" s="390">
        <v>43374</v>
      </c>
      <c r="G559" s="160">
        <v>233504.28</v>
      </c>
      <c r="H559" s="206">
        <v>164332.01</v>
      </c>
      <c r="J559" s="390">
        <v>43466</v>
      </c>
      <c r="K559" s="206">
        <v>166873.93</v>
      </c>
      <c r="N559" s="560">
        <f t="shared" si="3"/>
        <v>178947.88717826773</v>
      </c>
    </row>
    <row r="560" spans="1:14" x14ac:dyDescent="0.2">
      <c r="A560" s="417">
        <v>43150</v>
      </c>
      <c r="B560" s="403">
        <v>313472</v>
      </c>
      <c r="F560" s="390">
        <v>43405</v>
      </c>
      <c r="G560" s="160">
        <v>166530.44</v>
      </c>
      <c r="H560" s="206">
        <v>166031.76999999999</v>
      </c>
      <c r="J560" s="390">
        <v>43497</v>
      </c>
      <c r="K560" s="206">
        <v>170486.28</v>
      </c>
      <c r="N560" s="560">
        <f t="shared" si="3"/>
        <v>179842.62661415906</v>
      </c>
    </row>
    <row r="561" spans="1:14" x14ac:dyDescent="0.2">
      <c r="A561" s="417">
        <v>43151</v>
      </c>
      <c r="B561" s="403">
        <v>277471.58</v>
      </c>
      <c r="F561" s="390">
        <v>43435</v>
      </c>
      <c r="G561" s="160">
        <v>245292.72</v>
      </c>
      <c r="H561" s="206">
        <v>159621.23000000001</v>
      </c>
      <c r="J561" s="390">
        <v>43525</v>
      </c>
      <c r="K561" s="206">
        <v>171537.16</v>
      </c>
      <c r="N561" s="560">
        <f t="shared" si="3"/>
        <v>180741.83974722985</v>
      </c>
    </row>
    <row r="562" spans="1:14" x14ac:dyDescent="0.2">
      <c r="A562" s="417">
        <v>43152</v>
      </c>
      <c r="B562" s="403">
        <v>287526.92</v>
      </c>
      <c r="F562" s="390">
        <v>43466</v>
      </c>
      <c r="G562" s="160">
        <v>322895</v>
      </c>
      <c r="H562" s="206">
        <v>166873.93</v>
      </c>
      <c r="J562" s="390">
        <v>43556</v>
      </c>
      <c r="K562" s="206">
        <v>174601.21</v>
      </c>
      <c r="N562" s="560">
        <f t="shared" si="3"/>
        <v>181645.548945966</v>
      </c>
    </row>
    <row r="563" spans="1:14" x14ac:dyDescent="0.2">
      <c r="A563" s="417">
        <v>43153</v>
      </c>
      <c r="B563" s="403">
        <v>296486.64</v>
      </c>
      <c r="F563" s="390">
        <v>43497</v>
      </c>
      <c r="G563" s="160">
        <v>388590.24</v>
      </c>
      <c r="H563" s="206">
        <v>170486.28</v>
      </c>
      <c r="J563" s="390">
        <v>43586</v>
      </c>
      <c r="K563" s="206">
        <v>169831.32</v>
      </c>
      <c r="N563" s="560">
        <f t="shared" si="3"/>
        <v>182553.77669069584</v>
      </c>
    </row>
    <row r="564" spans="1:14" x14ac:dyDescent="0.2">
      <c r="A564" s="417">
        <v>43154</v>
      </c>
      <c r="B564" s="403">
        <v>296487</v>
      </c>
      <c r="F564" s="390">
        <v>43525</v>
      </c>
      <c r="G564" s="160">
        <v>244069.19</v>
      </c>
      <c r="H564" s="206">
        <v>171537.16</v>
      </c>
      <c r="J564" s="390">
        <v>43617</v>
      </c>
      <c r="K564" s="206">
        <v>175962.43</v>
      </c>
      <c r="N564" s="560">
        <f t="shared" si="3"/>
        <v>183466.54557414932</v>
      </c>
    </row>
    <row r="565" spans="1:14" x14ac:dyDescent="0.2">
      <c r="A565" s="417">
        <v>43157</v>
      </c>
      <c r="B565" s="403">
        <v>296487</v>
      </c>
      <c r="F565" s="390">
        <v>43556</v>
      </c>
      <c r="G565" s="160">
        <v>265093.77</v>
      </c>
      <c r="H565" s="206">
        <v>174601.21</v>
      </c>
      <c r="J565" s="390">
        <v>43647</v>
      </c>
      <c r="K565" s="206">
        <v>176392.07</v>
      </c>
      <c r="N565" s="560">
        <f t="shared" si="3"/>
        <v>184383.87830202008</v>
      </c>
    </row>
    <row r="566" spans="1:14" x14ac:dyDescent="0.2">
      <c r="A566" s="417">
        <v>43158</v>
      </c>
      <c r="B566" s="403">
        <v>335911.5</v>
      </c>
      <c r="F566" s="390">
        <v>43586</v>
      </c>
      <c r="G566" s="160">
        <v>218979.44</v>
      </c>
      <c r="H566" s="206">
        <v>169831.32</v>
      </c>
      <c r="J566" s="390">
        <v>43678</v>
      </c>
      <c r="K566" s="206">
        <v>174581</v>
      </c>
      <c r="N566" s="560">
        <f t="shared" si="3"/>
        <v>185305.79769353018</v>
      </c>
    </row>
    <row r="567" spans="1:14" x14ac:dyDescent="0.2">
      <c r="A567" s="417">
        <v>43159</v>
      </c>
      <c r="B567" s="403">
        <v>335912</v>
      </c>
      <c r="F567" s="390">
        <v>43617</v>
      </c>
      <c r="G567" s="160">
        <v>271553.78999999998</v>
      </c>
      <c r="H567" s="206">
        <v>175962.43</v>
      </c>
      <c r="J567" s="390">
        <v>43709</v>
      </c>
      <c r="K567" s="206">
        <v>175832.82</v>
      </c>
      <c r="N567" s="560">
        <f t="shared" si="3"/>
        <v>186232.32668199783</v>
      </c>
    </row>
    <row r="568" spans="1:14" x14ac:dyDescent="0.2">
      <c r="A568" s="417">
        <v>43160</v>
      </c>
      <c r="B568" s="403">
        <v>330042.21999999997</v>
      </c>
      <c r="F568" s="390">
        <v>43647</v>
      </c>
      <c r="G568" s="160">
        <v>272625.19</v>
      </c>
      <c r="H568" s="206">
        <v>176392.07</v>
      </c>
      <c r="J568" s="390">
        <v>43739</v>
      </c>
      <c r="K568" s="206">
        <v>176684.91</v>
      </c>
      <c r="N568" s="560">
        <f t="shared" si="3"/>
        <v>187163.48831540783</v>
      </c>
    </row>
    <row r="569" spans="1:14" x14ac:dyDescent="0.2">
      <c r="A569" s="417">
        <v>43161</v>
      </c>
      <c r="B569" s="445">
        <v>367034.5</v>
      </c>
      <c r="F569" s="390">
        <v>43678</v>
      </c>
      <c r="G569" s="160">
        <v>249105.04</v>
      </c>
      <c r="H569" s="206">
        <v>174581.16</v>
      </c>
      <c r="J569" s="390">
        <v>43770</v>
      </c>
      <c r="K569" s="206">
        <v>180686.55</v>
      </c>
      <c r="N569" s="560">
        <f t="shared" si="3"/>
        <v>188099.30575698486</v>
      </c>
    </row>
    <row r="570" spans="1:14" x14ac:dyDescent="0.2">
      <c r="A570" s="417">
        <v>43164</v>
      </c>
      <c r="B570" s="403">
        <v>330990.42</v>
      </c>
      <c r="F570" s="390">
        <v>43709</v>
      </c>
      <c r="G570" s="160">
        <v>224675.57</v>
      </c>
      <c r="H570" s="206">
        <v>175832.82</v>
      </c>
      <c r="J570" s="390">
        <v>43800</v>
      </c>
      <c r="K570" s="206">
        <v>184417.26</v>
      </c>
      <c r="N570" s="560">
        <f t="shared" si="3"/>
        <v>189039.80228576978</v>
      </c>
    </row>
    <row r="571" spans="1:14" x14ac:dyDescent="0.2">
      <c r="A571" s="417">
        <v>43165</v>
      </c>
      <c r="B571" s="403">
        <v>333065.89</v>
      </c>
      <c r="F571" s="390">
        <v>43739</v>
      </c>
      <c r="G571" s="160">
        <f>250597.51-10616</f>
        <v>239981.51</v>
      </c>
      <c r="H571" s="206">
        <v>176684.91</v>
      </c>
      <c r="J571" s="390">
        <v>43831</v>
      </c>
      <c r="K571" s="206">
        <v>186588.03</v>
      </c>
      <c r="N571" s="560">
        <f t="shared" si="3"/>
        <v>189985.00129719861</v>
      </c>
    </row>
    <row r="572" spans="1:14" x14ac:dyDescent="0.2">
      <c r="A572" s="417">
        <v>43166</v>
      </c>
      <c r="B572" s="403">
        <v>331065.89</v>
      </c>
      <c r="F572" s="390">
        <v>43770</v>
      </c>
      <c r="G572" s="160">
        <f>213081.72-10616</f>
        <v>202465.72</v>
      </c>
      <c r="H572" s="206">
        <v>180686.55</v>
      </c>
      <c r="J572" s="390">
        <v>43862</v>
      </c>
      <c r="K572" s="206">
        <v>177685.24</v>
      </c>
      <c r="N572" s="560">
        <f t="shared" si="3"/>
        <v>190934.9263036846</v>
      </c>
    </row>
    <row r="573" spans="1:14" x14ac:dyDescent="0.2">
      <c r="A573" s="417">
        <v>43167</v>
      </c>
      <c r="B573" s="403">
        <v>331092.17</v>
      </c>
      <c r="F573" s="390">
        <v>43800</v>
      </c>
      <c r="G573" s="160">
        <v>298881.24</v>
      </c>
      <c r="H573" s="206">
        <v>184417.26</v>
      </c>
      <c r="J573" s="390">
        <v>43891</v>
      </c>
      <c r="K573" s="206">
        <v>162398.81</v>
      </c>
      <c r="N573" s="560">
        <f t="shared" si="3"/>
        <v>191889.60093520302</v>
      </c>
    </row>
    <row r="574" spans="1:14" x14ac:dyDescent="0.2">
      <c r="A574" s="417">
        <v>43168</v>
      </c>
      <c r="B574" s="403">
        <v>311733.17</v>
      </c>
      <c r="F574" s="390">
        <v>43831</v>
      </c>
      <c r="G574" s="160">
        <v>326352.59000000003</v>
      </c>
      <c r="H574" s="206">
        <v>186588.03</v>
      </c>
      <c r="J574" s="390">
        <v>43922</v>
      </c>
      <c r="K574" s="206">
        <v>175055.83</v>
      </c>
      <c r="N574" s="560">
        <f t="shared" si="3"/>
        <v>192849.04893987905</v>
      </c>
    </row>
    <row r="575" spans="1:14" x14ac:dyDescent="0.2">
      <c r="A575" s="417">
        <v>43171</v>
      </c>
      <c r="B575" s="403">
        <v>317116.19</v>
      </c>
      <c r="F575" s="390">
        <v>43862</v>
      </c>
      <c r="G575" s="160">
        <v>247842.14</v>
      </c>
      <c r="H575" s="206">
        <v>177685.24</v>
      </c>
      <c r="J575" s="390">
        <v>43952</v>
      </c>
      <c r="K575" s="206">
        <v>180640.71</v>
      </c>
      <c r="N575" s="560">
        <f t="shared" si="3"/>
        <v>193813.29418457844</v>
      </c>
    </row>
    <row r="576" spans="1:14" x14ac:dyDescent="0.2">
      <c r="A576" s="417">
        <v>43172</v>
      </c>
      <c r="B576" s="403">
        <v>317116</v>
      </c>
      <c r="F576" s="390">
        <v>43891</v>
      </c>
      <c r="G576" s="160">
        <v>256001.05</v>
      </c>
      <c r="H576" s="206">
        <v>162398.81</v>
      </c>
      <c r="J576" s="390">
        <v>43983</v>
      </c>
      <c r="K576" s="206">
        <v>183627.14</v>
      </c>
      <c r="N576" s="560">
        <f t="shared" si="3"/>
        <v>194782.36065550134</v>
      </c>
    </row>
    <row r="577" spans="1:18" x14ac:dyDescent="0.2">
      <c r="A577" s="417">
        <v>43173</v>
      </c>
      <c r="B577" s="403">
        <v>317496.19</v>
      </c>
      <c r="F577" s="390">
        <v>43922</v>
      </c>
      <c r="G577" s="160">
        <v>319553.11</v>
      </c>
      <c r="H577" s="206">
        <v>175055.83</v>
      </c>
      <c r="J577" s="390">
        <v>44013</v>
      </c>
      <c r="K577" s="206">
        <v>191310.14</v>
      </c>
      <c r="L577" s="190"/>
      <c r="N577" s="560">
        <f t="shared" si="3"/>
        <v>195756.27245877884</v>
      </c>
      <c r="O577" s="190"/>
      <c r="P577" s="190"/>
      <c r="Q577" s="190"/>
      <c r="R577" s="190"/>
    </row>
    <row r="578" spans="1:18" x14ac:dyDescent="0.2">
      <c r="A578" s="417">
        <v>43174</v>
      </c>
      <c r="B578" s="403">
        <v>317772.45</v>
      </c>
      <c r="F578" s="390">
        <v>43952</v>
      </c>
      <c r="G578" s="160">
        <v>373887.89</v>
      </c>
      <c r="H578" s="206">
        <v>180640.71</v>
      </c>
      <c r="J578" s="390">
        <v>44044</v>
      </c>
      <c r="K578" s="206">
        <v>196731.42</v>
      </c>
      <c r="L578" s="190"/>
      <c r="N578" s="560">
        <f t="shared" si="3"/>
        <v>196735.05382107274</v>
      </c>
      <c r="P578" s="190"/>
      <c r="Q578" s="190"/>
      <c r="R578" s="190"/>
    </row>
    <row r="579" spans="1:18" x14ac:dyDescent="0.2">
      <c r="A579" s="417">
        <v>43175</v>
      </c>
      <c r="B579" s="403">
        <v>317772</v>
      </c>
      <c r="C579" s="417"/>
      <c r="D579" s="403"/>
      <c r="F579" s="390">
        <v>43983</v>
      </c>
      <c r="G579" s="160">
        <v>387259.9</v>
      </c>
      <c r="H579" s="206">
        <v>183627.14</v>
      </c>
      <c r="J579" s="390">
        <v>44075</v>
      </c>
      <c r="K579" s="206">
        <v>192424.98</v>
      </c>
      <c r="L579" s="190"/>
      <c r="N579" s="560">
        <f t="shared" si="3"/>
        <v>197718.72909017809</v>
      </c>
      <c r="P579" s="190"/>
      <c r="Q579" s="190"/>
      <c r="R579" s="190"/>
    </row>
    <row r="580" spans="1:18" x14ac:dyDescent="0.2">
      <c r="A580" s="417">
        <v>43178</v>
      </c>
      <c r="B580" s="403">
        <v>279446.55</v>
      </c>
      <c r="C580" s="417"/>
      <c r="D580" s="403"/>
      <c r="F580" s="390">
        <v>44013</v>
      </c>
      <c r="G580" s="160">
        <v>393896.48</v>
      </c>
      <c r="H580" s="206">
        <v>191310.14</v>
      </c>
      <c r="J580" s="390">
        <v>44105</v>
      </c>
      <c r="K580" s="206">
        <v>189044.54</v>
      </c>
      <c r="L580" s="190"/>
      <c r="N580" s="560">
        <f t="shared" si="3"/>
        <v>198707.32273562899</v>
      </c>
      <c r="P580" s="190"/>
      <c r="Q580" s="190"/>
      <c r="R580" s="190"/>
    </row>
    <row r="581" spans="1:18" x14ac:dyDescent="0.2">
      <c r="A581" s="417">
        <v>43179</v>
      </c>
      <c r="B581" s="403">
        <v>272785.62</v>
      </c>
      <c r="C581" s="417"/>
      <c r="D581" s="403"/>
      <c r="F581" s="390">
        <v>44044</v>
      </c>
      <c r="G581" s="160">
        <v>318622.86</v>
      </c>
      <c r="H581" s="206">
        <v>196731.42</v>
      </c>
      <c r="J581" s="390">
        <v>44136</v>
      </c>
      <c r="K581" s="206">
        <v>201253.81</v>
      </c>
      <c r="L581" s="190"/>
      <c r="N581" s="560">
        <f t="shared" si="3"/>
        <v>199700.85934930714</v>
      </c>
      <c r="P581" s="190"/>
      <c r="Q581" s="190"/>
      <c r="R581" s="190"/>
    </row>
    <row r="582" spans="1:18" x14ac:dyDescent="0.2">
      <c r="A582" s="417">
        <v>43180</v>
      </c>
      <c r="B582" s="403">
        <v>288240.15999999997</v>
      </c>
      <c r="C582" s="417"/>
      <c r="D582" s="403"/>
      <c r="F582" s="390">
        <v>44075</v>
      </c>
      <c r="G582" s="160">
        <v>310792.11</v>
      </c>
      <c r="H582" s="206">
        <v>192424.98</v>
      </c>
      <c r="J582" s="390">
        <v>44166</v>
      </c>
      <c r="K582" s="206">
        <v>206549.06</v>
      </c>
      <c r="L582" s="190"/>
      <c r="N582" s="560">
        <f t="shared" si="3"/>
        <v>200699.36364605368</v>
      </c>
      <c r="O582" s="190"/>
      <c r="P582" s="190"/>
      <c r="Q582" s="190"/>
      <c r="R582" s="190"/>
    </row>
    <row r="583" spans="1:18" x14ac:dyDescent="0.2">
      <c r="A583" s="417">
        <v>43181</v>
      </c>
      <c r="B583" s="403">
        <v>278742.74</v>
      </c>
      <c r="C583" s="417"/>
      <c r="D583" s="403"/>
      <c r="F583" s="390">
        <v>44105</v>
      </c>
      <c r="G583" s="160">
        <v>337545.3</v>
      </c>
      <c r="H583" s="206">
        <v>189044.54</v>
      </c>
      <c r="J583" s="390">
        <v>44197</v>
      </c>
      <c r="K583" s="206">
        <v>204163.62</v>
      </c>
      <c r="L583" s="190"/>
      <c r="N583" s="560">
        <f t="shared" si="3"/>
        <v>201702.86046428393</v>
      </c>
      <c r="O583" s="190"/>
      <c r="P583" s="190"/>
      <c r="Q583" s="190"/>
      <c r="R583" s="190"/>
    </row>
    <row r="584" spans="1:18" x14ac:dyDescent="0.2">
      <c r="A584" s="417">
        <v>43182</v>
      </c>
      <c r="B584" s="403">
        <v>278840.24</v>
      </c>
      <c r="C584" s="417"/>
      <c r="D584" s="403"/>
      <c r="F584" s="390">
        <v>44136</v>
      </c>
      <c r="G584" s="160">
        <v>407385.79</v>
      </c>
      <c r="H584" s="206">
        <v>201253.81</v>
      </c>
      <c r="J584" s="390">
        <v>44228</v>
      </c>
      <c r="K584" s="206">
        <v>207045.8</v>
      </c>
      <c r="L584" s="190"/>
      <c r="N584" s="560">
        <f t="shared" si="3"/>
        <v>202711.37476660535</v>
      </c>
      <c r="O584" s="190"/>
      <c r="P584" s="190"/>
      <c r="Q584" s="190"/>
      <c r="R584" s="190"/>
    </row>
    <row r="585" spans="1:18" x14ac:dyDescent="0.2">
      <c r="A585" s="417">
        <v>43185</v>
      </c>
      <c r="B585" s="403">
        <v>278942.24</v>
      </c>
      <c r="C585" s="417"/>
      <c r="D585" s="403"/>
      <c r="F585" s="390">
        <v>44166</v>
      </c>
      <c r="G585" s="160">
        <v>325944.61</v>
      </c>
      <c r="H585" s="206">
        <v>206549.06</v>
      </c>
      <c r="J585" s="390">
        <v>44256</v>
      </c>
      <c r="K585" s="206">
        <v>211866.05</v>
      </c>
      <c r="L585" s="190"/>
      <c r="N585" s="560">
        <f t="shared" si="3"/>
        <v>203724.93164043839</v>
      </c>
      <c r="O585" s="190"/>
      <c r="P585" s="190"/>
      <c r="Q585" s="190"/>
      <c r="R585" s="190"/>
    </row>
    <row r="586" spans="1:18" x14ac:dyDescent="0.2">
      <c r="A586" s="417">
        <v>43186</v>
      </c>
      <c r="B586" s="403">
        <v>257048.49</v>
      </c>
      <c r="C586" s="417"/>
      <c r="D586" s="403"/>
      <c r="F586" s="390">
        <v>44197</v>
      </c>
      <c r="G586" s="160">
        <v>416865.56</v>
      </c>
      <c r="H586" s="206">
        <v>204163.62</v>
      </c>
      <c r="J586" s="390">
        <v>44287</v>
      </c>
      <c r="K586" s="206">
        <v>218448.38</v>
      </c>
      <c r="L586" s="190"/>
      <c r="N586" s="560">
        <f t="shared" si="3"/>
        <v>204743.55629864059</v>
      </c>
      <c r="O586" s="190"/>
      <c r="P586" s="190"/>
      <c r="Q586" s="190"/>
      <c r="R586" s="190"/>
    </row>
    <row r="587" spans="1:18" x14ac:dyDescent="0.2">
      <c r="A587" s="417">
        <v>43187</v>
      </c>
      <c r="B587" s="403">
        <v>252662.47</v>
      </c>
      <c r="C587" s="417"/>
      <c r="D587" s="403"/>
      <c r="F587" s="390">
        <v>44228</v>
      </c>
      <c r="G587" s="160">
        <v>403762.36</v>
      </c>
      <c r="H587" s="206">
        <v>207045.8</v>
      </c>
      <c r="J587" s="390">
        <v>44317</v>
      </c>
      <c r="K587" s="206">
        <f>222185</f>
        <v>222185</v>
      </c>
      <c r="L587" s="190"/>
      <c r="N587" s="560">
        <f t="shared" si="3"/>
        <v>205767.27408013379</v>
      </c>
      <c r="O587" s="190"/>
      <c r="P587" s="190"/>
      <c r="Q587" s="190"/>
      <c r="R587" s="190"/>
    </row>
    <row r="588" spans="1:18" x14ac:dyDescent="0.2">
      <c r="A588" s="417">
        <v>43188</v>
      </c>
      <c r="B588" s="403">
        <v>254708.73</v>
      </c>
      <c r="C588" s="417"/>
      <c r="D588" s="403"/>
      <c r="F588" s="390">
        <v>44256</v>
      </c>
      <c r="G588" s="160">
        <v>218522.99</v>
      </c>
      <c r="H588" s="206">
        <v>211866.05</v>
      </c>
      <c r="J588" s="390">
        <v>44348</v>
      </c>
      <c r="K588" s="206">
        <v>222449.07</v>
      </c>
      <c r="L588" s="190"/>
      <c r="N588" s="560">
        <f t="shared" si="3"/>
        <v>206796.11045053447</v>
      </c>
      <c r="O588" s="190"/>
      <c r="P588" s="190"/>
      <c r="Q588" s="190"/>
      <c r="R588" s="190"/>
    </row>
    <row r="589" spans="1:18" x14ac:dyDescent="0.2">
      <c r="A589" s="417">
        <v>43189</v>
      </c>
      <c r="B589" s="403">
        <v>281702.86</v>
      </c>
      <c r="C589" s="417"/>
      <c r="D589" s="403"/>
      <c r="F589" s="390">
        <v>44287</v>
      </c>
      <c r="G589" s="160">
        <v>281784.46000000002</v>
      </c>
      <c r="H589" s="206">
        <v>218448.38</v>
      </c>
      <c r="J589" s="390">
        <v>44378</v>
      </c>
      <c r="K589" s="206">
        <v>325177.46999999997</v>
      </c>
      <c r="L589" s="190"/>
      <c r="N589" s="560">
        <f>N$525*N588/12 +N588+100000</f>
        <v>307830.09100278711</v>
      </c>
      <c r="O589" s="190"/>
      <c r="P589" s="190"/>
      <c r="Q589" s="190"/>
      <c r="R589" s="190"/>
    </row>
    <row r="590" spans="1:18" x14ac:dyDescent="0.2">
      <c r="A590" s="417">
        <v>43192</v>
      </c>
      <c r="B590" s="403">
        <v>244220.77</v>
      </c>
      <c r="C590" s="417"/>
      <c r="D590" s="403"/>
      <c r="F590" s="390">
        <v>44317</v>
      </c>
      <c r="G590" s="160">
        <v>231705.38</v>
      </c>
      <c r="H590" s="206">
        <v>222184.92</v>
      </c>
      <c r="J590" s="390">
        <v>44409</v>
      </c>
      <c r="K590" s="206">
        <v>329419.45</v>
      </c>
      <c r="L590" s="190"/>
      <c r="N590" s="560">
        <f t="shared" si="3"/>
        <v>309369.24145780102</v>
      </c>
    </row>
    <row r="591" spans="1:18" x14ac:dyDescent="0.2">
      <c r="A591" s="417">
        <v>43193</v>
      </c>
      <c r="B591" s="403">
        <v>244221</v>
      </c>
      <c r="C591" s="417"/>
      <c r="D591" s="403"/>
      <c r="F591" s="390">
        <v>44348</v>
      </c>
      <c r="G591" s="160">
        <v>254786.13</v>
      </c>
      <c r="H591" s="206">
        <v>222449.07</v>
      </c>
      <c r="J591" s="390">
        <v>44440</v>
      </c>
      <c r="K591" s="206">
        <v>318755.06</v>
      </c>
      <c r="L591" s="190"/>
      <c r="N591" s="560">
        <f t="shared" si="3"/>
        <v>310916.08766509005</v>
      </c>
    </row>
    <row r="592" spans="1:18" x14ac:dyDescent="0.2">
      <c r="A592" s="417">
        <v>43194</v>
      </c>
      <c r="B592" s="403">
        <v>244221</v>
      </c>
      <c r="C592" s="417"/>
      <c r="D592" s="403"/>
      <c r="F592" s="390">
        <v>44378</v>
      </c>
      <c r="G592" s="160">
        <v>323671.89</v>
      </c>
      <c r="H592" s="206">
        <v>325177.46999999997</v>
      </c>
      <c r="J592" s="390">
        <v>44470</v>
      </c>
      <c r="K592" s="206">
        <v>329502.62</v>
      </c>
      <c r="L592" s="190"/>
      <c r="N592" s="560">
        <f t="shared" ref="N592:N596" si="4">N$525*N591/12 +N591</f>
        <v>312470.66810341552</v>
      </c>
    </row>
    <row r="593" spans="1:14" x14ac:dyDescent="0.2">
      <c r="A593" s="417">
        <v>43195</v>
      </c>
      <c r="B593" s="403">
        <v>225503.87</v>
      </c>
      <c r="C593" s="417"/>
      <c r="D593" s="403"/>
      <c r="F593" s="390">
        <v>44409</v>
      </c>
      <c r="G593" s="160">
        <v>334383.06</v>
      </c>
      <c r="H593" s="206">
        <v>329419.45</v>
      </c>
      <c r="J593" s="390">
        <v>44501</v>
      </c>
      <c r="K593" s="206">
        <v>323833.99</v>
      </c>
      <c r="L593" s="190"/>
      <c r="N593" s="560">
        <f t="shared" si="4"/>
        <v>314033.02144393261</v>
      </c>
    </row>
    <row r="594" spans="1:14" x14ac:dyDescent="0.2">
      <c r="A594" s="417">
        <v>43196</v>
      </c>
      <c r="B594" s="403">
        <v>225504</v>
      </c>
      <c r="C594" s="417"/>
      <c r="D594" s="403"/>
      <c r="F594" s="390">
        <v>44440</v>
      </c>
      <c r="G594" s="160">
        <v>325598.5</v>
      </c>
      <c r="H594" s="206">
        <v>318755.06</v>
      </c>
      <c r="J594" s="390">
        <v>44531</v>
      </c>
      <c r="K594" s="206">
        <v>334446.53999999998</v>
      </c>
      <c r="L594" s="190"/>
      <c r="N594" s="560">
        <f t="shared" si="4"/>
        <v>315603.18655115226</v>
      </c>
    </row>
    <row r="595" spans="1:14" x14ac:dyDescent="0.2">
      <c r="A595" s="417">
        <v>43199</v>
      </c>
      <c r="B595" s="403">
        <v>225503.8</v>
      </c>
      <c r="C595" s="417"/>
      <c r="D595" s="403"/>
      <c r="F595" s="390">
        <v>44470</v>
      </c>
      <c r="G595" s="160">
        <v>397934.47</v>
      </c>
      <c r="H595" s="206">
        <v>329502.62</v>
      </c>
      <c r="J595" s="390">
        <v>44562</v>
      </c>
      <c r="K595" s="206">
        <v>323933.77</v>
      </c>
      <c r="L595" s="190"/>
      <c r="N595" s="560">
        <f t="shared" si="4"/>
        <v>317181.20248390804</v>
      </c>
    </row>
    <row r="596" spans="1:14" x14ac:dyDescent="0.2">
      <c r="A596" s="417">
        <v>43200</v>
      </c>
      <c r="B596" s="403">
        <v>227389.96</v>
      </c>
      <c r="C596" s="417"/>
      <c r="D596" s="403"/>
      <c r="F596" s="390">
        <v>44501</v>
      </c>
      <c r="G596" s="160">
        <v>304557.78000000003</v>
      </c>
      <c r="H596" s="206">
        <v>323833.99</v>
      </c>
      <c r="J596" s="390">
        <v>44593</v>
      </c>
      <c r="K596" s="206">
        <v>319586.55</v>
      </c>
      <c r="L596" s="190"/>
      <c r="N596" s="560">
        <f t="shared" si="4"/>
        <v>318767.10849632759</v>
      </c>
    </row>
    <row r="597" spans="1:14" x14ac:dyDescent="0.2">
      <c r="A597" s="417">
        <v>43201</v>
      </c>
      <c r="B597" s="403">
        <v>235472.53</v>
      </c>
      <c r="C597" s="417"/>
      <c r="D597" s="403"/>
      <c r="F597" s="390">
        <v>44531</v>
      </c>
      <c r="G597" s="160">
        <v>339829.81</v>
      </c>
      <c r="H597" s="206">
        <v>334446.53999999998</v>
      </c>
      <c r="J597" s="390">
        <v>44621</v>
      </c>
      <c r="K597" s="206">
        <v>422621.04</v>
      </c>
      <c r="L597" s="190"/>
    </row>
    <row r="598" spans="1:14" x14ac:dyDescent="0.2">
      <c r="A598" s="417">
        <v>43202</v>
      </c>
      <c r="B598" s="403">
        <v>222207.84</v>
      </c>
      <c r="C598" s="417"/>
      <c r="D598" s="403"/>
      <c r="F598" s="390">
        <v>44562</v>
      </c>
      <c r="G598" s="160">
        <v>483670.84</v>
      </c>
      <c r="H598" s="206">
        <v>323933.77</v>
      </c>
      <c r="J598" s="390">
        <v>44652</v>
      </c>
      <c r="K598" s="206">
        <v>399826.35</v>
      </c>
      <c r="L598" s="190"/>
    </row>
    <row r="599" spans="1:14" x14ac:dyDescent="0.2">
      <c r="A599" s="417">
        <v>43203</v>
      </c>
      <c r="B599" s="403">
        <v>222287.93</v>
      </c>
      <c r="C599" s="417"/>
      <c r="D599" s="403"/>
      <c r="F599" s="390">
        <v>44593</v>
      </c>
      <c r="G599" s="160">
        <v>403181.63</v>
      </c>
      <c r="H599" s="206">
        <v>319586.55</v>
      </c>
      <c r="J599" s="390">
        <v>44682</v>
      </c>
      <c r="K599" s="206">
        <v>404182.26</v>
      </c>
      <c r="L599" s="190"/>
    </row>
    <row r="600" spans="1:14" x14ac:dyDescent="0.2">
      <c r="A600" s="417">
        <v>43206</v>
      </c>
      <c r="B600" s="403">
        <v>186664.28</v>
      </c>
      <c r="C600" s="417"/>
      <c r="D600" s="403"/>
      <c r="F600" s="390">
        <v>44621</v>
      </c>
      <c r="G600" s="160">
        <v>315833.28999999998</v>
      </c>
      <c r="H600" s="206">
        <v>422621.04</v>
      </c>
      <c r="J600" s="390">
        <v>44713</v>
      </c>
      <c r="K600" s="206">
        <v>378955.05</v>
      </c>
      <c r="L600" s="190"/>
    </row>
    <row r="601" spans="1:14" x14ac:dyDescent="0.2">
      <c r="A601" s="417">
        <v>43207</v>
      </c>
      <c r="B601" s="403">
        <v>188484.95</v>
      </c>
      <c r="C601" s="417"/>
      <c r="D601" s="403"/>
      <c r="F601" s="390">
        <v>44652</v>
      </c>
      <c r="G601" s="160">
        <v>327170</v>
      </c>
      <c r="H601" s="206">
        <v>399826.35</v>
      </c>
      <c r="J601" s="390">
        <v>44743</v>
      </c>
      <c r="K601" s="206">
        <v>395341.91</v>
      </c>
      <c r="L601" s="190"/>
    </row>
    <row r="602" spans="1:14" x14ac:dyDescent="0.2">
      <c r="A602" s="417">
        <v>43208</v>
      </c>
      <c r="B602" s="403">
        <v>188485</v>
      </c>
      <c r="C602" s="417"/>
      <c r="D602" s="403"/>
      <c r="F602" s="390">
        <v>44682</v>
      </c>
      <c r="G602" s="160">
        <v>246847.16</v>
      </c>
      <c r="H602" s="206">
        <v>404182.26</v>
      </c>
      <c r="J602" s="390">
        <v>44774</v>
      </c>
      <c r="K602" s="206">
        <v>382796.02</v>
      </c>
      <c r="L602" s="190"/>
    </row>
    <row r="603" spans="1:14" x14ac:dyDescent="0.2">
      <c r="A603" s="417">
        <v>43209</v>
      </c>
      <c r="B603" s="403">
        <v>180474.73</v>
      </c>
      <c r="C603" s="417"/>
      <c r="D603" s="403"/>
      <c r="F603" s="390">
        <v>44713</v>
      </c>
      <c r="G603" s="160">
        <v>274391.32</v>
      </c>
      <c r="H603" s="206">
        <v>378955.05</v>
      </c>
      <c r="J603" s="390">
        <v>44805</v>
      </c>
      <c r="K603" s="206">
        <v>357259.36</v>
      </c>
      <c r="L603" s="190"/>
    </row>
    <row r="604" spans="1:14" x14ac:dyDescent="0.2">
      <c r="A604" s="417">
        <v>43210</v>
      </c>
      <c r="B604" s="403">
        <v>188207.38</v>
      </c>
      <c r="C604" s="417"/>
      <c r="D604" s="403"/>
      <c r="F604" s="390">
        <v>44743</v>
      </c>
      <c r="G604" s="160">
        <v>311473.07</v>
      </c>
      <c r="H604" s="206">
        <v>395341.91</v>
      </c>
      <c r="J604" s="390">
        <v>44835</v>
      </c>
      <c r="K604" s="206">
        <v>374993.63</v>
      </c>
      <c r="L604" s="190"/>
    </row>
    <row r="605" spans="1:14" x14ac:dyDescent="0.2">
      <c r="A605" s="417">
        <v>43213</v>
      </c>
      <c r="B605" s="403">
        <v>198618.83</v>
      </c>
      <c r="C605" s="417"/>
      <c r="D605" s="403"/>
      <c r="F605" s="390">
        <v>44774</v>
      </c>
      <c r="G605" s="160">
        <v>246923.1</v>
      </c>
      <c r="H605" s="206">
        <v>382796.02</v>
      </c>
      <c r="J605" s="390">
        <v>44866</v>
      </c>
      <c r="K605" s="206">
        <v>396685.21</v>
      </c>
      <c r="L605" s="190"/>
    </row>
    <row r="606" spans="1:14" x14ac:dyDescent="0.2">
      <c r="A606" s="417">
        <v>43214</v>
      </c>
      <c r="B606" s="403">
        <v>198619</v>
      </c>
      <c r="C606" s="417"/>
      <c r="D606" s="403"/>
      <c r="F606" s="390">
        <v>44805</v>
      </c>
      <c r="G606" s="160">
        <v>214783.77</v>
      </c>
      <c r="H606" s="206">
        <v>357259.36</v>
      </c>
      <c r="J606" s="390">
        <v>44896</v>
      </c>
      <c r="K606" s="206">
        <v>385734.14</v>
      </c>
      <c r="L606" s="190"/>
    </row>
    <row r="607" spans="1:14" x14ac:dyDescent="0.2">
      <c r="A607" s="417">
        <v>43215</v>
      </c>
      <c r="B607" s="403">
        <v>198619</v>
      </c>
      <c r="C607" s="417"/>
      <c r="D607" s="403"/>
      <c r="F607" s="390">
        <v>44835</v>
      </c>
      <c r="G607" s="160">
        <v>264786.40999999997</v>
      </c>
      <c r="H607" s="206">
        <v>374993.63</v>
      </c>
      <c r="J607" s="390">
        <v>44927</v>
      </c>
      <c r="K607" s="206">
        <v>402326.67</v>
      </c>
      <c r="L607" s="190"/>
    </row>
    <row r="608" spans="1:14" x14ac:dyDescent="0.2">
      <c r="A608" s="417">
        <v>43216</v>
      </c>
      <c r="B608" s="403">
        <v>189089.55</v>
      </c>
      <c r="C608" s="417"/>
      <c r="D608" s="403"/>
      <c r="F608" s="390">
        <v>44866</v>
      </c>
      <c r="G608" s="160">
        <v>290727.87</v>
      </c>
      <c r="H608" s="206">
        <v>396685.21</v>
      </c>
      <c r="J608" s="390">
        <v>44958</v>
      </c>
      <c r="K608" s="206">
        <v>390206.58</v>
      </c>
      <c r="L608" s="190"/>
    </row>
    <row r="609" spans="1:12" x14ac:dyDescent="0.2">
      <c r="A609" s="417">
        <v>43217</v>
      </c>
      <c r="B609" s="403">
        <v>216053.77</v>
      </c>
      <c r="C609" s="417"/>
      <c r="D609" s="403"/>
      <c r="F609" s="390">
        <v>44896</v>
      </c>
      <c r="G609" s="160">
        <v>362006.45</v>
      </c>
      <c r="H609" s="206">
        <v>385734.14</v>
      </c>
      <c r="J609" s="390">
        <v>44986</v>
      </c>
      <c r="K609" s="206">
        <v>396440.66</v>
      </c>
      <c r="L609" s="190"/>
    </row>
    <row r="610" spans="1:12" x14ac:dyDescent="0.2">
      <c r="A610" s="417">
        <v>43220</v>
      </c>
      <c r="B610" s="403">
        <v>179849.52</v>
      </c>
      <c r="C610" s="417"/>
      <c r="F610" s="390">
        <v>44927</v>
      </c>
      <c r="G610" s="160">
        <v>494072.83</v>
      </c>
      <c r="H610" s="206">
        <v>402326.67</v>
      </c>
      <c r="J610" s="390">
        <v>45017</v>
      </c>
      <c r="K610" s="206">
        <v>401182.89</v>
      </c>
      <c r="L610" s="190"/>
    </row>
    <row r="611" spans="1:12" x14ac:dyDescent="0.2">
      <c r="A611" s="417">
        <v>43221</v>
      </c>
      <c r="B611" s="403">
        <v>179850</v>
      </c>
      <c r="C611" s="417"/>
      <c r="F611" s="390">
        <v>44958</v>
      </c>
      <c r="G611" s="160">
        <v>399857.44</v>
      </c>
      <c r="H611" s="206">
        <v>390206.58</v>
      </c>
      <c r="J611" s="390">
        <v>45047</v>
      </c>
      <c r="K611" s="206">
        <v>393246.23</v>
      </c>
      <c r="L611" s="190"/>
    </row>
    <row r="612" spans="1:12" x14ac:dyDescent="0.2">
      <c r="A612" s="417">
        <v>43222</v>
      </c>
      <c r="B612" s="403">
        <v>173749.01</v>
      </c>
      <c r="C612" s="417"/>
      <c r="F612" s="390">
        <v>44986</v>
      </c>
      <c r="G612" s="160">
        <v>279188.34999999998</v>
      </c>
      <c r="H612" s="206">
        <v>396440.66</v>
      </c>
      <c r="J612" s="390">
        <v>45078</v>
      </c>
      <c r="K612" s="206">
        <v>408061</v>
      </c>
      <c r="L612" s="190"/>
    </row>
    <row r="613" spans="1:12" x14ac:dyDescent="0.2">
      <c r="A613" s="417">
        <v>43223</v>
      </c>
      <c r="B613" s="403">
        <v>200792.85</v>
      </c>
      <c r="C613" s="417"/>
      <c r="F613" s="390">
        <v>45017</v>
      </c>
      <c r="G613" s="160">
        <v>302008.53000000003</v>
      </c>
      <c r="H613" s="206">
        <v>401182.89</v>
      </c>
      <c r="J613" s="390">
        <v>45108</v>
      </c>
      <c r="K613" s="206">
        <v>417521.72</v>
      </c>
    </row>
    <row r="614" spans="1:12" x14ac:dyDescent="0.2">
      <c r="A614" s="417">
        <v>43224</v>
      </c>
      <c r="B614" s="403">
        <v>202331.91</v>
      </c>
      <c r="C614" s="417"/>
      <c r="F614" s="390">
        <v>45047</v>
      </c>
      <c r="G614" s="160">
        <v>222544.3</v>
      </c>
      <c r="H614" s="206">
        <v>393246.23</v>
      </c>
      <c r="J614" s="390">
        <v>45139</v>
      </c>
      <c r="K614" s="206">
        <v>410999.58</v>
      </c>
    </row>
    <row r="615" spans="1:12" x14ac:dyDescent="0.2">
      <c r="A615" s="417">
        <v>43227</v>
      </c>
      <c r="B615" s="403">
        <v>203517.87</v>
      </c>
      <c r="C615" s="417"/>
      <c r="F615" s="390">
        <v>45078</v>
      </c>
      <c r="G615" s="160">
        <v>303528.63</v>
      </c>
      <c r="H615" s="206">
        <v>408061</v>
      </c>
      <c r="J615" s="390">
        <v>45170</v>
      </c>
      <c r="K615" s="206">
        <v>396973.48</v>
      </c>
      <c r="L615" s="190"/>
    </row>
    <row r="616" spans="1:12" x14ac:dyDescent="0.2">
      <c r="A616" s="417">
        <v>43228</v>
      </c>
      <c r="B616" s="403">
        <v>203518</v>
      </c>
      <c r="C616" s="417"/>
      <c r="F616" s="390">
        <v>45108</v>
      </c>
      <c r="G616" s="160">
        <v>279453.21999999997</v>
      </c>
      <c r="H616" s="206">
        <v>417521.72</v>
      </c>
      <c r="J616" s="390">
        <v>45200</v>
      </c>
      <c r="K616" s="206">
        <v>389315.86</v>
      </c>
      <c r="L616" s="190"/>
    </row>
    <row r="617" spans="1:12" x14ac:dyDescent="0.2">
      <c r="A617" s="417">
        <v>43229</v>
      </c>
      <c r="B617" s="403">
        <v>203518</v>
      </c>
      <c r="C617" s="417"/>
      <c r="F617" s="390">
        <v>45139</v>
      </c>
      <c r="G617" s="160">
        <v>235427.62</v>
      </c>
      <c r="H617" s="206">
        <v>410999.58</v>
      </c>
      <c r="J617" s="390">
        <v>45231</v>
      </c>
      <c r="K617" s="206">
        <v>415432.2</v>
      </c>
      <c r="L617" s="190"/>
    </row>
    <row r="618" spans="1:12" x14ac:dyDescent="0.2">
      <c r="A618" s="417">
        <v>43230</v>
      </c>
      <c r="B618" s="403">
        <v>191114.58</v>
      </c>
      <c r="C618" s="417"/>
      <c r="F618" s="390">
        <v>45170</v>
      </c>
      <c r="G618" s="160">
        <v>301323.59999999998</v>
      </c>
      <c r="H618" s="206">
        <v>396973.48</v>
      </c>
      <c r="J618" s="390">
        <v>45261</v>
      </c>
      <c r="K618" s="206">
        <v>434275.6</v>
      </c>
      <c r="L618" s="190"/>
    </row>
    <row r="619" spans="1:12" x14ac:dyDescent="0.2">
      <c r="A619" s="417">
        <v>43231</v>
      </c>
      <c r="B619" s="445">
        <v>153114.57999999999</v>
      </c>
      <c r="C619" s="417"/>
      <c r="D619" s="403"/>
      <c r="F619" s="390">
        <v>45200</v>
      </c>
      <c r="G619" s="160">
        <v>355947.69</v>
      </c>
      <c r="H619" s="206">
        <v>389315.86</v>
      </c>
      <c r="L619" s="190"/>
    </row>
    <row r="620" spans="1:12" x14ac:dyDescent="0.2">
      <c r="A620" s="417">
        <v>43234</v>
      </c>
      <c r="B620" s="445">
        <v>153115</v>
      </c>
      <c r="C620" s="417"/>
      <c r="D620" s="403"/>
      <c r="F620" s="390">
        <v>45231</v>
      </c>
      <c r="G620" s="160">
        <v>269865.12</v>
      </c>
      <c r="H620" s="206">
        <v>415432.2</v>
      </c>
      <c r="L620" s="190"/>
    </row>
    <row r="621" spans="1:12" x14ac:dyDescent="0.2">
      <c r="A621" s="417">
        <v>43235</v>
      </c>
      <c r="B621" s="403">
        <v>182792.08</v>
      </c>
      <c r="C621" s="417"/>
      <c r="D621" s="403"/>
      <c r="F621" s="390">
        <v>45261</v>
      </c>
      <c r="G621" s="160">
        <v>266691.07</v>
      </c>
      <c r="H621" s="206">
        <v>434275.6</v>
      </c>
      <c r="L621" s="190"/>
    </row>
    <row r="622" spans="1:12" x14ac:dyDescent="0.2">
      <c r="A622" s="417">
        <v>43236</v>
      </c>
      <c r="B622" s="403">
        <v>182792</v>
      </c>
      <c r="C622" s="417"/>
      <c r="D622" s="403"/>
      <c r="L622" s="190"/>
    </row>
    <row r="623" spans="1:12" x14ac:dyDescent="0.2">
      <c r="A623" s="417">
        <v>43237</v>
      </c>
      <c r="B623" s="403">
        <v>222152.66</v>
      </c>
      <c r="C623" s="417"/>
      <c r="D623" s="403"/>
      <c r="L623" s="190"/>
    </row>
    <row r="624" spans="1:12" x14ac:dyDescent="0.2">
      <c r="A624" s="417">
        <v>43238</v>
      </c>
      <c r="B624" s="403">
        <v>222153</v>
      </c>
      <c r="C624" s="417"/>
      <c r="D624" s="403"/>
      <c r="L624" s="190"/>
    </row>
    <row r="625" spans="1:12" x14ac:dyDescent="0.2">
      <c r="A625" s="417">
        <v>43241</v>
      </c>
      <c r="B625" s="403">
        <v>222153</v>
      </c>
      <c r="C625" s="417"/>
      <c r="D625" s="403"/>
      <c r="L625" s="190"/>
    </row>
    <row r="626" spans="1:12" x14ac:dyDescent="0.2">
      <c r="A626" s="417">
        <v>43242</v>
      </c>
      <c r="B626" s="403">
        <v>222153</v>
      </c>
      <c r="C626" s="417"/>
      <c r="D626" s="403"/>
      <c r="L626" s="190"/>
    </row>
    <row r="627" spans="1:12" x14ac:dyDescent="0.2">
      <c r="A627" s="417">
        <v>43243</v>
      </c>
      <c r="B627" s="403">
        <v>222152</v>
      </c>
      <c r="C627" s="417"/>
      <c r="D627" s="403"/>
      <c r="F627" t="s">
        <v>391</v>
      </c>
      <c r="L627" s="190"/>
    </row>
    <row r="628" spans="1:12" x14ac:dyDescent="0.2">
      <c r="A628" s="417">
        <v>43244</v>
      </c>
      <c r="B628" s="403">
        <v>211720.43</v>
      </c>
      <c r="C628" s="417"/>
      <c r="D628" s="403"/>
      <c r="F628" t="s">
        <v>357</v>
      </c>
      <c r="G628">
        <v>50000</v>
      </c>
    </row>
    <row r="629" spans="1:12" x14ac:dyDescent="0.2">
      <c r="A629" s="417">
        <v>43245</v>
      </c>
      <c r="B629" s="403">
        <v>211720</v>
      </c>
      <c r="C629" s="417"/>
      <c r="D629" s="403"/>
      <c r="F629" t="s">
        <v>70</v>
      </c>
      <c r="G629" s="258">
        <v>158720.91</v>
      </c>
      <c r="H629" t="s">
        <v>350</v>
      </c>
    </row>
    <row r="630" spans="1:12" x14ac:dyDescent="0.2">
      <c r="A630" s="417">
        <v>43248</v>
      </c>
      <c r="B630" s="403">
        <v>211720</v>
      </c>
      <c r="C630" s="417"/>
      <c r="D630" s="403"/>
      <c r="F630" t="s">
        <v>347</v>
      </c>
      <c r="G630" s="258">
        <v>820788.58</v>
      </c>
    </row>
    <row r="631" spans="1:12" x14ac:dyDescent="0.2">
      <c r="A631" s="417">
        <v>43249</v>
      </c>
      <c r="B631" s="403">
        <v>176327.95</v>
      </c>
      <c r="C631" s="417"/>
      <c r="D631" s="403"/>
      <c r="F631" t="s">
        <v>324</v>
      </c>
      <c r="G631" s="258"/>
    </row>
    <row r="632" spans="1:12" x14ac:dyDescent="0.2">
      <c r="A632" s="417">
        <v>43250</v>
      </c>
      <c r="B632" s="403">
        <v>176328</v>
      </c>
      <c r="C632" s="417"/>
      <c r="D632" s="403"/>
      <c r="F632" t="s">
        <v>348</v>
      </c>
      <c r="G632" s="258">
        <v>248821.26</v>
      </c>
    </row>
    <row r="633" spans="1:12" x14ac:dyDescent="0.2">
      <c r="A633" s="417">
        <v>43251</v>
      </c>
      <c r="B633" s="403">
        <v>169004.5</v>
      </c>
      <c r="C633" s="417"/>
      <c r="D633" s="403"/>
      <c r="F633" t="s">
        <v>349</v>
      </c>
      <c r="G633" s="258">
        <v>2000</v>
      </c>
    </row>
    <row r="634" spans="1:12" x14ac:dyDescent="0.2">
      <c r="A634" s="417">
        <v>43252</v>
      </c>
      <c r="B634" s="403">
        <v>261992.26</v>
      </c>
      <c r="C634" s="417"/>
      <c r="D634" s="403"/>
      <c r="F634" t="s">
        <v>355</v>
      </c>
      <c r="G634" s="258">
        <f>51000+19000</f>
        <v>70000</v>
      </c>
    </row>
    <row r="635" spans="1:12" x14ac:dyDescent="0.2">
      <c r="A635" s="417">
        <v>43255</v>
      </c>
      <c r="B635" s="403">
        <v>270521.09000000003</v>
      </c>
      <c r="C635" s="417"/>
      <c r="D635" s="403"/>
      <c r="E635" t="s">
        <v>351</v>
      </c>
      <c r="G635" s="258">
        <f>SUM(G628:G634)</f>
        <v>1350330.75</v>
      </c>
    </row>
    <row r="636" spans="1:12" x14ac:dyDescent="0.2">
      <c r="A636" s="417">
        <v>43256</v>
      </c>
      <c r="B636" s="403">
        <v>285365.09000000003</v>
      </c>
      <c r="C636" s="417"/>
      <c r="D636" s="403"/>
      <c r="G636" s="258"/>
    </row>
    <row r="637" spans="1:12" x14ac:dyDescent="0.2">
      <c r="A637" s="417">
        <v>43257</v>
      </c>
      <c r="B637" s="403">
        <v>285365</v>
      </c>
      <c r="C637" s="417"/>
      <c r="D637" s="403"/>
      <c r="E637" t="s">
        <v>352</v>
      </c>
      <c r="G637" s="258">
        <f>AVERAGE(G561:G573)</f>
        <v>264939.10923076922</v>
      </c>
    </row>
    <row r="638" spans="1:12" x14ac:dyDescent="0.2">
      <c r="A638" s="417">
        <v>43258</v>
      </c>
      <c r="B638" s="403">
        <v>287246.65999999997</v>
      </c>
      <c r="C638" s="417"/>
      <c r="D638" s="403"/>
      <c r="G638" s="258"/>
    </row>
    <row r="639" spans="1:12" x14ac:dyDescent="0.2">
      <c r="A639" s="417">
        <v>43259</v>
      </c>
      <c r="B639" s="403">
        <v>287247</v>
      </c>
      <c r="C639" s="417"/>
      <c r="D639" s="403"/>
      <c r="E639" t="s">
        <v>353</v>
      </c>
      <c r="G639" s="21">
        <f>G635/G637</f>
        <v>5.0967588511963511</v>
      </c>
    </row>
    <row r="640" spans="1:12" x14ac:dyDescent="0.2">
      <c r="A640" s="417">
        <v>43262</v>
      </c>
      <c r="B640" s="403">
        <v>287247</v>
      </c>
      <c r="C640" s="417"/>
      <c r="D640" s="403"/>
      <c r="G640" s="258"/>
    </row>
    <row r="641" spans="1:7" x14ac:dyDescent="0.2">
      <c r="A641" s="417">
        <v>43263</v>
      </c>
      <c r="B641" s="403">
        <v>253042.79</v>
      </c>
      <c r="C641" s="417"/>
      <c r="D641" s="403"/>
      <c r="E641" t="s">
        <v>354</v>
      </c>
      <c r="G641" s="258">
        <v>365</v>
      </c>
    </row>
    <row r="642" spans="1:7" x14ac:dyDescent="0.2">
      <c r="A642" s="417">
        <v>43264</v>
      </c>
      <c r="B642" s="403">
        <v>253043</v>
      </c>
      <c r="C642" s="417"/>
      <c r="D642" s="403"/>
      <c r="G642" s="258">
        <f>G641/G639</f>
        <v>71.614139624111189</v>
      </c>
    </row>
    <row r="643" spans="1:7" x14ac:dyDescent="0.2">
      <c r="A643" s="417">
        <v>43265</v>
      </c>
      <c r="B643" s="403">
        <v>246521.36</v>
      </c>
      <c r="C643" s="417"/>
      <c r="D643" s="403"/>
    </row>
    <row r="644" spans="1:7" x14ac:dyDescent="0.2">
      <c r="A644" s="417">
        <v>43266</v>
      </c>
      <c r="B644" s="403">
        <v>246593.56</v>
      </c>
      <c r="C644" s="417"/>
      <c r="D644" s="403"/>
    </row>
    <row r="645" spans="1:7" x14ac:dyDescent="0.2">
      <c r="A645" s="417">
        <v>43269</v>
      </c>
      <c r="B645" s="403">
        <v>246594</v>
      </c>
      <c r="C645" s="417"/>
      <c r="D645" s="403"/>
    </row>
    <row r="646" spans="1:7" x14ac:dyDescent="0.2">
      <c r="A646" s="417">
        <v>43270</v>
      </c>
      <c r="B646" s="403">
        <v>246594</v>
      </c>
      <c r="C646" s="417"/>
      <c r="D646" s="403"/>
    </row>
    <row r="647" spans="1:7" x14ac:dyDescent="0.2">
      <c r="A647" s="417">
        <v>43271</v>
      </c>
      <c r="B647" s="403">
        <v>246594</v>
      </c>
      <c r="C647" s="417"/>
      <c r="D647" s="403"/>
    </row>
    <row r="648" spans="1:7" x14ac:dyDescent="0.2">
      <c r="A648" s="417">
        <v>43272</v>
      </c>
      <c r="B648" s="403">
        <v>228395.48</v>
      </c>
      <c r="C648" s="417"/>
      <c r="D648" s="403"/>
    </row>
    <row r="649" spans="1:7" x14ac:dyDescent="0.2">
      <c r="A649" s="417">
        <v>43273</v>
      </c>
      <c r="B649" s="403">
        <v>228395</v>
      </c>
      <c r="C649" s="417"/>
      <c r="D649" s="403"/>
    </row>
    <row r="650" spans="1:7" x14ac:dyDescent="0.2">
      <c r="A650" s="417">
        <v>43276</v>
      </c>
      <c r="B650" s="403">
        <v>192627.9</v>
      </c>
      <c r="C650" s="417"/>
      <c r="D650" s="403"/>
    </row>
    <row r="651" spans="1:7" x14ac:dyDescent="0.2">
      <c r="A651" s="417">
        <v>43277</v>
      </c>
      <c r="B651" s="403">
        <v>192628</v>
      </c>
      <c r="C651" s="417"/>
      <c r="D651" s="403"/>
    </row>
    <row r="652" spans="1:7" x14ac:dyDescent="0.2">
      <c r="A652" s="417">
        <v>43278</v>
      </c>
      <c r="B652" s="403">
        <v>192628</v>
      </c>
      <c r="C652" s="417"/>
      <c r="D652" s="403"/>
    </row>
    <row r="653" spans="1:7" x14ac:dyDescent="0.2">
      <c r="A653" s="417">
        <v>43279</v>
      </c>
      <c r="B653" s="403">
        <v>193904.61</v>
      </c>
      <c r="C653" s="417"/>
      <c r="D653" s="403"/>
    </row>
    <row r="654" spans="1:7" x14ac:dyDescent="0.2">
      <c r="A654" s="417">
        <v>43280</v>
      </c>
      <c r="B654" s="403">
        <v>195328.48</v>
      </c>
      <c r="C654" s="417"/>
      <c r="D654" s="403"/>
    </row>
    <row r="655" spans="1:7" x14ac:dyDescent="0.2">
      <c r="A655" s="417">
        <v>43283</v>
      </c>
      <c r="B655" s="403">
        <v>199304.09</v>
      </c>
      <c r="C655" s="417"/>
      <c r="D655" s="403"/>
    </row>
    <row r="656" spans="1:7" x14ac:dyDescent="0.2">
      <c r="A656" s="417">
        <v>43284</v>
      </c>
      <c r="B656" s="403">
        <v>201071.11</v>
      </c>
      <c r="C656" s="417"/>
      <c r="D656" s="403"/>
    </row>
    <row r="657" spans="1:4" x14ac:dyDescent="0.2">
      <c r="A657" s="417">
        <v>43285</v>
      </c>
      <c r="B657" s="403">
        <v>201071</v>
      </c>
      <c r="C657" s="417"/>
      <c r="D657" s="403"/>
    </row>
    <row r="658" spans="1:4" x14ac:dyDescent="0.2">
      <c r="A658" s="417">
        <v>43286</v>
      </c>
      <c r="B658" s="403">
        <v>223298.16</v>
      </c>
      <c r="C658" s="417"/>
      <c r="D658" s="403"/>
    </row>
    <row r="659" spans="1:4" x14ac:dyDescent="0.2">
      <c r="A659" s="417">
        <v>43287</v>
      </c>
      <c r="B659" s="403">
        <v>238962.66</v>
      </c>
      <c r="C659" s="417"/>
      <c r="D659" s="403"/>
    </row>
    <row r="660" spans="1:4" x14ac:dyDescent="0.2">
      <c r="A660" s="417">
        <v>43290</v>
      </c>
      <c r="B660" s="403">
        <v>203086.22</v>
      </c>
      <c r="C660" s="417"/>
      <c r="D660" s="403"/>
    </row>
    <row r="661" spans="1:4" x14ac:dyDescent="0.2">
      <c r="A661" s="417">
        <v>43291</v>
      </c>
      <c r="B661" s="403">
        <v>226930.31</v>
      </c>
      <c r="C661" s="417"/>
      <c r="D661" s="403"/>
    </row>
    <row r="662" spans="1:4" x14ac:dyDescent="0.2">
      <c r="A662" s="417">
        <v>43292</v>
      </c>
      <c r="B662" s="403">
        <v>226930</v>
      </c>
      <c r="C662" s="417"/>
      <c r="D662" s="403"/>
    </row>
    <row r="663" spans="1:4" x14ac:dyDescent="0.2">
      <c r="A663" s="417">
        <v>43293</v>
      </c>
      <c r="B663" s="403">
        <v>220822.05</v>
      </c>
      <c r="C663" s="417"/>
      <c r="D663" s="403"/>
    </row>
    <row r="664" spans="1:4" x14ac:dyDescent="0.2">
      <c r="A664" s="417">
        <v>43294</v>
      </c>
      <c r="B664" s="403">
        <v>220986.35</v>
      </c>
      <c r="C664" s="417"/>
      <c r="D664" s="403"/>
    </row>
    <row r="665" spans="1:4" x14ac:dyDescent="0.2">
      <c r="A665" s="417">
        <v>43297</v>
      </c>
      <c r="B665" s="403">
        <v>220986</v>
      </c>
      <c r="C665" s="417"/>
      <c r="D665" s="403"/>
    </row>
    <row r="666" spans="1:4" x14ac:dyDescent="0.2">
      <c r="A666" s="417">
        <v>43298</v>
      </c>
      <c r="B666" s="403">
        <v>220986</v>
      </c>
      <c r="C666" s="417"/>
      <c r="D666" s="403"/>
    </row>
    <row r="667" spans="1:4" x14ac:dyDescent="0.2">
      <c r="A667" s="417">
        <v>43299</v>
      </c>
      <c r="B667" s="403">
        <v>197995.27</v>
      </c>
      <c r="C667" s="417"/>
      <c r="D667" s="403"/>
    </row>
    <row r="668" spans="1:4" x14ac:dyDescent="0.2">
      <c r="A668" s="417">
        <v>43300</v>
      </c>
      <c r="B668" s="403">
        <v>202931.61</v>
      </c>
      <c r="C668" s="417"/>
      <c r="D668" s="403"/>
    </row>
    <row r="669" spans="1:4" x14ac:dyDescent="0.2">
      <c r="A669" s="417">
        <v>43301</v>
      </c>
      <c r="B669" s="403">
        <v>202932</v>
      </c>
      <c r="C669" s="417"/>
      <c r="D669" s="403"/>
    </row>
    <row r="670" spans="1:4" x14ac:dyDescent="0.2">
      <c r="A670" s="417">
        <v>43304</v>
      </c>
      <c r="B670" s="403">
        <v>167839.6</v>
      </c>
      <c r="C670" s="417"/>
      <c r="D670" s="403"/>
    </row>
    <row r="671" spans="1:4" x14ac:dyDescent="0.2">
      <c r="A671" s="417">
        <v>43305</v>
      </c>
      <c r="B671" s="403">
        <v>167840</v>
      </c>
      <c r="C671" s="417"/>
      <c r="D671" s="403"/>
    </row>
    <row r="672" spans="1:4" x14ac:dyDescent="0.2">
      <c r="A672" s="417">
        <v>43306</v>
      </c>
      <c r="B672" s="403">
        <v>167840</v>
      </c>
      <c r="C672" s="417"/>
      <c r="D672" s="403"/>
    </row>
    <row r="673" spans="1:4" x14ac:dyDescent="0.2">
      <c r="A673" s="417">
        <v>43307</v>
      </c>
      <c r="B673" s="403">
        <v>180485.58</v>
      </c>
      <c r="C673" s="417"/>
      <c r="D673" s="403"/>
    </row>
    <row r="674" spans="1:4" x14ac:dyDescent="0.2">
      <c r="A674" s="417">
        <v>43308</v>
      </c>
      <c r="B674" s="403">
        <v>205676.09</v>
      </c>
      <c r="C674" s="417"/>
      <c r="D674" s="403"/>
    </row>
    <row r="675" spans="1:4" x14ac:dyDescent="0.2">
      <c r="A675" s="417">
        <v>43311</v>
      </c>
      <c r="B675" s="403">
        <v>199229.46</v>
      </c>
      <c r="C675" s="417"/>
      <c r="D675" s="403"/>
    </row>
    <row r="676" spans="1:4" x14ac:dyDescent="0.2">
      <c r="A676" s="417">
        <v>43312</v>
      </c>
      <c r="B676" s="403">
        <v>199612.46</v>
      </c>
      <c r="C676" s="417"/>
      <c r="D676" s="403"/>
    </row>
    <row r="677" spans="1:4" x14ac:dyDescent="0.2">
      <c r="A677" s="417">
        <v>43313</v>
      </c>
      <c r="B677" s="403">
        <v>327321.84000000003</v>
      </c>
      <c r="C677" s="417"/>
      <c r="D677" s="403"/>
    </row>
    <row r="678" spans="1:4" x14ac:dyDescent="0.2">
      <c r="A678" s="417">
        <v>43314</v>
      </c>
      <c r="B678" s="403">
        <v>328551.67</v>
      </c>
      <c r="C678" s="417"/>
      <c r="D678" s="403"/>
    </row>
    <row r="679" spans="1:4" x14ac:dyDescent="0.2">
      <c r="A679" s="417">
        <v>43315</v>
      </c>
      <c r="B679" s="403">
        <v>328552</v>
      </c>
      <c r="C679" s="417"/>
      <c r="D679" s="403"/>
    </row>
    <row r="680" spans="1:4" x14ac:dyDescent="0.2">
      <c r="A680" s="417">
        <v>43318</v>
      </c>
      <c r="B680" s="403">
        <v>293600.95</v>
      </c>
      <c r="C680" s="417"/>
      <c r="D680" s="403"/>
    </row>
    <row r="681" spans="1:4" x14ac:dyDescent="0.2">
      <c r="A681" s="417">
        <v>43319</v>
      </c>
      <c r="B681" s="403">
        <v>298153.56</v>
      </c>
      <c r="C681" s="417"/>
      <c r="D681" s="403"/>
    </row>
    <row r="682" spans="1:4" x14ac:dyDescent="0.2">
      <c r="A682" s="417">
        <v>43320</v>
      </c>
      <c r="B682" s="403">
        <v>298154</v>
      </c>
      <c r="C682" s="417"/>
      <c r="D682" s="403"/>
    </row>
    <row r="683" spans="1:4" x14ac:dyDescent="0.2">
      <c r="A683" s="417">
        <v>43321</v>
      </c>
      <c r="B683" s="403">
        <v>294180.65999999997</v>
      </c>
      <c r="C683" s="417"/>
      <c r="D683" s="403"/>
    </row>
    <row r="684" spans="1:4" x14ac:dyDescent="0.2">
      <c r="A684" s="417">
        <v>43322</v>
      </c>
      <c r="B684" s="403">
        <v>294181</v>
      </c>
      <c r="C684" s="417"/>
      <c r="D684" s="403"/>
    </row>
    <row r="685" spans="1:4" x14ac:dyDescent="0.2">
      <c r="A685" s="417">
        <v>43325</v>
      </c>
      <c r="B685" s="403">
        <v>294679.65999999997</v>
      </c>
      <c r="C685" s="417"/>
      <c r="D685" s="403"/>
    </row>
    <row r="686" spans="1:4" x14ac:dyDescent="0.2">
      <c r="A686" s="417">
        <v>43326</v>
      </c>
      <c r="B686" s="403">
        <v>294680</v>
      </c>
      <c r="C686" s="417"/>
      <c r="D686" s="403"/>
    </row>
    <row r="687" spans="1:4" x14ac:dyDescent="0.2">
      <c r="A687" s="417">
        <v>43327</v>
      </c>
      <c r="B687" s="403">
        <v>294761.65000000002</v>
      </c>
      <c r="C687" s="417"/>
      <c r="D687" s="403"/>
    </row>
    <row r="688" spans="1:4" x14ac:dyDescent="0.2">
      <c r="A688" s="417">
        <v>43328</v>
      </c>
      <c r="B688" s="403">
        <v>290632.52</v>
      </c>
      <c r="C688" s="417"/>
      <c r="D688" s="403"/>
    </row>
    <row r="689" spans="1:4" x14ac:dyDescent="0.2">
      <c r="A689" s="417">
        <v>43329</v>
      </c>
      <c r="B689" s="403">
        <v>290633</v>
      </c>
      <c r="C689" s="417"/>
      <c r="D689" s="403"/>
    </row>
    <row r="690" spans="1:4" x14ac:dyDescent="0.2">
      <c r="A690" s="417">
        <v>43332</v>
      </c>
      <c r="B690" s="403">
        <v>254427.11</v>
      </c>
      <c r="C690" s="417"/>
      <c r="D690" s="403"/>
    </row>
    <row r="691" spans="1:4" x14ac:dyDescent="0.2">
      <c r="A691" s="417">
        <v>43333</v>
      </c>
      <c r="B691" s="403">
        <v>255823.93</v>
      </c>
      <c r="C691" s="417"/>
      <c r="D691" s="403"/>
    </row>
    <row r="692" spans="1:4" x14ac:dyDescent="0.2">
      <c r="A692" s="417">
        <v>43334</v>
      </c>
      <c r="B692" s="403">
        <v>255419.13</v>
      </c>
      <c r="C692" s="417"/>
      <c r="D692" s="403"/>
    </row>
    <row r="693" spans="1:4" x14ac:dyDescent="0.2">
      <c r="A693" s="417">
        <v>43335</v>
      </c>
      <c r="B693" s="403">
        <v>272759.37</v>
      </c>
      <c r="C693" s="417"/>
      <c r="D693" s="403"/>
    </row>
    <row r="694" spans="1:4" x14ac:dyDescent="0.2">
      <c r="A694" s="417">
        <v>43336</v>
      </c>
      <c r="B694" s="403">
        <v>272846.37</v>
      </c>
      <c r="C694" s="417"/>
      <c r="D694" s="403"/>
    </row>
    <row r="695" spans="1:4" x14ac:dyDescent="0.2">
      <c r="A695" s="417">
        <v>43339</v>
      </c>
      <c r="B695" s="403">
        <v>272846</v>
      </c>
      <c r="C695" s="417"/>
      <c r="D695" s="403"/>
    </row>
    <row r="696" spans="1:4" x14ac:dyDescent="0.2">
      <c r="A696" s="417">
        <v>43340</v>
      </c>
      <c r="B696" s="403">
        <v>272846</v>
      </c>
      <c r="C696" s="417"/>
      <c r="D696" s="403"/>
    </row>
    <row r="697" spans="1:4" x14ac:dyDescent="0.2">
      <c r="A697" s="417">
        <v>43341</v>
      </c>
      <c r="B697" s="403">
        <v>276622.58</v>
      </c>
      <c r="C697" s="417"/>
      <c r="D697" s="403"/>
    </row>
    <row r="698" spans="1:4" x14ac:dyDescent="0.2">
      <c r="A698" s="417">
        <v>43342</v>
      </c>
      <c r="B698" s="403">
        <v>276623</v>
      </c>
      <c r="C698" s="417"/>
      <c r="D698" s="403"/>
    </row>
    <row r="699" spans="1:4" x14ac:dyDescent="0.2">
      <c r="A699" s="417">
        <v>43343</v>
      </c>
      <c r="B699" s="403">
        <v>276773.33</v>
      </c>
      <c r="C699" s="417"/>
      <c r="D699" s="403"/>
    </row>
    <row r="700" spans="1:4" x14ac:dyDescent="0.2">
      <c r="A700" s="417">
        <v>43346</v>
      </c>
      <c r="B700" s="403">
        <v>276773</v>
      </c>
      <c r="C700" s="417"/>
      <c r="D700" s="403"/>
    </row>
    <row r="701" spans="1:4" x14ac:dyDescent="0.2">
      <c r="A701" s="417">
        <v>43347</v>
      </c>
      <c r="B701" s="403">
        <v>240090.56</v>
      </c>
      <c r="C701" s="417"/>
      <c r="D701" s="403"/>
    </row>
    <row r="702" spans="1:4" x14ac:dyDescent="0.2">
      <c r="A702" s="417">
        <v>43348</v>
      </c>
      <c r="B702" s="403">
        <v>240091</v>
      </c>
      <c r="C702" s="417"/>
      <c r="D702" s="403"/>
    </row>
    <row r="703" spans="1:4" x14ac:dyDescent="0.2">
      <c r="A703" s="417">
        <v>43349</v>
      </c>
      <c r="B703" s="403">
        <v>237779.31</v>
      </c>
      <c r="C703" s="417"/>
      <c r="D703" s="403"/>
    </row>
    <row r="704" spans="1:4" x14ac:dyDescent="0.2">
      <c r="A704" s="417">
        <v>43350</v>
      </c>
      <c r="B704" s="403">
        <v>237779</v>
      </c>
      <c r="C704" s="417"/>
      <c r="D704" s="403"/>
    </row>
    <row r="705" spans="1:4" x14ac:dyDescent="0.2">
      <c r="A705" s="417">
        <v>43353</v>
      </c>
      <c r="B705" s="403">
        <v>243552.34</v>
      </c>
      <c r="C705" s="417"/>
      <c r="D705" s="403"/>
    </row>
    <row r="706" spans="1:4" x14ac:dyDescent="0.2">
      <c r="A706" s="417">
        <v>43354</v>
      </c>
      <c r="B706" s="403">
        <v>243552</v>
      </c>
      <c r="C706" s="417"/>
      <c r="D706" s="403"/>
    </row>
    <row r="707" spans="1:4" x14ac:dyDescent="0.2">
      <c r="A707" s="417">
        <v>43355</v>
      </c>
      <c r="B707" s="403">
        <v>243552</v>
      </c>
      <c r="C707" s="417"/>
      <c r="D707" s="403"/>
    </row>
    <row r="708" spans="1:4" x14ac:dyDescent="0.2">
      <c r="A708" s="417">
        <v>43356</v>
      </c>
      <c r="B708" s="403">
        <v>266009.96000000002</v>
      </c>
      <c r="C708" s="417"/>
      <c r="D708" s="403"/>
    </row>
    <row r="709" spans="1:4" x14ac:dyDescent="0.2">
      <c r="A709" s="417">
        <v>43357</v>
      </c>
      <c r="B709" s="403">
        <v>266087.59999999998</v>
      </c>
      <c r="C709" s="417"/>
      <c r="D709" s="403"/>
    </row>
    <row r="710" spans="1:4" x14ac:dyDescent="0.2">
      <c r="A710" s="417">
        <v>43360</v>
      </c>
      <c r="B710" s="403">
        <v>229939.6</v>
      </c>
      <c r="C710" s="417"/>
      <c r="D710" s="403"/>
    </row>
    <row r="711" spans="1:4" x14ac:dyDescent="0.2">
      <c r="A711" s="417">
        <v>43361</v>
      </c>
      <c r="B711" s="403">
        <v>229940</v>
      </c>
      <c r="C711" s="417"/>
      <c r="D711" s="403"/>
    </row>
    <row r="712" spans="1:4" x14ac:dyDescent="0.2">
      <c r="A712" s="417">
        <v>43362</v>
      </c>
      <c r="B712" s="403">
        <v>229940</v>
      </c>
      <c r="C712" s="417"/>
      <c r="D712" s="403"/>
    </row>
    <row r="713" spans="1:4" x14ac:dyDescent="0.2">
      <c r="A713" s="417">
        <v>43363</v>
      </c>
      <c r="B713" s="403">
        <v>226983.82</v>
      </c>
      <c r="C713" s="417"/>
      <c r="D713" s="403"/>
    </row>
    <row r="714" spans="1:4" x14ac:dyDescent="0.2">
      <c r="A714" s="417">
        <v>43364</v>
      </c>
      <c r="B714" s="403">
        <v>226983.82</v>
      </c>
      <c r="C714" s="417"/>
      <c r="D714" s="403"/>
    </row>
    <row r="715" spans="1:4" x14ac:dyDescent="0.2">
      <c r="A715" s="417">
        <v>43367</v>
      </c>
      <c r="B715" s="403">
        <v>231167.41</v>
      </c>
      <c r="C715" s="417"/>
      <c r="D715" s="403"/>
    </row>
    <row r="716" spans="1:4" x14ac:dyDescent="0.2">
      <c r="A716" s="417">
        <v>43368</v>
      </c>
      <c r="B716" s="403">
        <v>231298.26</v>
      </c>
      <c r="C716" s="417"/>
      <c r="D716" s="403"/>
    </row>
    <row r="717" spans="1:4" x14ac:dyDescent="0.2">
      <c r="A717" s="417">
        <v>43369</v>
      </c>
      <c r="B717" s="403">
        <v>231298</v>
      </c>
      <c r="C717" s="417"/>
      <c r="D717" s="403"/>
    </row>
    <row r="718" spans="1:4" x14ac:dyDescent="0.2">
      <c r="A718" s="417">
        <v>43370</v>
      </c>
      <c r="B718" s="403">
        <v>218195.44</v>
      </c>
      <c r="C718" s="417"/>
      <c r="D718" s="403"/>
    </row>
    <row r="719" spans="1:4" x14ac:dyDescent="0.2">
      <c r="A719" s="417">
        <v>43371</v>
      </c>
      <c r="B719" s="403">
        <v>218195</v>
      </c>
      <c r="C719" s="417"/>
      <c r="D719" s="403"/>
    </row>
    <row r="720" spans="1:4" x14ac:dyDescent="0.2">
      <c r="A720" s="417">
        <v>43374</v>
      </c>
      <c r="B720" s="403">
        <v>181738.47</v>
      </c>
      <c r="C720" s="417"/>
      <c r="D720" s="403"/>
    </row>
    <row r="721" spans="1:4" x14ac:dyDescent="0.2">
      <c r="A721" s="417">
        <v>43375</v>
      </c>
      <c r="B721" s="403">
        <v>175674.86</v>
      </c>
      <c r="C721" s="417"/>
      <c r="D721" s="403"/>
    </row>
    <row r="722" spans="1:4" x14ac:dyDescent="0.2">
      <c r="A722" s="417">
        <v>43376</v>
      </c>
      <c r="B722" s="403">
        <v>175890.11</v>
      </c>
      <c r="C722" s="417"/>
      <c r="D722" s="403"/>
    </row>
    <row r="723" spans="1:4" x14ac:dyDescent="0.2">
      <c r="A723" s="417">
        <v>43377</v>
      </c>
      <c r="B723" s="403">
        <v>176908.84</v>
      </c>
      <c r="C723" s="417"/>
      <c r="D723" s="403"/>
    </row>
    <row r="724" spans="1:4" x14ac:dyDescent="0.2">
      <c r="A724" s="417">
        <v>43378</v>
      </c>
      <c r="B724" s="403">
        <v>176909</v>
      </c>
      <c r="C724" s="417"/>
      <c r="D724" s="403"/>
    </row>
    <row r="725" spans="1:4" x14ac:dyDescent="0.2">
      <c r="A725" s="417">
        <v>43381</v>
      </c>
      <c r="B725" s="403">
        <v>176909</v>
      </c>
      <c r="C725" s="417"/>
      <c r="D725" s="403"/>
    </row>
    <row r="726" spans="1:4" x14ac:dyDescent="0.2">
      <c r="A726" s="417">
        <v>43382</v>
      </c>
      <c r="B726" s="403">
        <v>226038.22</v>
      </c>
      <c r="C726" s="417"/>
      <c r="D726" s="403"/>
    </row>
    <row r="727" spans="1:4" x14ac:dyDescent="0.2">
      <c r="A727" s="417">
        <v>43383</v>
      </c>
      <c r="B727" s="403">
        <v>226038</v>
      </c>
      <c r="C727" s="417"/>
      <c r="D727" s="403"/>
    </row>
    <row r="728" spans="1:4" x14ac:dyDescent="0.2">
      <c r="A728" s="417">
        <v>43384</v>
      </c>
      <c r="B728" s="403">
        <v>223293.31</v>
      </c>
      <c r="C728" s="417"/>
      <c r="D728" s="403"/>
    </row>
    <row r="729" spans="1:4" x14ac:dyDescent="0.2">
      <c r="A729" s="417">
        <v>43385</v>
      </c>
      <c r="B729" s="403">
        <v>272327.27</v>
      </c>
      <c r="C729" s="417"/>
      <c r="D729" s="403"/>
    </row>
    <row r="730" spans="1:4" x14ac:dyDescent="0.2">
      <c r="A730" s="417">
        <v>43388</v>
      </c>
      <c r="B730" s="403">
        <v>236397.34</v>
      </c>
      <c r="C730" s="417"/>
      <c r="D730" s="403"/>
    </row>
    <row r="731" spans="1:4" x14ac:dyDescent="0.2">
      <c r="A731" s="417">
        <v>43389</v>
      </c>
      <c r="B731" s="403">
        <v>236553.84</v>
      </c>
      <c r="C731" s="417"/>
      <c r="D731" s="403"/>
    </row>
    <row r="732" spans="1:4" x14ac:dyDescent="0.2">
      <c r="A732" s="417">
        <v>43390</v>
      </c>
      <c r="B732" s="403">
        <v>249133.92</v>
      </c>
      <c r="C732" s="417"/>
      <c r="D732" s="403"/>
    </row>
    <row r="733" spans="1:4" x14ac:dyDescent="0.2">
      <c r="A733" s="417">
        <v>43391</v>
      </c>
      <c r="B733" s="403">
        <v>254043.68</v>
      </c>
      <c r="C733" s="417"/>
      <c r="D733" s="403"/>
    </row>
    <row r="734" spans="1:4" x14ac:dyDescent="0.2">
      <c r="A734" s="417">
        <v>43392</v>
      </c>
      <c r="B734" s="403">
        <v>254064.5</v>
      </c>
      <c r="C734" s="417"/>
      <c r="D734" s="403"/>
    </row>
    <row r="735" spans="1:4" x14ac:dyDescent="0.2">
      <c r="A735" s="417">
        <v>43395</v>
      </c>
      <c r="B735" s="403">
        <v>290142.09999999998</v>
      </c>
      <c r="C735" s="417"/>
      <c r="D735" s="403"/>
    </row>
    <row r="736" spans="1:4" x14ac:dyDescent="0.2">
      <c r="A736" s="417">
        <v>43396</v>
      </c>
      <c r="B736" s="403">
        <v>290142</v>
      </c>
      <c r="C736" s="417"/>
      <c r="D736" s="403"/>
    </row>
    <row r="737" spans="1:4" x14ac:dyDescent="0.2">
      <c r="A737" s="417">
        <v>43397</v>
      </c>
      <c r="B737" s="403">
        <v>290034.38</v>
      </c>
      <c r="C737" s="417"/>
      <c r="D737" s="403"/>
    </row>
    <row r="738" spans="1:4" x14ac:dyDescent="0.2">
      <c r="A738" s="417">
        <v>43398</v>
      </c>
      <c r="B738" s="403">
        <v>291747.36</v>
      </c>
      <c r="C738" s="417"/>
      <c r="D738" s="403"/>
    </row>
    <row r="739" spans="1:4" x14ac:dyDescent="0.2">
      <c r="A739" s="417">
        <v>43399</v>
      </c>
      <c r="B739" s="403">
        <v>306637.48</v>
      </c>
      <c r="C739" s="417"/>
      <c r="D739" s="403"/>
    </row>
    <row r="740" spans="1:4" x14ac:dyDescent="0.2">
      <c r="A740" s="417">
        <v>43402</v>
      </c>
      <c r="B740" s="403">
        <v>270401.28999999998</v>
      </c>
      <c r="C740" s="417"/>
      <c r="D740" s="403"/>
    </row>
    <row r="741" spans="1:4" x14ac:dyDescent="0.2">
      <c r="A741" s="417">
        <v>43403</v>
      </c>
      <c r="B741" s="403">
        <v>278028.58</v>
      </c>
      <c r="C741" s="417"/>
      <c r="D741" s="403"/>
    </row>
    <row r="742" spans="1:4" x14ac:dyDescent="0.2">
      <c r="A742" s="417">
        <v>43404</v>
      </c>
      <c r="B742" s="403">
        <v>278029</v>
      </c>
      <c r="C742" s="417"/>
      <c r="D742" s="403"/>
    </row>
    <row r="743" spans="1:4" x14ac:dyDescent="0.2">
      <c r="A743" s="417">
        <v>43405</v>
      </c>
      <c r="B743" s="403">
        <v>279523.53000000003</v>
      </c>
      <c r="C743" s="417"/>
      <c r="D743" s="403"/>
    </row>
    <row r="744" spans="1:4" x14ac:dyDescent="0.2">
      <c r="A744" s="417">
        <v>43406</v>
      </c>
      <c r="B744" s="403">
        <v>303100.06</v>
      </c>
      <c r="C744" s="417"/>
      <c r="D744" s="403"/>
    </row>
    <row r="745" spans="1:4" x14ac:dyDescent="0.2">
      <c r="A745" s="417">
        <v>43409</v>
      </c>
      <c r="B745" s="403">
        <v>303100.06</v>
      </c>
      <c r="C745" s="417"/>
      <c r="D745" s="403"/>
    </row>
    <row r="746" spans="1:4" x14ac:dyDescent="0.2">
      <c r="A746" s="417">
        <v>43410</v>
      </c>
      <c r="B746" s="403">
        <v>303100.06</v>
      </c>
      <c r="C746" s="417"/>
      <c r="D746" s="403"/>
    </row>
    <row r="747" spans="1:4" x14ac:dyDescent="0.2">
      <c r="A747" s="417">
        <v>43411</v>
      </c>
      <c r="B747" s="403">
        <v>303954.14</v>
      </c>
      <c r="C747" s="417"/>
      <c r="D747" s="403"/>
    </row>
    <row r="748" spans="1:4" x14ac:dyDescent="0.2">
      <c r="A748" s="417">
        <v>43412</v>
      </c>
      <c r="B748" s="403">
        <v>294843.14</v>
      </c>
      <c r="C748" s="417"/>
      <c r="D748" s="403"/>
    </row>
    <row r="749" spans="1:4" x14ac:dyDescent="0.2">
      <c r="A749" s="417">
        <v>43413</v>
      </c>
      <c r="B749" s="403">
        <v>294843</v>
      </c>
      <c r="C749" s="417"/>
      <c r="D749" s="403"/>
    </row>
    <row r="750" spans="1:4" x14ac:dyDescent="0.2">
      <c r="A750" s="417">
        <v>43416</v>
      </c>
      <c r="B750" s="403">
        <v>294843</v>
      </c>
      <c r="C750" s="417"/>
      <c r="D750" s="403"/>
    </row>
    <row r="751" spans="1:4" x14ac:dyDescent="0.2">
      <c r="A751" s="417">
        <v>43417</v>
      </c>
      <c r="B751" s="403">
        <v>294843</v>
      </c>
      <c r="C751" s="417"/>
      <c r="D751" s="403"/>
    </row>
    <row r="752" spans="1:4" x14ac:dyDescent="0.2">
      <c r="A752" s="417">
        <v>43418</v>
      </c>
      <c r="B752" s="403">
        <v>259514.47</v>
      </c>
      <c r="C752" s="417"/>
      <c r="D752" s="403"/>
    </row>
    <row r="753" spans="1:4" x14ac:dyDescent="0.2">
      <c r="A753" s="417">
        <v>43419</v>
      </c>
      <c r="B753" s="403">
        <v>255987.45</v>
      </c>
      <c r="C753" s="417"/>
      <c r="D753" s="403"/>
    </row>
    <row r="754" spans="1:4" x14ac:dyDescent="0.2">
      <c r="A754" s="417">
        <v>43420</v>
      </c>
      <c r="B754" s="403">
        <v>255987.45</v>
      </c>
      <c r="C754" s="417"/>
      <c r="D754" s="403"/>
    </row>
    <row r="755" spans="1:4" x14ac:dyDescent="0.2">
      <c r="A755" s="417">
        <v>43423</v>
      </c>
      <c r="B755" s="403">
        <v>255987.45</v>
      </c>
      <c r="C755" s="417"/>
      <c r="D755" s="403"/>
    </row>
    <row r="756" spans="1:4" x14ac:dyDescent="0.2">
      <c r="A756" s="417">
        <v>43424</v>
      </c>
      <c r="B756" s="403">
        <v>254650.75</v>
      </c>
      <c r="C756" s="417"/>
      <c r="D756" s="403"/>
    </row>
    <row r="757" spans="1:4" x14ac:dyDescent="0.2">
      <c r="A757" s="417">
        <v>43425</v>
      </c>
      <c r="B757" s="403">
        <v>298403.21000000002</v>
      </c>
      <c r="C757" s="417"/>
      <c r="D757" s="403"/>
    </row>
    <row r="758" spans="1:4" x14ac:dyDescent="0.2">
      <c r="A758" s="417">
        <v>43426</v>
      </c>
      <c r="B758" s="403">
        <v>300529.64</v>
      </c>
      <c r="C758" s="417"/>
      <c r="D758" s="403"/>
    </row>
    <row r="759" spans="1:4" x14ac:dyDescent="0.2">
      <c r="A759" s="417">
        <v>43427</v>
      </c>
      <c r="B759" s="403">
        <v>300229.64</v>
      </c>
      <c r="C759" s="417"/>
      <c r="D759" s="403"/>
    </row>
    <row r="760" spans="1:4" x14ac:dyDescent="0.2">
      <c r="A760" s="417">
        <v>43430</v>
      </c>
      <c r="B760" s="403">
        <v>300230</v>
      </c>
      <c r="C760" s="417"/>
      <c r="D760" s="403"/>
    </row>
    <row r="761" spans="1:4" x14ac:dyDescent="0.2">
      <c r="A761" s="417">
        <v>43431</v>
      </c>
      <c r="B761" s="403">
        <v>267674.82</v>
      </c>
      <c r="C761" s="417"/>
      <c r="D761" s="403"/>
    </row>
    <row r="762" spans="1:4" x14ac:dyDescent="0.2">
      <c r="A762" s="417">
        <v>43432</v>
      </c>
      <c r="B762" s="403">
        <v>273448.82</v>
      </c>
      <c r="C762" s="417"/>
      <c r="D762" s="403"/>
    </row>
    <row r="763" spans="1:4" x14ac:dyDescent="0.2">
      <c r="A763" s="417">
        <v>43433</v>
      </c>
      <c r="B763" s="403">
        <v>252527.09</v>
      </c>
      <c r="C763" s="417"/>
      <c r="D763" s="403"/>
    </row>
    <row r="764" spans="1:4" x14ac:dyDescent="0.2">
      <c r="A764" s="417">
        <v>43434</v>
      </c>
      <c r="B764" s="403">
        <v>321968.59000000003</v>
      </c>
      <c r="C764" s="417"/>
      <c r="D764" s="403"/>
    </row>
    <row r="765" spans="1:4" x14ac:dyDescent="0.2">
      <c r="A765" s="417">
        <v>43437</v>
      </c>
      <c r="B765" s="403">
        <v>321969</v>
      </c>
      <c r="C765" s="417"/>
      <c r="D765" s="403"/>
    </row>
    <row r="766" spans="1:4" x14ac:dyDescent="0.2">
      <c r="A766" s="417">
        <v>43438</v>
      </c>
      <c r="B766" s="403">
        <v>321969</v>
      </c>
      <c r="C766" s="417"/>
      <c r="D766" s="403"/>
    </row>
    <row r="767" spans="1:4" x14ac:dyDescent="0.2">
      <c r="A767" s="417">
        <v>43439</v>
      </c>
      <c r="B767" s="403">
        <v>321969</v>
      </c>
      <c r="C767" s="417"/>
      <c r="D767" s="403"/>
    </row>
    <row r="768" spans="1:4" x14ac:dyDescent="0.2">
      <c r="A768" s="417">
        <v>43440</v>
      </c>
      <c r="B768" s="403">
        <v>314251.55</v>
      </c>
      <c r="C768" s="417"/>
      <c r="D768" s="403"/>
    </row>
    <row r="769" spans="1:4" x14ac:dyDescent="0.2">
      <c r="A769" s="417">
        <v>43441</v>
      </c>
      <c r="B769" s="403">
        <v>315739.42</v>
      </c>
      <c r="C769" s="417"/>
      <c r="D769" s="403"/>
    </row>
    <row r="770" spans="1:4" x14ac:dyDescent="0.2">
      <c r="A770" s="417">
        <v>43444</v>
      </c>
      <c r="B770" s="403">
        <v>315739</v>
      </c>
      <c r="C770" s="417"/>
      <c r="D770" s="403"/>
    </row>
    <row r="771" spans="1:4" x14ac:dyDescent="0.2">
      <c r="A771" s="417">
        <v>43445</v>
      </c>
      <c r="B771" s="403">
        <v>275506.94</v>
      </c>
      <c r="C771" s="417"/>
      <c r="D771" s="403"/>
    </row>
    <row r="772" spans="1:4" x14ac:dyDescent="0.2">
      <c r="A772" s="417">
        <v>43446</v>
      </c>
      <c r="B772" s="403">
        <v>275507</v>
      </c>
      <c r="C772" s="417"/>
      <c r="D772" s="403"/>
    </row>
    <row r="773" spans="1:4" x14ac:dyDescent="0.2">
      <c r="A773" s="417">
        <v>43447</v>
      </c>
      <c r="B773" s="403">
        <v>289896.89</v>
      </c>
      <c r="C773" s="417"/>
      <c r="D773" s="403"/>
    </row>
    <row r="774" spans="1:4" x14ac:dyDescent="0.2">
      <c r="A774" s="417">
        <v>43448</v>
      </c>
      <c r="B774" s="403">
        <v>313281.34999999998</v>
      </c>
      <c r="C774" s="417"/>
      <c r="D774" s="403"/>
    </row>
    <row r="775" spans="1:4" x14ac:dyDescent="0.2">
      <c r="A775" s="417">
        <v>43451</v>
      </c>
      <c r="B775" s="403">
        <v>313281</v>
      </c>
      <c r="C775" s="417"/>
      <c r="D775" s="403"/>
    </row>
    <row r="776" spans="1:4" x14ac:dyDescent="0.2">
      <c r="A776" s="417">
        <v>43452</v>
      </c>
      <c r="B776" s="403">
        <v>317556.84999999998</v>
      </c>
      <c r="C776" s="417"/>
      <c r="D776" s="403"/>
    </row>
    <row r="777" spans="1:4" x14ac:dyDescent="0.2">
      <c r="A777" s="417">
        <v>43453</v>
      </c>
      <c r="B777" s="403">
        <v>317557</v>
      </c>
      <c r="C777" s="417"/>
      <c r="D777" s="403"/>
    </row>
    <row r="778" spans="1:4" x14ac:dyDescent="0.2">
      <c r="A778" s="417">
        <v>43454</v>
      </c>
      <c r="B778" s="403">
        <v>297159.33</v>
      </c>
      <c r="C778" s="417"/>
      <c r="D778" s="403"/>
    </row>
    <row r="779" spans="1:4" x14ac:dyDescent="0.2">
      <c r="A779" s="417">
        <v>43455</v>
      </c>
      <c r="B779" s="403">
        <v>297159</v>
      </c>
      <c r="C779" s="417"/>
      <c r="D779" s="403"/>
    </row>
    <row r="780" spans="1:4" x14ac:dyDescent="0.2">
      <c r="A780" s="417">
        <v>43458</v>
      </c>
      <c r="B780" s="403">
        <v>260233.37</v>
      </c>
      <c r="C780" s="417"/>
      <c r="D780" s="403"/>
    </row>
    <row r="781" spans="1:4" x14ac:dyDescent="0.2">
      <c r="A781" s="417">
        <v>43459</v>
      </c>
      <c r="B781" s="403">
        <v>260233</v>
      </c>
      <c r="C781" s="417"/>
      <c r="D781" s="403"/>
    </row>
    <row r="782" spans="1:4" x14ac:dyDescent="0.2">
      <c r="A782" s="417">
        <v>43460</v>
      </c>
      <c r="B782" s="403">
        <v>261845.78</v>
      </c>
      <c r="C782" s="417"/>
      <c r="D782" s="403"/>
    </row>
    <row r="783" spans="1:4" x14ac:dyDescent="0.2">
      <c r="A783" s="417">
        <v>43461</v>
      </c>
      <c r="B783" s="403">
        <v>261846</v>
      </c>
      <c r="C783" s="417"/>
      <c r="D783" s="403"/>
    </row>
    <row r="784" spans="1:4" x14ac:dyDescent="0.2">
      <c r="A784" s="417">
        <v>43462</v>
      </c>
      <c r="B784" s="403">
        <v>273805.40000000002</v>
      </c>
      <c r="C784" s="417"/>
      <c r="D784" s="403"/>
    </row>
    <row r="785" spans="1:4" x14ac:dyDescent="0.2">
      <c r="A785" s="417">
        <v>43465</v>
      </c>
      <c r="B785" s="403">
        <v>274101.40000000002</v>
      </c>
      <c r="C785" s="417"/>
      <c r="D785" s="403"/>
    </row>
    <row r="786" spans="1:4" x14ac:dyDescent="0.2">
      <c r="A786" s="417">
        <v>43466</v>
      </c>
      <c r="B786" s="403">
        <v>274101</v>
      </c>
      <c r="C786" s="417"/>
      <c r="D786" s="403"/>
    </row>
    <row r="787" spans="1:4" x14ac:dyDescent="0.2">
      <c r="A787" s="417">
        <v>43467</v>
      </c>
      <c r="B787" s="403">
        <v>299108.40000000002</v>
      </c>
      <c r="C787" s="417"/>
      <c r="D787" s="403"/>
    </row>
    <row r="788" spans="1:4" x14ac:dyDescent="0.2">
      <c r="A788" s="417">
        <v>43468</v>
      </c>
      <c r="B788" s="403">
        <v>298070.78000000003</v>
      </c>
      <c r="C788" s="417"/>
      <c r="D788" s="403"/>
    </row>
    <row r="789" spans="1:4" x14ac:dyDescent="0.2">
      <c r="A789" s="417">
        <v>43469</v>
      </c>
      <c r="B789" s="403">
        <v>298071</v>
      </c>
      <c r="C789" s="417"/>
      <c r="D789" s="403"/>
    </row>
    <row r="790" spans="1:4" x14ac:dyDescent="0.2">
      <c r="A790" s="417">
        <v>43472</v>
      </c>
      <c r="B790" s="403">
        <v>298430.78000000003</v>
      </c>
      <c r="C790" s="417"/>
      <c r="D790" s="403"/>
    </row>
    <row r="791" spans="1:4" x14ac:dyDescent="0.2">
      <c r="A791" s="417">
        <v>43473</v>
      </c>
      <c r="B791" s="403">
        <v>264835.63</v>
      </c>
      <c r="C791" s="417"/>
      <c r="D791" s="403"/>
    </row>
    <row r="792" spans="1:4" x14ac:dyDescent="0.2">
      <c r="A792" s="417">
        <v>43474</v>
      </c>
      <c r="B792" s="403">
        <v>303664.65999999997</v>
      </c>
      <c r="C792" s="417"/>
      <c r="D792" s="403"/>
    </row>
    <row r="793" spans="1:4" x14ac:dyDescent="0.2">
      <c r="A793" s="417">
        <v>43475</v>
      </c>
      <c r="B793" s="403">
        <v>299790.71999999997</v>
      </c>
      <c r="C793" s="417"/>
      <c r="D793" s="403"/>
    </row>
    <row r="794" spans="1:4" x14ac:dyDescent="0.2">
      <c r="A794" s="417">
        <v>43476</v>
      </c>
      <c r="B794" s="445">
        <v>309881.71999999997</v>
      </c>
      <c r="C794" s="417"/>
      <c r="D794" s="403"/>
    </row>
    <row r="795" spans="1:4" x14ac:dyDescent="0.2">
      <c r="A795" s="417">
        <v>43479</v>
      </c>
      <c r="B795" s="403">
        <v>284374.78999999998</v>
      </c>
      <c r="C795" s="417"/>
      <c r="D795" s="403"/>
    </row>
    <row r="796" spans="1:4" x14ac:dyDescent="0.2">
      <c r="A796" s="417">
        <v>43480</v>
      </c>
      <c r="B796" s="403">
        <v>284494.75</v>
      </c>
      <c r="C796" s="417"/>
      <c r="D796" s="403"/>
    </row>
    <row r="797" spans="1:4" x14ac:dyDescent="0.2">
      <c r="A797" s="417">
        <v>43481</v>
      </c>
      <c r="B797" s="403">
        <v>277370.03000000003</v>
      </c>
      <c r="C797" s="417"/>
      <c r="D797" s="403"/>
    </row>
    <row r="798" spans="1:4" x14ac:dyDescent="0.2">
      <c r="A798" s="417">
        <v>43482</v>
      </c>
      <c r="B798" s="403">
        <v>266103.65999999997</v>
      </c>
      <c r="C798" s="417"/>
      <c r="D798" s="403"/>
    </row>
    <row r="799" spans="1:4" x14ac:dyDescent="0.2">
      <c r="A799" s="417">
        <v>43483</v>
      </c>
      <c r="B799" s="403">
        <v>266189.65999999997</v>
      </c>
      <c r="C799" s="417"/>
      <c r="D799" s="403"/>
    </row>
    <row r="800" spans="1:4" x14ac:dyDescent="0.2">
      <c r="A800" s="417">
        <v>43486</v>
      </c>
      <c r="B800" s="403">
        <v>266190</v>
      </c>
      <c r="C800" s="417"/>
      <c r="D800" s="403"/>
    </row>
    <row r="801" spans="1:4" x14ac:dyDescent="0.2">
      <c r="A801" s="417">
        <v>43487</v>
      </c>
      <c r="B801" s="403">
        <v>228832.05</v>
      </c>
      <c r="C801" s="417"/>
      <c r="D801" s="403"/>
    </row>
    <row r="802" spans="1:4" x14ac:dyDescent="0.2">
      <c r="A802" s="417">
        <v>43488</v>
      </c>
      <c r="B802" s="403">
        <v>229285.41</v>
      </c>
      <c r="C802" s="417"/>
      <c r="D802" s="403"/>
    </row>
    <row r="803" spans="1:4" x14ac:dyDescent="0.2">
      <c r="A803" s="417">
        <v>43489</v>
      </c>
      <c r="B803" s="403">
        <v>236709.42</v>
      </c>
      <c r="C803" s="417"/>
      <c r="D803" s="403"/>
    </row>
    <row r="804" spans="1:4" x14ac:dyDescent="0.2">
      <c r="A804" s="417">
        <v>43490</v>
      </c>
      <c r="B804" s="403">
        <v>236709</v>
      </c>
      <c r="C804" s="417"/>
      <c r="D804" s="403"/>
    </row>
    <row r="805" spans="1:4" x14ac:dyDescent="0.2">
      <c r="A805" s="417">
        <v>43493</v>
      </c>
      <c r="B805" s="403">
        <v>236400.88</v>
      </c>
      <c r="C805" s="417"/>
      <c r="D805" s="403"/>
    </row>
    <row r="806" spans="1:4" x14ac:dyDescent="0.2">
      <c r="A806" s="417">
        <v>43494</v>
      </c>
      <c r="B806" s="403">
        <v>236401</v>
      </c>
      <c r="C806" s="417"/>
      <c r="D806" s="403"/>
    </row>
    <row r="807" spans="1:4" x14ac:dyDescent="0.2">
      <c r="A807" s="417">
        <v>43495</v>
      </c>
      <c r="B807" s="403">
        <v>236401</v>
      </c>
      <c r="C807" s="417"/>
      <c r="D807" s="403"/>
    </row>
    <row r="808" spans="1:4" x14ac:dyDescent="0.2">
      <c r="A808" s="417">
        <v>43496</v>
      </c>
      <c r="B808" s="403">
        <v>237605.71</v>
      </c>
      <c r="C808" s="417"/>
      <c r="D808" s="403"/>
    </row>
    <row r="809" spans="1:4" x14ac:dyDescent="0.2">
      <c r="A809" s="417">
        <v>43497</v>
      </c>
      <c r="B809" s="403">
        <v>237728.71</v>
      </c>
      <c r="C809" s="417"/>
      <c r="D809" s="403"/>
    </row>
    <row r="810" spans="1:4" x14ac:dyDescent="0.2">
      <c r="A810" s="417">
        <v>43500</v>
      </c>
      <c r="B810" s="403">
        <v>201980</v>
      </c>
      <c r="C810" s="417"/>
      <c r="D810" s="403"/>
    </row>
    <row r="811" spans="1:4" x14ac:dyDescent="0.2">
      <c r="A811" s="417">
        <v>43501</v>
      </c>
      <c r="B811" s="403">
        <v>225615.34</v>
      </c>
      <c r="C811" s="417"/>
      <c r="D811" s="403"/>
    </row>
    <row r="812" spans="1:4" x14ac:dyDescent="0.2">
      <c r="A812" s="417">
        <v>43502</v>
      </c>
      <c r="B812" s="403">
        <v>225615</v>
      </c>
      <c r="C812" s="417"/>
      <c r="D812" s="403"/>
    </row>
    <row r="813" spans="1:4" x14ac:dyDescent="0.2">
      <c r="A813" s="417">
        <v>43503</v>
      </c>
      <c r="B813" s="403">
        <v>219151.3</v>
      </c>
      <c r="C813" s="417"/>
      <c r="D813" s="403"/>
    </row>
    <row r="814" spans="1:4" x14ac:dyDescent="0.2">
      <c r="A814" s="417">
        <v>43504</v>
      </c>
      <c r="B814" s="403">
        <v>219351.3</v>
      </c>
      <c r="C814" s="417"/>
      <c r="D814" s="403"/>
    </row>
    <row r="815" spans="1:4" x14ac:dyDescent="0.2">
      <c r="A815" s="417">
        <v>43507</v>
      </c>
      <c r="B815" s="403">
        <v>219351</v>
      </c>
      <c r="C815" s="417"/>
      <c r="D815" s="403"/>
    </row>
    <row r="816" spans="1:4" x14ac:dyDescent="0.2">
      <c r="A816" s="417">
        <v>43508</v>
      </c>
      <c r="B816" s="403">
        <v>219351</v>
      </c>
      <c r="C816" s="417"/>
      <c r="D816" s="403"/>
    </row>
    <row r="817" spans="1:4" x14ac:dyDescent="0.2">
      <c r="A817" s="417">
        <v>43509</v>
      </c>
      <c r="B817" s="403">
        <v>219351</v>
      </c>
      <c r="C817" s="417"/>
      <c r="D817" s="403"/>
    </row>
    <row r="818" spans="1:4" x14ac:dyDescent="0.2">
      <c r="A818" s="417">
        <v>43510</v>
      </c>
      <c r="B818" s="403">
        <v>206758.66</v>
      </c>
      <c r="C818" s="417"/>
      <c r="D818" s="403"/>
    </row>
    <row r="819" spans="1:4" x14ac:dyDescent="0.2">
      <c r="A819" s="417">
        <v>43511</v>
      </c>
      <c r="B819" s="403">
        <v>234837.55</v>
      </c>
      <c r="C819" s="417"/>
      <c r="D819" s="403"/>
    </row>
    <row r="820" spans="1:4" x14ac:dyDescent="0.2">
      <c r="A820" s="417">
        <v>43514</v>
      </c>
      <c r="B820" s="403">
        <v>234838</v>
      </c>
      <c r="C820" s="417"/>
      <c r="D820" s="403"/>
    </row>
    <row r="821" spans="1:4" x14ac:dyDescent="0.2">
      <c r="A821" s="417">
        <v>43515</v>
      </c>
      <c r="B821" s="403">
        <v>199113.26</v>
      </c>
      <c r="C821" s="417"/>
      <c r="D821" s="403"/>
    </row>
    <row r="822" spans="1:4" x14ac:dyDescent="0.2">
      <c r="A822" s="417">
        <v>43516</v>
      </c>
      <c r="B822" s="403">
        <v>199113</v>
      </c>
      <c r="C822" s="417"/>
      <c r="D822" s="403"/>
    </row>
    <row r="823" spans="1:4" x14ac:dyDescent="0.2">
      <c r="A823" s="417">
        <v>43517</v>
      </c>
      <c r="B823" s="403">
        <v>205400.17</v>
      </c>
      <c r="C823" s="417"/>
      <c r="D823" s="403"/>
    </row>
    <row r="824" spans="1:4" x14ac:dyDescent="0.2">
      <c r="A824" s="417">
        <v>43518</v>
      </c>
      <c r="B824" s="403">
        <v>220161.91</v>
      </c>
      <c r="C824" s="417"/>
      <c r="D824" s="403"/>
    </row>
    <row r="825" spans="1:4" x14ac:dyDescent="0.2">
      <c r="A825" s="417">
        <v>43521</v>
      </c>
      <c r="B825" s="403">
        <v>220161.91</v>
      </c>
      <c r="C825" s="417"/>
      <c r="D825" s="403"/>
    </row>
    <row r="826" spans="1:4" x14ac:dyDescent="0.2">
      <c r="A826" s="417">
        <v>43522</v>
      </c>
      <c r="B826" s="403">
        <v>220161.91</v>
      </c>
      <c r="C826" s="417"/>
      <c r="D826" s="403"/>
    </row>
    <row r="827" spans="1:4" x14ac:dyDescent="0.2">
      <c r="A827" s="417">
        <v>43523</v>
      </c>
      <c r="B827" s="403">
        <v>220161.91</v>
      </c>
      <c r="C827" s="417"/>
      <c r="D827" s="403"/>
    </row>
    <row r="828" spans="1:4" x14ac:dyDescent="0.2">
      <c r="A828" s="417">
        <v>43524</v>
      </c>
      <c r="B828" s="403">
        <v>224635.26</v>
      </c>
      <c r="C828" s="417"/>
      <c r="D828" s="403"/>
    </row>
    <row r="829" spans="1:4" x14ac:dyDescent="0.2">
      <c r="A829" s="417">
        <v>43525</v>
      </c>
      <c r="B829" s="403">
        <v>298900.61</v>
      </c>
      <c r="C829" s="417"/>
      <c r="D829" s="403"/>
    </row>
    <row r="830" spans="1:4" x14ac:dyDescent="0.2">
      <c r="A830" s="417">
        <v>43528</v>
      </c>
      <c r="B830" s="403">
        <v>262246.8</v>
      </c>
      <c r="C830" s="417"/>
      <c r="D830" s="403"/>
    </row>
    <row r="831" spans="1:4" x14ac:dyDescent="0.2">
      <c r="A831" s="417">
        <v>43529</v>
      </c>
      <c r="B831" s="403">
        <v>262247</v>
      </c>
      <c r="C831" s="417"/>
      <c r="D831" s="403"/>
    </row>
    <row r="832" spans="1:4" x14ac:dyDescent="0.2">
      <c r="A832" s="417">
        <v>43530</v>
      </c>
      <c r="B832" s="403">
        <v>262247</v>
      </c>
      <c r="C832" s="417"/>
      <c r="D832" s="403"/>
    </row>
    <row r="833" spans="1:4" x14ac:dyDescent="0.2">
      <c r="A833" s="417">
        <v>43531</v>
      </c>
      <c r="B833" s="403">
        <v>275395.15000000002</v>
      </c>
      <c r="C833" s="417"/>
      <c r="D833" s="403"/>
    </row>
    <row r="834" spans="1:4" x14ac:dyDescent="0.2">
      <c r="A834" s="417">
        <v>43532</v>
      </c>
      <c r="B834" s="403">
        <v>275395</v>
      </c>
      <c r="C834" s="417"/>
      <c r="D834" s="403"/>
    </row>
    <row r="835" spans="1:4" x14ac:dyDescent="0.2">
      <c r="A835" s="417">
        <v>43535</v>
      </c>
      <c r="B835" s="403">
        <v>275395</v>
      </c>
      <c r="C835" s="417"/>
      <c r="D835" s="403"/>
    </row>
    <row r="836" spans="1:4" x14ac:dyDescent="0.2">
      <c r="A836" s="417">
        <v>43536</v>
      </c>
      <c r="B836" s="403">
        <v>275395</v>
      </c>
      <c r="C836" s="417"/>
      <c r="D836" s="403"/>
    </row>
    <row r="837" spans="1:4" x14ac:dyDescent="0.2">
      <c r="A837" s="417">
        <v>43537</v>
      </c>
      <c r="B837" s="403">
        <v>316802.46999999997</v>
      </c>
      <c r="C837" s="417"/>
      <c r="D837" s="403"/>
    </row>
    <row r="838" spans="1:4" x14ac:dyDescent="0.2">
      <c r="A838" s="417">
        <v>43538</v>
      </c>
      <c r="B838" s="403">
        <v>297067.40000000002</v>
      </c>
      <c r="C838" s="417"/>
      <c r="D838" s="403"/>
    </row>
    <row r="839" spans="1:4" x14ac:dyDescent="0.2">
      <c r="A839" s="417">
        <v>43539</v>
      </c>
      <c r="B839" s="403">
        <v>300574.83</v>
      </c>
      <c r="C839" s="417"/>
      <c r="D839" s="403"/>
    </row>
    <row r="840" spans="1:4" x14ac:dyDescent="0.2">
      <c r="A840" s="417">
        <v>43542</v>
      </c>
      <c r="B840" s="403">
        <v>264695.24</v>
      </c>
      <c r="C840" s="417"/>
      <c r="D840" s="403"/>
    </row>
    <row r="841" spans="1:4" x14ac:dyDescent="0.2">
      <c r="A841" s="417">
        <v>43543</v>
      </c>
      <c r="B841" s="403">
        <v>264695</v>
      </c>
      <c r="C841" s="417"/>
      <c r="D841" s="403"/>
    </row>
    <row r="842" spans="1:4" x14ac:dyDescent="0.2">
      <c r="A842" s="417">
        <v>43544</v>
      </c>
      <c r="B842" s="403">
        <v>264695</v>
      </c>
      <c r="C842" s="417"/>
      <c r="D842" s="403"/>
    </row>
    <row r="843" spans="1:4" x14ac:dyDescent="0.2">
      <c r="A843" s="417">
        <v>43545</v>
      </c>
      <c r="B843" s="403">
        <v>282838.67</v>
      </c>
      <c r="C843" s="417"/>
      <c r="D843" s="403"/>
    </row>
    <row r="844" spans="1:4" x14ac:dyDescent="0.2">
      <c r="A844" s="417">
        <v>43546</v>
      </c>
      <c r="B844" s="403">
        <v>282839</v>
      </c>
      <c r="C844" s="417"/>
      <c r="D844" s="403"/>
    </row>
    <row r="845" spans="1:4" x14ac:dyDescent="0.2">
      <c r="A845" s="417">
        <v>43549</v>
      </c>
      <c r="B845" s="445">
        <v>333807.26</v>
      </c>
      <c r="C845" s="417"/>
      <c r="D845" s="403"/>
    </row>
    <row r="846" spans="1:4" x14ac:dyDescent="0.2">
      <c r="A846" s="417">
        <v>43550</v>
      </c>
      <c r="B846" s="403">
        <v>332295.96000000002</v>
      </c>
      <c r="C846" s="417"/>
      <c r="D846" s="403"/>
    </row>
    <row r="847" spans="1:4" x14ac:dyDescent="0.2">
      <c r="A847" s="417">
        <v>43551</v>
      </c>
      <c r="B847" s="403">
        <v>325401.01</v>
      </c>
      <c r="C847" s="417"/>
      <c r="D847" s="403"/>
    </row>
    <row r="848" spans="1:4" x14ac:dyDescent="0.2">
      <c r="A848" s="417">
        <v>43552</v>
      </c>
      <c r="B848" s="403">
        <v>328793.55</v>
      </c>
      <c r="C848" s="417"/>
      <c r="D848" s="403"/>
    </row>
    <row r="849" spans="1:4" x14ac:dyDescent="0.2">
      <c r="A849" s="417">
        <v>43553</v>
      </c>
      <c r="B849" s="403">
        <v>329088.55</v>
      </c>
      <c r="C849" s="417"/>
      <c r="D849" s="403"/>
    </row>
    <row r="850" spans="1:4" x14ac:dyDescent="0.2">
      <c r="A850" s="417">
        <v>43556</v>
      </c>
      <c r="B850" s="403">
        <v>328488.55</v>
      </c>
      <c r="C850" s="417"/>
      <c r="D850" s="403"/>
    </row>
    <row r="851" spans="1:4" x14ac:dyDescent="0.2">
      <c r="A851" s="417">
        <v>43557</v>
      </c>
      <c r="B851" s="403">
        <v>292528.71999999997</v>
      </c>
      <c r="C851" s="417"/>
      <c r="D851" s="403"/>
    </row>
    <row r="852" spans="1:4" x14ac:dyDescent="0.2">
      <c r="A852" s="417">
        <v>43558</v>
      </c>
      <c r="B852" s="403">
        <v>294672.43</v>
      </c>
      <c r="C852" s="417"/>
      <c r="D852" s="403"/>
    </row>
    <row r="853" spans="1:4" x14ac:dyDescent="0.2">
      <c r="A853" s="417">
        <v>43559</v>
      </c>
      <c r="B853" s="403">
        <v>292850.33</v>
      </c>
      <c r="C853" s="417"/>
      <c r="D853" s="403"/>
    </row>
    <row r="854" spans="1:4" x14ac:dyDescent="0.2">
      <c r="A854" s="417">
        <v>43560</v>
      </c>
      <c r="B854" s="403">
        <v>284702.78999999998</v>
      </c>
      <c r="C854" s="417"/>
      <c r="D854" s="403"/>
    </row>
    <row r="855" spans="1:4" x14ac:dyDescent="0.2">
      <c r="A855" s="417">
        <v>43563</v>
      </c>
      <c r="B855" s="403">
        <v>284703</v>
      </c>
      <c r="C855" s="417"/>
      <c r="D855" s="403"/>
    </row>
    <row r="856" spans="1:4" x14ac:dyDescent="0.2">
      <c r="A856" s="417">
        <v>43564</v>
      </c>
      <c r="B856" s="403">
        <v>284775.52</v>
      </c>
      <c r="C856" s="417"/>
      <c r="D856" s="403"/>
    </row>
    <row r="857" spans="1:4" x14ac:dyDescent="0.2">
      <c r="A857" s="417">
        <v>43565</v>
      </c>
      <c r="B857" s="403">
        <v>284776</v>
      </c>
      <c r="C857" s="417"/>
      <c r="D857" s="403"/>
    </row>
    <row r="858" spans="1:4" x14ac:dyDescent="0.2">
      <c r="A858" s="417">
        <v>43566</v>
      </c>
      <c r="B858" s="403">
        <v>277335.02</v>
      </c>
      <c r="C858" s="417"/>
      <c r="D858" s="403"/>
    </row>
    <row r="859" spans="1:4" x14ac:dyDescent="0.2">
      <c r="A859" s="417">
        <v>43567</v>
      </c>
      <c r="B859" s="403">
        <v>277335</v>
      </c>
      <c r="C859" s="417"/>
      <c r="D859" s="403"/>
    </row>
    <row r="860" spans="1:4" x14ac:dyDescent="0.2">
      <c r="A860" s="417">
        <v>43570</v>
      </c>
      <c r="B860" s="403">
        <v>277462.90999999997</v>
      </c>
      <c r="C860" s="417"/>
      <c r="D860" s="403"/>
    </row>
    <row r="861" spans="1:4" x14ac:dyDescent="0.2">
      <c r="A861" s="417">
        <v>43571</v>
      </c>
      <c r="B861" s="403">
        <v>241180.07</v>
      </c>
      <c r="C861" s="417"/>
      <c r="D861" s="403"/>
    </row>
    <row r="862" spans="1:4" x14ac:dyDescent="0.2">
      <c r="A862" s="417">
        <v>43572</v>
      </c>
      <c r="B862" s="403">
        <v>257634.61</v>
      </c>
      <c r="C862" s="417"/>
      <c r="D862" s="403"/>
    </row>
    <row r="863" spans="1:4" x14ac:dyDescent="0.2">
      <c r="A863" s="417">
        <v>43573</v>
      </c>
      <c r="B863" s="403">
        <v>241154.55</v>
      </c>
      <c r="C863" s="417"/>
      <c r="D863" s="403"/>
    </row>
    <row r="864" spans="1:4" x14ac:dyDescent="0.2">
      <c r="A864" s="417">
        <v>43574</v>
      </c>
      <c r="B864" s="403">
        <v>243162.78</v>
      </c>
      <c r="C864" s="417"/>
      <c r="D864" s="403"/>
    </row>
    <row r="865" spans="1:4" x14ac:dyDescent="0.2">
      <c r="A865" s="417">
        <v>43577</v>
      </c>
      <c r="B865" s="403">
        <v>243003.93</v>
      </c>
      <c r="C865" s="417"/>
      <c r="D865" s="403"/>
    </row>
    <row r="866" spans="1:4" x14ac:dyDescent="0.2">
      <c r="A866" s="417">
        <v>43578</v>
      </c>
      <c r="B866" s="403">
        <v>243004</v>
      </c>
      <c r="C866" s="417"/>
      <c r="D866" s="403"/>
    </row>
    <row r="867" spans="1:4" x14ac:dyDescent="0.2">
      <c r="A867" s="417">
        <v>43579</v>
      </c>
      <c r="B867" s="403">
        <v>243060.55</v>
      </c>
      <c r="C867" s="417"/>
      <c r="D867" s="403"/>
    </row>
    <row r="868" spans="1:4" x14ac:dyDescent="0.2">
      <c r="A868" s="417">
        <v>43580</v>
      </c>
      <c r="B868" s="403">
        <v>245074.5</v>
      </c>
      <c r="C868" s="417"/>
      <c r="D868" s="403"/>
    </row>
    <row r="869" spans="1:4" x14ac:dyDescent="0.2">
      <c r="A869" s="417">
        <v>43581</v>
      </c>
      <c r="B869" s="403">
        <v>274493.84000000003</v>
      </c>
      <c r="C869" s="417"/>
      <c r="D869" s="403"/>
    </row>
    <row r="870" spans="1:4" x14ac:dyDescent="0.2">
      <c r="A870" s="417">
        <v>43584</v>
      </c>
      <c r="B870" s="403">
        <v>274494</v>
      </c>
      <c r="C870" s="417"/>
      <c r="D870" s="403"/>
    </row>
    <row r="871" spans="1:4" x14ac:dyDescent="0.2">
      <c r="A871" s="417">
        <v>43585</v>
      </c>
      <c r="B871" s="403">
        <v>268536.75</v>
      </c>
      <c r="C871" s="417"/>
      <c r="D871" s="403"/>
    </row>
    <row r="872" spans="1:4" x14ac:dyDescent="0.2">
      <c r="A872" s="417">
        <v>43586</v>
      </c>
      <c r="B872" s="403">
        <v>249086.1</v>
      </c>
      <c r="C872" s="417"/>
      <c r="D872" s="403"/>
    </row>
    <row r="873" spans="1:4" x14ac:dyDescent="0.2">
      <c r="A873" s="417">
        <v>43587</v>
      </c>
      <c r="B873" s="403">
        <v>253347.36</v>
      </c>
      <c r="C873" s="417"/>
      <c r="D873" s="403"/>
    </row>
    <row r="874" spans="1:4" x14ac:dyDescent="0.2">
      <c r="A874" s="417">
        <v>43588</v>
      </c>
      <c r="B874" s="403">
        <v>253347</v>
      </c>
      <c r="C874" s="417"/>
      <c r="D874" s="403"/>
    </row>
    <row r="875" spans="1:4" x14ac:dyDescent="0.2">
      <c r="A875" s="417">
        <v>43591</v>
      </c>
      <c r="B875" s="403">
        <v>253347</v>
      </c>
      <c r="C875" s="417"/>
      <c r="D875" s="403"/>
    </row>
    <row r="876" spans="1:4" x14ac:dyDescent="0.2">
      <c r="A876" s="417">
        <v>43592</v>
      </c>
      <c r="B876" s="403">
        <v>253347</v>
      </c>
      <c r="C876" s="417"/>
      <c r="D876" s="403"/>
    </row>
    <row r="877" spans="1:4" x14ac:dyDescent="0.2">
      <c r="A877" s="417">
        <v>43593</v>
      </c>
      <c r="B877" s="403">
        <v>253347</v>
      </c>
      <c r="C877" s="417"/>
      <c r="D877" s="403"/>
    </row>
    <row r="878" spans="1:4" x14ac:dyDescent="0.2">
      <c r="A878" s="417">
        <v>43594</v>
      </c>
      <c r="B878" s="403">
        <v>256363.47</v>
      </c>
      <c r="C878" s="417"/>
      <c r="D878" s="403"/>
    </row>
    <row r="879" spans="1:4" x14ac:dyDescent="0.2">
      <c r="A879" s="417">
        <v>43595</v>
      </c>
      <c r="B879" s="403">
        <v>256363</v>
      </c>
      <c r="C879" s="417"/>
      <c r="D879" s="403"/>
    </row>
    <row r="880" spans="1:4" x14ac:dyDescent="0.2">
      <c r="A880" s="417">
        <v>43598</v>
      </c>
      <c r="B880" s="403">
        <v>256363</v>
      </c>
      <c r="C880" s="417"/>
      <c r="D880" s="403"/>
    </row>
    <row r="881" spans="1:4" x14ac:dyDescent="0.2">
      <c r="A881" s="417">
        <v>43599</v>
      </c>
      <c r="B881" s="403">
        <v>220671.47</v>
      </c>
      <c r="C881" s="417"/>
      <c r="D881" s="403"/>
    </row>
    <row r="882" spans="1:4" x14ac:dyDescent="0.2">
      <c r="A882" s="417">
        <v>43600</v>
      </c>
      <c r="B882" s="403">
        <v>248680.89</v>
      </c>
      <c r="C882" s="417"/>
      <c r="D882" s="403"/>
    </row>
    <row r="883" spans="1:4" x14ac:dyDescent="0.2">
      <c r="A883" s="417">
        <v>43601</v>
      </c>
      <c r="B883" s="403">
        <v>254567.98</v>
      </c>
      <c r="C883" s="417"/>
      <c r="D883" s="403"/>
    </row>
    <row r="884" spans="1:4" x14ac:dyDescent="0.2">
      <c r="A884" s="417">
        <v>43602</v>
      </c>
      <c r="B884" s="403">
        <v>310563.12</v>
      </c>
      <c r="C884" s="417"/>
      <c r="D884" s="403"/>
    </row>
    <row r="885" spans="1:4" x14ac:dyDescent="0.2">
      <c r="A885" s="417">
        <v>43605</v>
      </c>
      <c r="B885" s="403">
        <v>310000.12</v>
      </c>
      <c r="C885" s="417"/>
      <c r="D885" s="403"/>
    </row>
    <row r="886" spans="1:4" x14ac:dyDescent="0.2">
      <c r="A886" s="417">
        <v>43606</v>
      </c>
      <c r="B886" s="403">
        <v>310000.12</v>
      </c>
      <c r="C886" s="417"/>
      <c r="D886" s="403"/>
    </row>
    <row r="887" spans="1:4" x14ac:dyDescent="0.2">
      <c r="A887" s="417">
        <v>43607</v>
      </c>
      <c r="B887" s="403">
        <v>310000.12</v>
      </c>
      <c r="C887" s="417"/>
      <c r="D887" s="403"/>
    </row>
    <row r="888" spans="1:4" x14ac:dyDescent="0.2">
      <c r="A888" s="417">
        <v>43608</v>
      </c>
      <c r="B888" s="403">
        <v>300109.28999999998</v>
      </c>
      <c r="C888" s="417"/>
      <c r="D888" s="403"/>
    </row>
    <row r="889" spans="1:4" x14ac:dyDescent="0.2">
      <c r="A889" s="417">
        <v>43609</v>
      </c>
      <c r="B889" s="403">
        <v>297396.90999999997</v>
      </c>
      <c r="C889" s="417"/>
      <c r="D889" s="403"/>
    </row>
    <row r="890" spans="1:4" x14ac:dyDescent="0.2">
      <c r="A890" s="417">
        <v>43612</v>
      </c>
      <c r="B890" s="403">
        <v>297397</v>
      </c>
      <c r="C890" s="417"/>
      <c r="D890" s="403"/>
    </row>
    <row r="891" spans="1:4" x14ac:dyDescent="0.2">
      <c r="A891" s="417">
        <v>43613</v>
      </c>
      <c r="B891" s="403">
        <v>309520.18</v>
      </c>
      <c r="C891" s="417"/>
      <c r="D891" s="403"/>
    </row>
    <row r="892" spans="1:4" x14ac:dyDescent="0.2">
      <c r="A892" s="417">
        <v>43614</v>
      </c>
      <c r="B892" s="403">
        <v>309520</v>
      </c>
      <c r="C892" s="417"/>
      <c r="D892" s="403"/>
    </row>
    <row r="893" spans="1:4" x14ac:dyDescent="0.2">
      <c r="A893" s="417">
        <v>43615</v>
      </c>
      <c r="B893" s="403">
        <v>306153.90000000002</v>
      </c>
      <c r="C893" s="417"/>
      <c r="D893" s="403"/>
    </row>
    <row r="894" spans="1:4" x14ac:dyDescent="0.2">
      <c r="A894" s="417">
        <v>43616</v>
      </c>
      <c r="B894" s="403">
        <v>307621.78000000003</v>
      </c>
      <c r="C894" s="417"/>
      <c r="D894" s="403"/>
    </row>
    <row r="895" spans="1:4" x14ac:dyDescent="0.2">
      <c r="A895" s="417">
        <v>43619</v>
      </c>
      <c r="B895" s="403">
        <v>307288.12</v>
      </c>
      <c r="C895" s="417"/>
      <c r="D895" s="403"/>
    </row>
    <row r="896" spans="1:4" x14ac:dyDescent="0.2">
      <c r="A896" s="417">
        <v>43620</v>
      </c>
      <c r="B896" s="403">
        <v>307288</v>
      </c>
      <c r="C896" s="417"/>
      <c r="D896" s="403"/>
    </row>
    <row r="897" spans="1:4" x14ac:dyDescent="0.2">
      <c r="A897" s="417">
        <v>43621</v>
      </c>
      <c r="B897" s="403">
        <v>307288</v>
      </c>
      <c r="C897" s="417"/>
      <c r="D897" s="403"/>
    </row>
    <row r="898" spans="1:4" x14ac:dyDescent="0.2">
      <c r="A898" s="417">
        <v>43622</v>
      </c>
      <c r="B898" s="403">
        <v>296580.19</v>
      </c>
      <c r="C898" s="417"/>
      <c r="D898" s="403"/>
    </row>
    <row r="899" spans="1:4" x14ac:dyDescent="0.2">
      <c r="A899" s="417">
        <v>43623</v>
      </c>
      <c r="B899" s="403">
        <v>295981.95</v>
      </c>
      <c r="C899" s="417"/>
      <c r="D899" s="403"/>
    </row>
    <row r="900" spans="1:4" x14ac:dyDescent="0.2">
      <c r="A900" s="417">
        <v>43626</v>
      </c>
      <c r="B900" s="403">
        <v>260513.06</v>
      </c>
      <c r="C900" s="417"/>
      <c r="D900" s="403"/>
    </row>
    <row r="901" spans="1:4" x14ac:dyDescent="0.2">
      <c r="A901" s="417">
        <v>43627</v>
      </c>
      <c r="B901" s="403">
        <v>260513</v>
      </c>
      <c r="C901" s="417"/>
      <c r="D901" s="403"/>
    </row>
    <row r="902" spans="1:4" x14ac:dyDescent="0.2">
      <c r="A902" s="417">
        <v>43628</v>
      </c>
      <c r="B902" s="403">
        <v>260513</v>
      </c>
      <c r="C902" s="417"/>
      <c r="D902" s="403"/>
    </row>
    <row r="903" spans="1:4" x14ac:dyDescent="0.2">
      <c r="A903" s="417">
        <v>43629</v>
      </c>
      <c r="B903" s="403">
        <v>255966.98</v>
      </c>
      <c r="C903" s="417"/>
      <c r="D903" s="403"/>
    </row>
    <row r="904" spans="1:4" x14ac:dyDescent="0.2">
      <c r="A904" s="417">
        <v>43630</v>
      </c>
      <c r="B904" s="403">
        <v>257507.94</v>
      </c>
      <c r="C904" s="417"/>
      <c r="D904" s="403"/>
    </row>
    <row r="905" spans="1:4" x14ac:dyDescent="0.2">
      <c r="A905" s="417">
        <v>43633</v>
      </c>
      <c r="B905" s="403">
        <v>257508</v>
      </c>
      <c r="C905" s="417"/>
      <c r="D905" s="403"/>
    </row>
    <row r="906" spans="1:4" x14ac:dyDescent="0.2">
      <c r="A906" s="417">
        <v>43634</v>
      </c>
      <c r="B906" s="403">
        <v>257508</v>
      </c>
      <c r="C906" s="417"/>
      <c r="D906" s="403"/>
    </row>
    <row r="907" spans="1:4" x14ac:dyDescent="0.2">
      <c r="A907" s="417">
        <v>43635</v>
      </c>
      <c r="B907" s="403">
        <v>257508</v>
      </c>
      <c r="C907" s="417"/>
      <c r="D907" s="403"/>
    </row>
    <row r="908" spans="1:4" x14ac:dyDescent="0.2">
      <c r="A908" s="417">
        <v>43636</v>
      </c>
      <c r="B908" s="403">
        <v>245601.94</v>
      </c>
      <c r="C908" s="417"/>
      <c r="D908" s="403"/>
    </row>
    <row r="909" spans="1:4" x14ac:dyDescent="0.2">
      <c r="A909" s="417">
        <v>43637</v>
      </c>
      <c r="B909" s="403">
        <v>245768.94</v>
      </c>
      <c r="C909" s="417"/>
      <c r="D909" s="403"/>
    </row>
    <row r="910" spans="1:4" x14ac:dyDescent="0.2">
      <c r="A910" s="417">
        <v>43640</v>
      </c>
      <c r="B910" s="403">
        <v>245769</v>
      </c>
      <c r="C910" s="417"/>
      <c r="D910" s="403"/>
    </row>
    <row r="911" spans="1:4" x14ac:dyDescent="0.2">
      <c r="A911" s="417">
        <v>43641</v>
      </c>
      <c r="B911" s="403">
        <v>209143.06</v>
      </c>
      <c r="C911" s="417"/>
      <c r="D911" s="403"/>
    </row>
    <row r="912" spans="1:4" x14ac:dyDescent="0.2">
      <c r="A912" s="417">
        <v>43642</v>
      </c>
      <c r="B912" s="403">
        <v>216087.16</v>
      </c>
      <c r="C912" s="417"/>
      <c r="D912" s="403"/>
    </row>
    <row r="913" spans="1:4" x14ac:dyDescent="0.2">
      <c r="A913" s="417">
        <v>43643</v>
      </c>
      <c r="B913" s="403">
        <v>218399.34</v>
      </c>
      <c r="C913" s="417"/>
      <c r="D913" s="403"/>
    </row>
    <row r="914" spans="1:4" x14ac:dyDescent="0.2">
      <c r="A914" s="417">
        <v>43644</v>
      </c>
      <c r="B914" s="403">
        <v>246675.15</v>
      </c>
      <c r="C914" s="417"/>
      <c r="D914" s="403"/>
    </row>
    <row r="915" spans="1:4" x14ac:dyDescent="0.2">
      <c r="A915" s="417">
        <v>43647</v>
      </c>
      <c r="B915" s="403">
        <v>246675</v>
      </c>
      <c r="C915" s="417"/>
      <c r="D915" s="403"/>
    </row>
    <row r="916" spans="1:4" x14ac:dyDescent="0.2">
      <c r="A916" s="417">
        <v>43648</v>
      </c>
      <c r="B916" s="403">
        <v>248377.32</v>
      </c>
      <c r="C916" s="417"/>
      <c r="D916" s="403"/>
    </row>
    <row r="917" spans="1:4" x14ac:dyDescent="0.2">
      <c r="A917" s="417">
        <v>43649</v>
      </c>
      <c r="B917" s="403">
        <v>277944.71000000002</v>
      </c>
      <c r="C917" s="417"/>
      <c r="D917" s="403"/>
    </row>
    <row r="918" spans="1:4" x14ac:dyDescent="0.2">
      <c r="A918" s="417">
        <v>43650</v>
      </c>
      <c r="B918" s="403">
        <v>277945</v>
      </c>
      <c r="C918" s="417"/>
      <c r="D918" s="403"/>
    </row>
    <row r="919" spans="1:4" x14ac:dyDescent="0.2">
      <c r="A919" s="417">
        <v>43651</v>
      </c>
      <c r="B919" s="403">
        <v>278046.71000000002</v>
      </c>
      <c r="C919" s="417"/>
      <c r="D919" s="403"/>
    </row>
    <row r="920" spans="1:4" x14ac:dyDescent="0.2">
      <c r="A920" s="417">
        <v>43654</v>
      </c>
      <c r="B920" s="403">
        <v>282590.19</v>
      </c>
      <c r="C920" s="417"/>
      <c r="D920" s="403"/>
    </row>
    <row r="921" spans="1:4" x14ac:dyDescent="0.2">
      <c r="A921" s="417">
        <v>43655</v>
      </c>
      <c r="B921" s="403">
        <v>247195.73</v>
      </c>
      <c r="C921" s="417"/>
      <c r="D921" s="403"/>
    </row>
    <row r="922" spans="1:4" x14ac:dyDescent="0.2">
      <c r="A922" s="417">
        <v>43656</v>
      </c>
      <c r="B922" s="403">
        <v>247195.73</v>
      </c>
      <c r="C922" s="417"/>
      <c r="D922" s="403"/>
    </row>
    <row r="923" spans="1:4" x14ac:dyDescent="0.2">
      <c r="A923" s="417">
        <v>43657</v>
      </c>
      <c r="B923" s="403">
        <v>235813.1</v>
      </c>
      <c r="C923" s="417"/>
      <c r="D923" s="403"/>
    </row>
    <row r="924" spans="1:4" x14ac:dyDescent="0.2">
      <c r="A924" s="417">
        <v>43658</v>
      </c>
      <c r="B924" s="403">
        <v>237210.07</v>
      </c>
      <c r="C924" s="417"/>
      <c r="D924" s="403"/>
    </row>
    <row r="925" spans="1:4" x14ac:dyDescent="0.2">
      <c r="A925" s="417">
        <v>43661</v>
      </c>
      <c r="B925" s="403">
        <v>237490.39</v>
      </c>
      <c r="C925" s="417"/>
      <c r="D925" s="403"/>
    </row>
    <row r="926" spans="1:4" x14ac:dyDescent="0.2">
      <c r="A926" s="417">
        <v>43662</v>
      </c>
      <c r="B926" s="403">
        <v>237490</v>
      </c>
      <c r="C926" s="417"/>
      <c r="D926" s="403"/>
    </row>
    <row r="927" spans="1:4" x14ac:dyDescent="0.2">
      <c r="A927" s="417">
        <v>43663</v>
      </c>
      <c r="B927" s="403">
        <v>237490.39</v>
      </c>
      <c r="C927" s="417"/>
      <c r="D927" s="403"/>
    </row>
    <row r="928" spans="1:4" x14ac:dyDescent="0.2">
      <c r="A928" s="417">
        <v>43664</v>
      </c>
      <c r="B928" s="403">
        <v>232593.57</v>
      </c>
      <c r="C928" s="417"/>
      <c r="D928" s="403"/>
    </row>
    <row r="929" spans="1:4" x14ac:dyDescent="0.2">
      <c r="A929" s="417">
        <v>43665</v>
      </c>
      <c r="B929" s="403">
        <v>232923.06</v>
      </c>
      <c r="C929" s="417"/>
      <c r="D929" s="403"/>
    </row>
    <row r="930" spans="1:4" x14ac:dyDescent="0.2">
      <c r="A930" s="417">
        <v>43668</v>
      </c>
      <c r="B930" s="403">
        <v>196798.51</v>
      </c>
      <c r="C930" s="417"/>
      <c r="D930" s="403"/>
    </row>
    <row r="931" spans="1:4" x14ac:dyDescent="0.2">
      <c r="A931" s="417">
        <v>43669</v>
      </c>
      <c r="B931" s="403">
        <v>199629.38</v>
      </c>
      <c r="C931" s="417"/>
      <c r="D931" s="403"/>
    </row>
    <row r="932" spans="1:4" x14ac:dyDescent="0.2">
      <c r="A932" s="417">
        <v>43670</v>
      </c>
      <c r="B932" s="403">
        <v>199629</v>
      </c>
      <c r="C932" s="417"/>
      <c r="D932" s="403"/>
    </row>
    <row r="933" spans="1:4" x14ac:dyDescent="0.2">
      <c r="A933" s="417">
        <v>43671</v>
      </c>
      <c r="B933" s="403">
        <v>195151.45</v>
      </c>
      <c r="C933" s="417"/>
      <c r="D933" s="403"/>
    </row>
    <row r="934" spans="1:4" x14ac:dyDescent="0.2">
      <c r="A934" s="417">
        <v>43672</v>
      </c>
      <c r="B934" s="403">
        <v>228843.78</v>
      </c>
      <c r="C934" s="417"/>
      <c r="D934" s="403"/>
    </row>
    <row r="935" spans="1:4" x14ac:dyDescent="0.2">
      <c r="A935" s="417">
        <v>43675</v>
      </c>
      <c r="B935" s="403">
        <v>228844</v>
      </c>
      <c r="C935" s="417"/>
      <c r="D935" s="403"/>
    </row>
    <row r="936" spans="1:4" x14ac:dyDescent="0.2">
      <c r="A936" s="417">
        <v>43676</v>
      </c>
      <c r="B936" s="403">
        <v>228844</v>
      </c>
      <c r="C936" s="417"/>
      <c r="D936" s="403"/>
    </row>
    <row r="937" spans="1:4" x14ac:dyDescent="0.2">
      <c r="A937" s="417">
        <v>43677</v>
      </c>
      <c r="B937" s="403">
        <v>229051.78</v>
      </c>
      <c r="C937" s="417"/>
      <c r="D937" s="403"/>
    </row>
    <row r="938" spans="1:4" x14ac:dyDescent="0.2">
      <c r="A938" s="417">
        <v>43678</v>
      </c>
      <c r="B938" s="403">
        <v>234767.17</v>
      </c>
      <c r="C938" s="417"/>
      <c r="D938" s="403"/>
    </row>
    <row r="939" spans="1:4" x14ac:dyDescent="0.2">
      <c r="A939" s="417">
        <v>43679</v>
      </c>
      <c r="B939" s="403">
        <v>236117.76000000001</v>
      </c>
      <c r="C939" s="417"/>
      <c r="D939" s="403"/>
    </row>
    <row r="940" spans="1:4" x14ac:dyDescent="0.2">
      <c r="A940" s="417">
        <v>43682</v>
      </c>
      <c r="B940" s="403">
        <v>236118</v>
      </c>
      <c r="C940" s="417"/>
      <c r="D940" s="403"/>
    </row>
    <row r="941" spans="1:4" x14ac:dyDescent="0.2">
      <c r="A941" s="417">
        <v>43683</v>
      </c>
      <c r="B941" s="403">
        <v>208888.5</v>
      </c>
      <c r="C941" s="417"/>
      <c r="D941" s="403"/>
    </row>
    <row r="942" spans="1:4" x14ac:dyDescent="0.2">
      <c r="A942" s="417">
        <v>43684</v>
      </c>
      <c r="B942" s="403">
        <v>208792.5</v>
      </c>
      <c r="C942" s="417"/>
      <c r="D942" s="403"/>
    </row>
    <row r="943" spans="1:4" x14ac:dyDescent="0.2">
      <c r="A943" s="417">
        <v>43685</v>
      </c>
      <c r="B943" s="403">
        <v>203219.37</v>
      </c>
      <c r="C943" s="417"/>
      <c r="D943" s="403"/>
    </row>
    <row r="944" spans="1:4" x14ac:dyDescent="0.2">
      <c r="A944" s="417">
        <v>43686</v>
      </c>
      <c r="B944" s="403">
        <v>205639.37</v>
      </c>
      <c r="C944" s="417"/>
      <c r="D944" s="403"/>
    </row>
    <row r="945" spans="1:4" x14ac:dyDescent="0.2">
      <c r="A945" s="417">
        <v>43689</v>
      </c>
      <c r="B945" s="403">
        <v>205639.37</v>
      </c>
      <c r="C945" s="417"/>
      <c r="D945" s="403"/>
    </row>
    <row r="946" spans="1:4" x14ac:dyDescent="0.2">
      <c r="A946" s="417">
        <v>43690</v>
      </c>
      <c r="B946" s="403">
        <v>232145.73</v>
      </c>
      <c r="C946" s="417"/>
      <c r="D946" s="403"/>
    </row>
    <row r="947" spans="1:4" x14ac:dyDescent="0.2">
      <c r="A947" s="417">
        <v>43691</v>
      </c>
      <c r="B947" s="403">
        <v>233325.32</v>
      </c>
      <c r="C947" s="417"/>
      <c r="D947" s="403"/>
    </row>
    <row r="948" spans="1:4" x14ac:dyDescent="0.2">
      <c r="A948" s="417">
        <v>43692</v>
      </c>
      <c r="B948" s="403">
        <v>225375.98</v>
      </c>
      <c r="C948" s="417"/>
      <c r="D948" s="403"/>
    </row>
    <row r="949" spans="1:4" x14ac:dyDescent="0.2">
      <c r="A949" s="417">
        <v>43693</v>
      </c>
      <c r="B949" s="403">
        <v>225424.1</v>
      </c>
      <c r="C949" s="417"/>
      <c r="D949" s="403"/>
    </row>
    <row r="950" spans="1:4" x14ac:dyDescent="0.2">
      <c r="A950" s="417">
        <v>43696</v>
      </c>
      <c r="B950" s="403">
        <v>187365.06</v>
      </c>
      <c r="C950" s="417"/>
      <c r="D950" s="403"/>
    </row>
    <row r="951" spans="1:4" x14ac:dyDescent="0.2">
      <c r="A951" s="417">
        <v>43697</v>
      </c>
      <c r="B951" s="403">
        <v>187365</v>
      </c>
      <c r="C951" s="417"/>
      <c r="D951" s="403"/>
    </row>
    <row r="952" spans="1:4" x14ac:dyDescent="0.2">
      <c r="A952" s="417">
        <v>43698</v>
      </c>
      <c r="B952" s="403">
        <v>187365</v>
      </c>
      <c r="C952" s="417"/>
      <c r="D952" s="403"/>
    </row>
    <row r="953" spans="1:4" x14ac:dyDescent="0.2">
      <c r="A953" s="417">
        <v>43699</v>
      </c>
      <c r="B953" s="445">
        <v>172667.6</v>
      </c>
      <c r="C953" s="417"/>
      <c r="D953" s="403"/>
    </row>
    <row r="954" spans="1:4" x14ac:dyDescent="0.2">
      <c r="A954" s="417">
        <v>43700</v>
      </c>
      <c r="B954" s="403">
        <v>172668</v>
      </c>
      <c r="C954" s="417"/>
      <c r="D954" s="403"/>
    </row>
    <row r="955" spans="1:4" x14ac:dyDescent="0.2">
      <c r="A955" s="417">
        <v>43703</v>
      </c>
      <c r="B955" s="403">
        <v>236616.35</v>
      </c>
      <c r="C955" s="417"/>
      <c r="D955" s="403"/>
    </row>
    <row r="956" spans="1:4" x14ac:dyDescent="0.2">
      <c r="A956" s="417">
        <v>43704</v>
      </c>
      <c r="B956" s="403">
        <v>237913.62</v>
      </c>
      <c r="C956" s="417"/>
      <c r="D956" s="403"/>
    </row>
    <row r="957" spans="1:4" x14ac:dyDescent="0.2">
      <c r="A957" s="417">
        <v>43705</v>
      </c>
      <c r="B957" s="403">
        <v>237914</v>
      </c>
      <c r="C957" s="417"/>
      <c r="D957" s="403"/>
    </row>
    <row r="958" spans="1:4" x14ac:dyDescent="0.2">
      <c r="A958" s="417">
        <v>43706</v>
      </c>
      <c r="B958" s="403">
        <v>244708.19</v>
      </c>
      <c r="C958" s="417"/>
      <c r="D958" s="403"/>
    </row>
    <row r="959" spans="1:4" x14ac:dyDescent="0.2">
      <c r="A959" s="417">
        <v>43707</v>
      </c>
      <c r="B959" s="403">
        <v>249899.19</v>
      </c>
      <c r="C959" s="417"/>
      <c r="D959" s="403"/>
    </row>
    <row r="960" spans="1:4" x14ac:dyDescent="0.2">
      <c r="A960" s="417">
        <v>43710</v>
      </c>
      <c r="B960" s="403">
        <v>249899</v>
      </c>
      <c r="C960" s="417"/>
      <c r="D960" s="403"/>
    </row>
    <row r="961" spans="1:4" x14ac:dyDescent="0.2">
      <c r="A961" s="417">
        <v>43711</v>
      </c>
      <c r="B961" s="403">
        <v>215930.73</v>
      </c>
      <c r="C961" s="417"/>
      <c r="D961" s="403"/>
    </row>
    <row r="962" spans="1:4" x14ac:dyDescent="0.2">
      <c r="A962" s="417">
        <v>43712</v>
      </c>
      <c r="B962" s="403">
        <v>215931</v>
      </c>
      <c r="C962" s="417"/>
      <c r="D962" s="403"/>
    </row>
    <row r="963" spans="1:4" x14ac:dyDescent="0.2">
      <c r="A963" s="417">
        <v>43713</v>
      </c>
      <c r="B963" s="403">
        <v>205664.34</v>
      </c>
      <c r="C963" s="417"/>
      <c r="D963" s="403"/>
    </row>
    <row r="964" spans="1:4" x14ac:dyDescent="0.2">
      <c r="A964" s="417">
        <v>43714</v>
      </c>
      <c r="B964" s="403">
        <v>205830.34</v>
      </c>
      <c r="C964" s="417"/>
      <c r="D964" s="403"/>
    </row>
    <row r="965" spans="1:4" x14ac:dyDescent="0.2">
      <c r="A965" s="417">
        <v>43717</v>
      </c>
      <c r="B965" s="403">
        <v>205830</v>
      </c>
      <c r="C965" s="417"/>
      <c r="D965" s="403"/>
    </row>
    <row r="966" spans="1:4" x14ac:dyDescent="0.2">
      <c r="A966" s="417">
        <v>43718</v>
      </c>
      <c r="B966" s="403">
        <v>205830</v>
      </c>
      <c r="C966" s="417"/>
      <c r="D966" s="403"/>
    </row>
    <row r="967" spans="1:4" x14ac:dyDescent="0.2">
      <c r="A967" s="417">
        <v>43719</v>
      </c>
      <c r="B967" s="403">
        <v>205830</v>
      </c>
      <c r="C967" s="417"/>
      <c r="D967" s="403"/>
    </row>
    <row r="968" spans="1:4" x14ac:dyDescent="0.2">
      <c r="A968" s="417">
        <v>43720</v>
      </c>
      <c r="B968" s="403">
        <v>207654.61</v>
      </c>
      <c r="C968" s="417"/>
      <c r="D968" s="403"/>
    </row>
    <row r="969" spans="1:4" x14ac:dyDescent="0.2">
      <c r="A969" s="417">
        <v>43721</v>
      </c>
      <c r="B969" s="403">
        <v>207743.24</v>
      </c>
      <c r="C969" s="417"/>
      <c r="D969" s="403"/>
    </row>
    <row r="970" spans="1:4" x14ac:dyDescent="0.2">
      <c r="A970" s="417">
        <v>43724</v>
      </c>
      <c r="B970" s="403">
        <v>207845.42</v>
      </c>
      <c r="C970" s="417"/>
      <c r="D970" s="403"/>
    </row>
    <row r="971" spans="1:4" x14ac:dyDescent="0.2">
      <c r="A971" s="417">
        <v>43725</v>
      </c>
      <c r="B971" s="403">
        <v>173840.8</v>
      </c>
      <c r="C971" s="417"/>
      <c r="D971" s="403"/>
    </row>
    <row r="972" spans="1:4" x14ac:dyDescent="0.2">
      <c r="A972" s="417">
        <v>43726</v>
      </c>
      <c r="B972" s="403">
        <v>212383.95</v>
      </c>
      <c r="C972" s="417"/>
      <c r="D972" s="403"/>
    </row>
    <row r="973" spans="1:4" x14ac:dyDescent="0.2">
      <c r="A973" s="417">
        <v>43727</v>
      </c>
      <c r="B973" s="403">
        <v>205191.98</v>
      </c>
      <c r="C973" s="417"/>
      <c r="D973" s="403"/>
    </row>
    <row r="974" spans="1:4" x14ac:dyDescent="0.2">
      <c r="A974" s="417">
        <v>43728</v>
      </c>
      <c r="B974" s="403">
        <v>205884.98</v>
      </c>
      <c r="C974" s="417"/>
      <c r="D974" s="403"/>
    </row>
    <row r="975" spans="1:4" x14ac:dyDescent="0.2">
      <c r="A975" s="417">
        <v>43731</v>
      </c>
      <c r="B975" s="403">
        <v>205884.98</v>
      </c>
      <c r="C975" s="417"/>
      <c r="D975" s="403"/>
    </row>
    <row r="976" spans="1:4" x14ac:dyDescent="0.2">
      <c r="A976" s="417">
        <v>43732</v>
      </c>
      <c r="B976" s="403">
        <v>205884.98</v>
      </c>
      <c r="C976" s="417"/>
      <c r="D976" s="403"/>
    </row>
    <row r="977" spans="1:4" x14ac:dyDescent="0.2">
      <c r="A977" s="417">
        <v>43733</v>
      </c>
      <c r="B977" s="403">
        <v>231641.34</v>
      </c>
      <c r="C977" s="417"/>
      <c r="D977" s="403"/>
    </row>
    <row r="978" spans="1:4" x14ac:dyDescent="0.2">
      <c r="A978" s="417">
        <v>43734</v>
      </c>
      <c r="B978" s="403">
        <v>236338.62</v>
      </c>
      <c r="C978" s="417"/>
      <c r="D978" s="403"/>
    </row>
    <row r="979" spans="1:4" x14ac:dyDescent="0.2">
      <c r="A979" s="417">
        <v>43735</v>
      </c>
      <c r="B979" s="403">
        <v>269514.5</v>
      </c>
      <c r="C979" s="417"/>
      <c r="D979" s="403"/>
    </row>
    <row r="980" spans="1:4" x14ac:dyDescent="0.2">
      <c r="A980" s="417">
        <v>43738</v>
      </c>
      <c r="B980" s="403">
        <v>287654.26</v>
      </c>
      <c r="C980" s="417"/>
      <c r="D980" s="403"/>
    </row>
    <row r="981" spans="1:4" x14ac:dyDescent="0.2">
      <c r="A981" s="417">
        <v>43739</v>
      </c>
      <c r="B981" s="403">
        <v>254047.41</v>
      </c>
      <c r="C981" s="417"/>
      <c r="D981" s="403"/>
    </row>
    <row r="982" spans="1:4" x14ac:dyDescent="0.2">
      <c r="A982" s="417">
        <v>43740</v>
      </c>
      <c r="B982" s="403">
        <v>254047</v>
      </c>
      <c r="C982" s="417"/>
      <c r="D982" s="403"/>
    </row>
    <row r="983" spans="1:4" x14ac:dyDescent="0.2">
      <c r="A983" s="417">
        <v>43741</v>
      </c>
      <c r="B983" s="403">
        <v>244596.04</v>
      </c>
      <c r="C983" s="417"/>
      <c r="D983" s="403"/>
    </row>
    <row r="984" spans="1:4" x14ac:dyDescent="0.2">
      <c r="A984" s="417">
        <v>43742</v>
      </c>
      <c r="B984" s="403">
        <v>244881.04</v>
      </c>
      <c r="C984" s="417"/>
      <c r="D984" s="403"/>
    </row>
    <row r="985" spans="1:4" x14ac:dyDescent="0.2">
      <c r="A985" s="417">
        <v>43745</v>
      </c>
      <c r="B985" s="403">
        <v>244881</v>
      </c>
      <c r="C985" s="417"/>
      <c r="D985" s="403"/>
    </row>
    <row r="986" spans="1:4" x14ac:dyDescent="0.2">
      <c r="A986" s="417">
        <v>43746</v>
      </c>
      <c r="B986" s="403">
        <v>244881</v>
      </c>
      <c r="C986" s="417"/>
      <c r="D986" s="403"/>
    </row>
    <row r="987" spans="1:4" x14ac:dyDescent="0.2">
      <c r="A987" s="417">
        <v>43747</v>
      </c>
      <c r="B987" s="403">
        <v>244881</v>
      </c>
      <c r="C987" s="417"/>
      <c r="D987" s="403"/>
    </row>
    <row r="988" spans="1:4" x14ac:dyDescent="0.2">
      <c r="A988" s="417">
        <v>43748</v>
      </c>
      <c r="B988" s="403">
        <v>247845.59</v>
      </c>
      <c r="C988" s="417"/>
      <c r="D988" s="403"/>
    </row>
    <row r="989" spans="1:4" x14ac:dyDescent="0.2">
      <c r="A989" s="417">
        <v>43749</v>
      </c>
      <c r="B989" s="403">
        <v>247846</v>
      </c>
      <c r="C989" s="417"/>
      <c r="D989" s="403"/>
    </row>
    <row r="990" spans="1:4" x14ac:dyDescent="0.2">
      <c r="A990" s="417">
        <v>43752</v>
      </c>
      <c r="B990" s="403">
        <v>247846</v>
      </c>
      <c r="C990" s="417"/>
      <c r="D990" s="403"/>
    </row>
    <row r="991" spans="1:4" x14ac:dyDescent="0.2">
      <c r="A991" s="417">
        <v>43753</v>
      </c>
      <c r="B991" s="403">
        <v>183161.53</v>
      </c>
      <c r="C991" s="417"/>
      <c r="D991" s="403"/>
    </row>
    <row r="992" spans="1:4" x14ac:dyDescent="0.2">
      <c r="A992" s="417">
        <v>43754</v>
      </c>
      <c r="B992" s="403">
        <v>185786.19</v>
      </c>
      <c r="C992" s="417"/>
      <c r="D992" s="403"/>
    </row>
    <row r="993" spans="1:4" x14ac:dyDescent="0.2">
      <c r="A993" s="417">
        <v>43755</v>
      </c>
      <c r="B993" s="403">
        <v>160581.73000000001</v>
      </c>
      <c r="C993" s="417"/>
      <c r="D993" s="403"/>
    </row>
    <row r="994" spans="1:4" x14ac:dyDescent="0.2">
      <c r="A994" s="417">
        <v>43756</v>
      </c>
      <c r="B994" s="403">
        <v>160581.73000000001</v>
      </c>
      <c r="C994" s="417"/>
      <c r="D994" s="403"/>
    </row>
    <row r="995" spans="1:4" x14ac:dyDescent="0.2">
      <c r="A995" s="417">
        <v>43759</v>
      </c>
      <c r="B995" s="403">
        <v>160581.73000000001</v>
      </c>
      <c r="C995" s="417"/>
      <c r="D995" s="403"/>
    </row>
    <row r="996" spans="1:4" x14ac:dyDescent="0.2">
      <c r="A996" s="417">
        <v>43760</v>
      </c>
      <c r="B996" s="403">
        <v>160581.73000000001</v>
      </c>
      <c r="C996" s="417"/>
      <c r="D996" s="403"/>
    </row>
    <row r="997" spans="1:4" x14ac:dyDescent="0.2">
      <c r="A997" s="417">
        <v>43761</v>
      </c>
      <c r="B997" s="403">
        <v>171996.42</v>
      </c>
      <c r="C997" s="417"/>
      <c r="D997" s="403"/>
    </row>
    <row r="998" spans="1:4" x14ac:dyDescent="0.2">
      <c r="A998" s="417">
        <v>43762</v>
      </c>
      <c r="B998" s="403">
        <v>167352.24</v>
      </c>
      <c r="C998" s="417"/>
      <c r="D998" s="403"/>
    </row>
    <row r="999" spans="1:4" x14ac:dyDescent="0.2">
      <c r="A999" s="417">
        <v>43763</v>
      </c>
      <c r="B999" s="403">
        <v>166766.24</v>
      </c>
      <c r="C999" s="417"/>
      <c r="D999" s="403"/>
    </row>
    <row r="1000" spans="1:4" x14ac:dyDescent="0.2">
      <c r="A1000" s="417">
        <v>43766</v>
      </c>
      <c r="B1000" s="445">
        <v>129051.26</v>
      </c>
      <c r="C1000" s="417"/>
      <c r="D1000" s="403"/>
    </row>
    <row r="1001" spans="1:4" x14ac:dyDescent="0.2">
      <c r="A1001" s="417">
        <v>43767</v>
      </c>
      <c r="B1001" s="403">
        <v>132306.64000000001</v>
      </c>
      <c r="C1001" s="417"/>
      <c r="D1001" s="403"/>
    </row>
    <row r="1002" spans="1:4" x14ac:dyDescent="0.2">
      <c r="A1002" s="417">
        <v>43768</v>
      </c>
      <c r="B1002" s="403">
        <v>181475.08</v>
      </c>
      <c r="C1002" s="417"/>
      <c r="D1002" s="403"/>
    </row>
    <row r="1003" spans="1:4" x14ac:dyDescent="0.2">
      <c r="A1003" s="417">
        <v>43769</v>
      </c>
      <c r="B1003" s="403">
        <v>169335.94</v>
      </c>
      <c r="C1003" s="417"/>
      <c r="D1003" s="403"/>
    </row>
    <row r="1004" spans="1:4" x14ac:dyDescent="0.2">
      <c r="A1004" s="417">
        <v>43770</v>
      </c>
      <c r="B1004" s="403">
        <v>171521.13</v>
      </c>
      <c r="C1004" s="417"/>
      <c r="D1004" s="403"/>
    </row>
    <row r="1005" spans="1:4" x14ac:dyDescent="0.2">
      <c r="A1005" s="417">
        <v>43773</v>
      </c>
      <c r="B1005" s="403">
        <v>171521</v>
      </c>
      <c r="C1005" s="417"/>
      <c r="D1005" s="403"/>
    </row>
    <row r="1006" spans="1:4" x14ac:dyDescent="0.2">
      <c r="A1006" s="417">
        <v>43774</v>
      </c>
      <c r="B1006" s="403">
        <v>171521</v>
      </c>
      <c r="C1006" s="417"/>
      <c r="D1006" s="403"/>
    </row>
    <row r="1007" spans="1:4" x14ac:dyDescent="0.2">
      <c r="A1007" s="417">
        <v>43775</v>
      </c>
      <c r="B1007" s="403">
        <v>201934.13</v>
      </c>
      <c r="C1007" s="417"/>
      <c r="D1007" s="403"/>
    </row>
    <row r="1008" spans="1:4" x14ac:dyDescent="0.2">
      <c r="A1008" s="417">
        <v>43776</v>
      </c>
      <c r="B1008" s="403">
        <v>198457.3</v>
      </c>
      <c r="C1008" s="417"/>
      <c r="D1008" s="403"/>
    </row>
    <row r="1009" spans="1:4" x14ac:dyDescent="0.2">
      <c r="A1009" s="417">
        <v>43777</v>
      </c>
      <c r="B1009" s="403">
        <v>198457</v>
      </c>
      <c r="C1009" s="417"/>
      <c r="D1009" s="403"/>
    </row>
    <row r="1010" spans="1:4" x14ac:dyDescent="0.2">
      <c r="A1010" s="417">
        <v>43780</v>
      </c>
      <c r="B1010" s="403">
        <v>164046.53</v>
      </c>
      <c r="C1010" s="417"/>
      <c r="D1010" s="403"/>
    </row>
    <row r="1011" spans="1:4" x14ac:dyDescent="0.2">
      <c r="A1011" s="417">
        <v>43781</v>
      </c>
      <c r="B1011" s="403">
        <v>164047</v>
      </c>
      <c r="C1011" s="417"/>
      <c r="D1011" s="403"/>
    </row>
    <row r="1012" spans="1:4" x14ac:dyDescent="0.2">
      <c r="A1012" s="417">
        <v>43782</v>
      </c>
      <c r="B1012" s="403">
        <v>198779.19</v>
      </c>
      <c r="C1012" s="417"/>
      <c r="D1012" s="403"/>
    </row>
    <row r="1013" spans="1:4" x14ac:dyDescent="0.2">
      <c r="A1013" s="417">
        <v>43783</v>
      </c>
      <c r="B1013" s="403">
        <v>188221.13</v>
      </c>
      <c r="C1013" s="417"/>
      <c r="D1013" s="403"/>
    </row>
    <row r="1014" spans="1:4" x14ac:dyDescent="0.2">
      <c r="A1014" s="417">
        <v>43784</v>
      </c>
      <c r="B1014" s="403">
        <v>190279.89</v>
      </c>
      <c r="C1014" s="417"/>
      <c r="D1014" s="403"/>
    </row>
    <row r="1015" spans="1:4" x14ac:dyDescent="0.2">
      <c r="A1015" s="417">
        <v>43787</v>
      </c>
      <c r="B1015" s="403">
        <v>190179.89</v>
      </c>
      <c r="C1015" s="417"/>
      <c r="D1015" s="403"/>
    </row>
    <row r="1016" spans="1:4" x14ac:dyDescent="0.2">
      <c r="A1016" s="417">
        <v>43788</v>
      </c>
      <c r="B1016" s="403">
        <v>190180</v>
      </c>
      <c r="C1016" s="417"/>
      <c r="D1016" s="403"/>
    </row>
    <row r="1017" spans="1:4" x14ac:dyDescent="0.2">
      <c r="A1017" s="417">
        <v>43789</v>
      </c>
      <c r="B1017" s="403">
        <v>190180</v>
      </c>
      <c r="C1017" s="417"/>
      <c r="D1017" s="403"/>
    </row>
    <row r="1018" spans="1:4" x14ac:dyDescent="0.2">
      <c r="A1018" s="417">
        <v>43790</v>
      </c>
      <c r="B1018" s="403">
        <v>188919.3</v>
      </c>
      <c r="C1018" s="417"/>
      <c r="D1018" s="403"/>
    </row>
    <row r="1019" spans="1:4" x14ac:dyDescent="0.2">
      <c r="A1019" s="417">
        <v>43791</v>
      </c>
      <c r="B1019" s="403">
        <v>188919</v>
      </c>
      <c r="C1019" s="417"/>
      <c r="D1019" s="403"/>
    </row>
    <row r="1020" spans="1:4" x14ac:dyDescent="0.2">
      <c r="A1020" s="417">
        <v>43794</v>
      </c>
      <c r="B1020" s="403">
        <v>153349.64000000001</v>
      </c>
      <c r="C1020" s="417"/>
      <c r="D1020" s="403"/>
    </row>
    <row r="1021" spans="1:4" x14ac:dyDescent="0.2">
      <c r="A1021" s="417">
        <v>43795</v>
      </c>
      <c r="B1021" s="403">
        <v>153226.64000000001</v>
      </c>
      <c r="C1021" s="417"/>
      <c r="D1021" s="403"/>
    </row>
    <row r="1022" spans="1:4" x14ac:dyDescent="0.2">
      <c r="A1022" s="417">
        <v>43796</v>
      </c>
      <c r="B1022" s="403">
        <v>154369.64000000001</v>
      </c>
      <c r="C1022" s="417"/>
      <c r="D1022" s="403"/>
    </row>
    <row r="1023" spans="1:4" x14ac:dyDescent="0.2">
      <c r="A1023" s="417">
        <v>43797</v>
      </c>
      <c r="B1023" s="403">
        <v>154370</v>
      </c>
      <c r="C1023" s="417"/>
      <c r="D1023" s="403"/>
    </row>
    <row r="1024" spans="1:4" x14ac:dyDescent="0.2">
      <c r="A1024" s="417">
        <v>43798</v>
      </c>
      <c r="B1024" s="403">
        <v>237011.17</v>
      </c>
      <c r="C1024" s="417"/>
      <c r="D1024" s="403"/>
    </row>
    <row r="1025" spans="1:4" x14ac:dyDescent="0.2">
      <c r="A1025" s="417">
        <v>43801</v>
      </c>
      <c r="B1025" s="403">
        <v>237011</v>
      </c>
      <c r="C1025" s="417"/>
      <c r="D1025" s="403"/>
    </row>
    <row r="1026" spans="1:4" x14ac:dyDescent="0.2">
      <c r="A1026" s="417">
        <v>43802</v>
      </c>
      <c r="B1026" s="403">
        <v>237011</v>
      </c>
      <c r="C1026" s="417"/>
      <c r="D1026" s="403"/>
    </row>
    <row r="1027" spans="1:4" x14ac:dyDescent="0.2">
      <c r="A1027" s="417">
        <v>43803</v>
      </c>
      <c r="B1027" s="403">
        <v>237011</v>
      </c>
      <c r="C1027" s="417"/>
      <c r="D1027" s="403"/>
    </row>
    <row r="1028" spans="1:4" x14ac:dyDescent="0.2">
      <c r="A1028" s="417">
        <v>43804</v>
      </c>
      <c r="B1028" s="403">
        <v>229967.75</v>
      </c>
      <c r="C1028" s="417"/>
      <c r="D1028" s="403"/>
    </row>
    <row r="1029" spans="1:4" x14ac:dyDescent="0.2">
      <c r="A1029" s="417">
        <v>43805</v>
      </c>
      <c r="B1029" s="403">
        <v>229968</v>
      </c>
      <c r="C1029" s="417"/>
      <c r="D1029" s="403"/>
    </row>
    <row r="1030" spans="1:4" x14ac:dyDescent="0.2">
      <c r="A1030" s="417">
        <v>43808</v>
      </c>
      <c r="B1030" s="403">
        <v>193352.99</v>
      </c>
      <c r="C1030" s="417"/>
      <c r="D1030" s="403"/>
    </row>
    <row r="1031" spans="1:4" x14ac:dyDescent="0.2">
      <c r="A1031" s="417">
        <v>43809</v>
      </c>
      <c r="B1031" s="403">
        <v>193629.99</v>
      </c>
      <c r="C1031" s="417"/>
      <c r="D1031" s="403"/>
    </row>
    <row r="1032" spans="1:4" x14ac:dyDescent="0.2">
      <c r="A1032" s="417">
        <v>43810</v>
      </c>
      <c r="B1032" s="403">
        <v>193630</v>
      </c>
      <c r="C1032" s="417"/>
      <c r="D1032" s="403"/>
    </row>
    <row r="1033" spans="1:4" x14ac:dyDescent="0.2">
      <c r="A1033" s="417">
        <v>43811</v>
      </c>
      <c r="B1033" s="403">
        <v>193945</v>
      </c>
      <c r="C1033" s="417"/>
      <c r="D1033" s="403"/>
    </row>
    <row r="1034" spans="1:4" x14ac:dyDescent="0.2">
      <c r="A1034" s="417">
        <v>43812</v>
      </c>
      <c r="B1034" s="403">
        <v>196370.92</v>
      </c>
      <c r="C1034" s="417"/>
      <c r="D1034" s="403"/>
    </row>
    <row r="1035" spans="1:4" x14ac:dyDescent="0.2">
      <c r="A1035" s="417">
        <v>43815</v>
      </c>
      <c r="B1035" s="403">
        <v>196370.92</v>
      </c>
      <c r="C1035" s="417"/>
      <c r="D1035" s="403"/>
    </row>
    <row r="1036" spans="1:4" x14ac:dyDescent="0.2">
      <c r="A1036" s="417">
        <v>43816</v>
      </c>
      <c r="B1036" s="403">
        <v>196370.92</v>
      </c>
      <c r="C1036" s="417"/>
      <c r="D1036" s="403"/>
    </row>
    <row r="1037" spans="1:4" x14ac:dyDescent="0.2">
      <c r="A1037" s="417">
        <v>43817</v>
      </c>
      <c r="B1037" s="403">
        <v>196370.92</v>
      </c>
      <c r="C1037" s="417"/>
      <c r="D1037" s="403"/>
    </row>
    <row r="1038" spans="1:4" x14ac:dyDescent="0.2">
      <c r="A1038" s="417">
        <v>43818</v>
      </c>
      <c r="B1038" s="403">
        <v>194997.56</v>
      </c>
      <c r="C1038" s="417"/>
      <c r="D1038" s="403"/>
    </row>
    <row r="1039" spans="1:4" x14ac:dyDescent="0.2">
      <c r="A1039" s="417">
        <v>43819</v>
      </c>
      <c r="B1039" s="403">
        <v>194998</v>
      </c>
      <c r="C1039" s="417"/>
      <c r="D1039" s="403"/>
    </row>
    <row r="1040" spans="1:4" x14ac:dyDescent="0.2">
      <c r="A1040" s="417">
        <v>43822</v>
      </c>
      <c r="B1040" s="403">
        <v>158280.26999999999</v>
      </c>
      <c r="C1040" s="417"/>
      <c r="D1040" s="403"/>
    </row>
    <row r="1041" spans="1:4" x14ac:dyDescent="0.2">
      <c r="A1041" s="417">
        <v>43823</v>
      </c>
      <c r="B1041" s="403">
        <v>163840.26999999999</v>
      </c>
      <c r="C1041" s="417"/>
      <c r="D1041" s="403"/>
    </row>
    <row r="1042" spans="1:4" x14ac:dyDescent="0.2">
      <c r="A1042" s="417">
        <v>43824</v>
      </c>
      <c r="B1042" s="403">
        <v>163840</v>
      </c>
      <c r="C1042" s="417"/>
      <c r="D1042" s="403"/>
    </row>
    <row r="1043" spans="1:4" x14ac:dyDescent="0.2">
      <c r="A1043" s="417">
        <v>43825</v>
      </c>
      <c r="B1043" s="403">
        <v>213174.46</v>
      </c>
      <c r="C1043" s="417"/>
      <c r="D1043" s="403"/>
    </row>
    <row r="1044" spans="1:4" x14ac:dyDescent="0.2">
      <c r="A1044" s="417">
        <v>43826</v>
      </c>
      <c r="B1044" s="403">
        <v>212851.46</v>
      </c>
      <c r="C1044" s="417"/>
      <c r="D1044" s="403"/>
    </row>
    <row r="1045" spans="1:4" x14ac:dyDescent="0.2">
      <c r="A1045" s="417">
        <v>43829</v>
      </c>
      <c r="B1045" s="403">
        <v>212221.74</v>
      </c>
      <c r="C1045" s="417"/>
      <c r="D1045" s="403"/>
    </row>
    <row r="1046" spans="1:4" x14ac:dyDescent="0.2">
      <c r="A1046" s="417">
        <v>43830</v>
      </c>
      <c r="B1046" s="403">
        <v>189055.83</v>
      </c>
      <c r="C1046" s="417"/>
      <c r="D1046" s="403"/>
    </row>
    <row r="1047" spans="1:4" ht="15" x14ac:dyDescent="0.25">
      <c r="A1047" s="594">
        <v>43831</v>
      </c>
      <c r="B1047" s="403">
        <v>189056</v>
      </c>
      <c r="C1047" s="417"/>
      <c r="D1047" s="403"/>
    </row>
    <row r="1048" spans="1:4" ht="15" x14ac:dyDescent="0.25">
      <c r="A1048" s="594">
        <v>43832</v>
      </c>
      <c r="B1048" s="403">
        <v>206403.28</v>
      </c>
      <c r="C1048" s="417"/>
      <c r="D1048" s="403"/>
    </row>
    <row r="1049" spans="1:4" ht="15" x14ac:dyDescent="0.25">
      <c r="A1049" s="594">
        <v>43833</v>
      </c>
      <c r="B1049" s="403">
        <v>206217.28</v>
      </c>
      <c r="C1049" s="417"/>
      <c r="D1049" s="403"/>
    </row>
    <row r="1050" spans="1:4" ht="15" x14ac:dyDescent="0.25">
      <c r="A1050" s="594">
        <v>43836</v>
      </c>
      <c r="B1050" s="403">
        <v>206129.28</v>
      </c>
      <c r="C1050" s="417"/>
      <c r="D1050" s="403"/>
    </row>
    <row r="1051" spans="1:4" ht="15" x14ac:dyDescent="0.25">
      <c r="A1051" s="594">
        <v>43837</v>
      </c>
      <c r="B1051" s="403">
        <v>172858.39</v>
      </c>
      <c r="C1051" s="417"/>
      <c r="D1051" s="403"/>
    </row>
    <row r="1052" spans="1:4" ht="15" x14ac:dyDescent="0.25">
      <c r="A1052" s="594">
        <v>43838</v>
      </c>
      <c r="B1052" s="403">
        <v>172585</v>
      </c>
      <c r="C1052" s="417"/>
      <c r="D1052" s="403"/>
    </row>
    <row r="1053" spans="1:4" ht="15" x14ac:dyDescent="0.25">
      <c r="A1053" s="594">
        <v>43839</v>
      </c>
      <c r="B1053" s="403">
        <v>184752.38</v>
      </c>
      <c r="C1053" s="417"/>
      <c r="D1053" s="403"/>
    </row>
    <row r="1054" spans="1:4" ht="15" x14ac:dyDescent="0.25">
      <c r="A1054" s="594">
        <v>43840</v>
      </c>
      <c r="B1054" s="403">
        <v>199849.93</v>
      </c>
      <c r="C1054" s="417"/>
      <c r="D1054" s="403"/>
    </row>
    <row r="1055" spans="1:4" ht="15" x14ac:dyDescent="0.25">
      <c r="A1055" s="594">
        <v>43843</v>
      </c>
      <c r="B1055" s="403">
        <v>199850</v>
      </c>
      <c r="C1055" s="417"/>
      <c r="D1055" s="403"/>
    </row>
    <row r="1056" spans="1:4" ht="15" x14ac:dyDescent="0.25">
      <c r="A1056" s="594">
        <v>43844</v>
      </c>
      <c r="B1056" s="403">
        <v>199850</v>
      </c>
      <c r="C1056" s="417"/>
      <c r="D1056" s="403"/>
    </row>
    <row r="1057" spans="1:4" ht="15" x14ac:dyDescent="0.25">
      <c r="A1057" s="594">
        <v>43845</v>
      </c>
      <c r="B1057" s="403">
        <v>199942.09</v>
      </c>
      <c r="C1057" s="417"/>
      <c r="D1057" s="403"/>
    </row>
    <row r="1058" spans="1:4" ht="15" x14ac:dyDescent="0.25">
      <c r="A1058" s="594">
        <v>43846</v>
      </c>
      <c r="B1058" s="403">
        <v>197586.14</v>
      </c>
      <c r="C1058" s="417"/>
      <c r="D1058" s="403"/>
    </row>
    <row r="1059" spans="1:4" ht="15" x14ac:dyDescent="0.25">
      <c r="A1059" s="594">
        <v>43847</v>
      </c>
      <c r="B1059" s="403">
        <v>197586</v>
      </c>
      <c r="C1059" s="417"/>
      <c r="D1059" s="403"/>
    </row>
    <row r="1060" spans="1:4" ht="15" x14ac:dyDescent="0.25">
      <c r="A1060" s="594">
        <v>43850</v>
      </c>
      <c r="B1060" s="403">
        <v>197586</v>
      </c>
      <c r="C1060" s="417"/>
      <c r="D1060" s="403"/>
    </row>
    <row r="1061" spans="1:4" ht="15" x14ac:dyDescent="0.25">
      <c r="A1061" s="594">
        <v>43851</v>
      </c>
      <c r="B1061" s="403">
        <v>160213.23000000001</v>
      </c>
      <c r="C1061" s="417"/>
      <c r="D1061" s="403"/>
    </row>
    <row r="1062" spans="1:4" ht="15" x14ac:dyDescent="0.25">
      <c r="A1062" s="594">
        <v>43852</v>
      </c>
      <c r="B1062" s="403">
        <v>160213</v>
      </c>
      <c r="C1062" s="417"/>
      <c r="D1062" s="403"/>
    </row>
    <row r="1063" spans="1:4" ht="15" x14ac:dyDescent="0.25">
      <c r="A1063" s="594">
        <v>43853</v>
      </c>
      <c r="B1063" s="403">
        <v>178835.97</v>
      </c>
      <c r="C1063" s="417"/>
      <c r="D1063" s="403"/>
    </row>
    <row r="1064" spans="1:4" ht="15" x14ac:dyDescent="0.25">
      <c r="A1064" s="594">
        <v>43854</v>
      </c>
      <c r="B1064" s="403">
        <v>177774.06</v>
      </c>
      <c r="C1064" s="417"/>
      <c r="D1064" s="403"/>
    </row>
    <row r="1065" spans="1:4" ht="15" x14ac:dyDescent="0.25">
      <c r="A1065" s="594">
        <v>43857</v>
      </c>
      <c r="B1065" s="403">
        <v>177774</v>
      </c>
      <c r="C1065" s="417"/>
      <c r="D1065" s="403"/>
    </row>
    <row r="1066" spans="1:4" ht="15" x14ac:dyDescent="0.25">
      <c r="A1066" s="594">
        <v>43858</v>
      </c>
      <c r="B1066" s="403">
        <v>177774</v>
      </c>
      <c r="C1066" s="417"/>
      <c r="D1066" s="403"/>
    </row>
    <row r="1067" spans="1:4" ht="15" x14ac:dyDescent="0.25">
      <c r="A1067" s="594">
        <v>43859</v>
      </c>
      <c r="B1067" s="403">
        <v>253459.84</v>
      </c>
      <c r="C1067" s="417"/>
      <c r="D1067" s="403"/>
    </row>
    <row r="1068" spans="1:4" ht="15" x14ac:dyDescent="0.25">
      <c r="A1068" s="594">
        <v>43860</v>
      </c>
      <c r="B1068" s="403">
        <v>235320.22</v>
      </c>
      <c r="C1068" s="417"/>
      <c r="D1068" s="403"/>
    </row>
    <row r="1069" spans="1:4" ht="15" x14ac:dyDescent="0.25">
      <c r="A1069" s="594">
        <v>43861</v>
      </c>
      <c r="B1069" s="403">
        <v>235320</v>
      </c>
      <c r="C1069" s="417"/>
      <c r="D1069" s="403"/>
    </row>
    <row r="1070" spans="1:4" ht="15" x14ac:dyDescent="0.25">
      <c r="A1070" s="594">
        <v>43864</v>
      </c>
      <c r="B1070" s="403">
        <v>198483.96</v>
      </c>
      <c r="C1070" s="417"/>
      <c r="D1070" s="403"/>
    </row>
    <row r="1071" spans="1:4" ht="15" x14ac:dyDescent="0.25">
      <c r="A1071" s="594">
        <v>43865</v>
      </c>
      <c r="B1071" s="403">
        <v>212819.68</v>
      </c>
      <c r="C1071" s="417"/>
      <c r="D1071" s="403"/>
    </row>
    <row r="1072" spans="1:4" ht="15" x14ac:dyDescent="0.25">
      <c r="A1072" s="594">
        <v>43866</v>
      </c>
      <c r="B1072" s="403">
        <v>212820</v>
      </c>
      <c r="C1072" s="417"/>
      <c r="D1072" s="403"/>
    </row>
    <row r="1073" spans="1:4" ht="15" x14ac:dyDescent="0.25">
      <c r="A1073" s="594">
        <v>43867</v>
      </c>
      <c r="B1073" s="403">
        <v>212584.24</v>
      </c>
      <c r="C1073" s="417"/>
      <c r="D1073" s="403"/>
    </row>
    <row r="1074" spans="1:4" ht="15" x14ac:dyDescent="0.25">
      <c r="A1074" s="594">
        <v>43868</v>
      </c>
      <c r="B1074" s="403">
        <v>270092.23</v>
      </c>
      <c r="C1074" s="417"/>
      <c r="D1074" s="403"/>
    </row>
    <row r="1075" spans="1:4" ht="15" x14ac:dyDescent="0.25">
      <c r="A1075" s="594">
        <v>43871</v>
      </c>
      <c r="B1075" s="403">
        <v>270092</v>
      </c>
      <c r="C1075" s="417"/>
      <c r="D1075" s="403"/>
    </row>
    <row r="1076" spans="1:4" ht="15" x14ac:dyDescent="0.25">
      <c r="A1076" s="594">
        <v>43872</v>
      </c>
      <c r="B1076" s="403">
        <v>273133.13</v>
      </c>
      <c r="C1076" s="417"/>
      <c r="D1076" s="403"/>
    </row>
    <row r="1077" spans="1:4" ht="15" x14ac:dyDescent="0.25">
      <c r="A1077" s="594">
        <v>43873</v>
      </c>
      <c r="B1077" s="403">
        <v>273133</v>
      </c>
      <c r="C1077" s="417"/>
      <c r="D1077" s="403"/>
    </row>
    <row r="1078" spans="1:4" ht="15" x14ac:dyDescent="0.25">
      <c r="A1078" s="594">
        <v>43874</v>
      </c>
      <c r="B1078" s="403">
        <v>280484.09000000003</v>
      </c>
      <c r="C1078" s="417"/>
      <c r="D1078" s="403"/>
    </row>
    <row r="1079" spans="1:4" ht="15" x14ac:dyDescent="0.25">
      <c r="A1079" s="594">
        <v>43875</v>
      </c>
      <c r="B1079" s="403">
        <v>279225.67</v>
      </c>
      <c r="C1079" s="417"/>
      <c r="D1079" s="403"/>
    </row>
    <row r="1080" spans="1:4" ht="15" x14ac:dyDescent="0.25">
      <c r="A1080" s="594">
        <v>43878</v>
      </c>
      <c r="B1080" s="403">
        <v>279226</v>
      </c>
      <c r="C1080" s="417"/>
      <c r="D1080" s="403"/>
    </row>
    <row r="1081" spans="1:4" ht="15" x14ac:dyDescent="0.25">
      <c r="A1081" s="594">
        <v>43879</v>
      </c>
      <c r="B1081" s="403">
        <v>241740.68</v>
      </c>
      <c r="C1081" s="417"/>
      <c r="D1081" s="403"/>
    </row>
    <row r="1082" spans="1:4" ht="15" x14ac:dyDescent="0.25">
      <c r="A1082" s="594">
        <v>43880</v>
      </c>
      <c r="B1082" s="403">
        <v>268478</v>
      </c>
      <c r="C1082" s="417"/>
      <c r="D1082" s="403"/>
    </row>
    <row r="1083" spans="1:4" ht="15" x14ac:dyDescent="0.25">
      <c r="A1083" s="594">
        <v>43881</v>
      </c>
      <c r="B1083" s="403">
        <v>258524.93</v>
      </c>
      <c r="C1083" s="417"/>
      <c r="D1083" s="403"/>
    </row>
    <row r="1084" spans="1:4" ht="15" x14ac:dyDescent="0.25">
      <c r="A1084" s="594">
        <v>43882</v>
      </c>
      <c r="B1084" s="403">
        <v>277316.53000000003</v>
      </c>
      <c r="C1084" s="417"/>
      <c r="D1084" s="403"/>
    </row>
    <row r="1085" spans="1:4" ht="15" x14ac:dyDescent="0.25">
      <c r="A1085" s="594">
        <v>43885</v>
      </c>
      <c r="B1085" s="403">
        <v>277317</v>
      </c>
      <c r="C1085" s="417"/>
      <c r="D1085" s="403"/>
    </row>
    <row r="1086" spans="1:4" ht="15" x14ac:dyDescent="0.25">
      <c r="A1086" s="594">
        <v>43886</v>
      </c>
      <c r="B1086" s="403">
        <v>279881.78999999998</v>
      </c>
      <c r="C1086" s="417"/>
      <c r="D1086" s="403"/>
    </row>
    <row r="1087" spans="1:4" ht="15" x14ac:dyDescent="0.25">
      <c r="A1087" s="594">
        <v>43887</v>
      </c>
      <c r="B1087" s="403">
        <v>279882</v>
      </c>
      <c r="C1087" s="417"/>
      <c r="D1087" s="403"/>
    </row>
    <row r="1088" spans="1:4" ht="15" x14ac:dyDescent="0.25">
      <c r="A1088" s="594">
        <v>43888</v>
      </c>
      <c r="B1088" s="403">
        <v>270773.33</v>
      </c>
      <c r="C1088" s="417"/>
      <c r="D1088" s="403"/>
    </row>
    <row r="1089" spans="1:4" ht="15" x14ac:dyDescent="0.25">
      <c r="A1089" s="594">
        <v>43889</v>
      </c>
      <c r="B1089" s="403">
        <v>306133.57</v>
      </c>
      <c r="C1089" s="417"/>
      <c r="D1089" s="403"/>
    </row>
    <row r="1090" spans="1:4" ht="15" x14ac:dyDescent="0.25">
      <c r="A1090" s="594">
        <v>43892</v>
      </c>
      <c r="B1090" s="403">
        <v>267343.68</v>
      </c>
      <c r="C1090" s="417"/>
      <c r="D1090" s="403"/>
    </row>
    <row r="1091" spans="1:4" ht="15" x14ac:dyDescent="0.25">
      <c r="A1091" s="594">
        <v>43893</v>
      </c>
      <c r="B1091" s="403">
        <v>267157.68</v>
      </c>
      <c r="C1091" s="417"/>
      <c r="D1091" s="403"/>
    </row>
    <row r="1092" spans="1:4" ht="15" x14ac:dyDescent="0.25">
      <c r="A1092" s="594">
        <v>43894</v>
      </c>
      <c r="B1092" s="403">
        <v>267157.68</v>
      </c>
      <c r="C1092" s="417"/>
      <c r="D1092" s="403"/>
    </row>
    <row r="1093" spans="1:4" ht="15" x14ac:dyDescent="0.25">
      <c r="A1093" s="594">
        <v>43895</v>
      </c>
      <c r="B1093" s="403">
        <v>264690.95</v>
      </c>
      <c r="C1093" s="417"/>
      <c r="D1093" s="403"/>
    </row>
    <row r="1094" spans="1:4" ht="15" x14ac:dyDescent="0.25">
      <c r="A1094" s="594">
        <v>43896</v>
      </c>
      <c r="B1094" s="403">
        <v>264495.03999999998</v>
      </c>
      <c r="C1094" s="417"/>
      <c r="D1094" s="403"/>
    </row>
    <row r="1095" spans="1:4" ht="15" x14ac:dyDescent="0.25">
      <c r="A1095" s="594">
        <v>43899</v>
      </c>
      <c r="B1095" s="403">
        <v>264495.03999999998</v>
      </c>
      <c r="C1095" s="417"/>
      <c r="D1095" s="403"/>
    </row>
    <row r="1096" spans="1:4" ht="15" x14ac:dyDescent="0.25">
      <c r="A1096" s="594">
        <v>43900</v>
      </c>
      <c r="B1096" s="403">
        <v>267283.63</v>
      </c>
      <c r="C1096" s="417"/>
      <c r="D1096" s="403"/>
    </row>
    <row r="1097" spans="1:4" ht="15" x14ac:dyDescent="0.25">
      <c r="A1097" s="594">
        <v>43901</v>
      </c>
      <c r="B1097" s="403">
        <v>267283.63</v>
      </c>
      <c r="C1097" s="417"/>
      <c r="D1097" s="403"/>
    </row>
    <row r="1098" spans="1:4" ht="15" x14ac:dyDescent="0.25">
      <c r="A1098" s="594">
        <v>43902</v>
      </c>
      <c r="B1098" s="403">
        <v>259537.69</v>
      </c>
      <c r="C1098" s="417"/>
      <c r="D1098" s="403"/>
    </row>
    <row r="1099" spans="1:4" ht="15" x14ac:dyDescent="0.25">
      <c r="A1099" s="594">
        <v>43903</v>
      </c>
      <c r="B1099" s="403">
        <v>259645.65</v>
      </c>
      <c r="C1099" s="417"/>
      <c r="D1099" s="403"/>
    </row>
    <row r="1100" spans="1:4" ht="15" x14ac:dyDescent="0.25">
      <c r="A1100" s="594">
        <v>43906</v>
      </c>
      <c r="B1100" s="403">
        <v>279221.03000000003</v>
      </c>
      <c r="C1100" s="417"/>
      <c r="D1100" s="403"/>
    </row>
    <row r="1101" spans="1:4" ht="15" x14ac:dyDescent="0.25">
      <c r="A1101" s="594">
        <v>43907</v>
      </c>
      <c r="B1101" s="403">
        <v>232150.36</v>
      </c>
      <c r="C1101" s="417"/>
      <c r="D1101" s="403"/>
    </row>
    <row r="1102" spans="1:4" ht="15" x14ac:dyDescent="0.25">
      <c r="A1102" s="594">
        <v>43908</v>
      </c>
      <c r="B1102" s="403">
        <v>274274.51</v>
      </c>
      <c r="C1102" s="417"/>
      <c r="D1102" s="403"/>
    </row>
    <row r="1103" spans="1:4" ht="15" x14ac:dyDescent="0.25">
      <c r="A1103" s="594">
        <v>43909</v>
      </c>
      <c r="B1103" s="403">
        <v>276629.48</v>
      </c>
      <c r="C1103" s="417"/>
      <c r="D1103" s="403"/>
    </row>
    <row r="1104" spans="1:4" ht="15" x14ac:dyDescent="0.25">
      <c r="A1104" s="594">
        <v>43910</v>
      </c>
      <c r="B1104" s="403">
        <v>276629.48</v>
      </c>
      <c r="C1104" s="417"/>
      <c r="D1104" s="403"/>
    </row>
    <row r="1105" spans="1:4" ht="15" x14ac:dyDescent="0.25">
      <c r="A1105" s="594">
        <v>43913</v>
      </c>
      <c r="B1105" s="403">
        <v>292626.55</v>
      </c>
      <c r="C1105" s="417"/>
      <c r="D1105" s="403"/>
    </row>
    <row r="1106" spans="1:4" ht="15" x14ac:dyDescent="0.25">
      <c r="A1106" s="594">
        <v>43914</v>
      </c>
      <c r="B1106" s="403">
        <v>292626.55</v>
      </c>
      <c r="C1106" s="417"/>
      <c r="D1106" s="403"/>
    </row>
    <row r="1107" spans="1:4" ht="15" x14ac:dyDescent="0.25">
      <c r="A1107" s="594">
        <v>43915</v>
      </c>
      <c r="B1107" s="403">
        <v>292626.55</v>
      </c>
      <c r="C1107" s="417"/>
      <c r="D1107" s="403"/>
    </row>
    <row r="1108" spans="1:4" ht="15" x14ac:dyDescent="0.25">
      <c r="A1108" s="594">
        <v>43916</v>
      </c>
      <c r="B1108" s="403">
        <v>292626.55</v>
      </c>
      <c r="C1108" s="417"/>
      <c r="D1108" s="403"/>
    </row>
    <row r="1109" spans="1:4" ht="15" x14ac:dyDescent="0.25">
      <c r="A1109" s="594">
        <v>43917</v>
      </c>
      <c r="B1109" s="403">
        <v>292582.55</v>
      </c>
      <c r="C1109" s="417"/>
      <c r="D1109" s="403"/>
    </row>
    <row r="1110" spans="1:4" ht="15" x14ac:dyDescent="0.25">
      <c r="A1110" s="594">
        <v>43920</v>
      </c>
      <c r="B1110" s="403">
        <v>292582.55</v>
      </c>
      <c r="C1110" s="417"/>
      <c r="D1110" s="403"/>
    </row>
    <row r="1111" spans="1:4" ht="15" x14ac:dyDescent="0.25">
      <c r="A1111" s="594">
        <v>43921</v>
      </c>
      <c r="B1111" s="403">
        <v>292582.55</v>
      </c>
      <c r="C1111" s="417"/>
      <c r="D1111" s="403"/>
    </row>
    <row r="1112" spans="1:4" ht="15" x14ac:dyDescent="0.25">
      <c r="A1112" s="594">
        <v>43922</v>
      </c>
      <c r="B1112" s="403">
        <v>256343.91</v>
      </c>
      <c r="C1112" s="417"/>
      <c r="D1112" s="403"/>
    </row>
    <row r="1113" spans="1:4" ht="15" x14ac:dyDescent="0.25">
      <c r="A1113" s="594">
        <v>43923</v>
      </c>
      <c r="B1113" s="403">
        <v>260066.55</v>
      </c>
      <c r="C1113" s="417"/>
      <c r="D1113" s="403"/>
    </row>
    <row r="1114" spans="1:4" ht="15" x14ac:dyDescent="0.25">
      <c r="A1114" s="594">
        <v>43924</v>
      </c>
      <c r="B1114" s="403">
        <v>259418.64</v>
      </c>
      <c r="C1114" s="417"/>
      <c r="D1114" s="403"/>
    </row>
    <row r="1115" spans="1:4" ht="15" x14ac:dyDescent="0.25">
      <c r="A1115" s="594">
        <v>43927</v>
      </c>
      <c r="B1115" s="403">
        <v>259418.64</v>
      </c>
      <c r="C1115" s="417"/>
      <c r="D1115" s="403"/>
    </row>
    <row r="1116" spans="1:4" ht="15" x14ac:dyDescent="0.25">
      <c r="A1116" s="594">
        <v>43928</v>
      </c>
      <c r="B1116" s="403">
        <v>259418.64</v>
      </c>
      <c r="C1116" s="417"/>
      <c r="D1116" s="403"/>
    </row>
    <row r="1117" spans="1:4" ht="15" x14ac:dyDescent="0.25">
      <c r="A1117" s="594">
        <v>43929</v>
      </c>
      <c r="B1117" s="403">
        <v>259418.64</v>
      </c>
      <c r="C1117" s="417"/>
      <c r="D1117" s="403"/>
    </row>
    <row r="1118" spans="1:4" ht="15" x14ac:dyDescent="0.25">
      <c r="A1118" s="594">
        <v>43930</v>
      </c>
      <c r="B1118" s="403">
        <v>256056.32000000001</v>
      </c>
      <c r="C1118" s="417"/>
      <c r="D1118" s="403"/>
    </row>
    <row r="1119" spans="1:4" ht="15" x14ac:dyDescent="0.25">
      <c r="A1119" s="594">
        <v>43931</v>
      </c>
      <c r="B1119" s="403">
        <v>256056.32000000001</v>
      </c>
      <c r="C1119" s="417"/>
      <c r="D1119" s="403"/>
    </row>
    <row r="1120" spans="1:4" ht="15" x14ac:dyDescent="0.25">
      <c r="A1120" s="594">
        <v>43934</v>
      </c>
      <c r="B1120" s="403">
        <v>256056.32000000001</v>
      </c>
      <c r="C1120" s="417"/>
      <c r="D1120" s="403"/>
    </row>
    <row r="1121" spans="1:4" ht="15" x14ac:dyDescent="0.25">
      <c r="A1121" s="594">
        <v>43935</v>
      </c>
      <c r="B1121" s="403">
        <v>256056.32000000001</v>
      </c>
      <c r="C1121" s="417"/>
      <c r="D1121" s="403"/>
    </row>
    <row r="1122" spans="1:4" ht="15" x14ac:dyDescent="0.25">
      <c r="A1122" s="594">
        <v>43936</v>
      </c>
      <c r="B1122" s="403">
        <v>222877.12</v>
      </c>
      <c r="C1122" s="417"/>
      <c r="D1122" s="403"/>
    </row>
    <row r="1123" spans="1:4" ht="15" x14ac:dyDescent="0.25">
      <c r="A1123" s="594">
        <v>43937</v>
      </c>
      <c r="B1123" s="403">
        <v>222877.12</v>
      </c>
      <c r="C1123" s="417"/>
      <c r="D1123" s="403"/>
    </row>
    <row r="1124" spans="1:4" ht="15" x14ac:dyDescent="0.25">
      <c r="A1124" s="594">
        <v>43938</v>
      </c>
      <c r="B1124" s="403">
        <v>222415.21</v>
      </c>
      <c r="C1124" s="417"/>
      <c r="D1124" s="403"/>
    </row>
    <row r="1125" spans="1:4" ht="15" x14ac:dyDescent="0.25">
      <c r="A1125" s="594">
        <v>43941</v>
      </c>
      <c r="B1125" s="403">
        <v>222415.21</v>
      </c>
      <c r="C1125" s="417"/>
      <c r="D1125" s="403"/>
    </row>
    <row r="1126" spans="1:4" ht="15" x14ac:dyDescent="0.25">
      <c r="A1126" s="594">
        <v>43942</v>
      </c>
      <c r="B1126" s="403">
        <v>222415.21</v>
      </c>
      <c r="C1126" s="417"/>
      <c r="D1126" s="403"/>
    </row>
    <row r="1127" spans="1:4" ht="15" x14ac:dyDescent="0.25">
      <c r="A1127" s="594">
        <v>43943</v>
      </c>
      <c r="B1127" s="403">
        <v>222415.21</v>
      </c>
      <c r="C1127" s="417"/>
      <c r="D1127" s="403"/>
    </row>
    <row r="1128" spans="1:4" ht="15" x14ac:dyDescent="0.25">
      <c r="A1128" s="594">
        <v>43944</v>
      </c>
      <c r="B1128" s="403">
        <v>185658.71</v>
      </c>
      <c r="C1128" s="417"/>
      <c r="D1128" s="403"/>
    </row>
    <row r="1129" spans="1:4" ht="15" x14ac:dyDescent="0.25">
      <c r="A1129" s="594">
        <v>43945</v>
      </c>
      <c r="B1129" s="403">
        <v>185658.71</v>
      </c>
      <c r="C1129" s="417"/>
      <c r="D1129" s="403"/>
    </row>
    <row r="1130" spans="1:4" ht="15" x14ac:dyDescent="0.25">
      <c r="A1130" s="594">
        <v>43948</v>
      </c>
      <c r="B1130" s="403">
        <v>185614.71</v>
      </c>
      <c r="C1130" s="417"/>
      <c r="D1130" s="403"/>
    </row>
    <row r="1131" spans="1:4" ht="15" x14ac:dyDescent="0.25">
      <c r="A1131" s="594">
        <v>43949</v>
      </c>
      <c r="B1131" s="445">
        <v>152434.01999999999</v>
      </c>
      <c r="C1131" s="417"/>
      <c r="D1131" s="445"/>
    </row>
    <row r="1132" spans="1:4" ht="15" x14ac:dyDescent="0.25">
      <c r="A1132" s="594">
        <v>43950</v>
      </c>
      <c r="B1132" s="403">
        <v>152434.01999999999</v>
      </c>
      <c r="C1132" s="417"/>
      <c r="D1132" s="403"/>
    </row>
    <row r="1133" spans="1:4" ht="15" x14ac:dyDescent="0.25">
      <c r="A1133" s="594">
        <v>43951</v>
      </c>
      <c r="B1133" s="403">
        <v>173230.55</v>
      </c>
      <c r="C1133" s="417"/>
      <c r="D1133" s="403"/>
    </row>
    <row r="1134" spans="1:4" ht="15" x14ac:dyDescent="0.25">
      <c r="A1134" s="594">
        <v>43952</v>
      </c>
      <c r="B1134" s="403">
        <f>C1134+D1134</f>
        <v>173492.71000000002</v>
      </c>
      <c r="C1134" s="597">
        <v>172768.64000000001</v>
      </c>
      <c r="D1134" s="598">
        <v>724.07</v>
      </c>
    </row>
    <row r="1135" spans="1:4" ht="15" x14ac:dyDescent="0.25">
      <c r="A1135" s="594">
        <v>43955</v>
      </c>
      <c r="B1135" s="403">
        <f t="shared" ref="B1135:B1198" si="5">C1135+D1135</f>
        <v>173306.64</v>
      </c>
      <c r="C1135" s="597">
        <v>172582.64</v>
      </c>
      <c r="D1135" s="598">
        <v>724</v>
      </c>
    </row>
    <row r="1136" spans="1:4" ht="15" x14ac:dyDescent="0.25">
      <c r="A1136" s="594">
        <v>43956</v>
      </c>
      <c r="B1136" s="403">
        <f t="shared" si="5"/>
        <v>173307</v>
      </c>
      <c r="C1136" s="597">
        <v>172583</v>
      </c>
      <c r="D1136" s="598">
        <f>D1135</f>
        <v>724</v>
      </c>
    </row>
    <row r="1137" spans="1:4" ht="15" x14ac:dyDescent="0.25">
      <c r="A1137" s="594">
        <v>43957</v>
      </c>
      <c r="B1137" s="403">
        <f t="shared" si="5"/>
        <v>173307</v>
      </c>
      <c r="C1137" s="597">
        <v>172583</v>
      </c>
      <c r="D1137" s="598">
        <f t="shared" ref="D1137:D1179" si="6">D1136</f>
        <v>724</v>
      </c>
    </row>
    <row r="1138" spans="1:4" ht="15" x14ac:dyDescent="0.25">
      <c r="A1138" s="594">
        <v>43958</v>
      </c>
      <c r="B1138" s="403">
        <f t="shared" si="5"/>
        <v>173307</v>
      </c>
      <c r="C1138" s="597">
        <v>172583</v>
      </c>
      <c r="D1138" s="598">
        <f t="shared" si="6"/>
        <v>724</v>
      </c>
    </row>
    <row r="1139" spans="1:4" ht="15" x14ac:dyDescent="0.25">
      <c r="A1139" s="594">
        <v>43959</v>
      </c>
      <c r="B1139" s="403">
        <f t="shared" si="5"/>
        <v>385709.68000000005</v>
      </c>
      <c r="C1139" s="597">
        <v>187582.64</v>
      </c>
      <c r="D1139" s="598">
        <v>198127.04</v>
      </c>
    </row>
    <row r="1140" spans="1:4" ht="15" x14ac:dyDescent="0.25">
      <c r="A1140" s="594">
        <v>43962</v>
      </c>
      <c r="B1140" s="403">
        <f t="shared" si="5"/>
        <v>385710.04000000004</v>
      </c>
      <c r="C1140" s="597">
        <v>187583</v>
      </c>
      <c r="D1140" s="598">
        <f t="shared" si="6"/>
        <v>198127.04</v>
      </c>
    </row>
    <row r="1141" spans="1:4" ht="15" x14ac:dyDescent="0.25">
      <c r="A1141" s="594">
        <v>43963</v>
      </c>
      <c r="B1141" s="445">
        <f t="shared" si="5"/>
        <v>385904.98</v>
      </c>
      <c r="C1141" s="597">
        <v>187777.94</v>
      </c>
      <c r="D1141" s="598">
        <f t="shared" si="6"/>
        <v>198127.04</v>
      </c>
    </row>
    <row r="1142" spans="1:4" ht="15" x14ac:dyDescent="0.25">
      <c r="A1142" s="594">
        <v>43964</v>
      </c>
      <c r="B1142" s="403">
        <f t="shared" si="5"/>
        <v>362979.35</v>
      </c>
      <c r="C1142" s="597">
        <v>187778</v>
      </c>
      <c r="D1142" s="598">
        <v>175201.35</v>
      </c>
    </row>
    <row r="1143" spans="1:4" ht="15" x14ac:dyDescent="0.25">
      <c r="A1143" s="594">
        <v>43965</v>
      </c>
      <c r="B1143" s="403">
        <f t="shared" si="5"/>
        <v>362979.35</v>
      </c>
      <c r="C1143" s="597">
        <v>187778</v>
      </c>
      <c r="D1143" s="598">
        <f t="shared" si="6"/>
        <v>175201.35</v>
      </c>
    </row>
    <row r="1144" spans="1:4" ht="15" x14ac:dyDescent="0.25">
      <c r="A1144" s="594">
        <v>43966</v>
      </c>
      <c r="B1144" s="403">
        <f t="shared" si="5"/>
        <v>362624.73</v>
      </c>
      <c r="C1144" s="597">
        <v>187400</v>
      </c>
      <c r="D1144" s="598">
        <v>175224.73</v>
      </c>
    </row>
    <row r="1145" spans="1:4" ht="15" x14ac:dyDescent="0.25">
      <c r="A1145" s="594">
        <v>43969</v>
      </c>
      <c r="B1145" s="403">
        <f t="shared" si="5"/>
        <v>362070.03</v>
      </c>
      <c r="C1145" s="597">
        <v>187400</v>
      </c>
      <c r="D1145" s="598">
        <v>174670.03</v>
      </c>
    </row>
    <row r="1146" spans="1:4" ht="15" x14ac:dyDescent="0.25">
      <c r="A1146" s="594">
        <v>43970</v>
      </c>
      <c r="B1146" s="403">
        <f t="shared" si="5"/>
        <v>352214.86</v>
      </c>
      <c r="C1146" s="597">
        <v>187400</v>
      </c>
      <c r="D1146" s="598">
        <v>164814.85999999999</v>
      </c>
    </row>
    <row r="1147" spans="1:4" ht="15" x14ac:dyDescent="0.25">
      <c r="A1147" s="594">
        <v>43971</v>
      </c>
      <c r="B1147" s="403">
        <f t="shared" si="5"/>
        <v>352214.86</v>
      </c>
      <c r="C1147" s="597">
        <v>187400</v>
      </c>
      <c r="D1147" s="598">
        <f t="shared" si="6"/>
        <v>164814.85999999999</v>
      </c>
    </row>
    <row r="1148" spans="1:4" ht="15" x14ac:dyDescent="0.25">
      <c r="A1148" s="594">
        <v>43972</v>
      </c>
      <c r="B1148" s="403">
        <f t="shared" si="5"/>
        <v>337570.28</v>
      </c>
      <c r="C1148" s="597">
        <v>178152.54</v>
      </c>
      <c r="D1148" s="598">
        <v>159417.74</v>
      </c>
    </row>
    <row r="1149" spans="1:4" ht="15" x14ac:dyDescent="0.25">
      <c r="A1149" s="594">
        <v>43973</v>
      </c>
      <c r="B1149" s="403">
        <f t="shared" si="5"/>
        <v>337570.28</v>
      </c>
      <c r="C1149" s="597">
        <v>178152.54</v>
      </c>
      <c r="D1149" s="598">
        <f t="shared" si="6"/>
        <v>159417.74</v>
      </c>
    </row>
    <row r="1150" spans="1:4" x14ac:dyDescent="0.2">
      <c r="A1150" s="417">
        <v>43976</v>
      </c>
      <c r="B1150" s="403">
        <f t="shared" si="5"/>
        <v>337570.28</v>
      </c>
      <c r="C1150" s="597">
        <v>178152.54</v>
      </c>
      <c r="D1150" s="598">
        <f t="shared" si="6"/>
        <v>159417.74</v>
      </c>
    </row>
    <row r="1151" spans="1:4" x14ac:dyDescent="0.2">
      <c r="A1151" s="417">
        <v>43977</v>
      </c>
      <c r="B1151" s="403">
        <f t="shared" si="5"/>
        <v>337570.28</v>
      </c>
      <c r="C1151" s="597">
        <v>178152.54</v>
      </c>
      <c r="D1151" s="598">
        <f t="shared" si="6"/>
        <v>159417.74</v>
      </c>
    </row>
    <row r="1152" spans="1:4" x14ac:dyDescent="0.2">
      <c r="A1152" s="417">
        <v>43978</v>
      </c>
      <c r="B1152" s="403">
        <f t="shared" si="5"/>
        <v>314828.33999999997</v>
      </c>
      <c r="C1152" s="597">
        <v>178108.54</v>
      </c>
      <c r="D1152" s="598">
        <v>136719.79999999999</v>
      </c>
    </row>
    <row r="1153" spans="1:4" x14ac:dyDescent="0.2">
      <c r="A1153" s="417">
        <v>43979</v>
      </c>
      <c r="B1153" s="403">
        <f t="shared" si="5"/>
        <v>314642.31</v>
      </c>
      <c r="C1153" s="597">
        <v>177922.51</v>
      </c>
      <c r="D1153" s="598">
        <f t="shared" si="6"/>
        <v>136719.79999999999</v>
      </c>
    </row>
    <row r="1154" spans="1:4" x14ac:dyDescent="0.2">
      <c r="A1154" s="417">
        <v>43980</v>
      </c>
      <c r="B1154" s="403">
        <f t="shared" si="5"/>
        <v>314180.40000000002</v>
      </c>
      <c r="C1154" s="597">
        <v>177460.6</v>
      </c>
      <c r="D1154" s="598">
        <f t="shared" si="6"/>
        <v>136719.79999999999</v>
      </c>
    </row>
    <row r="1155" spans="1:4" x14ac:dyDescent="0.2">
      <c r="A1155" s="417">
        <v>43983</v>
      </c>
      <c r="B1155" s="403">
        <f t="shared" si="5"/>
        <v>336211.19</v>
      </c>
      <c r="C1155" s="597">
        <v>201698.93</v>
      </c>
      <c r="D1155" s="598">
        <v>134512.26</v>
      </c>
    </row>
    <row r="1156" spans="1:4" x14ac:dyDescent="0.2">
      <c r="A1156" s="417">
        <v>43984</v>
      </c>
      <c r="B1156" s="403">
        <f t="shared" si="5"/>
        <v>327639.93</v>
      </c>
      <c r="C1156" s="597">
        <v>201512.93</v>
      </c>
      <c r="D1156" s="598">
        <v>126127</v>
      </c>
    </row>
    <row r="1157" spans="1:4" x14ac:dyDescent="0.2">
      <c r="A1157" s="417">
        <v>43985</v>
      </c>
      <c r="B1157" s="403">
        <f t="shared" si="5"/>
        <v>327640</v>
      </c>
      <c r="C1157" s="597">
        <v>201513</v>
      </c>
      <c r="D1157" s="598">
        <f t="shared" si="6"/>
        <v>126127</v>
      </c>
    </row>
    <row r="1158" spans="1:4" x14ac:dyDescent="0.2">
      <c r="A1158" s="417">
        <v>43986</v>
      </c>
      <c r="B1158" s="403">
        <f t="shared" si="5"/>
        <v>332166.29000000004</v>
      </c>
      <c r="C1158" s="597">
        <v>206039.29</v>
      </c>
      <c r="D1158" s="598">
        <f t="shared" si="6"/>
        <v>126127</v>
      </c>
    </row>
    <row r="1159" spans="1:4" x14ac:dyDescent="0.2">
      <c r="A1159" s="417">
        <v>43987</v>
      </c>
      <c r="B1159" s="403">
        <f t="shared" si="5"/>
        <v>332166.29000000004</v>
      </c>
      <c r="C1159" s="597">
        <f>C1158</f>
        <v>206039.29</v>
      </c>
      <c r="D1159" s="598">
        <f t="shared" si="6"/>
        <v>126127</v>
      </c>
    </row>
    <row r="1160" spans="1:4" x14ac:dyDescent="0.2">
      <c r="A1160" s="417">
        <v>43990</v>
      </c>
      <c r="B1160" s="403">
        <f t="shared" si="5"/>
        <v>378580.41000000003</v>
      </c>
      <c r="C1160" s="597">
        <v>252453.41</v>
      </c>
      <c r="D1160" s="598">
        <f t="shared" si="6"/>
        <v>126127</v>
      </c>
    </row>
    <row r="1161" spans="1:4" x14ac:dyDescent="0.2">
      <c r="A1161" s="417">
        <v>43991</v>
      </c>
      <c r="B1161" s="403">
        <f t="shared" si="5"/>
        <v>378580.41000000003</v>
      </c>
      <c r="C1161" s="597">
        <f t="shared" ref="C1161:C1175" si="7">C1160</f>
        <v>252453.41</v>
      </c>
      <c r="D1161" s="598">
        <f t="shared" si="6"/>
        <v>126127</v>
      </c>
    </row>
    <row r="1162" spans="1:4" x14ac:dyDescent="0.2">
      <c r="A1162" s="417">
        <v>43992</v>
      </c>
      <c r="B1162" s="403">
        <f t="shared" si="5"/>
        <v>355599.42</v>
      </c>
      <c r="C1162" s="597">
        <f t="shared" si="7"/>
        <v>252453.41</v>
      </c>
      <c r="D1162" s="598">
        <v>103146.01</v>
      </c>
    </row>
    <row r="1163" spans="1:4" x14ac:dyDescent="0.2">
      <c r="A1163" s="417">
        <v>43993</v>
      </c>
      <c r="B1163" s="403">
        <f t="shared" si="5"/>
        <v>348512.49</v>
      </c>
      <c r="C1163" s="597">
        <v>255461.07</v>
      </c>
      <c r="D1163" s="598">
        <v>93051.42</v>
      </c>
    </row>
    <row r="1164" spans="1:4" x14ac:dyDescent="0.2">
      <c r="A1164" s="417">
        <v>43994</v>
      </c>
      <c r="B1164" s="403">
        <f t="shared" si="5"/>
        <v>351663.19</v>
      </c>
      <c r="C1164" s="597">
        <v>258611.77</v>
      </c>
      <c r="D1164" s="598">
        <f t="shared" si="6"/>
        <v>93051.42</v>
      </c>
    </row>
    <row r="1165" spans="1:4" x14ac:dyDescent="0.2">
      <c r="A1165" s="417">
        <v>43997</v>
      </c>
      <c r="B1165" s="403">
        <f t="shared" si="5"/>
        <v>351097.70999999996</v>
      </c>
      <c r="C1165" s="597">
        <f t="shared" si="7"/>
        <v>258611.77</v>
      </c>
      <c r="D1165" s="598">
        <v>92485.94</v>
      </c>
    </row>
    <row r="1166" spans="1:4" x14ac:dyDescent="0.2">
      <c r="A1166" s="417">
        <v>43998</v>
      </c>
      <c r="B1166" s="403">
        <f t="shared" si="5"/>
        <v>351097.70999999996</v>
      </c>
      <c r="C1166" s="597">
        <f t="shared" si="7"/>
        <v>258611.77</v>
      </c>
      <c r="D1166" s="598">
        <f t="shared" si="6"/>
        <v>92485.94</v>
      </c>
    </row>
    <row r="1167" spans="1:4" x14ac:dyDescent="0.2">
      <c r="A1167" s="417">
        <v>43999</v>
      </c>
      <c r="B1167" s="403">
        <f t="shared" si="5"/>
        <v>342735.58</v>
      </c>
      <c r="C1167" s="597">
        <v>250249.64</v>
      </c>
      <c r="D1167" s="598">
        <f t="shared" si="6"/>
        <v>92485.94</v>
      </c>
    </row>
    <row r="1168" spans="1:4" x14ac:dyDescent="0.2">
      <c r="A1168" s="417">
        <v>44000</v>
      </c>
      <c r="B1168" s="403">
        <f t="shared" si="5"/>
        <v>344495.52</v>
      </c>
      <c r="C1168" s="597">
        <v>252009.58</v>
      </c>
      <c r="D1168" s="598">
        <f t="shared" si="6"/>
        <v>92485.94</v>
      </c>
    </row>
    <row r="1169" spans="1:4" x14ac:dyDescent="0.2">
      <c r="A1169" s="417">
        <v>44001</v>
      </c>
      <c r="B1169" s="403">
        <f t="shared" si="5"/>
        <v>344495.52</v>
      </c>
      <c r="C1169" s="597">
        <f t="shared" si="7"/>
        <v>252009.58</v>
      </c>
      <c r="D1169" s="598">
        <f t="shared" si="6"/>
        <v>92485.94</v>
      </c>
    </row>
    <row r="1170" spans="1:4" x14ac:dyDescent="0.2">
      <c r="A1170" s="417">
        <v>44004</v>
      </c>
      <c r="B1170" s="403">
        <f t="shared" si="5"/>
        <v>344495.52</v>
      </c>
      <c r="C1170" s="597">
        <f t="shared" si="7"/>
        <v>252009.58</v>
      </c>
      <c r="D1170" s="598">
        <f t="shared" si="6"/>
        <v>92485.94</v>
      </c>
    </row>
    <row r="1171" spans="1:4" x14ac:dyDescent="0.2">
      <c r="A1171" s="417">
        <v>44005</v>
      </c>
      <c r="B1171" s="403">
        <f t="shared" si="5"/>
        <v>334324.15000000002</v>
      </c>
      <c r="C1171" s="597">
        <v>241838.21</v>
      </c>
      <c r="D1171" s="598">
        <f t="shared" si="6"/>
        <v>92485.94</v>
      </c>
    </row>
    <row r="1172" spans="1:4" x14ac:dyDescent="0.2">
      <c r="A1172" s="417">
        <v>44006</v>
      </c>
      <c r="B1172" s="403">
        <f t="shared" si="5"/>
        <v>342928.85</v>
      </c>
      <c r="C1172" s="597">
        <v>275398.59999999998</v>
      </c>
      <c r="D1172" s="598">
        <v>67530.25</v>
      </c>
    </row>
    <row r="1173" spans="1:4" x14ac:dyDescent="0.2">
      <c r="A1173" s="417">
        <v>44007</v>
      </c>
      <c r="B1173" s="403">
        <f t="shared" si="5"/>
        <v>325375.87</v>
      </c>
      <c r="C1173" s="597">
        <v>268709.96999999997</v>
      </c>
      <c r="D1173" s="598">
        <v>56665.9</v>
      </c>
    </row>
    <row r="1174" spans="1:4" x14ac:dyDescent="0.2">
      <c r="A1174" s="417">
        <v>44008</v>
      </c>
      <c r="B1174" s="403">
        <f t="shared" si="5"/>
        <v>324225.81</v>
      </c>
      <c r="C1174" s="597">
        <v>268257.68</v>
      </c>
      <c r="D1174" s="598">
        <v>55968.13</v>
      </c>
    </row>
    <row r="1175" spans="1:4" x14ac:dyDescent="0.2">
      <c r="A1175" s="417">
        <v>44011</v>
      </c>
      <c r="B1175" s="403">
        <f t="shared" si="5"/>
        <v>324225.81</v>
      </c>
      <c r="C1175" s="597">
        <f t="shared" si="7"/>
        <v>268257.68</v>
      </c>
      <c r="D1175" s="598">
        <f t="shared" si="6"/>
        <v>55968.13</v>
      </c>
    </row>
    <row r="1176" spans="1:4" x14ac:dyDescent="0.2">
      <c r="A1176" s="417">
        <v>44012</v>
      </c>
      <c r="B1176" s="403">
        <f t="shared" si="5"/>
        <v>332737.41000000003</v>
      </c>
      <c r="C1176" s="597">
        <v>276769.28000000003</v>
      </c>
      <c r="D1176" s="598">
        <f t="shared" si="6"/>
        <v>55968.13</v>
      </c>
    </row>
    <row r="1177" spans="1:4" x14ac:dyDescent="0.2">
      <c r="A1177" s="417">
        <v>44013</v>
      </c>
      <c r="B1177" s="403">
        <f t="shared" si="5"/>
        <v>348287.12</v>
      </c>
      <c r="C1177" s="597">
        <v>292318.99</v>
      </c>
      <c r="D1177" s="598">
        <f t="shared" si="6"/>
        <v>55968.13</v>
      </c>
    </row>
    <row r="1178" spans="1:4" x14ac:dyDescent="0.2">
      <c r="A1178" s="417">
        <v>44014</v>
      </c>
      <c r="B1178" s="403">
        <f t="shared" si="5"/>
        <v>351754.67</v>
      </c>
      <c r="C1178" s="597">
        <v>295786.53999999998</v>
      </c>
      <c r="D1178" s="598">
        <f t="shared" si="6"/>
        <v>55968.13</v>
      </c>
    </row>
    <row r="1179" spans="1:4" x14ac:dyDescent="0.2">
      <c r="A1179" s="417">
        <v>44015</v>
      </c>
      <c r="B1179" s="403">
        <f t="shared" si="5"/>
        <v>352041.67</v>
      </c>
      <c r="C1179" s="597">
        <v>296073.53999999998</v>
      </c>
      <c r="D1179" s="598">
        <f t="shared" si="6"/>
        <v>55968.13</v>
      </c>
    </row>
    <row r="1180" spans="1:4" x14ac:dyDescent="0.2">
      <c r="A1180" s="417">
        <v>44018</v>
      </c>
      <c r="B1180" s="403">
        <f t="shared" si="5"/>
        <v>352042</v>
      </c>
      <c r="C1180" s="597">
        <v>296074</v>
      </c>
      <c r="D1180" s="598">
        <v>55968</v>
      </c>
    </row>
    <row r="1181" spans="1:4" x14ac:dyDescent="0.2">
      <c r="A1181" s="417">
        <v>44019</v>
      </c>
      <c r="B1181" s="403">
        <f t="shared" si="5"/>
        <v>352042</v>
      </c>
      <c r="C1181" s="597">
        <v>296074</v>
      </c>
      <c r="D1181" s="598">
        <v>55968</v>
      </c>
    </row>
    <row r="1182" spans="1:4" x14ac:dyDescent="0.2">
      <c r="A1182" s="417">
        <v>44020</v>
      </c>
      <c r="B1182" s="403">
        <f t="shared" si="5"/>
        <v>326415.09999999998</v>
      </c>
      <c r="C1182" s="597">
        <v>296074</v>
      </c>
      <c r="D1182" s="598">
        <v>30341.1</v>
      </c>
    </row>
    <row r="1183" spans="1:4" x14ac:dyDescent="0.2">
      <c r="A1183" s="417">
        <v>44021</v>
      </c>
      <c r="B1183" s="403">
        <f t="shared" si="5"/>
        <v>312231.88999999996</v>
      </c>
      <c r="C1183" s="597">
        <v>293240.15999999997</v>
      </c>
      <c r="D1183" s="598">
        <v>18991.73</v>
      </c>
    </row>
    <row r="1184" spans="1:4" x14ac:dyDescent="0.2">
      <c r="A1184" s="417">
        <v>44022</v>
      </c>
      <c r="B1184" s="403">
        <f t="shared" si="5"/>
        <v>311779.87</v>
      </c>
      <c r="C1184" s="597">
        <v>292787.87</v>
      </c>
      <c r="D1184" s="598">
        <v>18992</v>
      </c>
    </row>
    <row r="1185" spans="1:4" x14ac:dyDescent="0.2">
      <c r="A1185" s="417">
        <v>44025</v>
      </c>
      <c r="B1185" s="403">
        <f t="shared" si="5"/>
        <v>311474.96999999997</v>
      </c>
      <c r="C1185" s="597">
        <v>293190.87</v>
      </c>
      <c r="D1185" s="598">
        <v>18284.099999999999</v>
      </c>
    </row>
    <row r="1186" spans="1:4" x14ac:dyDescent="0.2">
      <c r="A1186" s="417">
        <v>44026</v>
      </c>
      <c r="B1186" s="403">
        <f t="shared" si="5"/>
        <v>315477.69</v>
      </c>
      <c r="C1186" s="597">
        <v>297193.59000000003</v>
      </c>
      <c r="D1186" s="598">
        <v>18284.099999999999</v>
      </c>
    </row>
    <row r="1187" spans="1:4" x14ac:dyDescent="0.2">
      <c r="A1187" s="417">
        <v>44027</v>
      </c>
      <c r="B1187" s="403">
        <f t="shared" si="5"/>
        <v>315594.98</v>
      </c>
      <c r="C1187" s="597">
        <v>297310.88</v>
      </c>
      <c r="D1187" s="598">
        <v>18284.099999999999</v>
      </c>
    </row>
    <row r="1188" spans="1:4" x14ac:dyDescent="0.2">
      <c r="A1188" s="417">
        <v>44028</v>
      </c>
      <c r="B1188" s="403">
        <f t="shared" si="5"/>
        <v>318211.11</v>
      </c>
      <c r="C1188" s="597">
        <v>299927.01</v>
      </c>
      <c r="D1188" s="598">
        <v>18284.099999999999</v>
      </c>
    </row>
    <row r="1189" spans="1:4" x14ac:dyDescent="0.2">
      <c r="A1189" s="417">
        <v>44029</v>
      </c>
      <c r="B1189" s="403">
        <f t="shared" si="5"/>
        <v>318211.09999999998</v>
      </c>
      <c r="C1189" s="597">
        <v>299927</v>
      </c>
      <c r="D1189" s="598">
        <v>18284.099999999999</v>
      </c>
    </row>
    <row r="1190" spans="1:4" x14ac:dyDescent="0.2">
      <c r="A1190" s="417">
        <v>44032</v>
      </c>
      <c r="B1190" s="403">
        <f t="shared" si="5"/>
        <v>339655.69</v>
      </c>
      <c r="C1190" s="597">
        <v>304374.55</v>
      </c>
      <c r="D1190" s="598">
        <v>35281.14</v>
      </c>
    </row>
    <row r="1191" spans="1:4" x14ac:dyDescent="0.2">
      <c r="A1191" s="417">
        <v>44033</v>
      </c>
      <c r="B1191" s="403">
        <f t="shared" si="5"/>
        <v>328838.90999999997</v>
      </c>
      <c r="C1191" s="597">
        <v>293557.90999999997</v>
      </c>
      <c r="D1191" s="598">
        <v>35281</v>
      </c>
    </row>
    <row r="1192" spans="1:4" x14ac:dyDescent="0.2">
      <c r="A1192" s="417">
        <v>44034</v>
      </c>
      <c r="B1192" s="403">
        <f t="shared" si="5"/>
        <v>315049.81</v>
      </c>
      <c r="C1192" s="597">
        <v>305336.09999999998</v>
      </c>
      <c r="D1192" s="598">
        <v>9713.7099999999991</v>
      </c>
    </row>
    <row r="1193" spans="1:4" x14ac:dyDescent="0.2">
      <c r="A1193" s="417">
        <v>44035</v>
      </c>
      <c r="B1193" s="403">
        <f t="shared" si="5"/>
        <v>308750.14999999997</v>
      </c>
      <c r="C1193" s="597">
        <v>307782.98</v>
      </c>
      <c r="D1193" s="598">
        <v>967.17</v>
      </c>
    </row>
    <row r="1194" spans="1:4" x14ac:dyDescent="0.2">
      <c r="A1194" s="417">
        <v>44036</v>
      </c>
      <c r="B1194" s="403">
        <f t="shared" si="5"/>
        <v>309653.73</v>
      </c>
      <c r="C1194" s="597">
        <v>309453.73</v>
      </c>
      <c r="D1194" s="598">
        <v>200</v>
      </c>
    </row>
    <row r="1195" spans="1:4" x14ac:dyDescent="0.2">
      <c r="A1195" s="417">
        <v>44039</v>
      </c>
      <c r="B1195" s="403">
        <f t="shared" si="5"/>
        <v>300292.32</v>
      </c>
      <c r="C1195" s="597">
        <v>300092.32</v>
      </c>
      <c r="D1195" s="598">
        <v>200</v>
      </c>
    </row>
    <row r="1196" spans="1:4" x14ac:dyDescent="0.2">
      <c r="A1196" s="417">
        <v>44040</v>
      </c>
      <c r="B1196" s="403">
        <f t="shared" si="5"/>
        <v>300248.32000000001</v>
      </c>
      <c r="C1196" s="597">
        <v>300048.32</v>
      </c>
      <c r="D1196" s="598">
        <v>200</v>
      </c>
    </row>
    <row r="1197" spans="1:4" x14ac:dyDescent="0.2">
      <c r="A1197" s="417">
        <v>44041</v>
      </c>
      <c r="B1197" s="403">
        <f t="shared" si="5"/>
        <v>298885.23</v>
      </c>
      <c r="C1197" s="597">
        <v>298685.23</v>
      </c>
      <c r="D1197" s="598">
        <v>200</v>
      </c>
    </row>
    <row r="1198" spans="1:4" x14ac:dyDescent="0.2">
      <c r="A1198" s="417">
        <v>44042</v>
      </c>
      <c r="B1198" s="403">
        <f t="shared" si="5"/>
        <v>298918.89</v>
      </c>
      <c r="C1198" s="597">
        <v>298718.89</v>
      </c>
      <c r="D1198" s="598">
        <v>200</v>
      </c>
    </row>
    <row r="1199" spans="1:4" x14ac:dyDescent="0.2">
      <c r="A1199" s="417">
        <v>44043</v>
      </c>
      <c r="B1199" s="403">
        <f t="shared" ref="B1199:B1262" si="8">C1199+D1199</f>
        <v>298919</v>
      </c>
      <c r="C1199" s="597">
        <v>298719</v>
      </c>
      <c r="D1199" s="598">
        <v>200</v>
      </c>
    </row>
    <row r="1200" spans="1:4" x14ac:dyDescent="0.2">
      <c r="A1200" s="417">
        <v>44046</v>
      </c>
      <c r="B1200" s="403">
        <f t="shared" si="8"/>
        <v>262470.13</v>
      </c>
      <c r="C1200" s="597">
        <v>262270.13</v>
      </c>
      <c r="D1200" s="598">
        <v>200</v>
      </c>
    </row>
    <row r="1201" spans="1:4" x14ac:dyDescent="0.2">
      <c r="A1201" s="417">
        <v>44047</v>
      </c>
      <c r="B1201" s="403">
        <f t="shared" si="8"/>
        <v>254560.85</v>
      </c>
      <c r="C1201" s="597">
        <v>254360.85</v>
      </c>
      <c r="D1201" s="598">
        <v>200</v>
      </c>
    </row>
    <row r="1202" spans="1:4" x14ac:dyDescent="0.2">
      <c r="A1202" s="417">
        <v>44048</v>
      </c>
      <c r="B1202" s="403">
        <f t="shared" si="8"/>
        <v>254561</v>
      </c>
      <c r="C1202" s="597">
        <v>254361</v>
      </c>
      <c r="D1202" s="598">
        <v>200</v>
      </c>
    </row>
    <row r="1203" spans="1:4" x14ac:dyDescent="0.2">
      <c r="A1203" s="417">
        <v>44049</v>
      </c>
      <c r="B1203" s="403">
        <f t="shared" si="8"/>
        <v>256783.26</v>
      </c>
      <c r="C1203" s="597">
        <v>256583.26</v>
      </c>
      <c r="D1203" s="598">
        <v>200</v>
      </c>
    </row>
    <row r="1204" spans="1:4" x14ac:dyDescent="0.2">
      <c r="A1204" s="417">
        <v>44050</v>
      </c>
      <c r="B1204" s="403">
        <f t="shared" si="8"/>
        <v>256330.97</v>
      </c>
      <c r="C1204" s="597">
        <v>256130.97</v>
      </c>
      <c r="D1204" s="598">
        <v>200</v>
      </c>
    </row>
    <row r="1205" spans="1:4" x14ac:dyDescent="0.2">
      <c r="A1205" s="417">
        <v>44053</v>
      </c>
      <c r="B1205" s="403">
        <f t="shared" si="8"/>
        <v>256331</v>
      </c>
      <c r="C1205" s="597">
        <v>256131</v>
      </c>
      <c r="D1205" s="598">
        <v>200</v>
      </c>
    </row>
    <row r="1206" spans="1:4" x14ac:dyDescent="0.2">
      <c r="A1206" s="417">
        <v>44054</v>
      </c>
      <c r="B1206" s="403">
        <f t="shared" si="8"/>
        <v>256331</v>
      </c>
      <c r="C1206" s="597">
        <v>256131</v>
      </c>
      <c r="D1206" s="598">
        <v>200</v>
      </c>
    </row>
    <row r="1207" spans="1:4" x14ac:dyDescent="0.2">
      <c r="A1207" s="417">
        <v>44055</v>
      </c>
      <c r="B1207" s="403">
        <f t="shared" si="8"/>
        <v>256420.97</v>
      </c>
      <c r="C1207" s="597">
        <v>256220.97</v>
      </c>
      <c r="D1207" s="598">
        <v>200</v>
      </c>
    </row>
    <row r="1208" spans="1:4" x14ac:dyDescent="0.2">
      <c r="A1208" s="417">
        <v>44056</v>
      </c>
      <c r="B1208" s="403">
        <f t="shared" si="8"/>
        <v>256421</v>
      </c>
      <c r="C1208" s="597">
        <v>256221</v>
      </c>
      <c r="D1208" s="598">
        <v>200</v>
      </c>
    </row>
    <row r="1209" spans="1:4" x14ac:dyDescent="0.2">
      <c r="A1209" s="417">
        <v>44057</v>
      </c>
      <c r="B1209" s="403">
        <f t="shared" si="8"/>
        <v>296838.09999999998</v>
      </c>
      <c r="C1209" s="597">
        <v>296638.09999999998</v>
      </c>
      <c r="D1209" s="598">
        <v>200</v>
      </c>
    </row>
    <row r="1210" spans="1:4" x14ac:dyDescent="0.2">
      <c r="A1210" s="417">
        <v>44060</v>
      </c>
      <c r="B1210" s="403">
        <f t="shared" si="8"/>
        <v>261012.14</v>
      </c>
      <c r="C1210" s="597">
        <v>260812.14</v>
      </c>
      <c r="D1210" s="598">
        <v>200</v>
      </c>
    </row>
    <row r="1211" spans="1:4" x14ac:dyDescent="0.2">
      <c r="A1211" s="417">
        <v>44061</v>
      </c>
      <c r="B1211" s="403">
        <f t="shared" si="8"/>
        <v>345553.24</v>
      </c>
      <c r="C1211" s="597">
        <v>345353.24</v>
      </c>
      <c r="D1211" s="598">
        <v>200</v>
      </c>
    </row>
    <row r="1212" spans="1:4" x14ac:dyDescent="0.2">
      <c r="A1212" s="417">
        <v>44062</v>
      </c>
      <c r="B1212" s="403">
        <f t="shared" si="8"/>
        <v>345720.24</v>
      </c>
      <c r="C1212" s="597">
        <v>345520.24</v>
      </c>
      <c r="D1212" s="598">
        <v>200</v>
      </c>
    </row>
    <row r="1213" spans="1:4" x14ac:dyDescent="0.2">
      <c r="A1213" s="417">
        <v>44063</v>
      </c>
      <c r="B1213" s="403">
        <f t="shared" si="8"/>
        <v>343380.65</v>
      </c>
      <c r="C1213" s="597">
        <v>343180.65</v>
      </c>
      <c r="D1213" s="598">
        <v>200</v>
      </c>
    </row>
    <row r="1214" spans="1:4" x14ac:dyDescent="0.2">
      <c r="A1214" s="417">
        <v>44064</v>
      </c>
      <c r="B1214" s="403">
        <f t="shared" si="8"/>
        <v>342938.36</v>
      </c>
      <c r="C1214" s="597">
        <v>342738.36</v>
      </c>
      <c r="D1214" s="598">
        <v>200</v>
      </c>
    </row>
    <row r="1215" spans="1:4" x14ac:dyDescent="0.2">
      <c r="A1215" s="417">
        <v>44067</v>
      </c>
      <c r="B1215" s="403">
        <f t="shared" si="8"/>
        <v>342938</v>
      </c>
      <c r="C1215" s="597">
        <v>342738</v>
      </c>
      <c r="D1215" s="598">
        <v>200</v>
      </c>
    </row>
    <row r="1216" spans="1:4" x14ac:dyDescent="0.2">
      <c r="A1216" s="417">
        <v>44068</v>
      </c>
      <c r="B1216" s="403">
        <f t="shared" si="8"/>
        <v>340515.33</v>
      </c>
      <c r="C1216" s="597">
        <v>340315.33</v>
      </c>
      <c r="D1216" s="598">
        <v>200</v>
      </c>
    </row>
    <row r="1217" spans="1:4" x14ac:dyDescent="0.2">
      <c r="A1217" s="417">
        <v>44069</v>
      </c>
      <c r="B1217" s="403">
        <f t="shared" si="8"/>
        <v>359946.57</v>
      </c>
      <c r="C1217" s="597">
        <v>359746.57</v>
      </c>
      <c r="D1217" s="598">
        <v>200</v>
      </c>
    </row>
    <row r="1218" spans="1:4" x14ac:dyDescent="0.2">
      <c r="A1218" s="417">
        <v>44070</v>
      </c>
      <c r="B1218" s="403">
        <f t="shared" si="8"/>
        <v>359946.57</v>
      </c>
      <c r="C1218" s="597">
        <v>359746.57</v>
      </c>
      <c r="D1218" s="598">
        <v>200</v>
      </c>
    </row>
    <row r="1219" spans="1:4" x14ac:dyDescent="0.2">
      <c r="A1219" s="417">
        <v>44071</v>
      </c>
      <c r="B1219" s="403">
        <f t="shared" si="8"/>
        <v>359946.57</v>
      </c>
      <c r="C1219" s="597">
        <v>359746.57</v>
      </c>
      <c r="D1219" s="598">
        <v>200</v>
      </c>
    </row>
    <row r="1220" spans="1:4" x14ac:dyDescent="0.2">
      <c r="A1220" s="417">
        <v>44074</v>
      </c>
      <c r="B1220" s="403">
        <f t="shared" si="8"/>
        <v>359946.57</v>
      </c>
      <c r="C1220" s="597">
        <v>359746.57</v>
      </c>
      <c r="D1220" s="598">
        <v>200</v>
      </c>
    </row>
    <row r="1221" spans="1:4" x14ac:dyDescent="0.2">
      <c r="A1221" s="417">
        <v>44075</v>
      </c>
      <c r="B1221" s="403">
        <f t="shared" si="8"/>
        <v>347126.06</v>
      </c>
      <c r="C1221" s="597">
        <v>346926.06</v>
      </c>
      <c r="D1221" s="598">
        <v>200</v>
      </c>
    </row>
    <row r="1222" spans="1:4" x14ac:dyDescent="0.2">
      <c r="A1222" s="417">
        <v>44076</v>
      </c>
      <c r="B1222" s="403">
        <f t="shared" si="8"/>
        <v>347075.06</v>
      </c>
      <c r="C1222" s="597">
        <v>346875.06</v>
      </c>
      <c r="D1222" s="598">
        <v>200</v>
      </c>
    </row>
    <row r="1223" spans="1:4" x14ac:dyDescent="0.2">
      <c r="A1223" s="417">
        <v>44077</v>
      </c>
      <c r="B1223" s="403">
        <f t="shared" si="8"/>
        <v>350416.44</v>
      </c>
      <c r="C1223" s="597">
        <v>350216.44</v>
      </c>
      <c r="D1223" s="598">
        <v>200</v>
      </c>
    </row>
    <row r="1224" spans="1:4" x14ac:dyDescent="0.2">
      <c r="A1224" s="417">
        <v>44078</v>
      </c>
      <c r="B1224" s="403">
        <f t="shared" si="8"/>
        <v>343258.81</v>
      </c>
      <c r="C1224" s="597">
        <v>343058.81</v>
      </c>
      <c r="D1224" s="598">
        <v>200</v>
      </c>
    </row>
    <row r="1225" spans="1:4" x14ac:dyDescent="0.2">
      <c r="A1225" s="417">
        <v>44081</v>
      </c>
      <c r="B1225" s="403">
        <f t="shared" si="8"/>
        <v>343258.81</v>
      </c>
      <c r="C1225" s="597">
        <v>343058.81</v>
      </c>
      <c r="D1225" s="598">
        <v>200</v>
      </c>
    </row>
    <row r="1226" spans="1:4" x14ac:dyDescent="0.2">
      <c r="A1226" s="417">
        <v>44082</v>
      </c>
      <c r="B1226" s="403">
        <f t="shared" si="8"/>
        <v>343258.81</v>
      </c>
      <c r="C1226" s="597">
        <v>343058.81</v>
      </c>
      <c r="D1226" s="598">
        <v>200</v>
      </c>
    </row>
    <row r="1227" spans="1:4" x14ac:dyDescent="0.2">
      <c r="A1227" s="417">
        <v>44083</v>
      </c>
      <c r="B1227" s="403">
        <f t="shared" si="8"/>
        <v>343258.81</v>
      </c>
      <c r="C1227" s="597">
        <v>343058.81</v>
      </c>
      <c r="D1227" s="598">
        <v>200</v>
      </c>
    </row>
    <row r="1228" spans="1:4" x14ac:dyDescent="0.2">
      <c r="A1228" s="417">
        <v>44084</v>
      </c>
      <c r="B1228" s="403">
        <f t="shared" si="8"/>
        <v>351420.85</v>
      </c>
      <c r="C1228" s="597">
        <v>351220.85</v>
      </c>
      <c r="D1228" s="598">
        <v>200</v>
      </c>
    </row>
    <row r="1229" spans="1:4" x14ac:dyDescent="0.2">
      <c r="A1229" s="417">
        <v>44085</v>
      </c>
      <c r="B1229" s="403">
        <f t="shared" si="8"/>
        <v>351420.85</v>
      </c>
      <c r="C1229" s="597">
        <v>351220.85</v>
      </c>
      <c r="D1229" s="598">
        <v>200</v>
      </c>
    </row>
    <row r="1230" spans="1:4" x14ac:dyDescent="0.2">
      <c r="A1230" s="417">
        <v>44088</v>
      </c>
      <c r="B1230" s="403">
        <f t="shared" si="8"/>
        <v>319295.21000000002</v>
      </c>
      <c r="C1230" s="597">
        <v>319095.21000000002</v>
      </c>
      <c r="D1230" s="598">
        <v>200</v>
      </c>
    </row>
    <row r="1231" spans="1:4" x14ac:dyDescent="0.2">
      <c r="A1231" s="417">
        <v>44089</v>
      </c>
      <c r="B1231" s="403">
        <f t="shared" si="8"/>
        <v>319390.87</v>
      </c>
      <c r="C1231" s="597">
        <v>319190.87</v>
      </c>
      <c r="D1231" s="598">
        <v>200</v>
      </c>
    </row>
    <row r="1232" spans="1:4" x14ac:dyDescent="0.2">
      <c r="A1232" s="417">
        <v>44090</v>
      </c>
      <c r="B1232" s="403">
        <f t="shared" si="8"/>
        <v>318221.31</v>
      </c>
      <c r="C1232" s="597">
        <v>318021.31</v>
      </c>
      <c r="D1232" s="598">
        <v>200</v>
      </c>
    </row>
    <row r="1233" spans="1:4" x14ac:dyDescent="0.2">
      <c r="A1233" s="417">
        <v>44091</v>
      </c>
      <c r="B1233" s="403">
        <f t="shared" si="8"/>
        <v>321494.34000000003</v>
      </c>
      <c r="C1233" s="597">
        <v>321294.34000000003</v>
      </c>
      <c r="D1233" s="598">
        <v>200</v>
      </c>
    </row>
    <row r="1234" spans="1:4" x14ac:dyDescent="0.2">
      <c r="A1234" s="417">
        <v>44092</v>
      </c>
      <c r="B1234" s="403">
        <f t="shared" si="8"/>
        <v>321052.05</v>
      </c>
      <c r="C1234" s="597">
        <v>320852.05</v>
      </c>
      <c r="D1234" s="598">
        <v>200</v>
      </c>
    </row>
    <row r="1235" spans="1:4" x14ac:dyDescent="0.2">
      <c r="A1235" s="417">
        <v>44095</v>
      </c>
      <c r="B1235" s="403">
        <f t="shared" si="8"/>
        <v>321052</v>
      </c>
      <c r="C1235" s="597">
        <v>320852</v>
      </c>
      <c r="D1235" s="598">
        <v>200</v>
      </c>
    </row>
    <row r="1236" spans="1:4" x14ac:dyDescent="0.2">
      <c r="A1236" s="417">
        <v>44096</v>
      </c>
      <c r="B1236" s="403">
        <f t="shared" si="8"/>
        <v>347075.9</v>
      </c>
      <c r="C1236" s="597">
        <v>346875.9</v>
      </c>
      <c r="D1236" s="598">
        <v>200</v>
      </c>
    </row>
    <row r="1237" spans="1:4" x14ac:dyDescent="0.2">
      <c r="A1237" s="417">
        <v>44097</v>
      </c>
      <c r="B1237" s="403">
        <f t="shared" si="8"/>
        <v>348950.3</v>
      </c>
      <c r="C1237" s="597">
        <v>348750.3</v>
      </c>
      <c r="D1237" s="598">
        <v>200</v>
      </c>
    </row>
    <row r="1238" spans="1:4" x14ac:dyDescent="0.2">
      <c r="A1238" s="417">
        <v>44098</v>
      </c>
      <c r="B1238" s="403">
        <f t="shared" si="8"/>
        <v>354130.18</v>
      </c>
      <c r="C1238" s="597">
        <v>353930.18</v>
      </c>
      <c r="D1238" s="598">
        <v>200</v>
      </c>
    </row>
    <row r="1239" spans="1:4" x14ac:dyDescent="0.2">
      <c r="A1239" s="417">
        <v>44099</v>
      </c>
      <c r="B1239" s="403">
        <f t="shared" si="8"/>
        <v>354086.18</v>
      </c>
      <c r="C1239" s="597">
        <v>353886.18</v>
      </c>
      <c r="D1239" s="598">
        <v>200</v>
      </c>
    </row>
    <row r="1240" spans="1:4" x14ac:dyDescent="0.2">
      <c r="A1240" s="417">
        <v>44102</v>
      </c>
      <c r="B1240" s="403">
        <f t="shared" si="8"/>
        <v>348608</v>
      </c>
      <c r="C1240" s="597">
        <v>348408</v>
      </c>
      <c r="D1240" s="598">
        <v>200</v>
      </c>
    </row>
    <row r="1241" spans="1:4" x14ac:dyDescent="0.2">
      <c r="A1241" s="417">
        <v>44103</v>
      </c>
      <c r="B1241" s="403">
        <f t="shared" si="8"/>
        <v>313591.89</v>
      </c>
      <c r="C1241" s="597">
        <v>313391.89</v>
      </c>
      <c r="D1241" s="598">
        <v>200</v>
      </c>
    </row>
    <row r="1242" spans="1:4" x14ac:dyDescent="0.2">
      <c r="A1242" s="417">
        <v>44104</v>
      </c>
      <c r="B1242" s="403">
        <f t="shared" si="8"/>
        <v>348489.68</v>
      </c>
      <c r="C1242" s="597">
        <v>348289.68</v>
      </c>
      <c r="D1242" s="598">
        <v>200</v>
      </c>
    </row>
    <row r="1243" spans="1:4" x14ac:dyDescent="0.2">
      <c r="A1243" s="417">
        <v>44105</v>
      </c>
      <c r="B1243" s="403">
        <f t="shared" si="8"/>
        <v>346634.44</v>
      </c>
      <c r="C1243" s="597">
        <v>346434.44</v>
      </c>
      <c r="D1243" s="598">
        <v>200</v>
      </c>
    </row>
    <row r="1244" spans="1:4" x14ac:dyDescent="0.2">
      <c r="A1244" s="417">
        <v>44106</v>
      </c>
      <c r="B1244" s="403">
        <f t="shared" si="8"/>
        <v>346390.75</v>
      </c>
      <c r="C1244" s="597">
        <v>346190.75</v>
      </c>
      <c r="D1244" s="598">
        <v>200</v>
      </c>
    </row>
    <row r="1245" spans="1:4" x14ac:dyDescent="0.2">
      <c r="A1245" s="417">
        <v>44109</v>
      </c>
      <c r="B1245" s="403">
        <f t="shared" si="8"/>
        <v>346313.83</v>
      </c>
      <c r="C1245" s="597">
        <v>346113.83</v>
      </c>
      <c r="D1245" s="598">
        <v>200</v>
      </c>
    </row>
    <row r="1246" spans="1:4" x14ac:dyDescent="0.2">
      <c r="A1246" s="417">
        <v>44110</v>
      </c>
      <c r="B1246" s="403">
        <f t="shared" si="8"/>
        <v>346084.99</v>
      </c>
      <c r="C1246" s="597">
        <v>345884.99</v>
      </c>
      <c r="D1246" s="598">
        <v>200</v>
      </c>
    </row>
    <row r="1247" spans="1:4" x14ac:dyDescent="0.2">
      <c r="A1247" s="417">
        <v>44111</v>
      </c>
      <c r="B1247" s="403">
        <f t="shared" si="8"/>
        <v>346085</v>
      </c>
      <c r="C1247" s="597">
        <v>345885</v>
      </c>
      <c r="D1247" s="598">
        <v>200</v>
      </c>
    </row>
    <row r="1248" spans="1:4" x14ac:dyDescent="0.2">
      <c r="A1248" s="417">
        <v>44112</v>
      </c>
      <c r="B1248" s="403">
        <f t="shared" si="8"/>
        <v>380839.99</v>
      </c>
      <c r="C1248" s="597">
        <v>380639.99</v>
      </c>
      <c r="D1248" s="598">
        <v>200</v>
      </c>
    </row>
    <row r="1249" spans="1:4" x14ac:dyDescent="0.2">
      <c r="A1249" s="417">
        <v>44113</v>
      </c>
      <c r="B1249" s="403">
        <f t="shared" si="8"/>
        <v>380840</v>
      </c>
      <c r="C1249" s="597">
        <v>380640</v>
      </c>
      <c r="D1249" s="598">
        <v>200</v>
      </c>
    </row>
    <row r="1250" spans="1:4" x14ac:dyDescent="0.2">
      <c r="A1250" s="417">
        <v>44116</v>
      </c>
      <c r="B1250" s="403">
        <f t="shared" si="8"/>
        <v>380840</v>
      </c>
      <c r="C1250" s="597">
        <v>380640</v>
      </c>
      <c r="D1250" s="598">
        <v>200</v>
      </c>
    </row>
    <row r="1251" spans="1:4" x14ac:dyDescent="0.2">
      <c r="A1251" s="417">
        <v>44117</v>
      </c>
      <c r="B1251" s="403">
        <f t="shared" si="8"/>
        <v>346182.3</v>
      </c>
      <c r="C1251" s="597">
        <v>345982.3</v>
      </c>
      <c r="D1251" s="598">
        <v>200</v>
      </c>
    </row>
    <row r="1252" spans="1:4" x14ac:dyDescent="0.2">
      <c r="A1252" s="417">
        <v>44118</v>
      </c>
      <c r="B1252" s="403">
        <f t="shared" si="8"/>
        <v>346103.46</v>
      </c>
      <c r="C1252" s="597">
        <v>345903.46</v>
      </c>
      <c r="D1252" s="598">
        <v>200</v>
      </c>
    </row>
    <row r="1253" spans="1:4" x14ac:dyDescent="0.2">
      <c r="A1253" s="417">
        <v>44119</v>
      </c>
      <c r="B1253" s="403">
        <f t="shared" si="8"/>
        <v>339569.88</v>
      </c>
      <c r="C1253" s="597">
        <v>339369.88</v>
      </c>
      <c r="D1253" s="598">
        <v>200</v>
      </c>
    </row>
    <row r="1254" spans="1:4" x14ac:dyDescent="0.2">
      <c r="A1254" s="417">
        <v>44120</v>
      </c>
      <c r="B1254" s="403">
        <f t="shared" si="8"/>
        <v>364967.49</v>
      </c>
      <c r="C1254" s="597">
        <v>364767.49</v>
      </c>
      <c r="D1254" s="598">
        <v>200</v>
      </c>
    </row>
    <row r="1255" spans="1:4" x14ac:dyDescent="0.2">
      <c r="A1255" s="417">
        <v>44123</v>
      </c>
      <c r="B1255" s="403">
        <f t="shared" si="8"/>
        <v>343525.33</v>
      </c>
      <c r="C1255" s="597">
        <v>343325.33</v>
      </c>
      <c r="D1255" s="598">
        <v>200</v>
      </c>
    </row>
    <row r="1256" spans="1:4" x14ac:dyDescent="0.2">
      <c r="A1256" s="417">
        <v>44124</v>
      </c>
      <c r="B1256" s="403">
        <f t="shared" si="8"/>
        <v>343525</v>
      </c>
      <c r="C1256" s="597">
        <v>343325</v>
      </c>
      <c r="D1256" s="598">
        <v>200</v>
      </c>
    </row>
    <row r="1257" spans="1:4" x14ac:dyDescent="0.2">
      <c r="A1257" s="417">
        <v>44125</v>
      </c>
      <c r="B1257" s="403">
        <f t="shared" si="8"/>
        <v>340413.21</v>
      </c>
      <c r="C1257" s="597">
        <v>340213.21</v>
      </c>
      <c r="D1257" s="598">
        <v>200</v>
      </c>
    </row>
    <row r="1258" spans="1:4" x14ac:dyDescent="0.2">
      <c r="A1258" s="417">
        <v>44126</v>
      </c>
      <c r="B1258" s="403">
        <f t="shared" si="8"/>
        <v>354245.2</v>
      </c>
      <c r="C1258" s="597">
        <v>354045.2</v>
      </c>
      <c r="D1258" s="598">
        <v>200</v>
      </c>
    </row>
    <row r="1259" spans="1:4" x14ac:dyDescent="0.2">
      <c r="A1259" s="417">
        <v>44127</v>
      </c>
      <c r="B1259" s="403">
        <f t="shared" si="8"/>
        <v>354086.35</v>
      </c>
      <c r="C1259" s="597">
        <v>353886.35</v>
      </c>
      <c r="D1259" s="598">
        <v>200</v>
      </c>
    </row>
    <row r="1260" spans="1:4" x14ac:dyDescent="0.2">
      <c r="A1260" s="417">
        <v>44130</v>
      </c>
      <c r="B1260" s="403">
        <f t="shared" si="8"/>
        <v>354086</v>
      </c>
      <c r="C1260" s="597">
        <v>353886</v>
      </c>
      <c r="D1260" s="598">
        <v>200</v>
      </c>
    </row>
    <row r="1261" spans="1:4" x14ac:dyDescent="0.2">
      <c r="A1261" s="417">
        <v>44131</v>
      </c>
      <c r="B1261" s="403">
        <f t="shared" si="8"/>
        <v>312941.49</v>
      </c>
      <c r="C1261" s="597">
        <v>312741.49</v>
      </c>
      <c r="D1261" s="598">
        <v>200</v>
      </c>
    </row>
    <row r="1262" spans="1:4" x14ac:dyDescent="0.2">
      <c r="A1262" s="417">
        <v>44132</v>
      </c>
      <c r="B1262" s="403">
        <f t="shared" si="8"/>
        <v>312941</v>
      </c>
      <c r="C1262" s="597">
        <v>312741</v>
      </c>
      <c r="D1262" s="598">
        <v>200</v>
      </c>
    </row>
    <row r="1263" spans="1:4" x14ac:dyDescent="0.2">
      <c r="A1263" s="417">
        <v>44133</v>
      </c>
      <c r="B1263" s="403">
        <f t="shared" ref="B1263:B1326" si="9">C1263+D1263</f>
        <v>312941</v>
      </c>
      <c r="C1263" s="597">
        <v>312741</v>
      </c>
      <c r="D1263" s="598">
        <v>200</v>
      </c>
    </row>
    <row r="1264" spans="1:4" x14ac:dyDescent="0.2">
      <c r="A1264" s="417">
        <v>44134</v>
      </c>
      <c r="B1264" s="403">
        <f t="shared" si="9"/>
        <v>336359.66</v>
      </c>
      <c r="C1264" s="597">
        <v>336159.66</v>
      </c>
      <c r="D1264" s="598">
        <v>200</v>
      </c>
    </row>
    <row r="1265" spans="1:4" x14ac:dyDescent="0.2">
      <c r="A1265" s="417">
        <v>44137</v>
      </c>
      <c r="B1265" s="403">
        <f t="shared" si="9"/>
        <v>336077.1</v>
      </c>
      <c r="C1265" s="597">
        <v>335877.1</v>
      </c>
      <c r="D1265" s="598">
        <v>200</v>
      </c>
    </row>
    <row r="1266" spans="1:4" x14ac:dyDescent="0.2">
      <c r="A1266" s="417">
        <v>44138</v>
      </c>
      <c r="B1266" s="403">
        <f t="shared" si="9"/>
        <v>336077</v>
      </c>
      <c r="C1266" s="597">
        <v>335877</v>
      </c>
      <c r="D1266" s="598">
        <v>200</v>
      </c>
    </row>
    <row r="1267" spans="1:4" x14ac:dyDescent="0.2">
      <c r="A1267" s="417">
        <v>44139</v>
      </c>
      <c r="B1267" s="403">
        <f t="shared" si="9"/>
        <v>328153.34999999998</v>
      </c>
      <c r="C1267" s="597">
        <v>327953.34999999998</v>
      </c>
      <c r="D1267" s="598">
        <v>200</v>
      </c>
    </row>
    <row r="1268" spans="1:4" x14ac:dyDescent="0.2">
      <c r="A1268" s="417">
        <v>44140</v>
      </c>
      <c r="B1268" s="403">
        <f t="shared" si="9"/>
        <v>328497.34999999998</v>
      </c>
      <c r="C1268" s="597">
        <v>328297.34999999998</v>
      </c>
      <c r="D1268" s="598">
        <v>200</v>
      </c>
    </row>
    <row r="1269" spans="1:4" x14ac:dyDescent="0.2">
      <c r="A1269" s="417">
        <v>44141</v>
      </c>
      <c r="B1269" s="403">
        <f t="shared" si="9"/>
        <v>327078.57</v>
      </c>
      <c r="C1269" s="597">
        <v>326878.57</v>
      </c>
      <c r="D1269" s="598">
        <v>200</v>
      </c>
    </row>
    <row r="1270" spans="1:4" x14ac:dyDescent="0.2">
      <c r="A1270" s="417">
        <v>44144</v>
      </c>
      <c r="B1270" s="403">
        <f t="shared" si="9"/>
        <v>293224.96000000002</v>
      </c>
      <c r="C1270" s="597">
        <v>293024.96000000002</v>
      </c>
      <c r="D1270" s="598">
        <v>200</v>
      </c>
    </row>
    <row r="1271" spans="1:4" x14ac:dyDescent="0.2">
      <c r="A1271" s="417">
        <v>44145</v>
      </c>
      <c r="B1271" s="403">
        <f t="shared" si="9"/>
        <v>297955.08</v>
      </c>
      <c r="C1271" s="597">
        <v>297755.08</v>
      </c>
      <c r="D1271" s="598">
        <v>200</v>
      </c>
    </row>
    <row r="1272" spans="1:4" x14ac:dyDescent="0.2">
      <c r="A1272" s="417">
        <v>44146</v>
      </c>
      <c r="B1272" s="403">
        <f t="shared" si="9"/>
        <v>297955</v>
      </c>
      <c r="C1272" s="597">
        <v>297755</v>
      </c>
      <c r="D1272" s="598">
        <v>200</v>
      </c>
    </row>
    <row r="1273" spans="1:4" x14ac:dyDescent="0.2">
      <c r="A1273" s="417">
        <v>44147</v>
      </c>
      <c r="B1273" s="403">
        <f t="shared" si="9"/>
        <v>301097.59000000003</v>
      </c>
      <c r="C1273" s="597">
        <v>300897.59000000003</v>
      </c>
      <c r="D1273" s="598">
        <v>200</v>
      </c>
    </row>
    <row r="1274" spans="1:4" x14ac:dyDescent="0.2">
      <c r="A1274" s="417">
        <v>44148</v>
      </c>
      <c r="B1274" s="403">
        <f t="shared" si="9"/>
        <v>300720.71000000002</v>
      </c>
      <c r="C1274" s="597">
        <v>300520.71000000002</v>
      </c>
      <c r="D1274" s="598">
        <v>200</v>
      </c>
    </row>
    <row r="1275" spans="1:4" x14ac:dyDescent="0.2">
      <c r="A1275" s="417">
        <v>44151</v>
      </c>
      <c r="B1275" s="403">
        <f t="shared" si="9"/>
        <v>300721</v>
      </c>
      <c r="C1275" s="597">
        <v>300521</v>
      </c>
      <c r="D1275" s="598">
        <v>200</v>
      </c>
    </row>
    <row r="1276" spans="1:4" x14ac:dyDescent="0.2">
      <c r="A1276" s="417">
        <v>44152</v>
      </c>
      <c r="B1276" s="403">
        <f t="shared" si="9"/>
        <v>300721</v>
      </c>
      <c r="C1276" s="597">
        <v>300521</v>
      </c>
      <c r="D1276" s="598">
        <v>200</v>
      </c>
    </row>
    <row r="1277" spans="1:4" x14ac:dyDescent="0.2">
      <c r="A1277" s="417">
        <v>44153</v>
      </c>
      <c r="B1277" s="403">
        <f t="shared" si="9"/>
        <v>298371.37</v>
      </c>
      <c r="C1277" s="597">
        <v>298171.37</v>
      </c>
      <c r="D1277" s="598">
        <v>200</v>
      </c>
    </row>
    <row r="1278" spans="1:4" x14ac:dyDescent="0.2">
      <c r="A1278" s="417">
        <v>44154</v>
      </c>
      <c r="B1278" s="403">
        <f t="shared" si="9"/>
        <v>298371</v>
      </c>
      <c r="C1278" s="597">
        <v>298171</v>
      </c>
      <c r="D1278" s="598">
        <v>200</v>
      </c>
    </row>
    <row r="1279" spans="1:4" x14ac:dyDescent="0.2">
      <c r="A1279" s="417">
        <v>44155</v>
      </c>
      <c r="B1279" s="403">
        <f t="shared" si="9"/>
        <v>297912.75</v>
      </c>
      <c r="C1279" s="597">
        <v>297712.75</v>
      </c>
      <c r="D1279" s="598">
        <v>200</v>
      </c>
    </row>
    <row r="1280" spans="1:4" x14ac:dyDescent="0.2">
      <c r="A1280" s="417">
        <v>44158</v>
      </c>
      <c r="B1280" s="403">
        <f t="shared" si="9"/>
        <v>260100.75</v>
      </c>
      <c r="C1280" s="597">
        <v>259900.75</v>
      </c>
      <c r="D1280" s="598">
        <v>200</v>
      </c>
    </row>
    <row r="1281" spans="1:4" x14ac:dyDescent="0.2">
      <c r="A1281" s="417">
        <v>44159</v>
      </c>
      <c r="B1281" s="403">
        <f t="shared" si="9"/>
        <v>260101</v>
      </c>
      <c r="C1281" s="597">
        <v>259901</v>
      </c>
      <c r="D1281" s="598">
        <v>200</v>
      </c>
    </row>
    <row r="1282" spans="1:4" x14ac:dyDescent="0.2">
      <c r="A1282" s="417">
        <v>44160</v>
      </c>
      <c r="B1282" s="403">
        <f t="shared" si="9"/>
        <v>259952.43</v>
      </c>
      <c r="C1282" s="597">
        <v>259752.43</v>
      </c>
      <c r="D1282" s="598">
        <v>200</v>
      </c>
    </row>
    <row r="1283" spans="1:4" x14ac:dyDescent="0.2">
      <c r="A1283" s="417">
        <v>44161</v>
      </c>
      <c r="B1283" s="403">
        <f t="shared" si="9"/>
        <v>259952</v>
      </c>
      <c r="C1283" s="597">
        <v>259752</v>
      </c>
      <c r="D1283" s="598">
        <v>200</v>
      </c>
    </row>
    <row r="1284" spans="1:4" x14ac:dyDescent="0.2">
      <c r="A1284" s="417">
        <v>44162</v>
      </c>
      <c r="B1284" s="403">
        <f t="shared" si="9"/>
        <v>261011.41</v>
      </c>
      <c r="C1284" s="597">
        <v>260811.41</v>
      </c>
      <c r="D1284" s="598">
        <v>200</v>
      </c>
    </row>
    <row r="1285" spans="1:4" x14ac:dyDescent="0.2">
      <c r="A1285" s="417">
        <v>44165</v>
      </c>
      <c r="B1285" s="403">
        <f t="shared" si="9"/>
        <v>256570.76</v>
      </c>
      <c r="C1285" s="597">
        <v>256370.76</v>
      </c>
      <c r="D1285" s="598">
        <v>200</v>
      </c>
    </row>
    <row r="1286" spans="1:4" x14ac:dyDescent="0.2">
      <c r="A1286" s="417">
        <v>44166</v>
      </c>
      <c r="B1286" s="403">
        <f t="shared" si="9"/>
        <v>256571</v>
      </c>
      <c r="C1286" s="597">
        <v>256371</v>
      </c>
      <c r="D1286" s="598">
        <v>200</v>
      </c>
    </row>
    <row r="1287" spans="1:4" x14ac:dyDescent="0.2">
      <c r="A1287" s="417">
        <v>44167</v>
      </c>
      <c r="B1287" s="403">
        <f t="shared" si="9"/>
        <v>343824.57</v>
      </c>
      <c r="C1287" s="597">
        <v>343624.57</v>
      </c>
      <c r="D1287" s="598">
        <v>200</v>
      </c>
    </row>
    <row r="1288" spans="1:4" x14ac:dyDescent="0.2">
      <c r="A1288" s="417">
        <v>44168</v>
      </c>
      <c r="B1288" s="403">
        <f t="shared" si="9"/>
        <v>348428.77</v>
      </c>
      <c r="C1288" s="597">
        <v>348228.77</v>
      </c>
      <c r="D1288" s="598">
        <v>200</v>
      </c>
    </row>
    <row r="1289" spans="1:4" x14ac:dyDescent="0.2">
      <c r="A1289" s="417">
        <v>44169</v>
      </c>
      <c r="B1289" s="403">
        <f t="shared" si="9"/>
        <v>348429</v>
      </c>
      <c r="C1289" s="597">
        <v>348229</v>
      </c>
      <c r="D1289" s="598">
        <v>200</v>
      </c>
    </row>
    <row r="1290" spans="1:4" x14ac:dyDescent="0.2">
      <c r="A1290" s="417">
        <v>44172</v>
      </c>
      <c r="B1290" s="403">
        <f t="shared" si="9"/>
        <v>313593.81</v>
      </c>
      <c r="C1290" s="597">
        <v>313393.81</v>
      </c>
      <c r="D1290" s="598">
        <v>200</v>
      </c>
    </row>
    <row r="1291" spans="1:4" x14ac:dyDescent="0.2">
      <c r="A1291" s="417">
        <v>44173</v>
      </c>
      <c r="B1291" s="403">
        <f t="shared" si="9"/>
        <v>320775.28999999998</v>
      </c>
      <c r="C1291" s="597">
        <v>320575.28999999998</v>
      </c>
      <c r="D1291" s="598">
        <v>200</v>
      </c>
    </row>
    <row r="1292" spans="1:4" x14ac:dyDescent="0.2">
      <c r="A1292" s="417">
        <v>44174</v>
      </c>
      <c r="B1292" s="403">
        <f t="shared" si="9"/>
        <v>321115.28999999998</v>
      </c>
      <c r="C1292" s="597">
        <v>320915.28999999998</v>
      </c>
      <c r="D1292" s="598">
        <v>200</v>
      </c>
    </row>
    <row r="1293" spans="1:4" x14ac:dyDescent="0.2">
      <c r="A1293" s="417">
        <v>44175</v>
      </c>
      <c r="B1293" s="403">
        <f t="shared" si="9"/>
        <v>314719.49</v>
      </c>
      <c r="C1293" s="597">
        <v>314519.49</v>
      </c>
      <c r="D1293" s="598">
        <v>200</v>
      </c>
    </row>
    <row r="1294" spans="1:4" x14ac:dyDescent="0.2">
      <c r="A1294" s="417">
        <v>44176</v>
      </c>
      <c r="B1294" s="403">
        <f t="shared" si="9"/>
        <v>317009.81</v>
      </c>
      <c r="C1294" s="597">
        <v>316809.81</v>
      </c>
      <c r="D1294" s="598">
        <v>200</v>
      </c>
    </row>
    <row r="1295" spans="1:4" x14ac:dyDescent="0.2">
      <c r="A1295" s="417">
        <v>44179</v>
      </c>
      <c r="B1295" s="403">
        <f t="shared" si="9"/>
        <v>316409.81</v>
      </c>
      <c r="C1295" s="597">
        <v>316209.81</v>
      </c>
      <c r="D1295" s="598">
        <v>200</v>
      </c>
    </row>
    <row r="1296" spans="1:4" x14ac:dyDescent="0.2">
      <c r="A1296" s="417">
        <v>44180</v>
      </c>
      <c r="B1296" s="403">
        <f t="shared" si="9"/>
        <v>316462.65000000002</v>
      </c>
      <c r="C1296" s="597">
        <v>316262.65000000002</v>
      </c>
      <c r="D1296" s="598">
        <v>200</v>
      </c>
    </row>
    <row r="1297" spans="1:4" x14ac:dyDescent="0.2">
      <c r="A1297" s="417">
        <v>44181</v>
      </c>
      <c r="B1297" s="403">
        <f t="shared" si="9"/>
        <v>337790.61</v>
      </c>
      <c r="C1297" s="597">
        <v>337590.61</v>
      </c>
      <c r="D1297" s="598">
        <v>200</v>
      </c>
    </row>
    <row r="1298" spans="1:4" x14ac:dyDescent="0.2">
      <c r="A1298" s="417">
        <v>44182</v>
      </c>
      <c r="B1298" s="403">
        <f t="shared" si="9"/>
        <v>337791</v>
      </c>
      <c r="C1298" s="597">
        <v>337591</v>
      </c>
      <c r="D1298" s="598">
        <v>200</v>
      </c>
    </row>
    <row r="1299" spans="1:4" x14ac:dyDescent="0.2">
      <c r="A1299" s="417">
        <v>44183</v>
      </c>
      <c r="B1299" s="403">
        <f t="shared" si="9"/>
        <v>337791</v>
      </c>
      <c r="C1299" s="597">
        <v>337591</v>
      </c>
      <c r="D1299" s="598">
        <v>200</v>
      </c>
    </row>
    <row r="1300" spans="1:4" x14ac:dyDescent="0.2">
      <c r="A1300" s="417">
        <v>44186</v>
      </c>
      <c r="B1300" s="403">
        <f t="shared" si="9"/>
        <v>304627.44</v>
      </c>
      <c r="C1300" s="597">
        <v>304427.44</v>
      </c>
      <c r="D1300" s="598">
        <v>200</v>
      </c>
    </row>
    <row r="1301" spans="1:4" x14ac:dyDescent="0.2">
      <c r="A1301" s="417">
        <v>44187</v>
      </c>
      <c r="B1301" s="403">
        <f t="shared" si="9"/>
        <v>304802.88</v>
      </c>
      <c r="C1301" s="597">
        <v>304602.88</v>
      </c>
      <c r="D1301" s="598">
        <v>200</v>
      </c>
    </row>
    <row r="1302" spans="1:4" x14ac:dyDescent="0.2">
      <c r="A1302" s="417">
        <v>44188</v>
      </c>
      <c r="B1302" s="403">
        <f t="shared" si="9"/>
        <v>304803</v>
      </c>
      <c r="C1302" s="597">
        <v>304603</v>
      </c>
      <c r="D1302" s="598">
        <v>200</v>
      </c>
    </row>
    <row r="1303" spans="1:4" x14ac:dyDescent="0.2">
      <c r="A1303" s="417">
        <v>44189</v>
      </c>
      <c r="B1303" s="403">
        <f t="shared" si="9"/>
        <v>338461.96</v>
      </c>
      <c r="C1303" s="597">
        <v>338261.96</v>
      </c>
      <c r="D1303" s="598">
        <v>200</v>
      </c>
    </row>
    <row r="1304" spans="1:4" x14ac:dyDescent="0.2">
      <c r="A1304" s="417">
        <v>44190</v>
      </c>
      <c r="B1304" s="403">
        <f t="shared" si="9"/>
        <v>338462</v>
      </c>
      <c r="C1304" s="597">
        <v>338262</v>
      </c>
      <c r="D1304" s="598">
        <v>200</v>
      </c>
    </row>
    <row r="1305" spans="1:4" x14ac:dyDescent="0.2">
      <c r="A1305" s="417">
        <v>44193</v>
      </c>
      <c r="B1305" s="403">
        <f t="shared" si="9"/>
        <v>373533.96</v>
      </c>
      <c r="C1305" s="597">
        <v>373333.96</v>
      </c>
      <c r="D1305" s="598">
        <v>200</v>
      </c>
    </row>
    <row r="1306" spans="1:4" x14ac:dyDescent="0.2">
      <c r="A1306" s="417">
        <v>44194</v>
      </c>
      <c r="B1306" s="403">
        <f t="shared" si="9"/>
        <v>373168.21</v>
      </c>
      <c r="C1306" s="597">
        <v>372968.21</v>
      </c>
      <c r="D1306" s="598">
        <v>200</v>
      </c>
    </row>
    <row r="1307" spans="1:4" x14ac:dyDescent="0.2">
      <c r="A1307" s="417">
        <v>44195</v>
      </c>
      <c r="B1307" s="403">
        <f t="shared" si="9"/>
        <v>375552.7</v>
      </c>
      <c r="C1307" s="597">
        <v>375352.7</v>
      </c>
      <c r="D1307" s="598">
        <v>200</v>
      </c>
    </row>
    <row r="1308" spans="1:4" x14ac:dyDescent="0.2">
      <c r="A1308" s="417">
        <v>44196</v>
      </c>
      <c r="B1308" s="403">
        <f t="shared" si="9"/>
        <v>397543.49</v>
      </c>
      <c r="C1308" s="597">
        <v>397343.49</v>
      </c>
      <c r="D1308" s="598">
        <v>200</v>
      </c>
    </row>
    <row r="1309" spans="1:4" x14ac:dyDescent="0.2">
      <c r="A1309" s="417">
        <v>44197</v>
      </c>
      <c r="B1309" s="403">
        <f t="shared" si="9"/>
        <v>397543</v>
      </c>
      <c r="C1309" s="597">
        <v>397343</v>
      </c>
      <c r="D1309" s="598">
        <v>200</v>
      </c>
    </row>
    <row r="1310" spans="1:4" x14ac:dyDescent="0.2">
      <c r="A1310" s="417">
        <v>44200</v>
      </c>
      <c r="B1310" s="403">
        <f t="shared" si="9"/>
        <v>380539.51</v>
      </c>
      <c r="C1310" s="597">
        <v>380339.51</v>
      </c>
      <c r="D1310" s="598">
        <v>200</v>
      </c>
    </row>
    <row r="1311" spans="1:4" x14ac:dyDescent="0.2">
      <c r="A1311" s="417">
        <v>44201</v>
      </c>
      <c r="B1311" s="403">
        <f t="shared" si="9"/>
        <v>349091.91</v>
      </c>
      <c r="C1311" s="597">
        <v>348891.91</v>
      </c>
      <c r="D1311" s="598">
        <v>200</v>
      </c>
    </row>
    <row r="1312" spans="1:4" x14ac:dyDescent="0.2">
      <c r="A1312" s="417">
        <v>44202</v>
      </c>
      <c r="B1312" s="403">
        <f t="shared" si="9"/>
        <v>349092</v>
      </c>
      <c r="C1312" s="597">
        <v>348892</v>
      </c>
      <c r="D1312" s="598">
        <v>200</v>
      </c>
    </row>
    <row r="1313" spans="1:4" x14ac:dyDescent="0.2">
      <c r="A1313" s="417">
        <v>44203</v>
      </c>
      <c r="B1313" s="403">
        <f t="shared" si="9"/>
        <v>409281.75</v>
      </c>
      <c r="C1313" s="597">
        <v>409081.75</v>
      </c>
      <c r="D1313" s="598">
        <v>200</v>
      </c>
    </row>
    <row r="1314" spans="1:4" x14ac:dyDescent="0.2">
      <c r="A1314" s="417">
        <v>44204</v>
      </c>
      <c r="B1314" s="403">
        <f t="shared" si="9"/>
        <v>408971.69</v>
      </c>
      <c r="C1314" s="597">
        <v>408771.69</v>
      </c>
      <c r="D1314" s="598">
        <v>200</v>
      </c>
    </row>
    <row r="1315" spans="1:4" x14ac:dyDescent="0.2">
      <c r="A1315" s="417">
        <v>44207</v>
      </c>
      <c r="B1315" s="403">
        <f t="shared" si="9"/>
        <v>408739.83</v>
      </c>
      <c r="C1315" s="597">
        <v>408539.83</v>
      </c>
      <c r="D1315" s="598">
        <v>200</v>
      </c>
    </row>
    <row r="1316" spans="1:4" x14ac:dyDescent="0.2">
      <c r="A1316" s="417">
        <v>44208</v>
      </c>
      <c r="B1316" s="403">
        <f t="shared" si="9"/>
        <v>401650.97</v>
      </c>
      <c r="C1316" s="597">
        <v>401450.97</v>
      </c>
      <c r="D1316" s="598">
        <v>200</v>
      </c>
    </row>
    <row r="1317" spans="1:4" x14ac:dyDescent="0.2">
      <c r="A1317" s="417">
        <v>44209</v>
      </c>
      <c r="B1317" s="403">
        <f t="shared" si="9"/>
        <v>413709.67</v>
      </c>
      <c r="C1317" s="597">
        <v>413509.67</v>
      </c>
      <c r="D1317" s="598">
        <v>200</v>
      </c>
    </row>
    <row r="1318" spans="1:4" x14ac:dyDescent="0.2">
      <c r="A1318" s="417">
        <v>44210</v>
      </c>
      <c r="B1318" s="403">
        <f t="shared" si="9"/>
        <v>412321.56</v>
      </c>
      <c r="C1318" s="597">
        <v>412121.56</v>
      </c>
      <c r="D1318" s="598">
        <v>200</v>
      </c>
    </row>
    <row r="1319" spans="1:4" x14ac:dyDescent="0.2">
      <c r="A1319" s="417">
        <v>44211</v>
      </c>
      <c r="B1319" s="403">
        <f t="shared" si="9"/>
        <v>412384.91</v>
      </c>
      <c r="C1319" s="597">
        <v>412184.91</v>
      </c>
      <c r="D1319" s="598">
        <v>200</v>
      </c>
    </row>
    <row r="1320" spans="1:4" x14ac:dyDescent="0.2">
      <c r="A1320" s="417">
        <v>44214</v>
      </c>
      <c r="B1320" s="403">
        <f t="shared" si="9"/>
        <v>412385</v>
      </c>
      <c r="C1320" s="597">
        <v>412185</v>
      </c>
      <c r="D1320" s="598">
        <v>200</v>
      </c>
    </row>
    <row r="1321" spans="1:4" x14ac:dyDescent="0.2">
      <c r="A1321" s="417">
        <v>44215</v>
      </c>
      <c r="B1321" s="403">
        <f t="shared" si="9"/>
        <v>417699.08</v>
      </c>
      <c r="C1321" s="597">
        <v>417499.08</v>
      </c>
      <c r="D1321" s="598">
        <v>200</v>
      </c>
    </row>
    <row r="1322" spans="1:4" x14ac:dyDescent="0.2">
      <c r="A1322" s="417">
        <v>44216</v>
      </c>
      <c r="B1322" s="445">
        <f t="shared" si="9"/>
        <v>417952.08</v>
      </c>
      <c r="C1322" s="597">
        <v>417752.08</v>
      </c>
      <c r="D1322" s="598">
        <v>200</v>
      </c>
    </row>
    <row r="1323" spans="1:4" x14ac:dyDescent="0.2">
      <c r="A1323" s="417">
        <v>44217</v>
      </c>
      <c r="B1323" s="403">
        <f t="shared" si="9"/>
        <v>402996.41</v>
      </c>
      <c r="C1323" s="597">
        <v>402796.41</v>
      </c>
      <c r="D1323" s="598">
        <v>200</v>
      </c>
    </row>
    <row r="1324" spans="1:4" x14ac:dyDescent="0.2">
      <c r="A1324" s="417">
        <v>44218</v>
      </c>
      <c r="B1324" s="403">
        <f t="shared" si="9"/>
        <v>402527.5</v>
      </c>
      <c r="C1324" s="597">
        <v>402327.5</v>
      </c>
      <c r="D1324" s="598">
        <v>200</v>
      </c>
    </row>
    <row r="1325" spans="1:4" x14ac:dyDescent="0.2">
      <c r="A1325" s="417">
        <v>44221</v>
      </c>
      <c r="B1325" s="403">
        <f t="shared" si="9"/>
        <v>402528</v>
      </c>
      <c r="C1325" s="597">
        <v>402328</v>
      </c>
      <c r="D1325" s="598">
        <v>200</v>
      </c>
    </row>
    <row r="1326" spans="1:4" x14ac:dyDescent="0.2">
      <c r="A1326" s="417">
        <v>44222</v>
      </c>
      <c r="B1326" s="403">
        <f t="shared" si="9"/>
        <v>399742.18</v>
      </c>
      <c r="C1326" s="597">
        <v>399542.18</v>
      </c>
      <c r="D1326" s="598">
        <v>200</v>
      </c>
    </row>
    <row r="1327" spans="1:4" x14ac:dyDescent="0.2">
      <c r="A1327" s="417">
        <v>44223</v>
      </c>
      <c r="B1327" s="403">
        <f t="shared" ref="B1327:B1390" si="10">C1327+D1327</f>
        <v>399886.18</v>
      </c>
      <c r="C1327" s="597">
        <v>399686.18</v>
      </c>
      <c r="D1327" s="598">
        <v>200</v>
      </c>
    </row>
    <row r="1328" spans="1:4" x14ac:dyDescent="0.2">
      <c r="A1328" s="417">
        <v>44224</v>
      </c>
      <c r="B1328" s="403">
        <f t="shared" si="10"/>
        <v>393628.47</v>
      </c>
      <c r="C1328" s="597">
        <v>393428.47</v>
      </c>
      <c r="D1328" s="598">
        <v>200</v>
      </c>
    </row>
    <row r="1329" spans="1:4" x14ac:dyDescent="0.2">
      <c r="A1329" s="417">
        <v>44225</v>
      </c>
      <c r="B1329" s="403">
        <f t="shared" si="10"/>
        <v>393628</v>
      </c>
      <c r="C1329" s="597">
        <v>393428</v>
      </c>
      <c r="D1329" s="598">
        <v>200</v>
      </c>
    </row>
    <row r="1330" spans="1:4" x14ac:dyDescent="0.2">
      <c r="A1330" s="417">
        <v>44228</v>
      </c>
      <c r="B1330" s="403">
        <f t="shared" si="10"/>
        <v>393628</v>
      </c>
      <c r="C1330" s="597">
        <v>393428</v>
      </c>
      <c r="D1330" s="598">
        <v>200</v>
      </c>
    </row>
    <row r="1331" spans="1:4" x14ac:dyDescent="0.2">
      <c r="A1331" s="417">
        <v>44229</v>
      </c>
      <c r="B1331" s="403">
        <f t="shared" si="10"/>
        <v>359326.4</v>
      </c>
      <c r="C1331" s="597">
        <v>359126.4</v>
      </c>
      <c r="D1331" s="598">
        <v>200</v>
      </c>
    </row>
    <row r="1332" spans="1:4" x14ac:dyDescent="0.2">
      <c r="A1332" s="417">
        <v>44230</v>
      </c>
      <c r="B1332" s="403">
        <f t="shared" si="10"/>
        <v>359521.7</v>
      </c>
      <c r="C1332" s="597">
        <v>359321.7</v>
      </c>
      <c r="D1332" s="598">
        <v>200</v>
      </c>
    </row>
    <row r="1333" spans="1:4" x14ac:dyDescent="0.2">
      <c r="A1333" s="417">
        <v>44231</v>
      </c>
      <c r="B1333" s="403">
        <f t="shared" si="10"/>
        <v>359522</v>
      </c>
      <c r="C1333" s="597">
        <v>359322</v>
      </c>
      <c r="D1333" s="598">
        <v>200</v>
      </c>
    </row>
    <row r="1334" spans="1:4" x14ac:dyDescent="0.2">
      <c r="A1334" s="417">
        <v>44232</v>
      </c>
      <c r="B1334" s="403">
        <f t="shared" si="10"/>
        <v>347055.28</v>
      </c>
      <c r="C1334" s="597">
        <v>346855.28</v>
      </c>
      <c r="D1334" s="598">
        <v>200</v>
      </c>
    </row>
    <row r="1335" spans="1:4" x14ac:dyDescent="0.2">
      <c r="A1335" s="417">
        <v>44235</v>
      </c>
      <c r="B1335" s="403">
        <f t="shared" si="10"/>
        <v>369629.13</v>
      </c>
      <c r="C1335" s="597">
        <v>369429.13</v>
      </c>
      <c r="D1335" s="598">
        <v>200</v>
      </c>
    </row>
    <row r="1336" spans="1:4" x14ac:dyDescent="0.2">
      <c r="A1336" s="417">
        <v>44236</v>
      </c>
      <c r="B1336" s="403">
        <f t="shared" si="10"/>
        <v>382278.77</v>
      </c>
      <c r="C1336" s="597">
        <v>382078.77</v>
      </c>
      <c r="D1336" s="598">
        <v>200</v>
      </c>
    </row>
    <row r="1337" spans="1:4" x14ac:dyDescent="0.2">
      <c r="A1337" s="417">
        <v>44237</v>
      </c>
      <c r="B1337" s="403">
        <f t="shared" si="10"/>
        <v>382279</v>
      </c>
      <c r="C1337" s="597">
        <v>382079</v>
      </c>
      <c r="D1337" s="598">
        <v>200</v>
      </c>
    </row>
    <row r="1338" spans="1:4" x14ac:dyDescent="0.2">
      <c r="A1338" s="417">
        <v>44238</v>
      </c>
      <c r="B1338" s="403">
        <f t="shared" si="10"/>
        <v>378310.6</v>
      </c>
      <c r="C1338" s="597">
        <v>378110.6</v>
      </c>
      <c r="D1338" s="598">
        <v>200</v>
      </c>
    </row>
    <row r="1339" spans="1:4" x14ac:dyDescent="0.2">
      <c r="A1339" s="417">
        <v>44239</v>
      </c>
      <c r="B1339" s="403">
        <f t="shared" si="10"/>
        <v>378369.91</v>
      </c>
      <c r="C1339" s="597">
        <v>378169.91</v>
      </c>
      <c r="D1339" s="598">
        <v>200</v>
      </c>
    </row>
    <row r="1340" spans="1:4" x14ac:dyDescent="0.2">
      <c r="A1340" s="417">
        <v>44242</v>
      </c>
      <c r="B1340" s="403">
        <f t="shared" si="10"/>
        <v>378370</v>
      </c>
      <c r="C1340" s="597">
        <v>378170</v>
      </c>
      <c r="D1340" s="598">
        <v>200</v>
      </c>
    </row>
    <row r="1341" spans="1:4" x14ac:dyDescent="0.2">
      <c r="A1341" s="417">
        <v>44243</v>
      </c>
      <c r="B1341" s="445">
        <f t="shared" si="10"/>
        <v>345442.81</v>
      </c>
      <c r="C1341" s="597">
        <v>345242.81</v>
      </c>
      <c r="D1341" s="598">
        <v>200</v>
      </c>
    </row>
    <row r="1342" spans="1:4" x14ac:dyDescent="0.2">
      <c r="A1342" s="417">
        <v>44244</v>
      </c>
      <c r="B1342" s="403">
        <f t="shared" si="10"/>
        <v>345443</v>
      </c>
      <c r="C1342" s="597">
        <v>345243</v>
      </c>
      <c r="D1342" s="598">
        <v>200</v>
      </c>
    </row>
    <row r="1343" spans="1:4" x14ac:dyDescent="0.2">
      <c r="A1343" s="417">
        <v>44245</v>
      </c>
      <c r="B1343" s="403">
        <f t="shared" si="10"/>
        <v>345443</v>
      </c>
      <c r="C1343" s="597">
        <v>345243</v>
      </c>
      <c r="D1343" s="598">
        <v>200</v>
      </c>
    </row>
    <row r="1344" spans="1:4" x14ac:dyDescent="0.2">
      <c r="A1344" s="417">
        <v>44246</v>
      </c>
      <c r="B1344" s="403">
        <f t="shared" si="10"/>
        <v>364859.97</v>
      </c>
      <c r="C1344" s="597">
        <v>364659.97</v>
      </c>
      <c r="D1344" s="598">
        <v>200</v>
      </c>
    </row>
    <row r="1345" spans="1:4" x14ac:dyDescent="0.2">
      <c r="A1345" s="417">
        <v>44249</v>
      </c>
      <c r="B1345" s="403">
        <f t="shared" si="10"/>
        <v>368452.97</v>
      </c>
      <c r="C1345" s="597">
        <v>368252.97</v>
      </c>
      <c r="D1345" s="598">
        <v>200</v>
      </c>
    </row>
    <row r="1346" spans="1:4" x14ac:dyDescent="0.2">
      <c r="A1346" s="417">
        <v>44250</v>
      </c>
      <c r="B1346" s="403">
        <f t="shared" si="10"/>
        <v>368407.65</v>
      </c>
      <c r="C1346" s="597">
        <v>368207.65</v>
      </c>
      <c r="D1346" s="598">
        <v>200</v>
      </c>
    </row>
    <row r="1347" spans="1:4" x14ac:dyDescent="0.2">
      <c r="A1347" s="417">
        <v>44251</v>
      </c>
      <c r="B1347" s="403">
        <f t="shared" si="10"/>
        <v>373249.01</v>
      </c>
      <c r="C1347" s="597">
        <v>373049.01</v>
      </c>
      <c r="D1347" s="598">
        <v>200</v>
      </c>
    </row>
    <row r="1348" spans="1:4" x14ac:dyDescent="0.2">
      <c r="A1348" s="417">
        <v>44252</v>
      </c>
      <c r="B1348" s="403">
        <f t="shared" si="10"/>
        <v>373249.01</v>
      </c>
      <c r="C1348" s="597">
        <v>373049.01</v>
      </c>
      <c r="D1348" s="598">
        <v>200</v>
      </c>
    </row>
    <row r="1349" spans="1:4" x14ac:dyDescent="0.2">
      <c r="A1349" s="417">
        <v>44253</v>
      </c>
      <c r="B1349" s="403">
        <f t="shared" si="10"/>
        <v>404359.4</v>
      </c>
      <c r="C1349" s="597">
        <v>404159.4</v>
      </c>
      <c r="D1349" s="598">
        <v>200</v>
      </c>
    </row>
    <row r="1350" spans="1:4" x14ac:dyDescent="0.2">
      <c r="A1350" s="417">
        <v>44256</v>
      </c>
      <c r="B1350" s="403">
        <f t="shared" si="10"/>
        <v>398860.85</v>
      </c>
      <c r="C1350" s="597">
        <v>398660.85</v>
      </c>
      <c r="D1350" s="598">
        <v>200</v>
      </c>
    </row>
    <row r="1351" spans="1:4" x14ac:dyDescent="0.2">
      <c r="A1351" s="417">
        <v>44257</v>
      </c>
      <c r="B1351" s="403">
        <f t="shared" si="10"/>
        <v>365079.52</v>
      </c>
      <c r="C1351" s="597">
        <v>364879.52</v>
      </c>
      <c r="D1351" s="598">
        <v>200</v>
      </c>
    </row>
    <row r="1352" spans="1:4" x14ac:dyDescent="0.2">
      <c r="A1352" s="417">
        <v>44258</v>
      </c>
      <c r="B1352" s="403">
        <f t="shared" si="10"/>
        <v>406124.9</v>
      </c>
      <c r="C1352" s="597">
        <v>405924.9</v>
      </c>
      <c r="D1352" s="598">
        <v>200</v>
      </c>
    </row>
    <row r="1353" spans="1:4" x14ac:dyDescent="0.2">
      <c r="A1353" s="417">
        <v>44259</v>
      </c>
      <c r="B1353" s="403">
        <f t="shared" si="10"/>
        <v>409953.76</v>
      </c>
      <c r="C1353" s="597">
        <v>409753.76</v>
      </c>
      <c r="D1353" s="598">
        <v>200</v>
      </c>
    </row>
    <row r="1354" spans="1:4" x14ac:dyDescent="0.2">
      <c r="A1354" s="417">
        <v>44260</v>
      </c>
      <c r="B1354" s="403">
        <f t="shared" si="10"/>
        <v>400983.29</v>
      </c>
      <c r="C1354" s="597">
        <v>400783.29</v>
      </c>
      <c r="D1354" s="598">
        <v>200</v>
      </c>
    </row>
    <row r="1355" spans="1:4" x14ac:dyDescent="0.2">
      <c r="A1355" s="417">
        <v>44263</v>
      </c>
      <c r="B1355" s="403">
        <f t="shared" si="10"/>
        <v>400983</v>
      </c>
      <c r="C1355" s="597">
        <v>400783</v>
      </c>
      <c r="D1355" s="598">
        <v>200</v>
      </c>
    </row>
    <row r="1356" spans="1:4" x14ac:dyDescent="0.2">
      <c r="A1356" s="417">
        <v>44264</v>
      </c>
      <c r="B1356" s="403">
        <f t="shared" si="10"/>
        <v>399908.16</v>
      </c>
      <c r="C1356" s="597">
        <v>399708.15999999997</v>
      </c>
      <c r="D1356" s="598">
        <v>200</v>
      </c>
    </row>
    <row r="1357" spans="1:4" x14ac:dyDescent="0.2">
      <c r="A1357" s="417">
        <v>44265</v>
      </c>
      <c r="B1357" s="403">
        <f t="shared" si="10"/>
        <v>399908</v>
      </c>
      <c r="C1357" s="597">
        <v>399708</v>
      </c>
      <c r="D1357" s="598">
        <v>200</v>
      </c>
    </row>
    <row r="1358" spans="1:4" x14ac:dyDescent="0.2">
      <c r="A1358" s="417">
        <v>44266</v>
      </c>
      <c r="B1358" s="403">
        <f t="shared" si="10"/>
        <v>399908</v>
      </c>
      <c r="C1358" s="597">
        <v>399708</v>
      </c>
      <c r="D1358" s="598">
        <v>200</v>
      </c>
    </row>
    <row r="1359" spans="1:4" x14ac:dyDescent="0.2">
      <c r="A1359" s="417">
        <v>44267</v>
      </c>
      <c r="B1359" s="403">
        <f t="shared" si="10"/>
        <v>399766.22</v>
      </c>
      <c r="C1359" s="597">
        <v>399566.22</v>
      </c>
      <c r="D1359" s="598">
        <v>200</v>
      </c>
    </row>
    <row r="1360" spans="1:4" x14ac:dyDescent="0.2">
      <c r="A1360" s="417">
        <v>44270</v>
      </c>
      <c r="B1360" s="403">
        <f t="shared" si="10"/>
        <v>366689.23</v>
      </c>
      <c r="C1360" s="597">
        <v>366489.23</v>
      </c>
      <c r="D1360" s="598">
        <v>200</v>
      </c>
    </row>
    <row r="1361" spans="1:4" x14ac:dyDescent="0.2">
      <c r="A1361" s="417">
        <v>44271</v>
      </c>
      <c r="B1361" s="403">
        <f t="shared" si="10"/>
        <v>392136.38</v>
      </c>
      <c r="C1361" s="597">
        <v>391936.38</v>
      </c>
      <c r="D1361" s="598">
        <v>200</v>
      </c>
    </row>
    <row r="1362" spans="1:4" x14ac:dyDescent="0.2">
      <c r="A1362" s="417">
        <v>44272</v>
      </c>
      <c r="B1362" s="403">
        <f t="shared" si="10"/>
        <v>414771.89</v>
      </c>
      <c r="C1362" s="597">
        <v>414571.89</v>
      </c>
      <c r="D1362" s="598">
        <v>200</v>
      </c>
    </row>
    <row r="1363" spans="1:4" x14ac:dyDescent="0.2">
      <c r="A1363" s="417">
        <v>44273</v>
      </c>
      <c r="B1363" s="403">
        <f t="shared" si="10"/>
        <v>442093.39</v>
      </c>
      <c r="C1363" s="597">
        <v>441893.39</v>
      </c>
      <c r="D1363" s="598">
        <v>200</v>
      </c>
    </row>
    <row r="1364" spans="1:4" x14ac:dyDescent="0.2">
      <c r="A1364" s="417">
        <v>44274</v>
      </c>
      <c r="B1364" s="403">
        <f t="shared" si="10"/>
        <v>439966.74</v>
      </c>
      <c r="C1364" s="597">
        <v>439766.74</v>
      </c>
      <c r="D1364" s="598">
        <v>200</v>
      </c>
    </row>
    <row r="1365" spans="1:4" x14ac:dyDescent="0.2">
      <c r="A1365" s="417">
        <v>44277</v>
      </c>
      <c r="B1365" s="403">
        <f t="shared" si="10"/>
        <v>439966.74</v>
      </c>
      <c r="C1365" s="597">
        <v>439766.74</v>
      </c>
      <c r="D1365" s="598">
        <v>200</v>
      </c>
    </row>
    <row r="1366" spans="1:4" x14ac:dyDescent="0.2">
      <c r="A1366" s="417">
        <v>44278</v>
      </c>
      <c r="B1366" s="403">
        <f t="shared" si="10"/>
        <v>439966.74</v>
      </c>
      <c r="C1366" s="597">
        <v>439766.74</v>
      </c>
      <c r="D1366" s="598">
        <v>200</v>
      </c>
    </row>
    <row r="1367" spans="1:4" x14ac:dyDescent="0.2">
      <c r="A1367" s="417">
        <v>44279</v>
      </c>
      <c r="B1367" s="403">
        <f t="shared" si="10"/>
        <v>440251.74</v>
      </c>
      <c r="C1367" s="597">
        <v>440051.74</v>
      </c>
      <c r="D1367" s="598">
        <v>200</v>
      </c>
    </row>
    <row r="1368" spans="1:4" x14ac:dyDescent="0.2">
      <c r="A1368" s="417">
        <v>44280</v>
      </c>
      <c r="B1368" s="403">
        <f t="shared" si="10"/>
        <v>440252</v>
      </c>
      <c r="C1368" s="597">
        <v>440052</v>
      </c>
      <c r="D1368" s="598">
        <v>200</v>
      </c>
    </row>
    <row r="1369" spans="1:4" x14ac:dyDescent="0.2">
      <c r="A1369" s="417">
        <v>44281</v>
      </c>
      <c r="B1369" s="403">
        <f t="shared" si="10"/>
        <v>424641.64</v>
      </c>
      <c r="C1369" s="597">
        <v>424441.64</v>
      </c>
      <c r="D1369" s="598">
        <v>200</v>
      </c>
    </row>
    <row r="1370" spans="1:4" x14ac:dyDescent="0.2">
      <c r="A1370" s="417">
        <v>44284</v>
      </c>
      <c r="B1370" s="403">
        <f t="shared" si="10"/>
        <v>527059.86</v>
      </c>
      <c r="C1370" s="597">
        <v>526859.86</v>
      </c>
      <c r="D1370" s="598">
        <v>200</v>
      </c>
    </row>
    <row r="1371" spans="1:4" x14ac:dyDescent="0.2">
      <c r="A1371" s="417">
        <v>44285</v>
      </c>
      <c r="B1371" s="403">
        <f t="shared" si="10"/>
        <v>552226.89</v>
      </c>
      <c r="C1371" s="597">
        <v>552026.89</v>
      </c>
      <c r="D1371" s="598">
        <v>200</v>
      </c>
    </row>
    <row r="1372" spans="1:4" x14ac:dyDescent="0.2">
      <c r="A1372" s="417">
        <v>44286</v>
      </c>
      <c r="B1372" s="403">
        <f t="shared" si="10"/>
        <v>552439.89</v>
      </c>
      <c r="C1372" s="597">
        <v>552239.89</v>
      </c>
      <c r="D1372" s="598">
        <v>200</v>
      </c>
    </row>
    <row r="1373" spans="1:4" x14ac:dyDescent="0.2">
      <c r="A1373" s="417">
        <v>44287</v>
      </c>
      <c r="B1373" s="403">
        <f t="shared" si="10"/>
        <v>552439.89</v>
      </c>
      <c r="C1373" s="597">
        <v>552239.89</v>
      </c>
      <c r="D1373" s="598">
        <v>200</v>
      </c>
    </row>
    <row r="1374" spans="1:4" x14ac:dyDescent="0.2">
      <c r="A1374" s="417">
        <v>44288</v>
      </c>
      <c r="B1374" s="403">
        <f t="shared" si="10"/>
        <v>552129.82999999996</v>
      </c>
      <c r="C1374" s="597">
        <v>551929.82999999996</v>
      </c>
      <c r="D1374" s="598">
        <v>200</v>
      </c>
    </row>
    <row r="1375" spans="1:4" x14ac:dyDescent="0.2">
      <c r="A1375" s="417">
        <v>44291</v>
      </c>
      <c r="B1375" s="403">
        <f t="shared" si="10"/>
        <v>552130</v>
      </c>
      <c r="C1375" s="597">
        <v>551930</v>
      </c>
      <c r="D1375" s="598">
        <v>200</v>
      </c>
    </row>
    <row r="1376" spans="1:4" x14ac:dyDescent="0.2">
      <c r="A1376" s="417">
        <v>44292</v>
      </c>
      <c r="B1376" s="403">
        <f t="shared" si="10"/>
        <v>552377.82999999996</v>
      </c>
      <c r="C1376" s="597">
        <v>552177.82999999996</v>
      </c>
      <c r="D1376" s="598">
        <v>200</v>
      </c>
    </row>
    <row r="1377" spans="1:4" x14ac:dyDescent="0.2">
      <c r="A1377" s="417">
        <v>44293</v>
      </c>
      <c r="B1377" s="403">
        <f t="shared" si="10"/>
        <v>552378</v>
      </c>
      <c r="C1377" s="597">
        <v>552178</v>
      </c>
      <c r="D1377" s="598">
        <v>200</v>
      </c>
    </row>
    <row r="1378" spans="1:4" x14ac:dyDescent="0.2">
      <c r="A1378" s="417">
        <v>44294</v>
      </c>
      <c r="B1378" s="445">
        <f t="shared" si="10"/>
        <v>553005.37</v>
      </c>
      <c r="C1378" s="597">
        <v>552805.37</v>
      </c>
      <c r="D1378" s="598">
        <v>200</v>
      </c>
    </row>
    <row r="1379" spans="1:4" x14ac:dyDescent="0.2">
      <c r="A1379" s="417">
        <v>44295</v>
      </c>
      <c r="B1379" s="403">
        <f t="shared" si="10"/>
        <v>553005</v>
      </c>
      <c r="C1379" s="597">
        <v>552805</v>
      </c>
      <c r="D1379" s="598">
        <v>200</v>
      </c>
    </row>
    <row r="1380" spans="1:4" x14ac:dyDescent="0.2">
      <c r="A1380" s="417">
        <v>44298</v>
      </c>
      <c r="B1380" s="403">
        <f t="shared" si="10"/>
        <v>536104.62</v>
      </c>
      <c r="C1380" s="597">
        <v>535904.62</v>
      </c>
      <c r="D1380" s="598">
        <v>200</v>
      </c>
    </row>
    <row r="1381" spans="1:4" x14ac:dyDescent="0.2">
      <c r="A1381" s="417">
        <v>44299</v>
      </c>
      <c r="B1381" s="403">
        <f t="shared" si="10"/>
        <v>503475.62</v>
      </c>
      <c r="C1381" s="597">
        <v>503275.62</v>
      </c>
      <c r="D1381" s="598">
        <v>200</v>
      </c>
    </row>
    <row r="1382" spans="1:4" x14ac:dyDescent="0.2">
      <c r="A1382" s="417">
        <v>44300</v>
      </c>
      <c r="B1382" s="403">
        <f t="shared" si="10"/>
        <v>515272.72</v>
      </c>
      <c r="C1382" s="597">
        <v>515072.72</v>
      </c>
      <c r="D1382" s="598">
        <v>200</v>
      </c>
    </row>
    <row r="1383" spans="1:4" x14ac:dyDescent="0.2">
      <c r="A1383" s="417">
        <v>44301</v>
      </c>
      <c r="B1383" s="403">
        <f t="shared" si="10"/>
        <v>519939.48</v>
      </c>
      <c r="C1383" s="597">
        <v>519739.48</v>
      </c>
      <c r="D1383" s="598">
        <v>200</v>
      </c>
    </row>
    <row r="1384" spans="1:4" x14ac:dyDescent="0.2">
      <c r="A1384" s="417">
        <v>44302</v>
      </c>
      <c r="B1384" s="403">
        <f t="shared" si="10"/>
        <v>518569.61</v>
      </c>
      <c r="C1384" s="597">
        <v>518369.61</v>
      </c>
      <c r="D1384" s="598">
        <v>200</v>
      </c>
    </row>
    <row r="1385" spans="1:4" x14ac:dyDescent="0.2">
      <c r="A1385" s="417">
        <v>44305</v>
      </c>
      <c r="B1385" s="403">
        <f t="shared" si="10"/>
        <v>518755.61</v>
      </c>
      <c r="C1385" s="597">
        <v>518555.61</v>
      </c>
      <c r="D1385" s="598">
        <v>200</v>
      </c>
    </row>
    <row r="1386" spans="1:4" x14ac:dyDescent="0.2">
      <c r="A1386" s="417">
        <v>44306</v>
      </c>
      <c r="B1386" s="403">
        <f t="shared" si="10"/>
        <v>518755.61</v>
      </c>
      <c r="C1386" s="597">
        <v>518555.61</v>
      </c>
      <c r="D1386" s="598">
        <v>200</v>
      </c>
    </row>
    <row r="1387" spans="1:4" x14ac:dyDescent="0.2">
      <c r="A1387" s="417">
        <v>44307</v>
      </c>
      <c r="B1387" s="403">
        <f t="shared" si="10"/>
        <v>518755.61</v>
      </c>
      <c r="C1387" s="597">
        <v>518555.61</v>
      </c>
      <c r="D1387" s="598">
        <v>200</v>
      </c>
    </row>
    <row r="1388" spans="1:4" x14ac:dyDescent="0.2">
      <c r="A1388" s="417">
        <v>44308</v>
      </c>
      <c r="B1388" s="403">
        <f t="shared" si="10"/>
        <v>507528.36</v>
      </c>
      <c r="C1388" s="597">
        <v>507328.36</v>
      </c>
      <c r="D1388" s="598">
        <v>200</v>
      </c>
    </row>
    <row r="1389" spans="1:4" x14ac:dyDescent="0.2">
      <c r="A1389" s="417">
        <v>44309</v>
      </c>
      <c r="B1389" s="403">
        <f t="shared" si="10"/>
        <v>506769.51</v>
      </c>
      <c r="C1389" s="597">
        <v>506569.51</v>
      </c>
      <c r="D1389" s="598">
        <v>200</v>
      </c>
    </row>
    <row r="1390" spans="1:4" x14ac:dyDescent="0.2">
      <c r="A1390" s="417">
        <v>44312</v>
      </c>
      <c r="B1390" s="403">
        <f t="shared" si="10"/>
        <v>506770</v>
      </c>
      <c r="C1390" s="597">
        <v>506570</v>
      </c>
      <c r="D1390" s="598">
        <v>200</v>
      </c>
    </row>
    <row r="1391" spans="1:4" x14ac:dyDescent="0.2">
      <c r="A1391" s="417">
        <v>44313</v>
      </c>
      <c r="B1391" s="403">
        <f t="shared" ref="B1391:B1454" si="11">C1391+D1391</f>
        <v>473061.43</v>
      </c>
      <c r="C1391" s="597">
        <v>472861.43</v>
      </c>
      <c r="D1391" s="598">
        <v>200</v>
      </c>
    </row>
    <row r="1392" spans="1:4" x14ac:dyDescent="0.2">
      <c r="A1392" s="417">
        <v>44314</v>
      </c>
      <c r="B1392" s="403">
        <f t="shared" si="11"/>
        <v>479261.62</v>
      </c>
      <c r="C1392" s="597">
        <v>479061.62</v>
      </c>
      <c r="D1392" s="598">
        <v>200</v>
      </c>
    </row>
    <row r="1393" spans="1:4" x14ac:dyDescent="0.2">
      <c r="A1393" s="417">
        <v>44315</v>
      </c>
      <c r="B1393" s="403">
        <f t="shared" si="11"/>
        <v>478222.46</v>
      </c>
      <c r="C1393" s="597">
        <v>478022.46</v>
      </c>
      <c r="D1393" s="598">
        <v>200</v>
      </c>
    </row>
    <row r="1394" spans="1:4" x14ac:dyDescent="0.2">
      <c r="A1394" s="417">
        <v>44316</v>
      </c>
      <c r="B1394" s="403">
        <f t="shared" si="11"/>
        <v>477922.01</v>
      </c>
      <c r="C1394" s="597">
        <v>477722.01</v>
      </c>
      <c r="D1394" s="598">
        <v>200</v>
      </c>
    </row>
    <row r="1395" spans="1:4" x14ac:dyDescent="0.2">
      <c r="A1395" s="417">
        <v>44319</v>
      </c>
      <c r="B1395" s="403">
        <f t="shared" si="11"/>
        <v>477922.01</v>
      </c>
      <c r="C1395" s="597">
        <v>477722.01</v>
      </c>
      <c r="D1395" s="598">
        <v>200</v>
      </c>
    </row>
    <row r="1396" spans="1:4" x14ac:dyDescent="0.2">
      <c r="A1396" s="417">
        <v>44320</v>
      </c>
      <c r="B1396" s="403">
        <f t="shared" si="11"/>
        <v>477922.01</v>
      </c>
      <c r="C1396" s="597">
        <v>477722.01</v>
      </c>
      <c r="D1396" s="598">
        <v>200</v>
      </c>
    </row>
    <row r="1397" spans="1:4" x14ac:dyDescent="0.2">
      <c r="A1397" s="417">
        <v>44321</v>
      </c>
      <c r="B1397" s="403">
        <f t="shared" si="11"/>
        <v>477922.01</v>
      </c>
      <c r="C1397" s="597">
        <v>477722.01</v>
      </c>
      <c r="D1397" s="598">
        <v>200</v>
      </c>
    </row>
    <row r="1398" spans="1:4" x14ac:dyDescent="0.2">
      <c r="A1398" s="417">
        <v>44322</v>
      </c>
      <c r="B1398" s="403">
        <f t="shared" si="11"/>
        <v>477922.01</v>
      </c>
      <c r="C1398" s="597">
        <v>477722.01</v>
      </c>
      <c r="D1398" s="598">
        <v>200</v>
      </c>
    </row>
    <row r="1399" spans="1:4" x14ac:dyDescent="0.2">
      <c r="A1399" s="417">
        <v>44323</v>
      </c>
      <c r="B1399" s="403">
        <f t="shared" si="11"/>
        <v>463576.89</v>
      </c>
      <c r="C1399" s="597">
        <v>463376.89</v>
      </c>
      <c r="D1399" s="598">
        <v>200</v>
      </c>
    </row>
    <row r="1400" spans="1:4" x14ac:dyDescent="0.2">
      <c r="A1400" s="417">
        <v>44326</v>
      </c>
      <c r="B1400" s="403">
        <f t="shared" si="11"/>
        <v>473954.09</v>
      </c>
      <c r="C1400" s="597">
        <v>473754.09</v>
      </c>
      <c r="D1400" s="598">
        <v>200</v>
      </c>
    </row>
    <row r="1401" spans="1:4" x14ac:dyDescent="0.2">
      <c r="A1401" s="417">
        <v>44327</v>
      </c>
      <c r="B1401" s="403">
        <f t="shared" si="11"/>
        <v>520561.7</v>
      </c>
      <c r="C1401" s="597">
        <v>520361.7</v>
      </c>
      <c r="D1401" s="598">
        <v>200</v>
      </c>
    </row>
    <row r="1402" spans="1:4" x14ac:dyDescent="0.2">
      <c r="A1402" s="417">
        <v>44328</v>
      </c>
      <c r="B1402" s="403">
        <f t="shared" si="11"/>
        <v>520562</v>
      </c>
      <c r="C1402" s="597">
        <v>520362</v>
      </c>
      <c r="D1402" s="598">
        <v>200</v>
      </c>
    </row>
    <row r="1403" spans="1:4" x14ac:dyDescent="0.2">
      <c r="A1403" s="417">
        <v>44329</v>
      </c>
      <c r="B1403" s="403">
        <f t="shared" si="11"/>
        <v>525995.02</v>
      </c>
      <c r="C1403" s="597">
        <v>525795.02</v>
      </c>
      <c r="D1403" s="598">
        <v>200</v>
      </c>
    </row>
    <row r="1404" spans="1:4" x14ac:dyDescent="0.2">
      <c r="A1404" s="417">
        <v>44330</v>
      </c>
      <c r="B1404" s="403">
        <f t="shared" si="11"/>
        <v>521947.98</v>
      </c>
      <c r="C1404" s="597">
        <v>521747.98</v>
      </c>
      <c r="D1404" s="598">
        <v>200</v>
      </c>
    </row>
    <row r="1405" spans="1:4" x14ac:dyDescent="0.2">
      <c r="A1405" s="417">
        <v>44333</v>
      </c>
      <c r="B1405" s="403">
        <f t="shared" si="11"/>
        <v>521948</v>
      </c>
      <c r="C1405" s="597">
        <v>521748</v>
      </c>
      <c r="D1405" s="598">
        <v>200</v>
      </c>
    </row>
    <row r="1406" spans="1:4" x14ac:dyDescent="0.2">
      <c r="A1406" s="417">
        <v>44334</v>
      </c>
      <c r="B1406" s="403">
        <f t="shared" si="11"/>
        <v>521948</v>
      </c>
      <c r="C1406" s="597">
        <v>521748</v>
      </c>
      <c r="D1406" s="598">
        <v>200</v>
      </c>
    </row>
    <row r="1407" spans="1:4" x14ac:dyDescent="0.2">
      <c r="A1407" s="417">
        <v>44335</v>
      </c>
      <c r="B1407" s="403">
        <f t="shared" si="11"/>
        <v>522186.98</v>
      </c>
      <c r="C1407" s="597">
        <v>521986.98</v>
      </c>
      <c r="D1407" s="598">
        <v>200</v>
      </c>
    </row>
    <row r="1408" spans="1:4" x14ac:dyDescent="0.2">
      <c r="A1408" s="417">
        <v>44336</v>
      </c>
      <c r="B1408" s="403">
        <f t="shared" si="11"/>
        <v>518466.54</v>
      </c>
      <c r="C1408" s="597">
        <v>518266.54</v>
      </c>
      <c r="D1408" s="598">
        <v>200</v>
      </c>
    </row>
    <row r="1409" spans="1:4" x14ac:dyDescent="0.2">
      <c r="A1409" s="417">
        <v>44337</v>
      </c>
      <c r="B1409" s="403">
        <f t="shared" si="11"/>
        <v>518467</v>
      </c>
      <c r="C1409" s="597">
        <v>518267</v>
      </c>
      <c r="D1409" s="598">
        <v>200</v>
      </c>
    </row>
    <row r="1410" spans="1:4" x14ac:dyDescent="0.2">
      <c r="A1410" s="417">
        <v>44340</v>
      </c>
      <c r="B1410" s="403">
        <f t="shared" si="11"/>
        <v>486541.35</v>
      </c>
      <c r="C1410" s="597">
        <v>486341.35</v>
      </c>
      <c r="D1410" s="598">
        <v>200</v>
      </c>
    </row>
    <row r="1411" spans="1:4" x14ac:dyDescent="0.2">
      <c r="A1411" s="417">
        <v>44341</v>
      </c>
      <c r="B1411" s="403">
        <f t="shared" si="11"/>
        <v>486541</v>
      </c>
      <c r="C1411" s="597">
        <v>486341</v>
      </c>
      <c r="D1411" s="598">
        <v>200</v>
      </c>
    </row>
    <row r="1412" spans="1:4" x14ac:dyDescent="0.2">
      <c r="A1412" s="417">
        <v>44342</v>
      </c>
      <c r="B1412" s="403">
        <f t="shared" si="11"/>
        <v>512462.15</v>
      </c>
      <c r="C1412" s="597">
        <v>512262.15</v>
      </c>
      <c r="D1412" s="598">
        <v>200</v>
      </c>
    </row>
    <row r="1413" spans="1:4" x14ac:dyDescent="0.2">
      <c r="A1413" s="417">
        <v>44343</v>
      </c>
      <c r="B1413" s="403">
        <f t="shared" si="11"/>
        <v>512462</v>
      </c>
      <c r="C1413" s="597">
        <v>512262</v>
      </c>
      <c r="D1413" s="598">
        <v>200</v>
      </c>
    </row>
    <row r="1414" spans="1:4" x14ac:dyDescent="0.2">
      <c r="A1414" s="417">
        <v>44344</v>
      </c>
      <c r="B1414" s="403">
        <f t="shared" si="11"/>
        <v>513609.04</v>
      </c>
      <c r="C1414" s="597">
        <v>513409.04</v>
      </c>
      <c r="D1414" s="598">
        <v>200</v>
      </c>
    </row>
    <row r="1415" spans="1:4" x14ac:dyDescent="0.2">
      <c r="A1415" s="417">
        <v>44347</v>
      </c>
      <c r="B1415" s="403">
        <f t="shared" si="11"/>
        <v>513609</v>
      </c>
      <c r="C1415" s="597">
        <v>513409</v>
      </c>
      <c r="D1415" s="598">
        <v>200</v>
      </c>
    </row>
    <row r="1416" spans="1:4" x14ac:dyDescent="0.2">
      <c r="A1416" s="417">
        <v>44348</v>
      </c>
      <c r="B1416" s="403">
        <f t="shared" si="11"/>
        <v>513579.05</v>
      </c>
      <c r="C1416" s="597">
        <v>513379.05</v>
      </c>
      <c r="D1416" s="598">
        <v>200</v>
      </c>
    </row>
    <row r="1417" spans="1:4" x14ac:dyDescent="0.2">
      <c r="A1417" s="417">
        <v>44349</v>
      </c>
      <c r="B1417" s="403">
        <f t="shared" si="11"/>
        <v>514399.44</v>
      </c>
      <c r="C1417" s="597">
        <v>514199.44</v>
      </c>
      <c r="D1417" s="598">
        <v>200</v>
      </c>
    </row>
    <row r="1418" spans="1:4" x14ac:dyDescent="0.2">
      <c r="A1418" s="417">
        <v>44350</v>
      </c>
      <c r="B1418" s="403">
        <f t="shared" si="11"/>
        <v>501741.57</v>
      </c>
      <c r="C1418" s="597">
        <v>501541.57</v>
      </c>
      <c r="D1418" s="598">
        <v>200</v>
      </c>
    </row>
    <row r="1419" spans="1:4" x14ac:dyDescent="0.2">
      <c r="A1419" s="417">
        <v>44351</v>
      </c>
      <c r="B1419" s="403">
        <f t="shared" si="11"/>
        <v>501742</v>
      </c>
      <c r="C1419" s="597">
        <v>501542</v>
      </c>
      <c r="D1419" s="598">
        <v>200</v>
      </c>
    </row>
    <row r="1420" spans="1:4" x14ac:dyDescent="0.2">
      <c r="A1420" s="417">
        <v>44354</v>
      </c>
      <c r="B1420" s="403">
        <f t="shared" si="11"/>
        <v>502500.51</v>
      </c>
      <c r="C1420" s="597">
        <v>502300.51</v>
      </c>
      <c r="D1420" s="598">
        <v>200</v>
      </c>
    </row>
    <row r="1421" spans="1:4" x14ac:dyDescent="0.2">
      <c r="A1421" s="417">
        <v>44355</v>
      </c>
      <c r="B1421" s="403">
        <f t="shared" si="11"/>
        <v>502953.51</v>
      </c>
      <c r="C1421" s="597">
        <v>502753.51</v>
      </c>
      <c r="D1421" s="598">
        <v>200</v>
      </c>
    </row>
    <row r="1422" spans="1:4" x14ac:dyDescent="0.2">
      <c r="A1422" s="417">
        <v>44356</v>
      </c>
      <c r="B1422" s="403">
        <f t="shared" si="11"/>
        <v>502954</v>
      </c>
      <c r="C1422" s="597">
        <v>502754</v>
      </c>
      <c r="D1422" s="598">
        <v>200</v>
      </c>
    </row>
    <row r="1423" spans="1:4" x14ac:dyDescent="0.2">
      <c r="A1423" s="417">
        <v>44357</v>
      </c>
      <c r="B1423" s="403">
        <f t="shared" si="11"/>
        <v>483592.4</v>
      </c>
      <c r="C1423" s="597">
        <v>483392.4</v>
      </c>
      <c r="D1423" s="598">
        <v>200</v>
      </c>
    </row>
    <row r="1424" spans="1:4" x14ac:dyDescent="0.2">
      <c r="A1424" s="417">
        <v>44358</v>
      </c>
      <c r="B1424" s="403">
        <f t="shared" si="11"/>
        <v>483291.95</v>
      </c>
      <c r="C1424" s="597">
        <v>483091.95</v>
      </c>
      <c r="D1424" s="598">
        <v>200</v>
      </c>
    </row>
    <row r="1425" spans="1:4" x14ac:dyDescent="0.2">
      <c r="A1425" s="417">
        <v>44361</v>
      </c>
      <c r="B1425" s="403">
        <f t="shared" si="11"/>
        <v>495768.59</v>
      </c>
      <c r="C1425" s="597">
        <v>495568.59</v>
      </c>
      <c r="D1425" s="598">
        <v>200</v>
      </c>
    </row>
    <row r="1426" spans="1:4" x14ac:dyDescent="0.2">
      <c r="A1426" s="417">
        <v>44362</v>
      </c>
      <c r="B1426" s="403">
        <f t="shared" si="11"/>
        <v>495822.72</v>
      </c>
      <c r="C1426" s="597">
        <v>495622.72</v>
      </c>
      <c r="D1426" s="598">
        <v>200</v>
      </c>
    </row>
    <row r="1427" spans="1:4" x14ac:dyDescent="0.2">
      <c r="A1427" s="417">
        <v>44363</v>
      </c>
      <c r="B1427" s="403">
        <f t="shared" si="11"/>
        <v>520028.1</v>
      </c>
      <c r="C1427" s="597">
        <v>519828.1</v>
      </c>
      <c r="D1427" s="598">
        <v>200</v>
      </c>
    </row>
    <row r="1428" spans="1:4" x14ac:dyDescent="0.2">
      <c r="A1428" s="417">
        <v>44364</v>
      </c>
      <c r="B1428" s="403">
        <f t="shared" si="11"/>
        <v>517161.8</v>
      </c>
      <c r="C1428" s="597">
        <v>516961.8</v>
      </c>
      <c r="D1428" s="598">
        <v>200</v>
      </c>
    </row>
    <row r="1429" spans="1:4" x14ac:dyDescent="0.2">
      <c r="A1429" s="417">
        <v>44365</v>
      </c>
      <c r="B1429" s="403">
        <f t="shared" si="11"/>
        <v>518094.91</v>
      </c>
      <c r="C1429" s="597">
        <v>517894.91</v>
      </c>
      <c r="D1429" s="598">
        <v>200</v>
      </c>
    </row>
    <row r="1430" spans="1:4" x14ac:dyDescent="0.2">
      <c r="A1430" s="417">
        <v>44368</v>
      </c>
      <c r="B1430" s="403">
        <f t="shared" si="11"/>
        <v>484042.38</v>
      </c>
      <c r="C1430" s="597">
        <v>483842.38</v>
      </c>
      <c r="D1430" s="598">
        <v>200</v>
      </c>
    </row>
    <row r="1431" spans="1:4" x14ac:dyDescent="0.2">
      <c r="A1431" s="417">
        <v>44369</v>
      </c>
      <c r="B1431" s="403">
        <f t="shared" si="11"/>
        <v>497746.99</v>
      </c>
      <c r="C1431" s="597">
        <v>497546.99</v>
      </c>
      <c r="D1431" s="598">
        <v>200</v>
      </c>
    </row>
    <row r="1432" spans="1:4" x14ac:dyDescent="0.2">
      <c r="A1432" s="417">
        <v>44370</v>
      </c>
      <c r="B1432" s="403">
        <f t="shared" si="11"/>
        <v>497747</v>
      </c>
      <c r="C1432" s="597">
        <v>497547</v>
      </c>
      <c r="D1432" s="598">
        <v>200</v>
      </c>
    </row>
    <row r="1433" spans="1:4" x14ac:dyDescent="0.2">
      <c r="A1433" s="417">
        <v>44371</v>
      </c>
      <c r="B1433" s="403">
        <f t="shared" si="11"/>
        <v>495381.8</v>
      </c>
      <c r="C1433" s="597">
        <v>495181.8</v>
      </c>
      <c r="D1433" s="598">
        <v>200</v>
      </c>
    </row>
    <row r="1434" spans="1:4" x14ac:dyDescent="0.2">
      <c r="A1434" s="417">
        <v>44372</v>
      </c>
      <c r="B1434" s="403">
        <f t="shared" si="11"/>
        <v>495081.35</v>
      </c>
      <c r="C1434" s="597">
        <v>494881.35</v>
      </c>
      <c r="D1434" s="598">
        <v>200</v>
      </c>
    </row>
    <row r="1435" spans="1:4" x14ac:dyDescent="0.2">
      <c r="A1435" s="417">
        <v>44375</v>
      </c>
      <c r="B1435" s="403">
        <f t="shared" si="11"/>
        <v>495055.65</v>
      </c>
      <c r="C1435" s="597">
        <v>494855.65</v>
      </c>
      <c r="D1435" s="598">
        <v>200</v>
      </c>
    </row>
    <row r="1436" spans="1:4" x14ac:dyDescent="0.2">
      <c r="A1436" s="417">
        <v>44376</v>
      </c>
      <c r="B1436" s="403">
        <f t="shared" si="11"/>
        <v>495056</v>
      </c>
      <c r="C1436" s="597">
        <v>494856</v>
      </c>
      <c r="D1436" s="598">
        <v>200</v>
      </c>
    </row>
    <row r="1437" spans="1:4" x14ac:dyDescent="0.2">
      <c r="A1437" s="417">
        <v>44377</v>
      </c>
      <c r="B1437" s="403">
        <f t="shared" si="11"/>
        <v>497588.94</v>
      </c>
      <c r="C1437" s="597">
        <v>497388.94</v>
      </c>
      <c r="D1437" s="598">
        <v>200</v>
      </c>
    </row>
    <row r="1438" spans="1:4" x14ac:dyDescent="0.2">
      <c r="A1438" s="417">
        <v>44378</v>
      </c>
      <c r="B1438" s="403">
        <f t="shared" si="11"/>
        <v>488300.76</v>
      </c>
      <c r="C1438" s="597">
        <v>488100.76</v>
      </c>
      <c r="D1438" s="598">
        <v>200</v>
      </c>
    </row>
    <row r="1439" spans="1:4" x14ac:dyDescent="0.2">
      <c r="A1439" s="417">
        <v>44379</v>
      </c>
      <c r="B1439" s="403">
        <f t="shared" si="11"/>
        <v>488301</v>
      </c>
      <c r="C1439" s="597">
        <v>488101</v>
      </c>
      <c r="D1439" s="598">
        <v>200</v>
      </c>
    </row>
    <row r="1440" spans="1:4" x14ac:dyDescent="0.2">
      <c r="A1440" s="417">
        <v>44382</v>
      </c>
      <c r="B1440" s="403">
        <f t="shared" si="11"/>
        <v>488301</v>
      </c>
      <c r="C1440" s="597">
        <v>488101</v>
      </c>
      <c r="D1440" s="598">
        <v>200</v>
      </c>
    </row>
    <row r="1441" spans="1:4" x14ac:dyDescent="0.2">
      <c r="A1441" s="417">
        <v>44383</v>
      </c>
      <c r="B1441" s="403">
        <f t="shared" si="11"/>
        <v>453460.75</v>
      </c>
      <c r="C1441" s="597">
        <v>453260.75</v>
      </c>
      <c r="D1441" s="598">
        <v>200</v>
      </c>
    </row>
    <row r="1442" spans="1:4" x14ac:dyDescent="0.2">
      <c r="A1442" s="417">
        <v>44384</v>
      </c>
      <c r="B1442" s="403">
        <f t="shared" si="11"/>
        <v>453461</v>
      </c>
      <c r="C1442" s="597">
        <v>453261</v>
      </c>
      <c r="D1442" s="598">
        <v>200</v>
      </c>
    </row>
    <row r="1443" spans="1:4" x14ac:dyDescent="0.2">
      <c r="A1443" s="417">
        <v>44385</v>
      </c>
      <c r="B1443" s="403">
        <f t="shared" si="11"/>
        <v>453914.75</v>
      </c>
      <c r="C1443" s="597">
        <v>453714.75</v>
      </c>
      <c r="D1443" s="598">
        <v>200</v>
      </c>
    </row>
    <row r="1444" spans="1:4" x14ac:dyDescent="0.2">
      <c r="A1444" s="417">
        <v>44386</v>
      </c>
      <c r="B1444" s="403">
        <f t="shared" si="11"/>
        <v>451808.36</v>
      </c>
      <c r="C1444" s="597">
        <v>451608.36</v>
      </c>
      <c r="D1444" s="598">
        <v>200</v>
      </c>
    </row>
    <row r="1445" spans="1:4" x14ac:dyDescent="0.2">
      <c r="A1445" s="417">
        <v>44389</v>
      </c>
      <c r="B1445" s="403">
        <f t="shared" si="11"/>
        <v>451808</v>
      </c>
      <c r="C1445" s="597">
        <v>451608</v>
      </c>
      <c r="D1445" s="598">
        <v>200</v>
      </c>
    </row>
    <row r="1446" spans="1:4" x14ac:dyDescent="0.2">
      <c r="A1446" s="417">
        <v>44390</v>
      </c>
      <c r="B1446" s="403">
        <f t="shared" si="11"/>
        <v>452941.65</v>
      </c>
      <c r="C1446" s="597">
        <v>452741.65</v>
      </c>
      <c r="D1446" s="598">
        <v>200</v>
      </c>
    </row>
    <row r="1447" spans="1:4" x14ac:dyDescent="0.2">
      <c r="A1447" s="417">
        <v>44391</v>
      </c>
      <c r="B1447" s="403">
        <f t="shared" si="11"/>
        <v>453131.97</v>
      </c>
      <c r="C1447" s="597">
        <v>452931.97</v>
      </c>
      <c r="D1447" s="598">
        <v>200</v>
      </c>
    </row>
    <row r="1448" spans="1:4" x14ac:dyDescent="0.2">
      <c r="A1448" s="417">
        <v>44392</v>
      </c>
      <c r="B1448" s="403">
        <f t="shared" si="11"/>
        <v>453180.49</v>
      </c>
      <c r="C1448" s="597">
        <v>452980.49</v>
      </c>
      <c r="D1448" s="598">
        <v>200</v>
      </c>
    </row>
    <row r="1449" spans="1:4" x14ac:dyDescent="0.2">
      <c r="A1449" s="417">
        <v>44393</v>
      </c>
      <c r="B1449" s="403">
        <f t="shared" si="11"/>
        <v>453180</v>
      </c>
      <c r="C1449" s="597">
        <v>452980</v>
      </c>
      <c r="D1449" s="598">
        <v>200</v>
      </c>
    </row>
    <row r="1450" spans="1:4" x14ac:dyDescent="0.2">
      <c r="A1450" s="417">
        <v>44396</v>
      </c>
      <c r="B1450" s="403">
        <f t="shared" si="11"/>
        <v>436299.85</v>
      </c>
      <c r="C1450" s="597">
        <v>436099.85</v>
      </c>
      <c r="D1450" s="598">
        <v>200</v>
      </c>
    </row>
    <row r="1451" spans="1:4" x14ac:dyDescent="0.2">
      <c r="A1451" s="417">
        <v>44397</v>
      </c>
      <c r="B1451" s="403">
        <f t="shared" si="11"/>
        <v>400936.9</v>
      </c>
      <c r="C1451" s="597">
        <v>400736.9</v>
      </c>
      <c r="D1451" s="598">
        <v>200</v>
      </c>
    </row>
    <row r="1452" spans="1:4" x14ac:dyDescent="0.2">
      <c r="A1452" s="417">
        <v>44398</v>
      </c>
      <c r="B1452" s="403">
        <f t="shared" si="11"/>
        <v>400937</v>
      </c>
      <c r="C1452" s="597">
        <v>400737</v>
      </c>
      <c r="D1452" s="598">
        <v>200</v>
      </c>
    </row>
    <row r="1453" spans="1:4" x14ac:dyDescent="0.2">
      <c r="A1453" s="417">
        <v>44399</v>
      </c>
      <c r="B1453" s="403">
        <f t="shared" si="11"/>
        <v>298716.2</v>
      </c>
      <c r="C1453" s="597">
        <v>298516.2</v>
      </c>
      <c r="D1453" s="598">
        <v>200</v>
      </c>
    </row>
    <row r="1454" spans="1:4" x14ac:dyDescent="0.2">
      <c r="A1454" s="417">
        <v>44400</v>
      </c>
      <c r="B1454" s="403">
        <f t="shared" si="11"/>
        <v>298557.34999999998</v>
      </c>
      <c r="C1454" s="597">
        <v>298357.34999999998</v>
      </c>
      <c r="D1454" s="598">
        <v>200</v>
      </c>
    </row>
    <row r="1455" spans="1:4" x14ac:dyDescent="0.2">
      <c r="A1455" s="417">
        <v>44403</v>
      </c>
      <c r="B1455" s="403">
        <f t="shared" ref="B1455" si="12">C1455+D1455</f>
        <v>298557</v>
      </c>
      <c r="C1455" s="597">
        <v>298357</v>
      </c>
      <c r="D1455" s="598">
        <v>200</v>
      </c>
    </row>
    <row r="1456" spans="1:4" x14ac:dyDescent="0.2">
      <c r="A1456" s="417">
        <v>44404</v>
      </c>
      <c r="B1456" s="403">
        <v>298047.28999999998</v>
      </c>
      <c r="C1456" s="597">
        <v>298357</v>
      </c>
      <c r="D1456" s="598">
        <v>200</v>
      </c>
    </row>
    <row r="1457" spans="1:4" x14ac:dyDescent="0.2">
      <c r="A1457" s="417">
        <v>44405</v>
      </c>
      <c r="B1457" s="403">
        <f t="shared" ref="B1457:B1520" si="13">C1457+D1457</f>
        <v>298221.59000000003</v>
      </c>
      <c r="C1457" s="403">
        <v>298021.59000000003</v>
      </c>
      <c r="D1457" s="598">
        <v>200</v>
      </c>
    </row>
    <row r="1458" spans="1:4" x14ac:dyDescent="0.2">
      <c r="A1458" s="417">
        <v>44406</v>
      </c>
      <c r="B1458" s="403">
        <f t="shared" si="13"/>
        <v>298222</v>
      </c>
      <c r="C1458" s="403">
        <v>298022</v>
      </c>
      <c r="D1458" s="598">
        <v>200</v>
      </c>
    </row>
    <row r="1459" spans="1:4" x14ac:dyDescent="0.2">
      <c r="A1459" s="417">
        <v>44407</v>
      </c>
      <c r="B1459" s="403">
        <f t="shared" si="13"/>
        <v>286090</v>
      </c>
      <c r="C1459" s="403">
        <v>285890</v>
      </c>
      <c r="D1459" s="598">
        <v>200</v>
      </c>
    </row>
    <row r="1460" spans="1:4" x14ac:dyDescent="0.2">
      <c r="A1460" s="417">
        <v>44410</v>
      </c>
      <c r="B1460" s="403">
        <f t="shared" si="13"/>
        <v>285690.83</v>
      </c>
      <c r="C1460" s="403">
        <v>285490.83</v>
      </c>
      <c r="D1460" s="598">
        <v>200</v>
      </c>
    </row>
    <row r="1461" spans="1:4" x14ac:dyDescent="0.2">
      <c r="A1461" s="417">
        <v>44411</v>
      </c>
      <c r="B1461" s="403">
        <f t="shared" si="13"/>
        <v>250196.9</v>
      </c>
      <c r="C1461" s="403">
        <v>249996.9</v>
      </c>
      <c r="D1461" s="598">
        <v>200</v>
      </c>
    </row>
    <row r="1462" spans="1:4" x14ac:dyDescent="0.2">
      <c r="A1462" s="417">
        <v>44412</v>
      </c>
      <c r="B1462" s="403">
        <f t="shared" si="13"/>
        <v>250197</v>
      </c>
      <c r="C1462" s="403">
        <v>249997</v>
      </c>
      <c r="D1462" s="598">
        <v>200</v>
      </c>
    </row>
    <row r="1463" spans="1:4" x14ac:dyDescent="0.2">
      <c r="A1463" s="417">
        <v>44413</v>
      </c>
      <c r="B1463" s="403">
        <f t="shared" si="13"/>
        <v>242217.24</v>
      </c>
      <c r="C1463" s="403">
        <v>242017.24</v>
      </c>
      <c r="D1463" s="598">
        <v>200</v>
      </c>
    </row>
    <row r="1464" spans="1:4" x14ac:dyDescent="0.2">
      <c r="A1464" s="417">
        <v>44414</v>
      </c>
      <c r="B1464" s="403">
        <f t="shared" si="13"/>
        <v>241916.79</v>
      </c>
      <c r="C1464" s="403">
        <v>241716.79</v>
      </c>
      <c r="D1464" s="598">
        <v>200</v>
      </c>
    </row>
    <row r="1465" spans="1:4" x14ac:dyDescent="0.2">
      <c r="A1465" s="417">
        <v>44417</v>
      </c>
      <c r="B1465" s="403">
        <f t="shared" si="13"/>
        <v>242014.29</v>
      </c>
      <c r="C1465" s="403">
        <v>241814.29</v>
      </c>
      <c r="D1465" s="598">
        <v>200</v>
      </c>
    </row>
    <row r="1466" spans="1:4" x14ac:dyDescent="0.2">
      <c r="A1466" s="417">
        <v>44418</v>
      </c>
      <c r="B1466" s="403">
        <f t="shared" si="13"/>
        <v>260028.48</v>
      </c>
      <c r="C1466" s="403">
        <v>259828.48000000001</v>
      </c>
      <c r="D1466" s="598">
        <v>200</v>
      </c>
    </row>
    <row r="1467" spans="1:4" x14ac:dyDescent="0.2">
      <c r="A1467" s="417">
        <v>44419</v>
      </c>
      <c r="B1467" s="403">
        <f t="shared" si="13"/>
        <v>261085.42</v>
      </c>
      <c r="C1467" s="403">
        <v>260885.42</v>
      </c>
      <c r="D1467" s="598">
        <v>200</v>
      </c>
    </row>
    <row r="1468" spans="1:4" x14ac:dyDescent="0.2">
      <c r="A1468" s="417">
        <v>44420</v>
      </c>
      <c r="B1468" s="403">
        <f t="shared" si="13"/>
        <v>261983.68</v>
      </c>
      <c r="C1468" s="403">
        <v>261783.67999999999</v>
      </c>
      <c r="D1468" s="598">
        <v>200</v>
      </c>
    </row>
    <row r="1469" spans="1:4" x14ac:dyDescent="0.2">
      <c r="A1469" s="417">
        <v>44421</v>
      </c>
      <c r="B1469" s="403">
        <f t="shared" si="13"/>
        <v>262016.54</v>
      </c>
      <c r="C1469" s="403">
        <v>261816.54</v>
      </c>
      <c r="D1469" s="598">
        <v>200</v>
      </c>
    </row>
    <row r="1470" spans="1:4" x14ac:dyDescent="0.2">
      <c r="A1470" s="417">
        <v>44424</v>
      </c>
      <c r="B1470" s="403">
        <f t="shared" si="13"/>
        <v>262016.54</v>
      </c>
      <c r="C1470" s="403">
        <f t="shared" ref="C1470:C1522" si="14">C1469</f>
        <v>261816.54</v>
      </c>
      <c r="D1470" s="598">
        <v>200</v>
      </c>
    </row>
    <row r="1471" spans="1:4" x14ac:dyDescent="0.2">
      <c r="A1471" s="417">
        <v>44425</v>
      </c>
      <c r="B1471" s="403">
        <f t="shared" si="13"/>
        <v>226196.56</v>
      </c>
      <c r="C1471" s="403">
        <v>225996.56</v>
      </c>
      <c r="D1471" s="598">
        <v>200</v>
      </c>
    </row>
    <row r="1472" spans="1:4" x14ac:dyDescent="0.2">
      <c r="A1472" s="417">
        <v>44426</v>
      </c>
      <c r="B1472" s="403">
        <f t="shared" si="13"/>
        <v>245030.16</v>
      </c>
      <c r="C1472" s="403">
        <v>244830.16</v>
      </c>
      <c r="D1472" s="598">
        <v>200</v>
      </c>
    </row>
    <row r="1473" spans="1:4" x14ac:dyDescent="0.2">
      <c r="A1473" s="417">
        <v>44427</v>
      </c>
      <c r="B1473" s="403">
        <f t="shared" si="13"/>
        <v>229633.33</v>
      </c>
      <c r="C1473" s="403">
        <v>229433.33</v>
      </c>
      <c r="D1473" s="598">
        <v>200</v>
      </c>
    </row>
    <row r="1474" spans="1:4" x14ac:dyDescent="0.2">
      <c r="A1474" s="417">
        <v>44428</v>
      </c>
      <c r="B1474" s="403">
        <f t="shared" si="13"/>
        <v>247195.12</v>
      </c>
      <c r="C1474" s="403">
        <v>246995.12</v>
      </c>
      <c r="D1474" s="598">
        <v>200</v>
      </c>
    </row>
    <row r="1475" spans="1:4" x14ac:dyDescent="0.2">
      <c r="A1475" s="417">
        <v>44431</v>
      </c>
      <c r="B1475" s="403">
        <f t="shared" si="13"/>
        <v>247195.12</v>
      </c>
      <c r="C1475" s="403">
        <f t="shared" si="14"/>
        <v>246995.12</v>
      </c>
      <c r="D1475" s="598">
        <v>200</v>
      </c>
    </row>
    <row r="1476" spans="1:4" x14ac:dyDescent="0.2">
      <c r="A1476" s="417">
        <v>44432</v>
      </c>
      <c r="B1476" s="403">
        <f t="shared" si="13"/>
        <v>347649.83</v>
      </c>
      <c r="C1476" s="403">
        <v>347449.83</v>
      </c>
      <c r="D1476" s="598">
        <v>200</v>
      </c>
    </row>
    <row r="1477" spans="1:4" x14ac:dyDescent="0.2">
      <c r="A1477" s="417">
        <v>44433</v>
      </c>
      <c r="B1477" s="403">
        <f t="shared" si="13"/>
        <v>347649.83</v>
      </c>
      <c r="C1477" s="403">
        <f t="shared" si="14"/>
        <v>347449.83</v>
      </c>
      <c r="D1477" s="598">
        <v>200</v>
      </c>
    </row>
    <row r="1478" spans="1:4" x14ac:dyDescent="0.2">
      <c r="A1478" s="417">
        <v>44434</v>
      </c>
      <c r="B1478" s="403">
        <f t="shared" si="13"/>
        <v>341237.68</v>
      </c>
      <c r="C1478" s="403">
        <v>341037.68</v>
      </c>
      <c r="D1478" s="598">
        <v>200</v>
      </c>
    </row>
    <row r="1479" spans="1:4" x14ac:dyDescent="0.2">
      <c r="A1479" s="417">
        <v>44435</v>
      </c>
      <c r="B1479" s="403">
        <f t="shared" si="13"/>
        <v>373525.01</v>
      </c>
      <c r="C1479" s="403">
        <v>373325.01</v>
      </c>
      <c r="D1479" s="598">
        <v>200</v>
      </c>
    </row>
    <row r="1480" spans="1:4" x14ac:dyDescent="0.2">
      <c r="A1480" s="417">
        <v>44438</v>
      </c>
      <c r="B1480" s="403">
        <f t="shared" si="13"/>
        <v>373525.01</v>
      </c>
      <c r="C1480" s="403">
        <f t="shared" si="14"/>
        <v>373325.01</v>
      </c>
      <c r="D1480" s="598">
        <v>200</v>
      </c>
    </row>
    <row r="1481" spans="1:4" x14ac:dyDescent="0.2">
      <c r="A1481" s="417">
        <v>44439</v>
      </c>
      <c r="B1481" s="403">
        <f t="shared" si="13"/>
        <v>336851.39</v>
      </c>
      <c r="C1481" s="403">
        <v>336651.39</v>
      </c>
      <c r="D1481" s="598">
        <v>200</v>
      </c>
    </row>
    <row r="1482" spans="1:4" x14ac:dyDescent="0.2">
      <c r="A1482" s="417">
        <v>44440</v>
      </c>
      <c r="B1482" s="403">
        <f t="shared" si="13"/>
        <v>336851.39</v>
      </c>
      <c r="C1482" s="403">
        <f t="shared" si="14"/>
        <v>336651.39</v>
      </c>
      <c r="D1482" s="598">
        <v>200</v>
      </c>
    </row>
    <row r="1483" spans="1:4" x14ac:dyDescent="0.2">
      <c r="A1483" s="417">
        <v>44441</v>
      </c>
      <c r="B1483" s="403">
        <f t="shared" si="13"/>
        <v>336851.39</v>
      </c>
      <c r="C1483" s="403">
        <f t="shared" si="14"/>
        <v>336651.39</v>
      </c>
      <c r="D1483" s="598">
        <v>200</v>
      </c>
    </row>
    <row r="1484" spans="1:4" x14ac:dyDescent="0.2">
      <c r="A1484" s="417">
        <v>44442</v>
      </c>
      <c r="B1484" s="403">
        <f t="shared" si="13"/>
        <v>360197.14</v>
      </c>
      <c r="C1484" s="403">
        <v>359997.14</v>
      </c>
      <c r="D1484" s="598">
        <v>200</v>
      </c>
    </row>
    <row r="1485" spans="1:4" x14ac:dyDescent="0.2">
      <c r="A1485" s="417">
        <v>44445</v>
      </c>
      <c r="B1485" s="403">
        <f t="shared" si="13"/>
        <v>360197.14</v>
      </c>
      <c r="C1485" s="403">
        <f t="shared" si="14"/>
        <v>359997.14</v>
      </c>
      <c r="D1485" s="598">
        <v>200</v>
      </c>
    </row>
    <row r="1486" spans="1:4" x14ac:dyDescent="0.2">
      <c r="A1486" s="417">
        <v>44446</v>
      </c>
      <c r="B1486" s="403">
        <f t="shared" si="13"/>
        <v>354806.36</v>
      </c>
      <c r="C1486" s="403">
        <v>354606.36</v>
      </c>
      <c r="D1486" s="598">
        <v>200</v>
      </c>
    </row>
    <row r="1487" spans="1:4" x14ac:dyDescent="0.2">
      <c r="A1487" s="417">
        <v>44447</v>
      </c>
      <c r="B1487" s="403">
        <f t="shared" si="13"/>
        <v>354806.36</v>
      </c>
      <c r="C1487" s="403">
        <f t="shared" si="14"/>
        <v>354606.36</v>
      </c>
      <c r="D1487" s="598">
        <v>200</v>
      </c>
    </row>
    <row r="1488" spans="1:4" x14ac:dyDescent="0.2">
      <c r="A1488" s="417">
        <v>44448</v>
      </c>
      <c r="B1488" s="403">
        <f t="shared" si="13"/>
        <v>354806.36</v>
      </c>
      <c r="C1488" s="403">
        <f t="shared" si="14"/>
        <v>354606.36</v>
      </c>
      <c r="D1488" s="598">
        <v>200</v>
      </c>
    </row>
    <row r="1489" spans="1:4" x14ac:dyDescent="0.2">
      <c r="A1489" s="417">
        <v>44449</v>
      </c>
      <c r="B1489" s="403">
        <f t="shared" si="13"/>
        <v>354806.36</v>
      </c>
      <c r="C1489" s="403">
        <f t="shared" si="14"/>
        <v>354606.36</v>
      </c>
      <c r="D1489" s="598">
        <v>200</v>
      </c>
    </row>
    <row r="1490" spans="1:4" x14ac:dyDescent="0.2">
      <c r="A1490" s="417">
        <v>44452</v>
      </c>
      <c r="B1490" s="403">
        <f t="shared" si="13"/>
        <v>317290.98</v>
      </c>
      <c r="C1490" s="403">
        <v>317090.98</v>
      </c>
      <c r="D1490" s="598">
        <v>200</v>
      </c>
    </row>
    <row r="1491" spans="1:4" x14ac:dyDescent="0.2">
      <c r="A1491" s="417">
        <v>44453</v>
      </c>
      <c r="B1491" s="403">
        <f t="shared" si="13"/>
        <v>365898.08</v>
      </c>
      <c r="C1491" s="403">
        <v>365698.08</v>
      </c>
      <c r="D1491" s="598">
        <v>200</v>
      </c>
    </row>
    <row r="1492" spans="1:4" x14ac:dyDescent="0.2">
      <c r="A1492" s="417">
        <v>44454</v>
      </c>
      <c r="B1492" s="403">
        <f t="shared" si="13"/>
        <v>365935.11</v>
      </c>
      <c r="C1492" s="403">
        <v>365735.11</v>
      </c>
      <c r="D1492" s="598">
        <v>200</v>
      </c>
    </row>
    <row r="1493" spans="1:4" x14ac:dyDescent="0.2">
      <c r="A1493" s="417">
        <v>44455</v>
      </c>
      <c r="B1493" s="403">
        <f t="shared" si="13"/>
        <v>365935.11</v>
      </c>
      <c r="C1493" s="403">
        <f t="shared" si="14"/>
        <v>365735.11</v>
      </c>
      <c r="D1493" s="598">
        <v>200</v>
      </c>
    </row>
    <row r="1494" spans="1:4" x14ac:dyDescent="0.2">
      <c r="A1494" s="417">
        <v>44456</v>
      </c>
      <c r="B1494" s="403">
        <f t="shared" si="13"/>
        <v>357664.5</v>
      </c>
      <c r="C1494" s="403">
        <v>357464.5</v>
      </c>
      <c r="D1494" s="598">
        <v>200</v>
      </c>
    </row>
    <row r="1495" spans="1:4" x14ac:dyDescent="0.2">
      <c r="A1495" s="417">
        <v>44459</v>
      </c>
      <c r="B1495" s="403">
        <f t="shared" si="13"/>
        <v>357664.5</v>
      </c>
      <c r="C1495" s="403">
        <f t="shared" si="14"/>
        <v>357464.5</v>
      </c>
      <c r="D1495" s="598">
        <v>200</v>
      </c>
    </row>
    <row r="1496" spans="1:4" x14ac:dyDescent="0.2">
      <c r="A1496" s="417">
        <v>44460</v>
      </c>
      <c r="B1496" s="403">
        <f t="shared" si="13"/>
        <v>357664.5</v>
      </c>
      <c r="C1496" s="403">
        <f t="shared" si="14"/>
        <v>357464.5</v>
      </c>
      <c r="D1496" s="598">
        <v>200</v>
      </c>
    </row>
    <row r="1497" spans="1:4" x14ac:dyDescent="0.2">
      <c r="A1497" s="417">
        <v>44461</v>
      </c>
      <c r="B1497" s="403">
        <f t="shared" si="13"/>
        <v>364108.39</v>
      </c>
      <c r="C1497" s="403">
        <v>363908.39</v>
      </c>
      <c r="D1497" s="598">
        <v>200</v>
      </c>
    </row>
    <row r="1498" spans="1:4" x14ac:dyDescent="0.2">
      <c r="A1498" s="417">
        <v>44462</v>
      </c>
      <c r="B1498" s="403">
        <f t="shared" si="13"/>
        <v>372557.83</v>
      </c>
      <c r="C1498" s="403">
        <v>372357.83</v>
      </c>
      <c r="D1498" s="598">
        <v>200</v>
      </c>
    </row>
    <row r="1499" spans="1:4" x14ac:dyDescent="0.2">
      <c r="A1499" s="417">
        <v>44463</v>
      </c>
      <c r="B1499" s="403">
        <f t="shared" si="13"/>
        <v>372557.83</v>
      </c>
      <c r="C1499" s="403">
        <f t="shared" si="14"/>
        <v>372357.83</v>
      </c>
      <c r="D1499" s="598">
        <v>200</v>
      </c>
    </row>
    <row r="1500" spans="1:4" x14ac:dyDescent="0.2">
      <c r="A1500" s="417">
        <v>44466</v>
      </c>
      <c r="B1500" s="403">
        <f t="shared" si="13"/>
        <v>393073.43</v>
      </c>
      <c r="C1500" s="403">
        <v>392873.43</v>
      </c>
      <c r="D1500" s="598">
        <v>200</v>
      </c>
    </row>
    <row r="1501" spans="1:4" x14ac:dyDescent="0.2">
      <c r="A1501" s="417">
        <v>44467</v>
      </c>
      <c r="B1501" s="403">
        <f t="shared" si="13"/>
        <v>354832.22</v>
      </c>
      <c r="C1501" s="403">
        <v>354632.22</v>
      </c>
      <c r="D1501" s="598">
        <v>200</v>
      </c>
    </row>
    <row r="1502" spans="1:4" x14ac:dyDescent="0.2">
      <c r="A1502" s="417">
        <v>44468</v>
      </c>
      <c r="B1502" s="403">
        <f t="shared" si="13"/>
        <v>354832.22</v>
      </c>
      <c r="C1502" s="403">
        <f t="shared" si="14"/>
        <v>354632.22</v>
      </c>
      <c r="D1502" s="598">
        <v>200</v>
      </c>
    </row>
    <row r="1503" spans="1:4" x14ac:dyDescent="0.2">
      <c r="A1503" s="417">
        <v>44469</v>
      </c>
      <c r="B1503" s="403">
        <f t="shared" si="13"/>
        <v>354832.22</v>
      </c>
      <c r="C1503" s="403">
        <f t="shared" si="14"/>
        <v>354632.22</v>
      </c>
      <c r="D1503" s="598">
        <v>200</v>
      </c>
    </row>
    <row r="1504" spans="1:4" x14ac:dyDescent="0.2">
      <c r="A1504" s="417">
        <v>44470</v>
      </c>
      <c r="B1504" s="403">
        <f t="shared" si="13"/>
        <v>343420.25</v>
      </c>
      <c r="C1504" s="403">
        <v>343220.25</v>
      </c>
      <c r="D1504" s="598">
        <v>200</v>
      </c>
    </row>
    <row r="1505" spans="1:4" x14ac:dyDescent="0.2">
      <c r="A1505" s="417">
        <v>44473</v>
      </c>
      <c r="B1505" s="403">
        <f t="shared" si="13"/>
        <v>343420.25</v>
      </c>
      <c r="C1505" s="403">
        <f t="shared" si="14"/>
        <v>343220.25</v>
      </c>
      <c r="D1505" s="598">
        <v>200</v>
      </c>
    </row>
    <row r="1506" spans="1:4" x14ac:dyDescent="0.2">
      <c r="A1506" s="417">
        <v>44474</v>
      </c>
      <c r="B1506" s="403">
        <f t="shared" si="13"/>
        <v>343582.25</v>
      </c>
      <c r="C1506" s="403">
        <v>343382.25</v>
      </c>
      <c r="D1506" s="598">
        <v>200</v>
      </c>
    </row>
    <row r="1507" spans="1:4" x14ac:dyDescent="0.2">
      <c r="A1507" s="417">
        <v>44475</v>
      </c>
      <c r="B1507" s="403">
        <f t="shared" si="13"/>
        <v>343582.25</v>
      </c>
      <c r="C1507" s="403">
        <f t="shared" si="14"/>
        <v>343382.25</v>
      </c>
      <c r="D1507" s="598">
        <v>200</v>
      </c>
    </row>
    <row r="1508" spans="1:4" x14ac:dyDescent="0.2">
      <c r="A1508" s="417">
        <v>44476</v>
      </c>
      <c r="B1508" s="403">
        <f t="shared" si="13"/>
        <v>343606.26</v>
      </c>
      <c r="C1508" s="403">
        <v>343406.26</v>
      </c>
      <c r="D1508" s="598">
        <v>200</v>
      </c>
    </row>
    <row r="1509" spans="1:4" x14ac:dyDescent="0.2">
      <c r="A1509" s="417">
        <v>44477</v>
      </c>
      <c r="B1509" s="403">
        <f t="shared" si="13"/>
        <v>329221.56</v>
      </c>
      <c r="C1509" s="403">
        <v>329021.56</v>
      </c>
      <c r="D1509" s="598">
        <v>200</v>
      </c>
    </row>
    <row r="1510" spans="1:4" x14ac:dyDescent="0.2">
      <c r="A1510" s="417">
        <v>44480</v>
      </c>
      <c r="B1510" s="403">
        <f t="shared" si="13"/>
        <v>329221.56</v>
      </c>
      <c r="C1510" s="403">
        <f t="shared" si="14"/>
        <v>329021.56</v>
      </c>
      <c r="D1510" s="598">
        <v>200</v>
      </c>
    </row>
    <row r="1511" spans="1:4" x14ac:dyDescent="0.2">
      <c r="A1511" s="417">
        <v>44481</v>
      </c>
      <c r="B1511" s="403">
        <f t="shared" si="13"/>
        <v>288818.46999999997</v>
      </c>
      <c r="C1511" s="403">
        <v>288618.46999999997</v>
      </c>
      <c r="D1511" s="598">
        <v>200</v>
      </c>
    </row>
    <row r="1512" spans="1:4" x14ac:dyDescent="0.2">
      <c r="A1512" s="417">
        <v>44482</v>
      </c>
      <c r="B1512" s="403">
        <f t="shared" si="13"/>
        <v>288818.46999999997</v>
      </c>
      <c r="C1512" s="403">
        <f t="shared" si="14"/>
        <v>288618.46999999997</v>
      </c>
      <c r="D1512" s="598">
        <v>200</v>
      </c>
    </row>
    <row r="1513" spans="1:4" x14ac:dyDescent="0.2">
      <c r="A1513" s="417">
        <v>44483</v>
      </c>
      <c r="B1513" s="403">
        <f t="shared" si="13"/>
        <v>295077.74</v>
      </c>
      <c r="C1513" s="403">
        <v>294877.74</v>
      </c>
      <c r="D1513" s="598">
        <v>200</v>
      </c>
    </row>
    <row r="1514" spans="1:4" x14ac:dyDescent="0.2">
      <c r="A1514" s="417">
        <v>44484</v>
      </c>
      <c r="B1514" s="403">
        <f t="shared" si="13"/>
        <v>313755.08</v>
      </c>
      <c r="C1514" s="403">
        <v>313555.08</v>
      </c>
      <c r="D1514" s="598">
        <v>200</v>
      </c>
    </row>
    <row r="1515" spans="1:4" x14ac:dyDescent="0.2">
      <c r="A1515" s="417">
        <v>44487</v>
      </c>
      <c r="B1515" s="403">
        <f t="shared" si="13"/>
        <v>314129.08</v>
      </c>
      <c r="C1515" s="403">
        <v>313929.08</v>
      </c>
      <c r="D1515" s="598">
        <v>200</v>
      </c>
    </row>
    <row r="1516" spans="1:4" x14ac:dyDescent="0.2">
      <c r="A1516" s="417">
        <v>44488</v>
      </c>
      <c r="B1516" s="403">
        <f t="shared" si="13"/>
        <v>314618.64</v>
      </c>
      <c r="C1516" s="403">
        <v>314418.64</v>
      </c>
      <c r="D1516" s="598">
        <v>200</v>
      </c>
    </row>
    <row r="1517" spans="1:4" x14ac:dyDescent="0.2">
      <c r="A1517" s="417">
        <v>44489</v>
      </c>
      <c r="B1517" s="403">
        <f t="shared" si="13"/>
        <v>312798.90999999997</v>
      </c>
      <c r="C1517" s="403">
        <v>312598.90999999997</v>
      </c>
      <c r="D1517" s="598">
        <v>200</v>
      </c>
    </row>
    <row r="1518" spans="1:4" x14ac:dyDescent="0.2">
      <c r="A1518" s="417">
        <v>44490</v>
      </c>
      <c r="B1518" s="403">
        <f t="shared" si="13"/>
        <v>312798.90999999997</v>
      </c>
      <c r="C1518" s="403">
        <f t="shared" si="14"/>
        <v>312598.90999999997</v>
      </c>
      <c r="D1518" s="598">
        <v>200</v>
      </c>
    </row>
    <row r="1519" spans="1:4" x14ac:dyDescent="0.2">
      <c r="A1519" s="417">
        <v>44491</v>
      </c>
      <c r="B1519" s="403">
        <f t="shared" si="13"/>
        <v>312852.06</v>
      </c>
      <c r="C1519" s="403">
        <v>312652.06</v>
      </c>
      <c r="D1519" s="598">
        <v>200</v>
      </c>
    </row>
    <row r="1520" spans="1:4" x14ac:dyDescent="0.2">
      <c r="A1520" s="417">
        <v>44494</v>
      </c>
      <c r="B1520" s="403">
        <f t="shared" si="13"/>
        <v>276164.93</v>
      </c>
      <c r="C1520" s="403">
        <v>275964.93</v>
      </c>
      <c r="D1520" s="598">
        <v>200</v>
      </c>
    </row>
    <row r="1521" spans="1:4" x14ac:dyDescent="0.2">
      <c r="A1521" s="417">
        <v>44495</v>
      </c>
      <c r="B1521" s="403">
        <f t="shared" ref="B1521:B1584" si="15">C1521+D1521</f>
        <v>272175.64</v>
      </c>
      <c r="C1521" s="403">
        <v>271975.64</v>
      </c>
      <c r="D1521" s="598">
        <v>200</v>
      </c>
    </row>
    <row r="1522" spans="1:4" x14ac:dyDescent="0.2">
      <c r="A1522" s="417">
        <v>44496</v>
      </c>
      <c r="B1522" s="403">
        <f t="shared" si="15"/>
        <v>272175.64</v>
      </c>
      <c r="C1522" s="403">
        <f t="shared" si="14"/>
        <v>271975.64</v>
      </c>
      <c r="D1522" s="598">
        <v>200</v>
      </c>
    </row>
    <row r="1523" spans="1:4" x14ac:dyDescent="0.2">
      <c r="A1523" s="417">
        <v>44497</v>
      </c>
      <c r="B1523" s="403">
        <f t="shared" si="15"/>
        <v>272474.64</v>
      </c>
      <c r="C1523" s="403">
        <v>272274.64</v>
      </c>
      <c r="D1523" s="598">
        <v>200</v>
      </c>
    </row>
    <row r="1524" spans="1:4" x14ac:dyDescent="0.2">
      <c r="A1524" s="417">
        <v>44498</v>
      </c>
      <c r="B1524" s="403">
        <f t="shared" si="15"/>
        <v>272174.19</v>
      </c>
      <c r="C1524" s="403">
        <v>271974.19</v>
      </c>
      <c r="D1524" s="598">
        <v>200</v>
      </c>
    </row>
    <row r="1525" spans="1:4" x14ac:dyDescent="0.2">
      <c r="A1525" s="417">
        <v>44501</v>
      </c>
      <c r="B1525" s="403">
        <f t="shared" si="15"/>
        <v>272174.19</v>
      </c>
      <c r="C1525" s="403">
        <f>C1524</f>
        <v>271974.19</v>
      </c>
      <c r="D1525" s="598">
        <v>200</v>
      </c>
    </row>
    <row r="1526" spans="1:4" x14ac:dyDescent="0.2">
      <c r="A1526" s="417">
        <v>44502</v>
      </c>
      <c r="B1526" s="403">
        <f t="shared" si="15"/>
        <v>272174.19</v>
      </c>
      <c r="C1526" s="403">
        <f t="shared" ref="C1526:C1564" si="16">C1525</f>
        <v>271974.19</v>
      </c>
      <c r="D1526" s="598">
        <v>200</v>
      </c>
    </row>
    <row r="1527" spans="1:4" x14ac:dyDescent="0.2">
      <c r="A1527" s="417">
        <v>44503</v>
      </c>
      <c r="B1527" s="403">
        <f t="shared" si="15"/>
        <v>260821.81</v>
      </c>
      <c r="C1527" s="403">
        <v>260621.81</v>
      </c>
      <c r="D1527" s="598">
        <v>200</v>
      </c>
    </row>
    <row r="1528" spans="1:4" x14ac:dyDescent="0.2">
      <c r="A1528" s="417">
        <v>44504</v>
      </c>
      <c r="B1528" s="403">
        <f t="shared" si="15"/>
        <v>260821.81</v>
      </c>
      <c r="C1528" s="403">
        <f t="shared" si="16"/>
        <v>260621.81</v>
      </c>
      <c r="D1528" s="598">
        <v>200</v>
      </c>
    </row>
    <row r="1529" spans="1:4" x14ac:dyDescent="0.2">
      <c r="A1529" s="417">
        <v>44505</v>
      </c>
      <c r="B1529" s="403">
        <f t="shared" si="15"/>
        <v>260821.81</v>
      </c>
      <c r="C1529" s="403">
        <f t="shared" si="16"/>
        <v>260621.81</v>
      </c>
      <c r="D1529" s="598">
        <v>200</v>
      </c>
    </row>
    <row r="1530" spans="1:4" x14ac:dyDescent="0.2">
      <c r="A1530" s="417">
        <v>44508</v>
      </c>
      <c r="B1530" s="445">
        <f t="shared" si="15"/>
        <v>224274.32</v>
      </c>
      <c r="C1530" s="403">
        <v>224074.32</v>
      </c>
      <c r="D1530" s="598">
        <v>200</v>
      </c>
    </row>
    <row r="1531" spans="1:4" x14ac:dyDescent="0.2">
      <c r="A1531" s="417">
        <v>44509</v>
      </c>
      <c r="B1531" s="403">
        <f t="shared" si="15"/>
        <v>239871.56</v>
      </c>
      <c r="C1531" s="403">
        <v>239671.56</v>
      </c>
      <c r="D1531" s="598">
        <v>200</v>
      </c>
    </row>
    <row r="1532" spans="1:4" x14ac:dyDescent="0.2">
      <c r="A1532" s="417">
        <v>44510</v>
      </c>
      <c r="B1532" s="403">
        <f t="shared" si="15"/>
        <v>260426.56</v>
      </c>
      <c r="C1532" s="403">
        <v>260226.56</v>
      </c>
      <c r="D1532" s="598">
        <v>200</v>
      </c>
    </row>
    <row r="1533" spans="1:4" x14ac:dyDescent="0.2">
      <c r="A1533" s="417">
        <v>44511</v>
      </c>
      <c r="B1533" s="403">
        <f t="shared" si="15"/>
        <v>260426.56</v>
      </c>
      <c r="C1533" s="403">
        <f t="shared" si="16"/>
        <v>260226.56</v>
      </c>
      <c r="D1533" s="598">
        <v>200</v>
      </c>
    </row>
    <row r="1534" spans="1:4" x14ac:dyDescent="0.2">
      <c r="A1534" s="417">
        <v>44512</v>
      </c>
      <c r="B1534" s="403">
        <f t="shared" si="15"/>
        <v>260450.57</v>
      </c>
      <c r="C1534" s="403">
        <v>260250.57</v>
      </c>
      <c r="D1534" s="598">
        <v>200</v>
      </c>
    </row>
    <row r="1535" spans="1:4" x14ac:dyDescent="0.2">
      <c r="A1535" s="417">
        <v>44515</v>
      </c>
      <c r="B1535" s="403">
        <f t="shared" si="15"/>
        <v>260178.68</v>
      </c>
      <c r="C1535" s="403">
        <v>259978.68</v>
      </c>
      <c r="D1535" s="598">
        <v>200</v>
      </c>
    </row>
    <row r="1536" spans="1:4" x14ac:dyDescent="0.2">
      <c r="A1536" s="417">
        <v>44516</v>
      </c>
      <c r="B1536" s="403">
        <f t="shared" si="15"/>
        <v>260178.68</v>
      </c>
      <c r="C1536" s="403">
        <f t="shared" si="16"/>
        <v>259978.68</v>
      </c>
      <c r="D1536" s="598">
        <v>200</v>
      </c>
    </row>
    <row r="1537" spans="1:4" x14ac:dyDescent="0.2">
      <c r="A1537" s="417">
        <v>44517</v>
      </c>
      <c r="B1537" s="403">
        <f t="shared" si="15"/>
        <v>260178.68</v>
      </c>
      <c r="C1537" s="403">
        <f t="shared" si="16"/>
        <v>259978.68</v>
      </c>
      <c r="D1537" s="598">
        <v>200</v>
      </c>
    </row>
    <row r="1538" spans="1:4" x14ac:dyDescent="0.2">
      <c r="A1538" s="417">
        <v>44518</v>
      </c>
      <c r="B1538" s="403">
        <f t="shared" si="15"/>
        <v>298441.25</v>
      </c>
      <c r="C1538" s="403">
        <v>298241.25</v>
      </c>
      <c r="D1538" s="598">
        <v>200</v>
      </c>
    </row>
    <row r="1539" spans="1:4" x14ac:dyDescent="0.2">
      <c r="A1539" s="417">
        <v>44519</v>
      </c>
      <c r="B1539" s="403">
        <f t="shared" si="15"/>
        <v>302391.25</v>
      </c>
      <c r="C1539" s="403">
        <v>302191.25</v>
      </c>
      <c r="D1539" s="598">
        <v>200</v>
      </c>
    </row>
    <row r="1540" spans="1:4" x14ac:dyDescent="0.2">
      <c r="A1540" s="417">
        <v>44522</v>
      </c>
      <c r="B1540" s="403">
        <f t="shared" si="15"/>
        <v>261860.06</v>
      </c>
      <c r="C1540" s="403">
        <v>261660.06</v>
      </c>
      <c r="D1540" s="598">
        <v>200</v>
      </c>
    </row>
    <row r="1541" spans="1:4" x14ac:dyDescent="0.2">
      <c r="A1541" s="417">
        <v>44523</v>
      </c>
      <c r="B1541" s="403">
        <f t="shared" si="15"/>
        <v>261860.06</v>
      </c>
      <c r="C1541" s="403">
        <f t="shared" si="16"/>
        <v>261660.06</v>
      </c>
      <c r="D1541" s="598">
        <v>200</v>
      </c>
    </row>
    <row r="1542" spans="1:4" x14ac:dyDescent="0.2">
      <c r="A1542" s="417">
        <v>44524</v>
      </c>
      <c r="B1542" s="403">
        <f t="shared" si="15"/>
        <v>336740.96</v>
      </c>
      <c r="C1542" s="403">
        <v>336540.96</v>
      </c>
      <c r="D1542" s="598">
        <v>200</v>
      </c>
    </row>
    <row r="1543" spans="1:4" x14ac:dyDescent="0.2">
      <c r="A1543" s="417">
        <v>44525</v>
      </c>
      <c r="B1543" s="403">
        <f t="shared" si="15"/>
        <v>336740.96</v>
      </c>
      <c r="C1543" s="403">
        <f t="shared" si="16"/>
        <v>336540.96</v>
      </c>
      <c r="D1543" s="598">
        <v>200</v>
      </c>
    </row>
    <row r="1544" spans="1:4" x14ac:dyDescent="0.2">
      <c r="A1544" s="417">
        <v>44526</v>
      </c>
      <c r="B1544" s="403">
        <f t="shared" si="15"/>
        <v>396383.57</v>
      </c>
      <c r="C1544" s="403">
        <v>396183.57</v>
      </c>
      <c r="D1544" s="598">
        <v>200</v>
      </c>
    </row>
    <row r="1545" spans="1:4" x14ac:dyDescent="0.2">
      <c r="A1545" s="417">
        <v>44529</v>
      </c>
      <c r="B1545" s="403">
        <f t="shared" si="15"/>
        <v>396383.57</v>
      </c>
      <c r="C1545" s="403">
        <f t="shared" si="16"/>
        <v>396183.57</v>
      </c>
      <c r="D1545" s="598">
        <v>200</v>
      </c>
    </row>
    <row r="1546" spans="1:4" x14ac:dyDescent="0.2">
      <c r="A1546" s="417">
        <v>44530</v>
      </c>
      <c r="B1546" s="403">
        <f t="shared" si="15"/>
        <v>396383.57</v>
      </c>
      <c r="C1546" s="403">
        <f t="shared" si="16"/>
        <v>396183.57</v>
      </c>
      <c r="D1546" s="598">
        <v>200</v>
      </c>
    </row>
    <row r="1547" spans="1:4" x14ac:dyDescent="0.2">
      <c r="A1547" s="417">
        <v>44531</v>
      </c>
      <c r="B1547" s="403">
        <f t="shared" si="15"/>
        <v>406646.33</v>
      </c>
      <c r="C1547" s="403">
        <v>406446.33</v>
      </c>
      <c r="D1547" s="598">
        <v>200</v>
      </c>
    </row>
    <row r="1548" spans="1:4" x14ac:dyDescent="0.2">
      <c r="A1548" s="417">
        <v>44532</v>
      </c>
      <c r="B1548" s="403">
        <f t="shared" si="15"/>
        <v>406646.33</v>
      </c>
      <c r="C1548" s="403">
        <f t="shared" si="16"/>
        <v>406446.33</v>
      </c>
      <c r="D1548" s="598">
        <v>200</v>
      </c>
    </row>
    <row r="1549" spans="1:4" x14ac:dyDescent="0.2">
      <c r="A1549" s="417">
        <v>44533</v>
      </c>
      <c r="B1549" s="403">
        <f t="shared" si="15"/>
        <v>402705.53</v>
      </c>
      <c r="C1549" s="403">
        <v>402505.53</v>
      </c>
      <c r="D1549" s="598">
        <v>200</v>
      </c>
    </row>
    <row r="1550" spans="1:4" x14ac:dyDescent="0.2">
      <c r="A1550" s="417">
        <v>44536</v>
      </c>
      <c r="B1550" s="403">
        <f t="shared" si="15"/>
        <v>402705.53</v>
      </c>
      <c r="C1550" s="403">
        <f t="shared" si="16"/>
        <v>402505.53</v>
      </c>
      <c r="D1550" s="598">
        <v>200</v>
      </c>
    </row>
    <row r="1551" spans="1:4" x14ac:dyDescent="0.2">
      <c r="A1551" s="417">
        <v>44537</v>
      </c>
      <c r="B1551" s="403">
        <f t="shared" si="15"/>
        <v>367227.88</v>
      </c>
      <c r="C1551" s="403">
        <v>367027.88</v>
      </c>
      <c r="D1551" s="598">
        <v>200</v>
      </c>
    </row>
    <row r="1552" spans="1:4" x14ac:dyDescent="0.2">
      <c r="A1552" s="417">
        <v>44538</v>
      </c>
      <c r="B1552" s="403">
        <f t="shared" si="15"/>
        <v>367227.88</v>
      </c>
      <c r="C1552" s="403">
        <f t="shared" si="16"/>
        <v>367027.88</v>
      </c>
      <c r="D1552" s="598">
        <v>200</v>
      </c>
    </row>
    <row r="1553" spans="1:4" x14ac:dyDescent="0.2">
      <c r="A1553" s="417">
        <v>44539</v>
      </c>
      <c r="B1553" s="403">
        <f t="shared" si="15"/>
        <v>361816.56</v>
      </c>
      <c r="C1553" s="403">
        <v>361616.56</v>
      </c>
      <c r="D1553" s="598">
        <v>200</v>
      </c>
    </row>
    <row r="1554" spans="1:4" x14ac:dyDescent="0.2">
      <c r="A1554" s="417">
        <v>44540</v>
      </c>
      <c r="B1554" s="403">
        <f t="shared" si="15"/>
        <v>363428.01</v>
      </c>
      <c r="C1554" s="403">
        <v>363228.01</v>
      </c>
      <c r="D1554" s="598">
        <v>200</v>
      </c>
    </row>
    <row r="1555" spans="1:4" x14ac:dyDescent="0.2">
      <c r="A1555" s="417">
        <v>44543</v>
      </c>
      <c r="B1555" s="403">
        <f t="shared" si="15"/>
        <v>363428.01</v>
      </c>
      <c r="C1555" s="403">
        <f t="shared" si="16"/>
        <v>363228.01</v>
      </c>
      <c r="D1555" s="598">
        <v>200</v>
      </c>
    </row>
    <row r="1556" spans="1:4" x14ac:dyDescent="0.2">
      <c r="A1556" s="417">
        <v>44544</v>
      </c>
      <c r="B1556" s="403">
        <f t="shared" si="15"/>
        <v>388311.01</v>
      </c>
      <c r="C1556" s="403">
        <v>388111.01</v>
      </c>
      <c r="D1556" s="598">
        <v>200</v>
      </c>
    </row>
    <row r="1557" spans="1:4" x14ac:dyDescent="0.2">
      <c r="A1557" s="417">
        <v>44545</v>
      </c>
      <c r="B1557" s="403">
        <f t="shared" si="15"/>
        <v>388648.09</v>
      </c>
      <c r="C1557" s="403">
        <v>388448.09</v>
      </c>
      <c r="D1557" s="598">
        <v>200</v>
      </c>
    </row>
    <row r="1558" spans="1:4" x14ac:dyDescent="0.2">
      <c r="A1558" s="417">
        <v>44546</v>
      </c>
      <c r="B1558" s="403">
        <f t="shared" si="15"/>
        <v>388648.09</v>
      </c>
      <c r="C1558" s="403">
        <f t="shared" si="16"/>
        <v>388448.09</v>
      </c>
      <c r="D1558" s="598">
        <v>200</v>
      </c>
    </row>
    <row r="1559" spans="1:4" x14ac:dyDescent="0.2">
      <c r="A1559" s="417">
        <v>44547</v>
      </c>
      <c r="B1559" s="403">
        <f t="shared" si="15"/>
        <v>388648.09</v>
      </c>
      <c r="C1559" s="403">
        <f t="shared" si="16"/>
        <v>388448.09</v>
      </c>
      <c r="D1559" s="598">
        <v>200</v>
      </c>
    </row>
    <row r="1560" spans="1:4" x14ac:dyDescent="0.2">
      <c r="A1560" s="417">
        <v>44550</v>
      </c>
      <c r="B1560" s="403">
        <f t="shared" si="15"/>
        <v>402388.44</v>
      </c>
      <c r="C1560" s="403">
        <v>402188.44</v>
      </c>
      <c r="D1560" s="598">
        <v>200</v>
      </c>
    </row>
    <row r="1561" spans="1:4" x14ac:dyDescent="0.2">
      <c r="A1561" s="417">
        <v>44551</v>
      </c>
      <c r="B1561" s="403">
        <f t="shared" si="15"/>
        <v>364870.61</v>
      </c>
      <c r="C1561" s="403">
        <v>364670.61</v>
      </c>
      <c r="D1561" s="598">
        <v>200</v>
      </c>
    </row>
    <row r="1562" spans="1:4" x14ac:dyDescent="0.2">
      <c r="A1562" s="417">
        <v>44552</v>
      </c>
      <c r="B1562" s="403">
        <f t="shared" si="15"/>
        <v>364870.61</v>
      </c>
      <c r="C1562" s="403">
        <f t="shared" si="16"/>
        <v>364670.61</v>
      </c>
      <c r="D1562" s="598">
        <v>200</v>
      </c>
    </row>
    <row r="1563" spans="1:4" x14ac:dyDescent="0.2">
      <c r="A1563" s="417">
        <v>44553</v>
      </c>
      <c r="B1563" s="403">
        <f t="shared" si="15"/>
        <v>364270.61</v>
      </c>
      <c r="C1563" s="403">
        <v>364070.61</v>
      </c>
      <c r="D1563" s="598">
        <v>200</v>
      </c>
    </row>
    <row r="1564" spans="1:4" x14ac:dyDescent="0.2">
      <c r="A1564" s="417">
        <v>44554</v>
      </c>
      <c r="B1564" s="403">
        <f t="shared" si="15"/>
        <v>364270.61</v>
      </c>
      <c r="C1564" s="403">
        <f t="shared" si="16"/>
        <v>364070.61</v>
      </c>
      <c r="D1564" s="598">
        <v>200</v>
      </c>
    </row>
    <row r="1565" spans="1:4" x14ac:dyDescent="0.2">
      <c r="A1565" s="417">
        <v>44557</v>
      </c>
      <c r="B1565" s="403">
        <f t="shared" si="15"/>
        <v>364511.61</v>
      </c>
      <c r="C1565" s="403">
        <v>364311.61</v>
      </c>
      <c r="D1565" s="598">
        <v>200</v>
      </c>
    </row>
    <row r="1566" spans="1:4" x14ac:dyDescent="0.2">
      <c r="A1566" s="417">
        <v>44558</v>
      </c>
      <c r="B1566" s="403">
        <f t="shared" si="15"/>
        <v>366287.78</v>
      </c>
      <c r="C1566" s="403">
        <v>366087.78</v>
      </c>
      <c r="D1566" s="598">
        <v>200</v>
      </c>
    </row>
    <row r="1567" spans="1:4" x14ac:dyDescent="0.2">
      <c r="A1567" s="417">
        <v>44559</v>
      </c>
      <c r="B1567" s="403">
        <f t="shared" si="15"/>
        <v>406505.93</v>
      </c>
      <c r="C1567" s="403">
        <v>406305.93</v>
      </c>
      <c r="D1567" s="598">
        <v>200</v>
      </c>
    </row>
    <row r="1568" spans="1:4" x14ac:dyDescent="0.2">
      <c r="A1568" s="417">
        <v>44560</v>
      </c>
      <c r="B1568" s="403">
        <f>C1568+D1568</f>
        <v>406602.93</v>
      </c>
      <c r="C1568" s="403">
        <v>406402.93</v>
      </c>
      <c r="D1568" s="598">
        <v>200</v>
      </c>
    </row>
    <row r="1569" spans="1:4" x14ac:dyDescent="0.2">
      <c r="A1569" s="417">
        <v>44561</v>
      </c>
      <c r="B1569" s="403">
        <f t="shared" si="15"/>
        <v>406700.45</v>
      </c>
      <c r="C1569" s="403">
        <v>406500.45</v>
      </c>
      <c r="D1569" s="598">
        <v>200</v>
      </c>
    </row>
    <row r="1570" spans="1:4" x14ac:dyDescent="0.2">
      <c r="A1570" s="417">
        <v>44564</v>
      </c>
      <c r="B1570" s="403">
        <f t="shared" si="15"/>
        <v>406650.45</v>
      </c>
      <c r="C1570" s="403">
        <v>406450.45</v>
      </c>
      <c r="D1570" s="598">
        <v>200</v>
      </c>
    </row>
    <row r="1571" spans="1:4" x14ac:dyDescent="0.2">
      <c r="A1571" s="417">
        <v>44565</v>
      </c>
      <c r="B1571" s="403">
        <f t="shared" si="15"/>
        <v>372842.39</v>
      </c>
      <c r="C1571" s="403">
        <v>372642.39</v>
      </c>
      <c r="D1571" s="598">
        <v>200</v>
      </c>
    </row>
    <row r="1572" spans="1:4" x14ac:dyDescent="0.2">
      <c r="A1572" s="417">
        <v>44566</v>
      </c>
      <c r="B1572" s="403">
        <f t="shared" si="15"/>
        <v>370078.36</v>
      </c>
      <c r="C1572" s="403">
        <v>369878.36</v>
      </c>
      <c r="D1572" s="598">
        <v>200</v>
      </c>
    </row>
    <row r="1573" spans="1:4" x14ac:dyDescent="0.2">
      <c r="A1573" s="417">
        <v>44567</v>
      </c>
      <c r="B1573" s="403">
        <f t="shared" si="15"/>
        <v>368257.32</v>
      </c>
      <c r="C1573" s="403">
        <v>368057.32</v>
      </c>
      <c r="D1573" s="598">
        <v>200</v>
      </c>
    </row>
    <row r="1574" spans="1:4" x14ac:dyDescent="0.2">
      <c r="A1574" s="417">
        <v>44568</v>
      </c>
      <c r="B1574" s="403">
        <f t="shared" si="15"/>
        <v>369146.3</v>
      </c>
      <c r="C1574" s="403">
        <v>368946.3</v>
      </c>
      <c r="D1574" s="598">
        <v>200</v>
      </c>
    </row>
    <row r="1575" spans="1:4" x14ac:dyDescent="0.2">
      <c r="A1575" s="417">
        <v>44571</v>
      </c>
      <c r="B1575" s="403">
        <f t="shared" si="15"/>
        <v>369146.3</v>
      </c>
      <c r="C1575" s="403">
        <f t="shared" ref="C1575:C1637" si="17">C1574</f>
        <v>368946.3</v>
      </c>
      <c r="D1575" s="598">
        <v>200</v>
      </c>
    </row>
    <row r="1576" spans="1:4" x14ac:dyDescent="0.2">
      <c r="A1576" s="417">
        <v>44572</v>
      </c>
      <c r="B1576" s="403">
        <f t="shared" si="15"/>
        <v>369146.3</v>
      </c>
      <c r="C1576" s="403">
        <f t="shared" si="17"/>
        <v>368946.3</v>
      </c>
      <c r="D1576" s="598">
        <v>200</v>
      </c>
    </row>
    <row r="1577" spans="1:4" x14ac:dyDescent="0.2">
      <c r="A1577" s="417">
        <v>44573</v>
      </c>
      <c r="B1577" s="403">
        <f t="shared" si="15"/>
        <v>369146.3</v>
      </c>
      <c r="C1577" s="403">
        <f t="shared" si="17"/>
        <v>368946.3</v>
      </c>
      <c r="D1577" s="598">
        <v>200</v>
      </c>
    </row>
    <row r="1578" spans="1:4" x14ac:dyDescent="0.2">
      <c r="A1578" s="417">
        <v>44574</v>
      </c>
      <c r="B1578" s="403">
        <f t="shared" si="15"/>
        <v>369318.3</v>
      </c>
      <c r="C1578" s="403">
        <v>369118.3</v>
      </c>
      <c r="D1578" s="598">
        <v>200</v>
      </c>
    </row>
    <row r="1579" spans="1:4" x14ac:dyDescent="0.2">
      <c r="A1579" s="417">
        <v>44575</v>
      </c>
      <c r="B1579" s="403">
        <f t="shared" si="15"/>
        <v>369357.16</v>
      </c>
      <c r="C1579" s="403">
        <v>369157.16</v>
      </c>
      <c r="D1579" s="598">
        <v>200</v>
      </c>
    </row>
    <row r="1580" spans="1:4" x14ac:dyDescent="0.2">
      <c r="A1580" s="417">
        <v>44578</v>
      </c>
      <c r="B1580" s="403">
        <f t="shared" si="15"/>
        <v>369357.16</v>
      </c>
      <c r="C1580" s="403">
        <f t="shared" si="17"/>
        <v>369157.16</v>
      </c>
      <c r="D1580" s="598">
        <v>200</v>
      </c>
    </row>
    <row r="1581" spans="1:4" x14ac:dyDescent="0.2">
      <c r="A1581" s="417">
        <v>44579</v>
      </c>
      <c r="B1581" s="403">
        <f t="shared" si="15"/>
        <v>328912.42</v>
      </c>
      <c r="C1581" s="403">
        <v>328712.42</v>
      </c>
      <c r="D1581" s="598">
        <v>200</v>
      </c>
    </row>
    <row r="1582" spans="1:4" x14ac:dyDescent="0.2">
      <c r="A1582" s="417">
        <v>44580</v>
      </c>
      <c r="B1582" s="403">
        <f t="shared" si="15"/>
        <v>324854.01</v>
      </c>
      <c r="C1582" s="403">
        <v>324654.01</v>
      </c>
      <c r="D1582" s="598">
        <v>200</v>
      </c>
    </row>
    <row r="1583" spans="1:4" x14ac:dyDescent="0.2">
      <c r="A1583" s="417">
        <v>44581</v>
      </c>
      <c r="B1583" s="403">
        <f t="shared" si="15"/>
        <v>373026.22</v>
      </c>
      <c r="C1583" s="403">
        <v>372826.22</v>
      </c>
      <c r="D1583" s="598">
        <v>200</v>
      </c>
    </row>
    <row r="1584" spans="1:4" ht="12.75" customHeight="1" x14ac:dyDescent="0.2">
      <c r="A1584" s="417">
        <v>44582</v>
      </c>
      <c r="B1584" s="403">
        <f t="shared" si="15"/>
        <v>372715.39</v>
      </c>
      <c r="C1584" s="403">
        <v>372515.39</v>
      </c>
      <c r="D1584" s="598">
        <v>200</v>
      </c>
    </row>
    <row r="1585" spans="1:4" x14ac:dyDescent="0.2">
      <c r="A1585" s="417">
        <v>44585</v>
      </c>
      <c r="B1585" s="403">
        <f t="shared" ref="B1585:B1648" si="18">C1585+D1585</f>
        <v>352413.78</v>
      </c>
      <c r="C1585" s="403">
        <v>352213.78</v>
      </c>
      <c r="D1585" s="598">
        <v>200</v>
      </c>
    </row>
    <row r="1586" spans="1:4" x14ac:dyDescent="0.2">
      <c r="A1586" s="417">
        <v>44586</v>
      </c>
      <c r="B1586" s="403">
        <f t="shared" si="18"/>
        <v>324543.71999999997</v>
      </c>
      <c r="C1586" s="403">
        <v>324343.71999999997</v>
      </c>
      <c r="D1586" s="598">
        <v>200</v>
      </c>
    </row>
    <row r="1587" spans="1:4" x14ac:dyDescent="0.2">
      <c r="A1587" s="417">
        <v>44587</v>
      </c>
      <c r="B1587" s="403">
        <f t="shared" si="18"/>
        <v>324510.76</v>
      </c>
      <c r="C1587" s="403">
        <v>324310.76</v>
      </c>
      <c r="D1587" s="598">
        <v>200</v>
      </c>
    </row>
    <row r="1588" spans="1:4" x14ac:dyDescent="0.2">
      <c r="A1588" s="417">
        <v>44588</v>
      </c>
      <c r="B1588" s="403">
        <f t="shared" si="18"/>
        <v>290902.11</v>
      </c>
      <c r="C1588" s="403">
        <v>290702.11</v>
      </c>
      <c r="D1588" s="598">
        <v>200</v>
      </c>
    </row>
    <row r="1589" spans="1:4" x14ac:dyDescent="0.2">
      <c r="A1589" s="417">
        <v>44589</v>
      </c>
      <c r="B1589" s="403">
        <f t="shared" si="18"/>
        <v>290902.11</v>
      </c>
      <c r="C1589" s="403">
        <f t="shared" si="17"/>
        <v>290702.11</v>
      </c>
      <c r="D1589" s="598">
        <v>200</v>
      </c>
    </row>
    <row r="1590" spans="1:4" x14ac:dyDescent="0.2">
      <c r="A1590" s="417">
        <v>44592</v>
      </c>
      <c r="B1590" s="403">
        <f t="shared" si="18"/>
        <v>309578.59999999998</v>
      </c>
      <c r="C1590" s="403">
        <v>309378.59999999998</v>
      </c>
      <c r="D1590" s="598">
        <v>200</v>
      </c>
    </row>
    <row r="1591" spans="1:4" x14ac:dyDescent="0.2">
      <c r="A1591" s="417">
        <v>44593</v>
      </c>
      <c r="B1591" s="403">
        <f t="shared" si="18"/>
        <v>292963.95</v>
      </c>
      <c r="C1591" s="403">
        <v>292763.95</v>
      </c>
      <c r="D1591" s="598">
        <v>200</v>
      </c>
    </row>
    <row r="1592" spans="1:4" x14ac:dyDescent="0.2">
      <c r="A1592" s="417">
        <v>44594</v>
      </c>
      <c r="B1592" s="403">
        <f t="shared" si="18"/>
        <v>345714.5</v>
      </c>
      <c r="C1592" s="403">
        <v>345514.5</v>
      </c>
      <c r="D1592" s="598">
        <v>200</v>
      </c>
    </row>
    <row r="1593" spans="1:4" x14ac:dyDescent="0.2">
      <c r="A1593" s="417">
        <v>44595</v>
      </c>
      <c r="B1593" s="403">
        <f t="shared" si="18"/>
        <v>344030.58</v>
      </c>
      <c r="C1593" s="403">
        <v>343830.58</v>
      </c>
      <c r="D1593" s="598">
        <v>200</v>
      </c>
    </row>
    <row r="1594" spans="1:4" x14ac:dyDescent="0.2">
      <c r="A1594" s="417">
        <v>44596</v>
      </c>
      <c r="B1594" s="403">
        <f t="shared" si="18"/>
        <v>387503.42</v>
      </c>
      <c r="C1594" s="403">
        <v>387303.42</v>
      </c>
      <c r="D1594" s="598">
        <v>200</v>
      </c>
    </row>
    <row r="1595" spans="1:4" x14ac:dyDescent="0.2">
      <c r="A1595" s="417">
        <v>44599</v>
      </c>
      <c r="B1595" s="403">
        <f t="shared" si="18"/>
        <v>387503.42</v>
      </c>
      <c r="C1595" s="403">
        <f t="shared" si="17"/>
        <v>387303.42</v>
      </c>
      <c r="D1595" s="598">
        <v>200</v>
      </c>
    </row>
    <row r="1596" spans="1:4" x14ac:dyDescent="0.2">
      <c r="A1596" s="417">
        <v>44600</v>
      </c>
      <c r="B1596" s="403">
        <f t="shared" si="18"/>
        <v>387503.42</v>
      </c>
      <c r="C1596" s="403">
        <f t="shared" si="17"/>
        <v>387303.42</v>
      </c>
      <c r="D1596" s="598">
        <v>200</v>
      </c>
    </row>
    <row r="1597" spans="1:4" x14ac:dyDescent="0.2">
      <c r="A1597" s="417">
        <v>44601</v>
      </c>
      <c r="B1597" s="403">
        <f t="shared" si="18"/>
        <v>387503.42</v>
      </c>
      <c r="C1597" s="403">
        <f t="shared" si="17"/>
        <v>387303.42</v>
      </c>
      <c r="D1597" s="598">
        <v>200</v>
      </c>
    </row>
    <row r="1598" spans="1:4" x14ac:dyDescent="0.2">
      <c r="A1598" s="417">
        <v>44602</v>
      </c>
      <c r="B1598" s="445">
        <f t="shared" si="18"/>
        <v>411517.59</v>
      </c>
      <c r="C1598" s="403">
        <v>411317.59</v>
      </c>
      <c r="D1598" s="598">
        <v>200</v>
      </c>
    </row>
    <row r="1599" spans="1:4" x14ac:dyDescent="0.2">
      <c r="A1599" s="417">
        <v>44603</v>
      </c>
      <c r="B1599" s="403">
        <f t="shared" si="18"/>
        <v>388476.71</v>
      </c>
      <c r="C1599" s="403">
        <v>388276.71</v>
      </c>
      <c r="D1599" s="598">
        <v>200</v>
      </c>
    </row>
    <row r="1600" spans="1:4" x14ac:dyDescent="0.2">
      <c r="A1600" s="417">
        <v>44606</v>
      </c>
      <c r="B1600" s="403">
        <f t="shared" si="18"/>
        <v>388476.71</v>
      </c>
      <c r="C1600" s="403">
        <f t="shared" si="17"/>
        <v>388276.71</v>
      </c>
      <c r="D1600" s="598">
        <v>200</v>
      </c>
    </row>
    <row r="1601" spans="1:4" x14ac:dyDescent="0.2">
      <c r="A1601" s="417">
        <v>44607</v>
      </c>
      <c r="B1601" s="403">
        <f t="shared" si="18"/>
        <v>350398.25</v>
      </c>
      <c r="C1601" s="403">
        <v>350198.25</v>
      </c>
      <c r="D1601" s="598">
        <v>200</v>
      </c>
    </row>
    <row r="1602" spans="1:4" x14ac:dyDescent="0.2">
      <c r="A1602" s="417">
        <v>44608</v>
      </c>
      <c r="B1602" s="403">
        <f t="shared" si="18"/>
        <v>350398.25</v>
      </c>
      <c r="C1602" s="403">
        <f t="shared" si="17"/>
        <v>350198.25</v>
      </c>
      <c r="D1602" s="598">
        <v>200</v>
      </c>
    </row>
    <row r="1603" spans="1:4" x14ac:dyDescent="0.2">
      <c r="A1603" s="417">
        <v>44609</v>
      </c>
      <c r="B1603" s="403">
        <f t="shared" si="18"/>
        <v>329726.17</v>
      </c>
      <c r="C1603" s="403">
        <v>329526.17</v>
      </c>
      <c r="D1603" s="598">
        <v>200</v>
      </c>
    </row>
    <row r="1604" spans="1:4" x14ac:dyDescent="0.2">
      <c r="A1604" s="417">
        <v>44610</v>
      </c>
      <c r="B1604" s="403">
        <f t="shared" si="18"/>
        <v>329566.19</v>
      </c>
      <c r="C1604" s="403">
        <v>329366.19</v>
      </c>
      <c r="D1604" s="598">
        <v>200</v>
      </c>
    </row>
    <row r="1605" spans="1:4" x14ac:dyDescent="0.2">
      <c r="A1605" s="417">
        <v>44613</v>
      </c>
      <c r="B1605" s="403">
        <f t="shared" si="18"/>
        <v>329566.19</v>
      </c>
      <c r="C1605" s="403">
        <f t="shared" si="17"/>
        <v>329366.19</v>
      </c>
      <c r="D1605" s="598">
        <v>200</v>
      </c>
    </row>
    <row r="1606" spans="1:4" x14ac:dyDescent="0.2">
      <c r="A1606" s="417">
        <v>44614</v>
      </c>
      <c r="B1606" s="403">
        <f t="shared" si="18"/>
        <v>329566.19</v>
      </c>
      <c r="C1606" s="403">
        <f t="shared" si="17"/>
        <v>329366.19</v>
      </c>
      <c r="D1606" s="598">
        <v>200</v>
      </c>
    </row>
    <row r="1607" spans="1:4" x14ac:dyDescent="0.2">
      <c r="A1607" s="417">
        <v>44615</v>
      </c>
      <c r="B1607" s="403">
        <f t="shared" si="18"/>
        <v>330827.17</v>
      </c>
      <c r="C1607" s="403">
        <v>330627.17</v>
      </c>
      <c r="D1607" s="598">
        <v>200</v>
      </c>
    </row>
    <row r="1608" spans="1:4" x14ac:dyDescent="0.2">
      <c r="A1608" s="417">
        <v>44616</v>
      </c>
      <c r="B1608" s="403">
        <f t="shared" si="18"/>
        <v>331382.17</v>
      </c>
      <c r="C1608" s="403">
        <v>331182.17</v>
      </c>
      <c r="D1608" s="598">
        <v>200</v>
      </c>
    </row>
    <row r="1609" spans="1:4" x14ac:dyDescent="0.2">
      <c r="A1609" s="417">
        <v>44617</v>
      </c>
      <c r="B1609" s="403">
        <f t="shared" si="18"/>
        <v>331382.17</v>
      </c>
      <c r="C1609" s="403">
        <f t="shared" si="17"/>
        <v>331182.17</v>
      </c>
      <c r="D1609" s="598">
        <v>200</v>
      </c>
    </row>
    <row r="1610" spans="1:4" x14ac:dyDescent="0.2">
      <c r="A1610" s="417">
        <v>44620</v>
      </c>
      <c r="B1610" s="403">
        <f t="shared" si="18"/>
        <v>331382.17</v>
      </c>
      <c r="C1610" s="403">
        <f t="shared" si="17"/>
        <v>331182.17</v>
      </c>
      <c r="D1610" s="598">
        <v>200</v>
      </c>
    </row>
    <row r="1611" spans="1:4" x14ac:dyDescent="0.2">
      <c r="A1611" s="417">
        <v>44621</v>
      </c>
      <c r="B1611" s="403">
        <f t="shared" si="18"/>
        <v>293888.99</v>
      </c>
      <c r="C1611" s="403">
        <v>293688.99</v>
      </c>
      <c r="D1611" s="598">
        <v>200</v>
      </c>
    </row>
    <row r="1612" spans="1:4" x14ac:dyDescent="0.2">
      <c r="A1612" s="417">
        <v>44622</v>
      </c>
      <c r="B1612" s="403">
        <f t="shared" si="18"/>
        <v>321342.32</v>
      </c>
      <c r="C1612" s="403">
        <v>321142.32</v>
      </c>
      <c r="D1612" s="598">
        <v>200</v>
      </c>
    </row>
    <row r="1613" spans="1:4" x14ac:dyDescent="0.2">
      <c r="A1613" s="417">
        <v>44623</v>
      </c>
      <c r="B1613" s="403">
        <f t="shared" si="18"/>
        <v>328875.55</v>
      </c>
      <c r="C1613" s="403">
        <v>328675.55</v>
      </c>
      <c r="D1613" s="598">
        <v>200</v>
      </c>
    </row>
    <row r="1614" spans="1:4" x14ac:dyDescent="0.2">
      <c r="A1614" s="417">
        <v>44624</v>
      </c>
      <c r="B1614" s="403">
        <f t="shared" si="18"/>
        <v>311978.17</v>
      </c>
      <c r="C1614" s="403">
        <v>311778.17</v>
      </c>
      <c r="D1614" s="598">
        <v>200</v>
      </c>
    </row>
    <row r="1615" spans="1:4" x14ac:dyDescent="0.2">
      <c r="A1615" s="417">
        <v>44627</v>
      </c>
      <c r="B1615" s="403">
        <f t="shared" si="18"/>
        <v>311978.17</v>
      </c>
      <c r="C1615" s="403">
        <f t="shared" si="17"/>
        <v>311778.17</v>
      </c>
      <c r="D1615" s="598">
        <v>200</v>
      </c>
    </row>
    <row r="1616" spans="1:4" x14ac:dyDescent="0.2">
      <c r="A1616" s="417">
        <v>44628</v>
      </c>
      <c r="B1616" s="403">
        <f t="shared" si="18"/>
        <v>323791.65000000002</v>
      </c>
      <c r="C1616" s="403">
        <v>323591.65000000002</v>
      </c>
      <c r="D1616" s="598">
        <v>200</v>
      </c>
    </row>
    <row r="1617" spans="1:4" x14ac:dyDescent="0.2">
      <c r="A1617" s="417">
        <v>44629</v>
      </c>
      <c r="B1617" s="403">
        <f t="shared" si="18"/>
        <v>323791.65000000002</v>
      </c>
      <c r="C1617" s="403">
        <f t="shared" si="17"/>
        <v>323591.65000000002</v>
      </c>
      <c r="D1617" s="598">
        <v>200</v>
      </c>
    </row>
    <row r="1618" spans="1:4" x14ac:dyDescent="0.2">
      <c r="A1618" s="417">
        <v>44630</v>
      </c>
      <c r="B1618" s="403">
        <f t="shared" si="18"/>
        <v>304395.95</v>
      </c>
      <c r="C1618" s="403">
        <v>304195.95</v>
      </c>
      <c r="D1618" s="598">
        <v>200</v>
      </c>
    </row>
    <row r="1619" spans="1:4" x14ac:dyDescent="0.2">
      <c r="A1619" s="417">
        <v>44631</v>
      </c>
      <c r="B1619" s="403">
        <f t="shared" si="18"/>
        <v>304395.95</v>
      </c>
      <c r="C1619" s="403">
        <f t="shared" si="17"/>
        <v>304195.95</v>
      </c>
      <c r="D1619" s="598">
        <v>200</v>
      </c>
    </row>
    <row r="1620" spans="1:4" x14ac:dyDescent="0.2">
      <c r="A1620" s="417">
        <v>44634</v>
      </c>
      <c r="B1620" s="403">
        <f t="shared" si="18"/>
        <v>304395.95</v>
      </c>
      <c r="C1620" s="403">
        <f t="shared" si="17"/>
        <v>304195.95</v>
      </c>
      <c r="D1620" s="598">
        <v>200</v>
      </c>
    </row>
    <row r="1621" spans="1:4" x14ac:dyDescent="0.2">
      <c r="A1621" s="417">
        <v>44635</v>
      </c>
      <c r="B1621" s="403">
        <f t="shared" si="18"/>
        <v>354177.58</v>
      </c>
      <c r="C1621" s="403">
        <v>353977.58</v>
      </c>
      <c r="D1621" s="598">
        <v>200</v>
      </c>
    </row>
    <row r="1622" spans="1:4" x14ac:dyDescent="0.2">
      <c r="A1622" s="417">
        <v>44636</v>
      </c>
      <c r="B1622" s="403">
        <f t="shared" si="18"/>
        <v>354177.58</v>
      </c>
      <c r="C1622" s="403">
        <f t="shared" si="17"/>
        <v>353977.58</v>
      </c>
      <c r="D1622" s="598">
        <v>200</v>
      </c>
    </row>
    <row r="1623" spans="1:4" x14ac:dyDescent="0.2">
      <c r="A1623" s="417">
        <v>44637</v>
      </c>
      <c r="B1623" s="403">
        <f t="shared" si="18"/>
        <v>272443</v>
      </c>
      <c r="C1623" s="403">
        <v>272243</v>
      </c>
      <c r="D1623" s="598">
        <v>200</v>
      </c>
    </row>
    <row r="1624" spans="1:4" x14ac:dyDescent="0.2">
      <c r="A1624" s="417">
        <v>44638</v>
      </c>
      <c r="B1624" s="403">
        <f t="shared" si="18"/>
        <v>271968.02</v>
      </c>
      <c r="C1624" s="403">
        <v>271768.02</v>
      </c>
      <c r="D1624" s="598">
        <v>200</v>
      </c>
    </row>
    <row r="1625" spans="1:4" x14ac:dyDescent="0.2">
      <c r="A1625" s="417">
        <v>44641</v>
      </c>
      <c r="B1625" s="403">
        <f t="shared" si="18"/>
        <v>287143.02</v>
      </c>
      <c r="C1625" s="403">
        <v>286943.02</v>
      </c>
      <c r="D1625" s="598">
        <v>200</v>
      </c>
    </row>
    <row r="1626" spans="1:4" x14ac:dyDescent="0.2">
      <c r="A1626" s="417">
        <v>44642</v>
      </c>
      <c r="B1626" s="403">
        <f t="shared" si="18"/>
        <v>287143.02</v>
      </c>
      <c r="C1626" s="403">
        <f t="shared" si="17"/>
        <v>286943.02</v>
      </c>
      <c r="D1626" s="598">
        <v>200</v>
      </c>
    </row>
    <row r="1627" spans="1:4" x14ac:dyDescent="0.2">
      <c r="A1627" s="417">
        <v>44643</v>
      </c>
      <c r="B1627" s="403">
        <f t="shared" si="18"/>
        <v>171561.3</v>
      </c>
      <c r="C1627" s="403">
        <v>171361.3</v>
      </c>
      <c r="D1627" s="598">
        <v>200</v>
      </c>
    </row>
    <row r="1628" spans="1:4" x14ac:dyDescent="0.2">
      <c r="A1628" s="417">
        <v>44644</v>
      </c>
      <c r="B1628" s="403">
        <f t="shared" si="18"/>
        <v>171561.3</v>
      </c>
      <c r="C1628" s="403">
        <f t="shared" si="17"/>
        <v>171361.3</v>
      </c>
      <c r="D1628" s="598">
        <v>200</v>
      </c>
    </row>
    <row r="1629" spans="1:4" x14ac:dyDescent="0.2">
      <c r="A1629" s="417">
        <v>44645</v>
      </c>
      <c r="B1629" s="403">
        <f t="shared" si="18"/>
        <v>194069.16</v>
      </c>
      <c r="C1629" s="403">
        <v>193869.16</v>
      </c>
      <c r="D1629" s="598">
        <v>200</v>
      </c>
    </row>
    <row r="1630" spans="1:4" x14ac:dyDescent="0.2">
      <c r="A1630" s="417">
        <v>44648</v>
      </c>
      <c r="B1630" s="403">
        <f t="shared" si="18"/>
        <v>184965.34</v>
      </c>
      <c r="C1630" s="403">
        <v>184765.34</v>
      </c>
      <c r="D1630" s="598">
        <v>200</v>
      </c>
    </row>
    <row r="1631" spans="1:4" x14ac:dyDescent="0.2">
      <c r="A1631" s="417">
        <v>44649</v>
      </c>
      <c r="B1631" s="403">
        <f t="shared" si="18"/>
        <v>140741.59</v>
      </c>
      <c r="C1631" s="403">
        <v>140541.59</v>
      </c>
      <c r="D1631" s="598">
        <v>200</v>
      </c>
    </row>
    <row r="1632" spans="1:4" x14ac:dyDescent="0.2">
      <c r="A1632" s="417">
        <v>44650</v>
      </c>
      <c r="B1632" s="445">
        <f t="shared" si="18"/>
        <v>140708.63</v>
      </c>
      <c r="C1632" s="403">
        <v>140508.63</v>
      </c>
      <c r="D1632" s="598">
        <v>200</v>
      </c>
    </row>
    <row r="1633" spans="1:4" x14ac:dyDescent="0.2">
      <c r="A1633" s="417">
        <v>44651</v>
      </c>
      <c r="B1633" s="403">
        <f t="shared" si="18"/>
        <v>281239.25</v>
      </c>
      <c r="C1633" s="403">
        <v>281039.25</v>
      </c>
      <c r="D1633" s="598">
        <v>200</v>
      </c>
    </row>
    <row r="1634" spans="1:4" x14ac:dyDescent="0.2">
      <c r="A1634" s="417">
        <v>44652</v>
      </c>
      <c r="B1634" s="403">
        <f t="shared" si="18"/>
        <v>283716.02</v>
      </c>
      <c r="C1634" s="403">
        <v>283516.02</v>
      </c>
      <c r="D1634" s="598">
        <v>200</v>
      </c>
    </row>
    <row r="1635" spans="1:4" x14ac:dyDescent="0.2">
      <c r="A1635" s="417">
        <v>44655</v>
      </c>
      <c r="B1635" s="403">
        <f t="shared" si="18"/>
        <v>283716.02</v>
      </c>
      <c r="C1635" s="403">
        <f t="shared" si="17"/>
        <v>283516.02</v>
      </c>
      <c r="D1635" s="598">
        <v>200</v>
      </c>
    </row>
    <row r="1636" spans="1:4" x14ac:dyDescent="0.2">
      <c r="A1636" s="417">
        <v>44656</v>
      </c>
      <c r="B1636" s="403">
        <f t="shared" si="18"/>
        <v>300477.89</v>
      </c>
      <c r="C1636" s="403">
        <v>300277.89</v>
      </c>
      <c r="D1636" s="598">
        <v>200</v>
      </c>
    </row>
    <row r="1637" spans="1:4" x14ac:dyDescent="0.2">
      <c r="A1637" s="417">
        <v>44657</v>
      </c>
      <c r="B1637" s="403">
        <f t="shared" si="18"/>
        <v>300477.89</v>
      </c>
      <c r="C1637" s="403">
        <f t="shared" si="17"/>
        <v>300277.89</v>
      </c>
      <c r="D1637" s="598">
        <v>200</v>
      </c>
    </row>
    <row r="1638" spans="1:4" x14ac:dyDescent="0.2">
      <c r="A1638" s="417">
        <v>44658</v>
      </c>
      <c r="B1638" s="403">
        <f t="shared" si="18"/>
        <v>301029.09000000003</v>
      </c>
      <c r="C1638" s="403">
        <v>300829.09000000003</v>
      </c>
      <c r="D1638" s="598">
        <v>200</v>
      </c>
    </row>
    <row r="1639" spans="1:4" x14ac:dyDescent="0.2">
      <c r="A1639" s="417">
        <v>44659</v>
      </c>
      <c r="B1639" s="403">
        <f t="shared" si="18"/>
        <v>296794.44</v>
      </c>
      <c r="C1639" s="403">
        <v>296594.44</v>
      </c>
      <c r="D1639" s="598">
        <v>200</v>
      </c>
    </row>
    <row r="1640" spans="1:4" x14ac:dyDescent="0.2">
      <c r="A1640" s="417">
        <v>44662</v>
      </c>
      <c r="B1640" s="403">
        <f t="shared" si="18"/>
        <v>296989.44</v>
      </c>
      <c r="C1640" s="403">
        <v>296789.44</v>
      </c>
      <c r="D1640" s="598">
        <v>200</v>
      </c>
    </row>
    <row r="1641" spans="1:4" x14ac:dyDescent="0.2">
      <c r="A1641" s="417">
        <v>44663</v>
      </c>
      <c r="B1641" s="403">
        <f t="shared" si="18"/>
        <v>274755.46000000002</v>
      </c>
      <c r="C1641" s="403">
        <v>274555.46000000002</v>
      </c>
      <c r="D1641" s="598">
        <v>200</v>
      </c>
    </row>
    <row r="1642" spans="1:4" x14ac:dyDescent="0.2">
      <c r="A1642" s="417">
        <v>44664</v>
      </c>
      <c r="B1642" s="403">
        <f t="shared" si="18"/>
        <v>274755.46000000002</v>
      </c>
      <c r="C1642" s="403">
        <f t="shared" ref="C1642:C1656" si="19">C1641</f>
        <v>274555.46000000002</v>
      </c>
      <c r="D1642" s="598">
        <v>200</v>
      </c>
    </row>
    <row r="1643" spans="1:4" x14ac:dyDescent="0.2">
      <c r="A1643" s="417">
        <v>44665</v>
      </c>
      <c r="B1643" s="403">
        <f t="shared" si="18"/>
        <v>273817.88</v>
      </c>
      <c r="C1643" s="403">
        <v>273617.88</v>
      </c>
      <c r="D1643" s="598">
        <v>200</v>
      </c>
    </row>
    <row r="1644" spans="1:4" x14ac:dyDescent="0.2">
      <c r="A1644" s="417">
        <v>44666</v>
      </c>
      <c r="B1644" s="403">
        <f t="shared" si="18"/>
        <v>273375.03999999998</v>
      </c>
      <c r="C1644" s="403">
        <v>273175.03999999998</v>
      </c>
      <c r="D1644" s="598">
        <v>200</v>
      </c>
    </row>
    <row r="1645" spans="1:4" x14ac:dyDescent="0.2">
      <c r="A1645" s="417">
        <v>44669</v>
      </c>
      <c r="B1645" s="403">
        <f t="shared" si="18"/>
        <v>306978.36</v>
      </c>
      <c r="C1645" s="403">
        <v>306778.36</v>
      </c>
      <c r="D1645" s="598">
        <v>200</v>
      </c>
    </row>
    <row r="1646" spans="1:4" x14ac:dyDescent="0.2">
      <c r="A1646" s="417">
        <v>44670</v>
      </c>
      <c r="B1646" s="403">
        <f t="shared" si="18"/>
        <v>306978.36</v>
      </c>
      <c r="C1646" s="403">
        <f t="shared" si="19"/>
        <v>306778.36</v>
      </c>
      <c r="D1646" s="598">
        <v>200</v>
      </c>
    </row>
    <row r="1647" spans="1:4" x14ac:dyDescent="0.2">
      <c r="A1647" s="417">
        <v>44671</v>
      </c>
      <c r="B1647" s="403">
        <f t="shared" si="18"/>
        <v>266613.8</v>
      </c>
      <c r="C1647" s="403">
        <v>266413.8</v>
      </c>
      <c r="D1647" s="598">
        <v>200</v>
      </c>
    </row>
    <row r="1648" spans="1:4" x14ac:dyDescent="0.2">
      <c r="A1648" s="417">
        <v>44672</v>
      </c>
      <c r="B1648" s="403">
        <f t="shared" si="18"/>
        <v>271958.33</v>
      </c>
      <c r="C1648" s="403">
        <v>271758.33</v>
      </c>
      <c r="D1648" s="598">
        <v>200</v>
      </c>
    </row>
    <row r="1649" spans="1:4" x14ac:dyDescent="0.2">
      <c r="A1649" s="417">
        <v>44673</v>
      </c>
      <c r="B1649" s="403">
        <f t="shared" ref="B1649:B1655" si="20">C1649+D1649</f>
        <v>271799.48</v>
      </c>
      <c r="C1649" s="403">
        <v>271599.48</v>
      </c>
      <c r="D1649" s="598">
        <v>200</v>
      </c>
    </row>
    <row r="1650" spans="1:4" x14ac:dyDescent="0.2">
      <c r="A1650" s="417">
        <v>44676</v>
      </c>
      <c r="B1650" s="403">
        <f t="shared" si="20"/>
        <v>271799.48</v>
      </c>
      <c r="C1650" s="403">
        <f t="shared" si="19"/>
        <v>271599.48</v>
      </c>
      <c r="D1650" s="598">
        <v>200</v>
      </c>
    </row>
    <row r="1651" spans="1:4" x14ac:dyDescent="0.2">
      <c r="A1651" s="417">
        <v>44677</v>
      </c>
      <c r="B1651" s="403">
        <f t="shared" si="20"/>
        <v>231449.55</v>
      </c>
      <c r="C1651" s="403">
        <v>231249.55</v>
      </c>
      <c r="D1651" s="598">
        <v>200</v>
      </c>
    </row>
    <row r="1652" spans="1:4" x14ac:dyDescent="0.2">
      <c r="A1652" s="417">
        <v>44678</v>
      </c>
      <c r="B1652" s="403">
        <f t="shared" si="20"/>
        <v>255926.54</v>
      </c>
      <c r="C1652" s="403">
        <v>255726.54</v>
      </c>
      <c r="D1652" s="598">
        <v>200</v>
      </c>
    </row>
    <row r="1653" spans="1:4" x14ac:dyDescent="0.2">
      <c r="A1653" s="417">
        <v>44679</v>
      </c>
      <c r="B1653" s="403">
        <f t="shared" si="20"/>
        <v>256457.54</v>
      </c>
      <c r="C1653" s="403">
        <v>256257.54</v>
      </c>
      <c r="D1653" s="598">
        <v>200</v>
      </c>
    </row>
    <row r="1654" spans="1:4" x14ac:dyDescent="0.2">
      <c r="A1654" s="417">
        <v>44680</v>
      </c>
      <c r="B1654" s="403">
        <f t="shared" si="20"/>
        <v>255982.56</v>
      </c>
      <c r="C1654" s="403">
        <v>255782.56</v>
      </c>
      <c r="D1654" s="598">
        <v>200</v>
      </c>
    </row>
    <row r="1655" spans="1:4" x14ac:dyDescent="0.2">
      <c r="A1655" s="417">
        <v>44683</v>
      </c>
      <c r="B1655" s="403">
        <f t="shared" si="20"/>
        <v>255982.56</v>
      </c>
      <c r="C1655" s="403">
        <f t="shared" si="19"/>
        <v>255782.56</v>
      </c>
      <c r="D1655" s="598">
        <v>200</v>
      </c>
    </row>
    <row r="1656" spans="1:4" x14ac:dyDescent="0.2">
      <c r="A1656" s="417">
        <v>44684</v>
      </c>
      <c r="B1656" s="403">
        <f t="shared" ref="B1656:B1659" si="21">C1656+D1656</f>
        <v>255982.56</v>
      </c>
      <c r="C1656" s="403">
        <f t="shared" si="19"/>
        <v>255782.56</v>
      </c>
      <c r="D1656" s="598">
        <v>200</v>
      </c>
    </row>
    <row r="1657" spans="1:4" x14ac:dyDescent="0.2">
      <c r="A1657" s="417">
        <v>44685</v>
      </c>
      <c r="B1657" s="403">
        <f t="shared" si="21"/>
        <v>237408.49</v>
      </c>
      <c r="C1657" s="403">
        <v>237208.49</v>
      </c>
      <c r="D1657" s="598">
        <v>200</v>
      </c>
    </row>
    <row r="1658" spans="1:4" x14ac:dyDescent="0.2">
      <c r="A1658" s="417">
        <v>44686</v>
      </c>
      <c r="B1658" s="403">
        <f t="shared" si="21"/>
        <v>237595.16</v>
      </c>
      <c r="C1658" s="403">
        <v>237395.16</v>
      </c>
      <c r="D1658" s="598">
        <v>200</v>
      </c>
    </row>
    <row r="1659" spans="1:4" x14ac:dyDescent="0.2">
      <c r="A1659" s="417">
        <v>44687</v>
      </c>
      <c r="B1659" s="403">
        <f t="shared" si="21"/>
        <v>237595.16</v>
      </c>
      <c r="C1659" s="403">
        <f>C1658</f>
        <v>237395.16</v>
      </c>
      <c r="D1659" s="598">
        <v>200</v>
      </c>
    </row>
    <row r="1660" spans="1:4" x14ac:dyDescent="0.2">
      <c r="A1660" s="417">
        <v>44690</v>
      </c>
      <c r="B1660" s="403">
        <f t="shared" ref="B1660:B1664" si="22">C1660+D1660</f>
        <v>237595.16</v>
      </c>
      <c r="C1660" s="403">
        <f>C1659</f>
        <v>237395.16</v>
      </c>
      <c r="D1660" s="598">
        <v>200</v>
      </c>
    </row>
    <row r="1661" spans="1:4" x14ac:dyDescent="0.2">
      <c r="A1661" s="417">
        <v>44691</v>
      </c>
      <c r="B1661" s="403">
        <f t="shared" si="22"/>
        <v>198176.08</v>
      </c>
      <c r="C1661" s="403">
        <v>197976.08</v>
      </c>
      <c r="D1661" s="598">
        <v>200</v>
      </c>
    </row>
    <row r="1662" spans="1:4" x14ac:dyDescent="0.2">
      <c r="A1662" s="417">
        <v>44692</v>
      </c>
      <c r="B1662" s="403">
        <f t="shared" si="22"/>
        <v>206509.41</v>
      </c>
      <c r="C1662" s="403">
        <v>206309.41</v>
      </c>
      <c r="D1662" s="598">
        <v>200</v>
      </c>
    </row>
    <row r="1663" spans="1:4" x14ac:dyDescent="0.2">
      <c r="A1663" s="417">
        <v>44693</v>
      </c>
      <c r="B1663" s="403">
        <f t="shared" si="22"/>
        <v>196309.39</v>
      </c>
      <c r="C1663" s="403">
        <v>196109.39</v>
      </c>
      <c r="D1663" s="598">
        <v>200</v>
      </c>
    </row>
    <row r="1664" spans="1:4" x14ac:dyDescent="0.2">
      <c r="A1664" s="417">
        <v>44694</v>
      </c>
      <c r="B1664" s="403">
        <f t="shared" si="22"/>
        <v>217592.12</v>
      </c>
      <c r="C1664" s="403">
        <v>217392.12</v>
      </c>
      <c r="D1664" s="598">
        <v>200</v>
      </c>
    </row>
    <row r="1665" spans="1:4" x14ac:dyDescent="0.2">
      <c r="A1665" s="417">
        <v>44697</v>
      </c>
      <c r="B1665" s="403">
        <f t="shared" ref="B1665:B1801" si="23">C1665+D1665</f>
        <v>217592.12</v>
      </c>
      <c r="C1665" s="403">
        <f t="shared" ref="C1665:C1707" si="24">C1664</f>
        <v>217392.12</v>
      </c>
      <c r="D1665" s="598">
        <v>200</v>
      </c>
    </row>
    <row r="1666" spans="1:4" x14ac:dyDescent="0.2">
      <c r="A1666" s="417">
        <v>44698</v>
      </c>
      <c r="B1666" s="403">
        <f t="shared" si="23"/>
        <v>217592.12</v>
      </c>
      <c r="C1666" s="403">
        <f t="shared" si="24"/>
        <v>217392.12</v>
      </c>
      <c r="D1666" s="598">
        <v>200</v>
      </c>
    </row>
    <row r="1667" spans="1:4" x14ac:dyDescent="0.2">
      <c r="A1667" s="417">
        <v>44699</v>
      </c>
      <c r="B1667" s="403">
        <f t="shared" si="23"/>
        <v>217592.12</v>
      </c>
      <c r="C1667" s="403">
        <f t="shared" si="24"/>
        <v>217392.12</v>
      </c>
      <c r="D1667" s="598">
        <v>200</v>
      </c>
    </row>
    <row r="1668" spans="1:4" x14ac:dyDescent="0.2">
      <c r="A1668" s="417">
        <v>44700</v>
      </c>
      <c r="B1668" s="403">
        <f t="shared" si="23"/>
        <v>221731.08</v>
      </c>
      <c r="C1668" s="403">
        <v>221531.08</v>
      </c>
      <c r="D1668" s="598">
        <v>200</v>
      </c>
    </row>
    <row r="1669" spans="1:4" x14ac:dyDescent="0.2">
      <c r="A1669" s="417">
        <v>44701</v>
      </c>
      <c r="B1669" s="403">
        <f t="shared" si="23"/>
        <v>217798.74</v>
      </c>
      <c r="C1669" s="403">
        <v>217598.74</v>
      </c>
      <c r="D1669" s="598">
        <v>200</v>
      </c>
    </row>
    <row r="1670" spans="1:4" x14ac:dyDescent="0.2">
      <c r="A1670" s="417">
        <v>44704</v>
      </c>
      <c r="B1670" s="403">
        <f t="shared" si="23"/>
        <v>176485.8</v>
      </c>
      <c r="C1670" s="403">
        <v>176285.8</v>
      </c>
      <c r="D1670" s="598">
        <v>200</v>
      </c>
    </row>
    <row r="1671" spans="1:4" x14ac:dyDescent="0.2">
      <c r="A1671" s="417">
        <v>44705</v>
      </c>
      <c r="B1671" s="403">
        <f t="shared" si="23"/>
        <v>176485.8</v>
      </c>
      <c r="C1671" s="403">
        <f t="shared" si="24"/>
        <v>176285.8</v>
      </c>
      <c r="D1671" s="598">
        <v>200</v>
      </c>
    </row>
    <row r="1672" spans="1:4" x14ac:dyDescent="0.2">
      <c r="A1672" s="417">
        <v>44706</v>
      </c>
      <c r="B1672" s="403">
        <f t="shared" si="23"/>
        <v>176485.8</v>
      </c>
      <c r="C1672" s="403">
        <f t="shared" si="24"/>
        <v>176285.8</v>
      </c>
      <c r="D1672" s="598">
        <v>200</v>
      </c>
    </row>
    <row r="1673" spans="1:4" x14ac:dyDescent="0.2">
      <c r="A1673" s="417">
        <v>44707</v>
      </c>
      <c r="B1673" s="403">
        <f t="shared" si="23"/>
        <v>317719.40999999997</v>
      </c>
      <c r="C1673" s="403">
        <v>317519.40999999997</v>
      </c>
      <c r="D1673" s="598">
        <v>200</v>
      </c>
    </row>
    <row r="1674" spans="1:4" x14ac:dyDescent="0.2">
      <c r="A1674" s="417">
        <v>44708</v>
      </c>
      <c r="B1674" s="403">
        <f t="shared" si="23"/>
        <v>317244.43</v>
      </c>
      <c r="C1674" s="403">
        <v>317044.43</v>
      </c>
      <c r="D1674" s="598">
        <v>200</v>
      </c>
    </row>
    <row r="1675" spans="1:4" x14ac:dyDescent="0.2">
      <c r="A1675" s="417">
        <v>44711</v>
      </c>
      <c r="B1675" s="403">
        <f t="shared" si="23"/>
        <v>317244.43</v>
      </c>
      <c r="C1675" s="403">
        <f t="shared" si="24"/>
        <v>317044.43</v>
      </c>
      <c r="D1675" s="598">
        <v>200</v>
      </c>
    </row>
    <row r="1676" spans="1:4" x14ac:dyDescent="0.2">
      <c r="A1676" s="417">
        <v>44712</v>
      </c>
      <c r="B1676" s="403">
        <f t="shared" si="23"/>
        <v>317244.43</v>
      </c>
      <c r="C1676" s="403">
        <f t="shared" si="24"/>
        <v>317044.43</v>
      </c>
      <c r="D1676" s="598">
        <v>200</v>
      </c>
    </row>
    <row r="1677" spans="1:4" x14ac:dyDescent="0.2">
      <c r="A1677" s="417">
        <v>44713</v>
      </c>
      <c r="B1677" s="403">
        <f t="shared" si="23"/>
        <v>317244.43</v>
      </c>
      <c r="C1677" s="403">
        <f t="shared" si="24"/>
        <v>317044.43</v>
      </c>
      <c r="D1677" s="598">
        <v>200</v>
      </c>
    </row>
    <row r="1678" spans="1:4" x14ac:dyDescent="0.2">
      <c r="A1678" s="417">
        <v>44714</v>
      </c>
      <c r="B1678" s="403">
        <f t="shared" si="23"/>
        <v>317244.43</v>
      </c>
      <c r="C1678" s="403">
        <f t="shared" si="24"/>
        <v>317044.43</v>
      </c>
      <c r="D1678" s="598">
        <v>200</v>
      </c>
    </row>
    <row r="1679" spans="1:4" x14ac:dyDescent="0.2">
      <c r="A1679" s="417">
        <v>44715</v>
      </c>
      <c r="B1679" s="403">
        <f t="shared" si="23"/>
        <v>311632.77</v>
      </c>
      <c r="C1679" s="403">
        <v>311432.77</v>
      </c>
      <c r="D1679" s="598">
        <v>200</v>
      </c>
    </row>
    <row r="1680" spans="1:4" x14ac:dyDescent="0.2">
      <c r="A1680" s="417">
        <v>44718</v>
      </c>
      <c r="B1680" s="403">
        <f t="shared" si="23"/>
        <v>311632.77</v>
      </c>
      <c r="C1680" s="403">
        <f t="shared" si="24"/>
        <v>311432.77</v>
      </c>
      <c r="D1680" s="598">
        <v>200</v>
      </c>
    </row>
    <row r="1681" spans="1:4" x14ac:dyDescent="0.2">
      <c r="A1681" s="417">
        <v>44719</v>
      </c>
      <c r="B1681" s="403">
        <f t="shared" si="23"/>
        <v>272576.3</v>
      </c>
      <c r="C1681" s="403">
        <v>272376.3</v>
      </c>
      <c r="D1681" s="598">
        <v>200</v>
      </c>
    </row>
    <row r="1682" spans="1:4" x14ac:dyDescent="0.2">
      <c r="A1682" s="417">
        <v>44720</v>
      </c>
      <c r="B1682" s="403">
        <f t="shared" si="23"/>
        <v>272576.3</v>
      </c>
      <c r="C1682" s="403">
        <f t="shared" si="24"/>
        <v>272376.3</v>
      </c>
      <c r="D1682" s="598">
        <v>200</v>
      </c>
    </row>
    <row r="1683" spans="1:4" x14ac:dyDescent="0.2">
      <c r="A1683" s="417">
        <v>44721</v>
      </c>
      <c r="B1683" s="403">
        <f t="shared" si="23"/>
        <v>262789.33</v>
      </c>
      <c r="C1683" s="403">
        <v>262589.33</v>
      </c>
      <c r="D1683" s="598">
        <v>200</v>
      </c>
    </row>
    <row r="1684" spans="1:4" x14ac:dyDescent="0.2">
      <c r="A1684" s="417">
        <v>44722</v>
      </c>
      <c r="B1684" s="403">
        <f t="shared" si="23"/>
        <v>262314.34999999998</v>
      </c>
      <c r="C1684" s="403">
        <v>262114.35</v>
      </c>
      <c r="D1684" s="598">
        <v>200</v>
      </c>
    </row>
    <row r="1685" spans="1:4" x14ac:dyDescent="0.2">
      <c r="A1685" s="417">
        <v>44725</v>
      </c>
      <c r="B1685" s="403">
        <f t="shared" si="23"/>
        <v>262577.34999999998</v>
      </c>
      <c r="C1685" s="403">
        <v>262377.34999999998</v>
      </c>
      <c r="D1685" s="598">
        <v>200</v>
      </c>
    </row>
    <row r="1686" spans="1:4" x14ac:dyDescent="0.2">
      <c r="A1686" s="417">
        <v>44726</v>
      </c>
      <c r="B1686" s="403">
        <f t="shared" si="23"/>
        <v>262577.34999999998</v>
      </c>
      <c r="C1686" s="403">
        <f t="shared" si="24"/>
        <v>262377.34999999998</v>
      </c>
      <c r="D1686" s="598">
        <v>200</v>
      </c>
    </row>
    <row r="1687" spans="1:4" x14ac:dyDescent="0.2">
      <c r="A1687" s="417">
        <v>44727</v>
      </c>
      <c r="B1687" s="403">
        <f t="shared" si="23"/>
        <v>359115.13</v>
      </c>
      <c r="C1687" s="403">
        <v>358915.13</v>
      </c>
      <c r="D1687" s="598">
        <v>200</v>
      </c>
    </row>
    <row r="1688" spans="1:4" x14ac:dyDescent="0.2">
      <c r="A1688" s="417">
        <v>44728</v>
      </c>
      <c r="B1688" s="403">
        <f t="shared" si="23"/>
        <v>359115.13</v>
      </c>
      <c r="C1688" s="403">
        <f t="shared" si="24"/>
        <v>358915.13</v>
      </c>
      <c r="D1688" s="598">
        <v>200</v>
      </c>
    </row>
    <row r="1689" spans="1:4" x14ac:dyDescent="0.2">
      <c r="A1689" s="417">
        <v>44729</v>
      </c>
      <c r="B1689" s="403">
        <f t="shared" si="23"/>
        <v>359115.13</v>
      </c>
      <c r="C1689" s="403">
        <f t="shared" si="24"/>
        <v>358915.13</v>
      </c>
      <c r="D1689" s="598">
        <v>200</v>
      </c>
    </row>
    <row r="1690" spans="1:4" x14ac:dyDescent="0.2">
      <c r="A1690" s="417">
        <v>44732</v>
      </c>
      <c r="B1690" s="403">
        <f t="shared" si="23"/>
        <v>317912.34000000003</v>
      </c>
      <c r="C1690" s="403">
        <v>317712.34000000003</v>
      </c>
      <c r="D1690" s="598">
        <v>200</v>
      </c>
    </row>
    <row r="1691" spans="1:4" x14ac:dyDescent="0.2">
      <c r="A1691" s="417">
        <v>44733</v>
      </c>
      <c r="B1691" s="403">
        <f t="shared" si="23"/>
        <v>318373.34000000003</v>
      </c>
      <c r="C1691" s="403">
        <v>318173.34000000003</v>
      </c>
      <c r="D1691" s="598">
        <v>200</v>
      </c>
    </row>
    <row r="1692" spans="1:4" x14ac:dyDescent="0.2">
      <c r="A1692" s="417">
        <v>44734</v>
      </c>
      <c r="B1692" s="403">
        <f t="shared" si="23"/>
        <v>319350.08</v>
      </c>
      <c r="C1692" s="403">
        <v>319150.08000000002</v>
      </c>
      <c r="D1692" s="598">
        <v>200</v>
      </c>
    </row>
    <row r="1693" spans="1:4" x14ac:dyDescent="0.2">
      <c r="A1693" s="417">
        <v>44735</v>
      </c>
      <c r="B1693" s="403">
        <f t="shared" si="23"/>
        <v>329131.38</v>
      </c>
      <c r="C1693" s="403">
        <v>328931.38</v>
      </c>
      <c r="D1693" s="598">
        <v>200</v>
      </c>
    </row>
    <row r="1694" spans="1:4" x14ac:dyDescent="0.2">
      <c r="A1694" s="417">
        <v>44736</v>
      </c>
      <c r="B1694" s="403">
        <f t="shared" si="23"/>
        <v>329131.38</v>
      </c>
      <c r="C1694" s="403">
        <f t="shared" si="24"/>
        <v>328931.38</v>
      </c>
      <c r="D1694" s="598">
        <v>200</v>
      </c>
    </row>
    <row r="1695" spans="1:4" x14ac:dyDescent="0.2">
      <c r="A1695" s="417">
        <v>44739</v>
      </c>
      <c r="B1695" s="403">
        <f t="shared" si="23"/>
        <v>329131.38</v>
      </c>
      <c r="C1695" s="403">
        <f t="shared" si="24"/>
        <v>328931.38</v>
      </c>
      <c r="D1695" s="598">
        <v>200</v>
      </c>
    </row>
    <row r="1696" spans="1:4" x14ac:dyDescent="0.2">
      <c r="A1696" s="417">
        <v>44740</v>
      </c>
      <c r="B1696" s="403">
        <f t="shared" si="23"/>
        <v>329131.38</v>
      </c>
      <c r="C1696" s="403">
        <f t="shared" si="24"/>
        <v>328931.38</v>
      </c>
      <c r="D1696" s="598">
        <v>200</v>
      </c>
    </row>
    <row r="1697" spans="1:4" x14ac:dyDescent="0.2">
      <c r="A1697" s="417">
        <v>44741</v>
      </c>
      <c r="B1697" s="403">
        <f t="shared" si="23"/>
        <v>358518.98</v>
      </c>
      <c r="C1697" s="403">
        <v>358318.98</v>
      </c>
      <c r="D1697" s="598">
        <v>200</v>
      </c>
    </row>
    <row r="1698" spans="1:4" x14ac:dyDescent="0.2">
      <c r="A1698" s="417">
        <v>44742</v>
      </c>
      <c r="B1698" s="403">
        <f t="shared" si="23"/>
        <v>388026.98</v>
      </c>
      <c r="C1698" s="403">
        <v>387826.98</v>
      </c>
      <c r="D1698" s="598">
        <v>200</v>
      </c>
    </row>
    <row r="1699" spans="1:4" x14ac:dyDescent="0.2">
      <c r="A1699" s="417">
        <v>44743</v>
      </c>
      <c r="B1699" s="403">
        <f t="shared" si="23"/>
        <v>388026.98</v>
      </c>
      <c r="C1699" s="403">
        <f t="shared" si="24"/>
        <v>387826.98</v>
      </c>
      <c r="D1699" s="598">
        <v>200</v>
      </c>
    </row>
    <row r="1700" spans="1:4" x14ac:dyDescent="0.2">
      <c r="A1700" s="417">
        <v>44746</v>
      </c>
      <c r="B1700" s="403">
        <f t="shared" si="23"/>
        <v>388026.98</v>
      </c>
      <c r="C1700" s="403">
        <f t="shared" si="24"/>
        <v>387826.98</v>
      </c>
      <c r="D1700" s="598">
        <v>200</v>
      </c>
    </row>
    <row r="1701" spans="1:4" x14ac:dyDescent="0.2">
      <c r="A1701" s="417">
        <v>44747</v>
      </c>
      <c r="B1701" s="403">
        <f t="shared" si="23"/>
        <v>347383.35</v>
      </c>
      <c r="C1701" s="403">
        <v>347183.35</v>
      </c>
      <c r="D1701" s="598">
        <v>200</v>
      </c>
    </row>
    <row r="1702" spans="1:4" x14ac:dyDescent="0.2">
      <c r="A1702" s="417">
        <v>44748</v>
      </c>
      <c r="B1702" s="403">
        <f t="shared" si="23"/>
        <v>347507.35</v>
      </c>
      <c r="C1702" s="403">
        <v>347307.35</v>
      </c>
      <c r="D1702" s="598">
        <v>200</v>
      </c>
    </row>
    <row r="1703" spans="1:4" x14ac:dyDescent="0.2">
      <c r="A1703" s="417">
        <v>44749</v>
      </c>
      <c r="B1703" s="403">
        <f t="shared" si="23"/>
        <v>347648.35</v>
      </c>
      <c r="C1703" s="403">
        <v>347448.35</v>
      </c>
      <c r="D1703" s="598">
        <v>200</v>
      </c>
    </row>
    <row r="1704" spans="1:4" x14ac:dyDescent="0.2">
      <c r="A1704" s="417">
        <v>44750</v>
      </c>
      <c r="B1704" s="403">
        <f t="shared" si="23"/>
        <v>347173.37</v>
      </c>
      <c r="C1704" s="403">
        <v>346973.37</v>
      </c>
      <c r="D1704" s="598">
        <v>200</v>
      </c>
    </row>
    <row r="1705" spans="1:4" x14ac:dyDescent="0.2">
      <c r="A1705" s="417">
        <v>44753</v>
      </c>
      <c r="B1705" s="403">
        <f t="shared" si="23"/>
        <v>347173.37</v>
      </c>
      <c r="C1705" s="403">
        <f t="shared" si="24"/>
        <v>346973.37</v>
      </c>
      <c r="D1705" s="598">
        <v>200</v>
      </c>
    </row>
    <row r="1706" spans="1:4" x14ac:dyDescent="0.2">
      <c r="A1706" s="417">
        <v>44754</v>
      </c>
      <c r="B1706" s="403">
        <f t="shared" si="23"/>
        <v>347422.37</v>
      </c>
      <c r="C1706" s="403">
        <v>347222.37</v>
      </c>
      <c r="D1706" s="598">
        <v>200</v>
      </c>
    </row>
    <row r="1707" spans="1:4" x14ac:dyDescent="0.2">
      <c r="A1707" s="417">
        <v>44755</v>
      </c>
      <c r="B1707" s="403">
        <f t="shared" si="23"/>
        <v>347422.37</v>
      </c>
      <c r="C1707" s="403">
        <f t="shared" si="24"/>
        <v>347222.37</v>
      </c>
      <c r="D1707" s="598">
        <v>200</v>
      </c>
    </row>
    <row r="1708" spans="1:4" x14ac:dyDescent="0.2">
      <c r="A1708" s="417">
        <v>44756</v>
      </c>
      <c r="B1708" s="403">
        <f t="shared" si="23"/>
        <v>353674.1</v>
      </c>
      <c r="C1708" s="403">
        <v>353474.1</v>
      </c>
      <c r="D1708" s="598">
        <v>200</v>
      </c>
    </row>
    <row r="1709" spans="1:4" x14ac:dyDescent="0.2">
      <c r="A1709" s="417">
        <v>44757</v>
      </c>
      <c r="B1709" s="403">
        <f t="shared" si="23"/>
        <v>355815.56</v>
      </c>
      <c r="C1709" s="403">
        <v>355615.56</v>
      </c>
      <c r="D1709" s="598">
        <v>200</v>
      </c>
    </row>
    <row r="1710" spans="1:4" x14ac:dyDescent="0.2">
      <c r="A1710" s="417">
        <v>44760</v>
      </c>
      <c r="B1710" s="403">
        <f t="shared" si="23"/>
        <v>319836.78000000003</v>
      </c>
      <c r="C1710" s="403">
        <v>319636.78000000003</v>
      </c>
      <c r="D1710" s="598">
        <v>200</v>
      </c>
    </row>
    <row r="1711" spans="1:4" x14ac:dyDescent="0.2">
      <c r="A1711" s="417">
        <v>44761</v>
      </c>
      <c r="B1711" s="403">
        <f t="shared" si="23"/>
        <v>296807.06</v>
      </c>
      <c r="C1711" s="403">
        <v>296607.06</v>
      </c>
      <c r="D1711" s="598">
        <v>200</v>
      </c>
    </row>
    <row r="1712" spans="1:4" x14ac:dyDescent="0.2">
      <c r="A1712" s="417">
        <v>44762</v>
      </c>
      <c r="B1712" s="403">
        <f t="shared" si="23"/>
        <v>296807.06</v>
      </c>
      <c r="C1712" s="403">
        <f t="shared" ref="C1712:C1774" si="25">C1711</f>
        <v>296607.06</v>
      </c>
      <c r="D1712" s="598">
        <v>200</v>
      </c>
    </row>
    <row r="1713" spans="1:4" x14ac:dyDescent="0.2">
      <c r="A1713" s="417">
        <v>44763</v>
      </c>
      <c r="B1713" s="403">
        <f t="shared" si="23"/>
        <v>291257.96000000002</v>
      </c>
      <c r="C1713" s="403">
        <v>291057.96000000002</v>
      </c>
      <c r="D1713" s="598">
        <v>200</v>
      </c>
    </row>
    <row r="1714" spans="1:4" x14ac:dyDescent="0.2">
      <c r="A1714" s="417">
        <v>44764</v>
      </c>
      <c r="B1714" s="403">
        <f t="shared" si="23"/>
        <v>290782.98</v>
      </c>
      <c r="C1714" s="403">
        <v>290582.98</v>
      </c>
      <c r="D1714" s="598">
        <v>200</v>
      </c>
    </row>
    <row r="1715" spans="1:4" x14ac:dyDescent="0.2">
      <c r="A1715" s="417">
        <v>44767</v>
      </c>
      <c r="B1715" s="403">
        <f t="shared" si="23"/>
        <v>290782.98</v>
      </c>
      <c r="C1715" s="403">
        <f t="shared" si="25"/>
        <v>290582.98</v>
      </c>
      <c r="D1715" s="598">
        <v>200</v>
      </c>
    </row>
    <row r="1716" spans="1:4" x14ac:dyDescent="0.2">
      <c r="A1716" s="417">
        <v>44768</v>
      </c>
      <c r="B1716" s="403">
        <f t="shared" si="23"/>
        <v>290754.14</v>
      </c>
      <c r="C1716" s="403">
        <v>290554.14</v>
      </c>
      <c r="D1716" s="598">
        <v>200</v>
      </c>
    </row>
    <row r="1717" spans="1:4" x14ac:dyDescent="0.2">
      <c r="A1717" s="417">
        <v>44769</v>
      </c>
      <c r="B1717" s="403">
        <f t="shared" si="23"/>
        <v>290450.96000000002</v>
      </c>
      <c r="C1717" s="403">
        <v>290250.96000000002</v>
      </c>
      <c r="D1717" s="598">
        <v>200</v>
      </c>
    </row>
    <row r="1718" spans="1:4" x14ac:dyDescent="0.2">
      <c r="A1718" s="417">
        <v>44770</v>
      </c>
      <c r="B1718" s="403">
        <f t="shared" si="23"/>
        <v>282840.40000000002</v>
      </c>
      <c r="C1718" s="403">
        <v>282640.40000000002</v>
      </c>
      <c r="D1718" s="598">
        <v>200</v>
      </c>
    </row>
    <row r="1719" spans="1:4" x14ac:dyDescent="0.2">
      <c r="A1719" s="417">
        <v>44771</v>
      </c>
      <c r="B1719" s="403">
        <f t="shared" si="23"/>
        <v>318945.52</v>
      </c>
      <c r="C1719" s="403">
        <v>318745.52</v>
      </c>
      <c r="D1719" s="598">
        <v>200</v>
      </c>
    </row>
    <row r="1720" spans="1:4" x14ac:dyDescent="0.2">
      <c r="A1720" s="417">
        <v>44774</v>
      </c>
      <c r="B1720" s="403">
        <f t="shared" si="23"/>
        <v>318945.52</v>
      </c>
      <c r="C1720" s="403">
        <f t="shared" si="25"/>
        <v>318745.52</v>
      </c>
      <c r="D1720" s="598">
        <v>200</v>
      </c>
    </row>
    <row r="1721" spans="1:4" x14ac:dyDescent="0.2">
      <c r="A1721" s="417">
        <v>44775</v>
      </c>
      <c r="B1721" s="403">
        <f t="shared" si="23"/>
        <v>278401.03999999998</v>
      </c>
      <c r="C1721" s="403">
        <v>278201.03999999998</v>
      </c>
      <c r="D1721" s="598">
        <v>200</v>
      </c>
    </row>
    <row r="1722" spans="1:4" x14ac:dyDescent="0.2">
      <c r="A1722" s="417">
        <v>44776</v>
      </c>
      <c r="B1722" s="403">
        <f t="shared" si="23"/>
        <v>277801.03999999998</v>
      </c>
      <c r="C1722" s="403">
        <v>277601.03999999998</v>
      </c>
      <c r="D1722" s="598">
        <v>200</v>
      </c>
    </row>
    <row r="1723" spans="1:4" x14ac:dyDescent="0.2">
      <c r="A1723" s="417">
        <v>44777</v>
      </c>
      <c r="B1723" s="403">
        <f t="shared" si="23"/>
        <v>277801.03999999998</v>
      </c>
      <c r="C1723" s="403">
        <f t="shared" si="25"/>
        <v>277601.03999999998</v>
      </c>
      <c r="D1723" s="598">
        <v>200</v>
      </c>
    </row>
    <row r="1724" spans="1:4" x14ac:dyDescent="0.2">
      <c r="A1724" s="417">
        <v>44778</v>
      </c>
      <c r="B1724" s="403">
        <f t="shared" si="23"/>
        <v>277326.06</v>
      </c>
      <c r="C1724" s="403">
        <v>277126.06</v>
      </c>
      <c r="D1724" s="598">
        <v>200</v>
      </c>
    </row>
    <row r="1725" spans="1:4" x14ac:dyDescent="0.2">
      <c r="A1725" s="417">
        <v>44781</v>
      </c>
      <c r="B1725" s="403">
        <f t="shared" si="23"/>
        <v>277326.06</v>
      </c>
      <c r="C1725" s="403">
        <f t="shared" si="25"/>
        <v>277126.06</v>
      </c>
      <c r="D1725" s="598">
        <v>200</v>
      </c>
    </row>
    <row r="1726" spans="1:4" x14ac:dyDescent="0.2">
      <c r="A1726" s="417">
        <v>44782</v>
      </c>
      <c r="B1726" s="403">
        <f t="shared" si="23"/>
        <v>254730.8</v>
      </c>
      <c r="C1726" s="403">
        <v>254530.8</v>
      </c>
      <c r="D1726" s="598">
        <v>200</v>
      </c>
    </row>
    <row r="1727" spans="1:4" x14ac:dyDescent="0.2">
      <c r="A1727" s="417">
        <v>44783</v>
      </c>
      <c r="B1727" s="403">
        <f t="shared" si="23"/>
        <v>254730.8</v>
      </c>
      <c r="C1727" s="403">
        <f t="shared" si="25"/>
        <v>254530.8</v>
      </c>
      <c r="D1727" s="598">
        <v>200</v>
      </c>
    </row>
    <row r="1728" spans="1:4" x14ac:dyDescent="0.2">
      <c r="A1728" s="417">
        <v>44784</v>
      </c>
      <c r="B1728" s="403">
        <f t="shared" si="23"/>
        <v>277867.62</v>
      </c>
      <c r="C1728" s="403">
        <v>277667.62</v>
      </c>
      <c r="D1728" s="598">
        <v>200</v>
      </c>
    </row>
    <row r="1729" spans="1:4" x14ac:dyDescent="0.2">
      <c r="A1729" s="417">
        <v>44785</v>
      </c>
      <c r="B1729" s="403">
        <f t="shared" si="23"/>
        <v>278679.81</v>
      </c>
      <c r="C1729" s="403">
        <v>278479.81</v>
      </c>
      <c r="D1729" s="598">
        <v>200</v>
      </c>
    </row>
    <row r="1730" spans="1:4" x14ac:dyDescent="0.2">
      <c r="A1730" s="417">
        <v>44788</v>
      </c>
      <c r="B1730" s="403">
        <f t="shared" si="23"/>
        <v>278711.32</v>
      </c>
      <c r="C1730" s="403">
        <v>278511.32</v>
      </c>
      <c r="D1730" s="598">
        <v>200</v>
      </c>
    </row>
    <row r="1731" spans="1:4" x14ac:dyDescent="0.2">
      <c r="A1731" s="417">
        <v>44789</v>
      </c>
      <c r="B1731" s="403">
        <f t="shared" si="23"/>
        <v>238555.14</v>
      </c>
      <c r="C1731" s="403">
        <v>238355.14</v>
      </c>
      <c r="D1731" s="598">
        <v>200</v>
      </c>
    </row>
    <row r="1732" spans="1:4" x14ac:dyDescent="0.2">
      <c r="A1732" s="417">
        <v>44790</v>
      </c>
      <c r="B1732" s="403">
        <f t="shared" si="23"/>
        <v>238555.14</v>
      </c>
      <c r="C1732" s="403">
        <f t="shared" si="25"/>
        <v>238355.14</v>
      </c>
      <c r="D1732" s="598">
        <v>200</v>
      </c>
    </row>
    <row r="1733" spans="1:4" x14ac:dyDescent="0.2">
      <c r="A1733" s="417">
        <v>44791</v>
      </c>
      <c r="B1733" s="403">
        <f t="shared" si="23"/>
        <v>238555.14</v>
      </c>
      <c r="C1733" s="403">
        <f t="shared" si="25"/>
        <v>238355.14</v>
      </c>
      <c r="D1733" s="598">
        <v>200</v>
      </c>
    </row>
    <row r="1734" spans="1:4" x14ac:dyDescent="0.2">
      <c r="A1734" s="417">
        <v>44792</v>
      </c>
      <c r="B1734" s="403">
        <f t="shared" si="23"/>
        <v>227371.3</v>
      </c>
      <c r="C1734" s="403">
        <v>227171.3</v>
      </c>
      <c r="D1734" s="598">
        <v>200</v>
      </c>
    </row>
    <row r="1735" spans="1:4" x14ac:dyDescent="0.2">
      <c r="A1735" s="417">
        <v>44795</v>
      </c>
      <c r="B1735" s="403">
        <f t="shared" si="23"/>
        <v>227907.61</v>
      </c>
      <c r="C1735" s="403">
        <v>227707.61</v>
      </c>
      <c r="D1735" s="598">
        <v>200</v>
      </c>
    </row>
    <row r="1736" spans="1:4" x14ac:dyDescent="0.2">
      <c r="A1736" s="417">
        <v>44796</v>
      </c>
      <c r="B1736" s="403">
        <f t="shared" si="23"/>
        <v>227907.61</v>
      </c>
      <c r="C1736" s="403">
        <f t="shared" si="25"/>
        <v>227707.61</v>
      </c>
      <c r="D1736" s="598">
        <v>200</v>
      </c>
    </row>
    <row r="1737" spans="1:4" x14ac:dyDescent="0.2">
      <c r="A1737" s="417">
        <v>44797</v>
      </c>
      <c r="B1737" s="403">
        <f t="shared" si="23"/>
        <v>250036.67</v>
      </c>
      <c r="C1737" s="403">
        <v>249836.67</v>
      </c>
      <c r="D1737" s="598">
        <v>200</v>
      </c>
    </row>
    <row r="1738" spans="1:4" x14ac:dyDescent="0.2">
      <c r="A1738" s="417">
        <v>44798</v>
      </c>
      <c r="B1738" s="403">
        <f t="shared" si="23"/>
        <v>255964.71</v>
      </c>
      <c r="C1738" s="403">
        <v>255764.71</v>
      </c>
      <c r="D1738" s="598">
        <v>200</v>
      </c>
    </row>
    <row r="1739" spans="1:4" x14ac:dyDescent="0.2">
      <c r="A1739" s="417">
        <v>44799</v>
      </c>
      <c r="B1739" s="403">
        <f t="shared" si="23"/>
        <v>315493.2</v>
      </c>
      <c r="C1739" s="403">
        <v>315293.2</v>
      </c>
      <c r="D1739" s="598">
        <v>200</v>
      </c>
    </row>
    <row r="1740" spans="1:4" x14ac:dyDescent="0.2">
      <c r="A1740" s="417">
        <v>44802</v>
      </c>
      <c r="B1740" s="403">
        <f t="shared" si="23"/>
        <v>315493.2</v>
      </c>
      <c r="C1740" s="403">
        <f t="shared" si="25"/>
        <v>315293.2</v>
      </c>
      <c r="D1740" s="598">
        <v>200</v>
      </c>
    </row>
    <row r="1741" spans="1:4" x14ac:dyDescent="0.2">
      <c r="A1741" s="417">
        <v>44803</v>
      </c>
      <c r="B1741" s="403">
        <f t="shared" si="23"/>
        <v>332334.94</v>
      </c>
      <c r="C1741" s="403">
        <v>332134.94</v>
      </c>
      <c r="D1741" s="598">
        <v>200</v>
      </c>
    </row>
    <row r="1742" spans="1:4" x14ac:dyDescent="0.2">
      <c r="A1742" s="417">
        <v>44804</v>
      </c>
      <c r="B1742" s="403">
        <f t="shared" si="23"/>
        <v>332334.94</v>
      </c>
      <c r="C1742" s="403">
        <f t="shared" si="25"/>
        <v>332134.94</v>
      </c>
      <c r="D1742" s="598">
        <v>200</v>
      </c>
    </row>
    <row r="1743" spans="1:4" x14ac:dyDescent="0.2">
      <c r="A1743" s="417">
        <v>44805</v>
      </c>
      <c r="B1743" s="403">
        <f t="shared" si="23"/>
        <v>370869.56</v>
      </c>
      <c r="C1743" s="403">
        <v>370669.56</v>
      </c>
      <c r="D1743" s="598">
        <v>200</v>
      </c>
    </row>
    <row r="1744" spans="1:4" x14ac:dyDescent="0.2">
      <c r="A1744" s="417">
        <v>44806</v>
      </c>
      <c r="B1744" s="403">
        <f t="shared" si="23"/>
        <v>370394.58</v>
      </c>
      <c r="C1744" s="403">
        <v>370194.58</v>
      </c>
      <c r="D1744" s="598">
        <v>200</v>
      </c>
    </row>
    <row r="1745" spans="1:4" x14ac:dyDescent="0.2">
      <c r="A1745" s="417">
        <v>44809</v>
      </c>
      <c r="B1745" s="403">
        <f t="shared" si="23"/>
        <v>370394.58</v>
      </c>
      <c r="C1745" s="403">
        <f t="shared" si="25"/>
        <v>370194.58</v>
      </c>
      <c r="D1745" s="598">
        <v>200</v>
      </c>
    </row>
    <row r="1746" spans="1:4" x14ac:dyDescent="0.2">
      <c r="A1746" s="417">
        <v>44810</v>
      </c>
      <c r="B1746" s="403">
        <f t="shared" si="23"/>
        <v>346842.59</v>
      </c>
      <c r="C1746" s="403">
        <v>346642.59</v>
      </c>
      <c r="D1746" s="598">
        <v>200</v>
      </c>
    </row>
    <row r="1747" spans="1:4" x14ac:dyDescent="0.2">
      <c r="A1747" s="417">
        <v>44811</v>
      </c>
      <c r="B1747" s="403">
        <f t="shared" si="23"/>
        <v>346842.59</v>
      </c>
      <c r="C1747" s="403">
        <f t="shared" si="25"/>
        <v>346642.59</v>
      </c>
      <c r="D1747" s="598">
        <v>200</v>
      </c>
    </row>
    <row r="1748" spans="1:4" x14ac:dyDescent="0.2">
      <c r="A1748" s="417">
        <v>44812</v>
      </c>
      <c r="B1748" s="403">
        <f t="shared" si="23"/>
        <v>346842.59</v>
      </c>
      <c r="C1748" s="403">
        <f t="shared" si="25"/>
        <v>346642.59</v>
      </c>
      <c r="D1748" s="598">
        <v>200</v>
      </c>
    </row>
    <row r="1749" spans="1:4" x14ac:dyDescent="0.2">
      <c r="A1749" s="417">
        <v>44813</v>
      </c>
      <c r="B1749" s="403">
        <f t="shared" si="23"/>
        <v>347076.59</v>
      </c>
      <c r="C1749" s="403">
        <v>346876.59</v>
      </c>
      <c r="D1749" s="598">
        <v>200</v>
      </c>
    </row>
    <row r="1750" spans="1:4" x14ac:dyDescent="0.2">
      <c r="A1750" s="417">
        <v>44816</v>
      </c>
      <c r="B1750" s="403">
        <f t="shared" si="23"/>
        <v>308665.48</v>
      </c>
      <c r="C1750" s="403">
        <v>308465.48</v>
      </c>
      <c r="D1750" s="598">
        <v>200</v>
      </c>
    </row>
    <row r="1751" spans="1:4" x14ac:dyDescent="0.2">
      <c r="A1751" s="417">
        <v>44817</v>
      </c>
      <c r="B1751" s="403">
        <f t="shared" si="23"/>
        <v>308665.48</v>
      </c>
      <c r="C1751" s="403">
        <f t="shared" si="25"/>
        <v>308465.48</v>
      </c>
      <c r="D1751" s="598">
        <v>200</v>
      </c>
    </row>
    <row r="1752" spans="1:4" x14ac:dyDescent="0.2">
      <c r="A1752" s="417">
        <v>44818</v>
      </c>
      <c r="B1752" s="403">
        <f t="shared" si="23"/>
        <v>320782.46999999997</v>
      </c>
      <c r="C1752" s="403">
        <v>320582.46999999997</v>
      </c>
      <c r="D1752" s="598">
        <v>200</v>
      </c>
    </row>
    <row r="1753" spans="1:4" x14ac:dyDescent="0.2">
      <c r="A1753" s="417">
        <v>44819</v>
      </c>
      <c r="B1753" s="403">
        <f t="shared" si="23"/>
        <v>317911.17</v>
      </c>
      <c r="C1753" s="403">
        <v>317711.17</v>
      </c>
      <c r="D1753" s="598">
        <v>200</v>
      </c>
    </row>
    <row r="1754" spans="1:4" x14ac:dyDescent="0.2">
      <c r="A1754" s="417">
        <v>44820</v>
      </c>
      <c r="B1754" s="403">
        <f t="shared" si="23"/>
        <v>317436.19</v>
      </c>
      <c r="C1754" s="403">
        <v>317236.19</v>
      </c>
      <c r="D1754" s="598">
        <v>200</v>
      </c>
    </row>
    <row r="1755" spans="1:4" x14ac:dyDescent="0.2">
      <c r="A1755" s="417">
        <v>44823</v>
      </c>
      <c r="B1755" s="403">
        <f t="shared" si="23"/>
        <v>317436.19</v>
      </c>
      <c r="C1755" s="403">
        <f t="shared" si="25"/>
        <v>317236.19</v>
      </c>
      <c r="D1755" s="598">
        <v>200</v>
      </c>
    </row>
    <row r="1756" spans="1:4" x14ac:dyDescent="0.2">
      <c r="A1756" s="417">
        <v>44824</v>
      </c>
      <c r="B1756" s="403">
        <f t="shared" si="23"/>
        <v>428386.24</v>
      </c>
      <c r="C1756" s="403">
        <v>428186.24</v>
      </c>
      <c r="D1756" s="598">
        <v>200</v>
      </c>
    </row>
    <row r="1757" spans="1:4" x14ac:dyDescent="0.2">
      <c r="A1757" s="417">
        <v>44825</v>
      </c>
      <c r="B1757" s="403">
        <f t="shared" si="23"/>
        <v>428386.24</v>
      </c>
      <c r="C1757" s="403">
        <f t="shared" si="25"/>
        <v>428186.24</v>
      </c>
      <c r="D1757" s="598">
        <v>200</v>
      </c>
    </row>
    <row r="1758" spans="1:4" x14ac:dyDescent="0.2">
      <c r="A1758" s="417">
        <v>44826</v>
      </c>
      <c r="B1758" s="403">
        <f t="shared" si="23"/>
        <v>425851.86</v>
      </c>
      <c r="C1758" s="403">
        <v>425651.86</v>
      </c>
      <c r="D1758" s="598">
        <v>200</v>
      </c>
    </row>
    <row r="1759" spans="1:4" x14ac:dyDescent="0.2">
      <c r="A1759" s="417">
        <v>44827</v>
      </c>
      <c r="B1759" s="403">
        <f t="shared" si="23"/>
        <v>453679.91</v>
      </c>
      <c r="C1759" s="403">
        <v>453479.91</v>
      </c>
      <c r="D1759" s="598">
        <v>200</v>
      </c>
    </row>
    <row r="1760" spans="1:4" x14ac:dyDescent="0.2">
      <c r="A1760" s="417">
        <v>44830</v>
      </c>
      <c r="B1760" s="403">
        <f t="shared" si="23"/>
        <v>412431.05</v>
      </c>
      <c r="C1760" s="403">
        <v>412231.05</v>
      </c>
      <c r="D1760" s="598">
        <v>200</v>
      </c>
    </row>
    <row r="1761" spans="1:4" x14ac:dyDescent="0.2">
      <c r="A1761" s="417">
        <v>44831</v>
      </c>
      <c r="B1761" s="403">
        <f t="shared" si="23"/>
        <v>412402.21</v>
      </c>
      <c r="C1761" s="403">
        <v>412202.21</v>
      </c>
      <c r="D1761" s="598">
        <v>200</v>
      </c>
    </row>
    <row r="1762" spans="1:4" x14ac:dyDescent="0.2">
      <c r="A1762" s="417">
        <v>44832</v>
      </c>
      <c r="B1762" s="403">
        <f t="shared" si="23"/>
        <v>417372.63</v>
      </c>
      <c r="C1762" s="403">
        <v>417172.63</v>
      </c>
      <c r="D1762" s="598">
        <v>200</v>
      </c>
    </row>
    <row r="1763" spans="1:4" x14ac:dyDescent="0.2">
      <c r="A1763" s="417">
        <v>44833</v>
      </c>
      <c r="B1763" s="403">
        <f t="shared" si="23"/>
        <v>415449.23</v>
      </c>
      <c r="C1763" s="403">
        <v>415249.23</v>
      </c>
      <c r="D1763" s="598">
        <v>200</v>
      </c>
    </row>
    <row r="1764" spans="1:4" x14ac:dyDescent="0.2">
      <c r="A1764" s="417">
        <v>44834</v>
      </c>
      <c r="B1764" s="403">
        <f t="shared" si="23"/>
        <v>435708</v>
      </c>
      <c r="C1764" s="403">
        <v>435508</v>
      </c>
      <c r="D1764" s="598">
        <v>200</v>
      </c>
    </row>
    <row r="1765" spans="1:4" x14ac:dyDescent="0.2">
      <c r="A1765" s="417">
        <v>44835</v>
      </c>
      <c r="B1765" s="403">
        <f t="shared" si="23"/>
        <v>435708</v>
      </c>
      <c r="C1765" s="403">
        <f t="shared" si="25"/>
        <v>435508</v>
      </c>
      <c r="D1765" s="598">
        <v>200</v>
      </c>
    </row>
    <row r="1766" spans="1:4" x14ac:dyDescent="0.2">
      <c r="A1766" s="417">
        <v>44836</v>
      </c>
      <c r="B1766" s="403">
        <f t="shared" si="23"/>
        <v>435708</v>
      </c>
      <c r="C1766" s="403">
        <f t="shared" si="25"/>
        <v>435508</v>
      </c>
      <c r="D1766" s="598">
        <v>200</v>
      </c>
    </row>
    <row r="1767" spans="1:4" x14ac:dyDescent="0.2">
      <c r="A1767" s="417">
        <v>44837</v>
      </c>
      <c r="B1767" s="403">
        <f t="shared" si="23"/>
        <v>435708</v>
      </c>
      <c r="C1767" s="403">
        <f t="shared" si="25"/>
        <v>435508</v>
      </c>
      <c r="D1767" s="598">
        <v>200</v>
      </c>
    </row>
    <row r="1768" spans="1:4" x14ac:dyDescent="0.2">
      <c r="A1768" s="417">
        <v>44838</v>
      </c>
      <c r="B1768" s="403">
        <f t="shared" si="23"/>
        <v>435708</v>
      </c>
      <c r="C1768" s="403">
        <f t="shared" si="25"/>
        <v>435508</v>
      </c>
      <c r="D1768" s="598">
        <v>200</v>
      </c>
    </row>
    <row r="1769" spans="1:4" x14ac:dyDescent="0.2">
      <c r="A1769" s="417">
        <v>44839</v>
      </c>
      <c r="B1769" s="403">
        <f t="shared" si="23"/>
        <v>436040</v>
      </c>
      <c r="C1769" s="403">
        <v>435840</v>
      </c>
      <c r="D1769" s="598">
        <v>200</v>
      </c>
    </row>
    <row r="1770" spans="1:4" x14ac:dyDescent="0.2">
      <c r="A1770" s="417">
        <v>44840</v>
      </c>
      <c r="B1770" s="403">
        <f t="shared" si="23"/>
        <v>427559.36</v>
      </c>
      <c r="C1770" s="403">
        <v>427359.36</v>
      </c>
      <c r="D1770" s="598">
        <v>200</v>
      </c>
    </row>
    <row r="1771" spans="1:4" x14ac:dyDescent="0.2">
      <c r="A1771" s="417">
        <v>44841</v>
      </c>
      <c r="B1771" s="403">
        <f t="shared" si="23"/>
        <v>427559.36</v>
      </c>
      <c r="C1771" s="403">
        <f t="shared" si="25"/>
        <v>427359.36</v>
      </c>
      <c r="D1771" s="598">
        <v>200</v>
      </c>
    </row>
    <row r="1772" spans="1:4" x14ac:dyDescent="0.2">
      <c r="A1772" s="417">
        <v>44844</v>
      </c>
      <c r="B1772" s="403">
        <f t="shared" si="23"/>
        <v>427559.36</v>
      </c>
      <c r="C1772" s="403">
        <f t="shared" si="25"/>
        <v>427359.36</v>
      </c>
      <c r="D1772" s="598">
        <v>200</v>
      </c>
    </row>
    <row r="1773" spans="1:4" x14ac:dyDescent="0.2">
      <c r="A1773" s="417">
        <v>44845</v>
      </c>
      <c r="B1773" s="403">
        <f t="shared" si="23"/>
        <v>388161.54</v>
      </c>
      <c r="C1773" s="403">
        <v>387961.54</v>
      </c>
      <c r="D1773" s="598">
        <v>200</v>
      </c>
    </row>
    <row r="1774" spans="1:4" x14ac:dyDescent="0.2">
      <c r="A1774" s="417">
        <v>44846</v>
      </c>
      <c r="B1774" s="403">
        <f t="shared" si="23"/>
        <v>388161.54</v>
      </c>
      <c r="C1774" s="403">
        <f t="shared" si="25"/>
        <v>387961.54</v>
      </c>
      <c r="D1774" s="598">
        <v>200</v>
      </c>
    </row>
    <row r="1775" spans="1:4" x14ac:dyDescent="0.2">
      <c r="A1775" s="417">
        <v>44847</v>
      </c>
      <c r="B1775" s="403">
        <f t="shared" si="23"/>
        <v>381514.53</v>
      </c>
      <c r="C1775" s="403">
        <v>381314.53</v>
      </c>
      <c r="D1775" s="598">
        <v>200</v>
      </c>
    </row>
    <row r="1776" spans="1:4" x14ac:dyDescent="0.2">
      <c r="A1776" s="417">
        <v>44848</v>
      </c>
      <c r="B1776" s="403">
        <f t="shared" si="23"/>
        <v>389507.01</v>
      </c>
      <c r="C1776" s="403">
        <v>389307.01</v>
      </c>
      <c r="D1776" s="598">
        <v>200</v>
      </c>
    </row>
    <row r="1777" spans="1:4" x14ac:dyDescent="0.2">
      <c r="A1777" s="417">
        <v>44849</v>
      </c>
      <c r="B1777" s="403">
        <f t="shared" si="23"/>
        <v>389507.01</v>
      </c>
      <c r="C1777" s="403">
        <f t="shared" ref="C1777:C1840" si="26">C1776</f>
        <v>389307.01</v>
      </c>
      <c r="D1777" s="598">
        <v>200</v>
      </c>
    </row>
    <row r="1778" spans="1:4" x14ac:dyDescent="0.2">
      <c r="A1778" s="417">
        <v>44850</v>
      </c>
      <c r="B1778" s="403">
        <f t="shared" si="23"/>
        <v>389507.01</v>
      </c>
      <c r="C1778" s="403">
        <f t="shared" si="26"/>
        <v>389307.01</v>
      </c>
      <c r="D1778" s="598">
        <v>200</v>
      </c>
    </row>
    <row r="1779" spans="1:4" x14ac:dyDescent="0.2">
      <c r="A1779" s="417">
        <v>44851</v>
      </c>
      <c r="B1779" s="403">
        <f t="shared" si="23"/>
        <v>414035.71</v>
      </c>
      <c r="C1779" s="403">
        <v>413835.71</v>
      </c>
      <c r="D1779" s="598">
        <v>200</v>
      </c>
    </row>
    <row r="1780" spans="1:4" x14ac:dyDescent="0.2">
      <c r="A1780" s="417">
        <v>44852</v>
      </c>
      <c r="B1780" s="403">
        <f t="shared" si="23"/>
        <v>413985.71</v>
      </c>
      <c r="C1780" s="403">
        <v>413785.71</v>
      </c>
      <c r="D1780" s="598">
        <v>200</v>
      </c>
    </row>
    <row r="1781" spans="1:4" x14ac:dyDescent="0.2">
      <c r="A1781" s="417">
        <v>44853</v>
      </c>
      <c r="B1781" s="403">
        <f t="shared" si="23"/>
        <v>413985.71</v>
      </c>
      <c r="C1781" s="403">
        <f t="shared" si="26"/>
        <v>413785.71</v>
      </c>
      <c r="D1781" s="598">
        <v>200</v>
      </c>
    </row>
    <row r="1782" spans="1:4" x14ac:dyDescent="0.2">
      <c r="A1782" s="417">
        <v>44854</v>
      </c>
      <c r="B1782" s="403">
        <f t="shared" si="23"/>
        <v>411319.14</v>
      </c>
      <c r="C1782" s="403">
        <v>411119.14</v>
      </c>
      <c r="D1782" s="598">
        <v>200</v>
      </c>
    </row>
    <row r="1783" spans="1:4" x14ac:dyDescent="0.2">
      <c r="A1783" s="417">
        <v>44855</v>
      </c>
      <c r="B1783" s="403">
        <f t="shared" si="23"/>
        <v>411160.29</v>
      </c>
      <c r="C1783" s="403">
        <v>410960.29</v>
      </c>
      <c r="D1783" s="598">
        <v>200</v>
      </c>
    </row>
    <row r="1784" spans="1:4" x14ac:dyDescent="0.2">
      <c r="A1784" s="417">
        <v>44856</v>
      </c>
      <c r="B1784" s="403">
        <f t="shared" si="23"/>
        <v>411160.29</v>
      </c>
      <c r="C1784" s="403">
        <f t="shared" si="26"/>
        <v>410960.29</v>
      </c>
      <c r="D1784" s="598">
        <v>200</v>
      </c>
    </row>
    <row r="1785" spans="1:4" x14ac:dyDescent="0.2">
      <c r="A1785" s="417">
        <v>44857</v>
      </c>
      <c r="B1785" s="403">
        <f t="shared" si="23"/>
        <v>411160.29</v>
      </c>
      <c r="C1785" s="403">
        <f t="shared" si="26"/>
        <v>410960.29</v>
      </c>
      <c r="D1785" s="598">
        <v>200</v>
      </c>
    </row>
    <row r="1786" spans="1:4" x14ac:dyDescent="0.2">
      <c r="A1786" s="417">
        <v>44858</v>
      </c>
      <c r="B1786" s="403">
        <f t="shared" si="23"/>
        <v>372476.51</v>
      </c>
      <c r="C1786" s="403">
        <v>372276.51</v>
      </c>
      <c r="D1786" s="598">
        <v>200</v>
      </c>
    </row>
    <row r="1787" spans="1:4" x14ac:dyDescent="0.2">
      <c r="A1787" s="417">
        <v>44859</v>
      </c>
      <c r="B1787" s="403">
        <f t="shared" si="23"/>
        <v>376660.01</v>
      </c>
      <c r="C1787" s="403">
        <v>376460.01</v>
      </c>
      <c r="D1787" s="598">
        <v>200</v>
      </c>
    </row>
    <row r="1788" spans="1:4" x14ac:dyDescent="0.2">
      <c r="A1788" s="417">
        <v>44860</v>
      </c>
      <c r="B1788" s="403">
        <f t="shared" si="23"/>
        <v>397613.66</v>
      </c>
      <c r="C1788" s="403">
        <v>397413.66</v>
      </c>
      <c r="D1788" s="598">
        <v>200</v>
      </c>
    </row>
    <row r="1789" spans="1:4" x14ac:dyDescent="0.2">
      <c r="A1789" s="417">
        <v>44861</v>
      </c>
      <c r="B1789" s="403">
        <f t="shared" si="23"/>
        <v>387878.55</v>
      </c>
      <c r="C1789" s="403">
        <v>387678.55</v>
      </c>
      <c r="D1789" s="598">
        <v>200</v>
      </c>
    </row>
    <row r="1790" spans="1:4" x14ac:dyDescent="0.2">
      <c r="A1790" s="417">
        <v>44862</v>
      </c>
      <c r="B1790" s="403">
        <f t="shared" si="23"/>
        <v>387403.57</v>
      </c>
      <c r="C1790" s="403">
        <v>387203.57</v>
      </c>
      <c r="D1790" s="598">
        <v>200</v>
      </c>
    </row>
    <row r="1791" spans="1:4" x14ac:dyDescent="0.2">
      <c r="A1791" s="417">
        <v>44863</v>
      </c>
      <c r="B1791" s="403">
        <f t="shared" si="23"/>
        <v>387403.57</v>
      </c>
      <c r="C1791" s="403">
        <f t="shared" si="26"/>
        <v>387203.57</v>
      </c>
      <c r="D1791" s="598">
        <v>200</v>
      </c>
    </row>
    <row r="1792" spans="1:4" x14ac:dyDescent="0.2">
      <c r="A1792" s="417">
        <v>44864</v>
      </c>
      <c r="B1792" s="403">
        <f t="shared" si="23"/>
        <v>387403.57</v>
      </c>
      <c r="C1792" s="403">
        <f t="shared" si="26"/>
        <v>387203.57</v>
      </c>
      <c r="D1792" s="598">
        <v>200</v>
      </c>
    </row>
    <row r="1793" spans="1:4" x14ac:dyDescent="0.2">
      <c r="A1793" s="417">
        <v>44865</v>
      </c>
      <c r="B1793" s="403">
        <f t="shared" si="23"/>
        <v>417270.82</v>
      </c>
      <c r="C1793" s="403">
        <v>417070.82</v>
      </c>
      <c r="D1793" s="598">
        <v>200</v>
      </c>
    </row>
    <row r="1794" spans="1:4" x14ac:dyDescent="0.2">
      <c r="A1794" s="417">
        <v>44866</v>
      </c>
      <c r="B1794" s="403">
        <f t="shared" si="23"/>
        <v>417270.82</v>
      </c>
      <c r="C1794" s="403">
        <f t="shared" si="26"/>
        <v>417070.82</v>
      </c>
      <c r="D1794" s="598">
        <v>200</v>
      </c>
    </row>
    <row r="1795" spans="1:4" x14ac:dyDescent="0.2">
      <c r="A1795" s="417">
        <v>44867</v>
      </c>
      <c r="B1795" s="403">
        <f t="shared" si="23"/>
        <v>417270.82</v>
      </c>
      <c r="C1795" s="403">
        <f t="shared" si="26"/>
        <v>417070.82</v>
      </c>
      <c r="D1795" s="598">
        <v>200</v>
      </c>
    </row>
    <row r="1796" spans="1:4" x14ac:dyDescent="0.2">
      <c r="A1796" s="417">
        <v>44868</v>
      </c>
      <c r="B1796" s="403">
        <f t="shared" si="23"/>
        <v>411865.95</v>
      </c>
      <c r="C1796" s="403">
        <v>411665.95</v>
      </c>
      <c r="D1796" s="598">
        <v>200</v>
      </c>
    </row>
    <row r="1797" spans="1:4" x14ac:dyDescent="0.2">
      <c r="A1797" s="417">
        <v>44869</v>
      </c>
      <c r="B1797" s="403">
        <f t="shared" si="23"/>
        <v>411865.95</v>
      </c>
      <c r="C1797" s="403">
        <f t="shared" si="26"/>
        <v>411665.95</v>
      </c>
      <c r="D1797" s="598">
        <v>200</v>
      </c>
    </row>
    <row r="1798" spans="1:4" x14ac:dyDescent="0.2">
      <c r="A1798" s="417">
        <v>44870</v>
      </c>
      <c r="B1798" s="403">
        <f t="shared" si="23"/>
        <v>411865.95</v>
      </c>
      <c r="C1798" s="403">
        <f t="shared" si="26"/>
        <v>411665.95</v>
      </c>
      <c r="D1798" s="598">
        <v>200</v>
      </c>
    </row>
    <row r="1799" spans="1:4" x14ac:dyDescent="0.2">
      <c r="A1799" s="417">
        <v>44871</v>
      </c>
      <c r="B1799" s="403">
        <f t="shared" si="23"/>
        <v>411865.95</v>
      </c>
      <c r="C1799" s="403">
        <f t="shared" si="26"/>
        <v>411665.95</v>
      </c>
      <c r="D1799" s="598">
        <v>200</v>
      </c>
    </row>
    <row r="1800" spans="1:4" x14ac:dyDescent="0.2">
      <c r="A1800" s="417">
        <v>44872</v>
      </c>
      <c r="B1800" s="403">
        <f t="shared" si="23"/>
        <v>368529.24</v>
      </c>
      <c r="C1800" s="403">
        <v>368329.24</v>
      </c>
      <c r="D1800" s="598">
        <v>200</v>
      </c>
    </row>
    <row r="1801" spans="1:4" x14ac:dyDescent="0.2">
      <c r="A1801" s="417">
        <v>44873</v>
      </c>
      <c r="B1801" s="403">
        <f t="shared" si="23"/>
        <v>369146.24</v>
      </c>
      <c r="C1801" s="403">
        <v>368946.24</v>
      </c>
      <c r="D1801" s="598">
        <v>200</v>
      </c>
    </row>
    <row r="1802" spans="1:4" x14ac:dyDescent="0.2">
      <c r="A1802" s="417">
        <v>44874</v>
      </c>
      <c r="B1802" s="403">
        <f t="shared" ref="B1802:B1865" si="27">C1802+D1802</f>
        <v>369146.24</v>
      </c>
      <c r="C1802" s="403">
        <f t="shared" si="26"/>
        <v>368946.24</v>
      </c>
      <c r="D1802" s="598">
        <v>200</v>
      </c>
    </row>
    <row r="1803" spans="1:4" x14ac:dyDescent="0.2">
      <c r="A1803" s="417">
        <v>44875</v>
      </c>
      <c r="B1803" s="403">
        <f t="shared" si="27"/>
        <v>423875.79</v>
      </c>
      <c r="C1803" s="403">
        <v>423675.79</v>
      </c>
      <c r="D1803" s="598">
        <v>200</v>
      </c>
    </row>
    <row r="1804" spans="1:4" x14ac:dyDescent="0.2">
      <c r="A1804" s="417">
        <v>44876</v>
      </c>
      <c r="B1804" s="403">
        <f t="shared" si="27"/>
        <v>423875.79</v>
      </c>
      <c r="C1804" s="403">
        <f t="shared" si="26"/>
        <v>423675.79</v>
      </c>
      <c r="D1804" s="598">
        <v>200</v>
      </c>
    </row>
    <row r="1805" spans="1:4" x14ac:dyDescent="0.2">
      <c r="A1805" s="417">
        <v>44879</v>
      </c>
      <c r="B1805" s="403">
        <f t="shared" si="27"/>
        <v>423400.81</v>
      </c>
      <c r="C1805" s="403">
        <v>423200.81</v>
      </c>
      <c r="D1805" s="598">
        <v>200</v>
      </c>
    </row>
    <row r="1806" spans="1:4" x14ac:dyDescent="0.2">
      <c r="A1806" s="417">
        <v>44880</v>
      </c>
      <c r="B1806" s="403">
        <f t="shared" si="27"/>
        <v>423210.99</v>
      </c>
      <c r="C1806" s="403">
        <v>423010.99</v>
      </c>
      <c r="D1806" s="598">
        <v>200</v>
      </c>
    </row>
    <row r="1807" spans="1:4" x14ac:dyDescent="0.2">
      <c r="A1807" s="417">
        <v>44881</v>
      </c>
      <c r="B1807" s="403">
        <f t="shared" si="27"/>
        <v>473210.99</v>
      </c>
      <c r="C1807" s="403">
        <v>473010.99</v>
      </c>
      <c r="D1807" s="598">
        <v>200</v>
      </c>
    </row>
    <row r="1808" spans="1:4" x14ac:dyDescent="0.2">
      <c r="A1808" s="417">
        <v>44882</v>
      </c>
      <c r="B1808" s="403">
        <f t="shared" si="27"/>
        <v>470084.64</v>
      </c>
      <c r="C1808" s="403">
        <v>469884.64</v>
      </c>
      <c r="D1808" s="598">
        <v>200</v>
      </c>
    </row>
    <row r="1809" spans="1:4" x14ac:dyDescent="0.2">
      <c r="A1809" s="417">
        <v>44883</v>
      </c>
      <c r="B1809" s="403">
        <f t="shared" si="27"/>
        <v>470084.64</v>
      </c>
      <c r="C1809" s="403">
        <f t="shared" si="26"/>
        <v>469884.64</v>
      </c>
      <c r="D1809" s="598">
        <v>200</v>
      </c>
    </row>
    <row r="1810" spans="1:4" x14ac:dyDescent="0.2">
      <c r="A1810" s="417">
        <v>44886</v>
      </c>
      <c r="B1810" s="403">
        <f t="shared" si="27"/>
        <v>424767.46</v>
      </c>
      <c r="C1810" s="403">
        <v>424567.46</v>
      </c>
      <c r="D1810" s="598">
        <v>200</v>
      </c>
    </row>
    <row r="1811" spans="1:4" x14ac:dyDescent="0.2">
      <c r="A1811" s="417">
        <v>44887</v>
      </c>
      <c r="B1811" s="403">
        <f t="shared" si="27"/>
        <v>424767.46</v>
      </c>
      <c r="C1811" s="403">
        <f t="shared" si="26"/>
        <v>424567.46</v>
      </c>
      <c r="D1811" s="598">
        <v>200</v>
      </c>
    </row>
    <row r="1812" spans="1:4" x14ac:dyDescent="0.2">
      <c r="A1812" s="417">
        <v>44888</v>
      </c>
      <c r="B1812" s="403">
        <f t="shared" si="27"/>
        <v>424767.46</v>
      </c>
      <c r="C1812" s="403">
        <f t="shared" si="26"/>
        <v>424567.46</v>
      </c>
      <c r="D1812" s="598">
        <v>200</v>
      </c>
    </row>
    <row r="1813" spans="1:4" x14ac:dyDescent="0.2">
      <c r="A1813" s="417">
        <v>44889</v>
      </c>
      <c r="B1813" s="403">
        <f t="shared" si="27"/>
        <v>424767.46</v>
      </c>
      <c r="C1813" s="403">
        <f t="shared" si="26"/>
        <v>424567.46</v>
      </c>
      <c r="D1813" s="598">
        <v>200</v>
      </c>
    </row>
    <row r="1814" spans="1:4" x14ac:dyDescent="0.2">
      <c r="A1814" s="417">
        <v>44890</v>
      </c>
      <c r="B1814" s="403">
        <f t="shared" si="27"/>
        <v>442650.11</v>
      </c>
      <c r="C1814" s="403">
        <v>442450.11</v>
      </c>
      <c r="D1814" s="598">
        <v>200</v>
      </c>
    </row>
    <row r="1815" spans="1:4" x14ac:dyDescent="0.2">
      <c r="A1815" s="417">
        <v>44893</v>
      </c>
      <c r="B1815" s="403">
        <f t="shared" si="27"/>
        <v>442518.27</v>
      </c>
      <c r="C1815" s="403">
        <v>442318.27</v>
      </c>
      <c r="D1815" s="598">
        <v>200</v>
      </c>
    </row>
    <row r="1816" spans="1:4" x14ac:dyDescent="0.2">
      <c r="A1816" s="417">
        <v>44894</v>
      </c>
      <c r="B1816" s="403">
        <f t="shared" si="27"/>
        <v>442518.27</v>
      </c>
      <c r="C1816" s="403">
        <f t="shared" si="26"/>
        <v>442318.27</v>
      </c>
      <c r="D1816" s="598">
        <v>200</v>
      </c>
    </row>
    <row r="1817" spans="1:4" x14ac:dyDescent="0.2">
      <c r="A1817" s="417">
        <v>44895</v>
      </c>
      <c r="B1817" s="403">
        <f t="shared" si="27"/>
        <v>442518.27</v>
      </c>
      <c r="C1817" s="403">
        <f t="shared" si="26"/>
        <v>442318.27</v>
      </c>
      <c r="D1817" s="598">
        <v>200</v>
      </c>
    </row>
    <row r="1818" spans="1:4" x14ac:dyDescent="0.2">
      <c r="A1818" s="417">
        <v>44896</v>
      </c>
      <c r="B1818" s="403">
        <f t="shared" si="27"/>
        <v>442518.27</v>
      </c>
      <c r="C1818" s="403">
        <f t="shared" si="26"/>
        <v>442318.27</v>
      </c>
      <c r="D1818" s="598">
        <v>200</v>
      </c>
    </row>
    <row r="1819" spans="1:4" x14ac:dyDescent="0.2">
      <c r="A1819" s="417">
        <v>44897</v>
      </c>
      <c r="B1819" s="403">
        <f t="shared" si="27"/>
        <v>420942.38</v>
      </c>
      <c r="C1819" s="403">
        <v>420742.38</v>
      </c>
      <c r="D1819" s="598">
        <v>200</v>
      </c>
    </row>
    <row r="1820" spans="1:4" x14ac:dyDescent="0.2">
      <c r="A1820" s="417">
        <v>44900</v>
      </c>
      <c r="B1820" s="403">
        <f t="shared" si="27"/>
        <v>379216.39</v>
      </c>
      <c r="C1820" s="403">
        <v>379016.39</v>
      </c>
      <c r="D1820" s="598">
        <v>200</v>
      </c>
    </row>
    <row r="1821" spans="1:4" x14ac:dyDescent="0.2">
      <c r="A1821" s="417">
        <v>44901</v>
      </c>
      <c r="B1821" s="403">
        <f t="shared" si="27"/>
        <v>379216.39</v>
      </c>
      <c r="C1821" s="403">
        <f t="shared" si="26"/>
        <v>379016.39</v>
      </c>
      <c r="D1821" s="598">
        <v>200</v>
      </c>
    </row>
    <row r="1822" spans="1:4" x14ac:dyDescent="0.2">
      <c r="A1822" s="417">
        <v>44902</v>
      </c>
      <c r="B1822" s="403">
        <f t="shared" si="27"/>
        <v>379216.39</v>
      </c>
      <c r="C1822" s="403">
        <f t="shared" si="26"/>
        <v>379016.39</v>
      </c>
      <c r="D1822" s="598">
        <v>200</v>
      </c>
    </row>
    <row r="1823" spans="1:4" x14ac:dyDescent="0.2">
      <c r="A1823" s="417">
        <v>44903</v>
      </c>
      <c r="B1823" s="403">
        <f t="shared" si="27"/>
        <v>379216.39</v>
      </c>
      <c r="C1823" s="403">
        <f t="shared" si="26"/>
        <v>379016.39</v>
      </c>
      <c r="D1823" s="598">
        <v>200</v>
      </c>
    </row>
    <row r="1824" spans="1:4" x14ac:dyDescent="0.2">
      <c r="A1824" s="417">
        <v>44904</v>
      </c>
      <c r="B1824" s="403">
        <f t="shared" si="27"/>
        <v>383318.34</v>
      </c>
      <c r="C1824" s="403">
        <v>383118.34</v>
      </c>
      <c r="D1824" s="598">
        <v>200</v>
      </c>
    </row>
    <row r="1825" spans="1:4" x14ac:dyDescent="0.2">
      <c r="A1825" s="417">
        <v>44907</v>
      </c>
      <c r="B1825" s="403">
        <f t="shared" si="27"/>
        <v>383318.34</v>
      </c>
      <c r="C1825" s="403">
        <f t="shared" si="26"/>
        <v>383118.34</v>
      </c>
      <c r="D1825" s="598">
        <v>200</v>
      </c>
    </row>
    <row r="1826" spans="1:4" x14ac:dyDescent="0.2">
      <c r="A1826" s="417">
        <v>44908</v>
      </c>
      <c r="B1826" s="403">
        <f t="shared" si="27"/>
        <v>383318.34</v>
      </c>
      <c r="C1826" s="403">
        <f t="shared" si="26"/>
        <v>383118.34</v>
      </c>
      <c r="D1826" s="598">
        <v>200</v>
      </c>
    </row>
    <row r="1827" spans="1:4" x14ac:dyDescent="0.2">
      <c r="A1827" s="417">
        <v>44909</v>
      </c>
      <c r="B1827" s="403">
        <f t="shared" si="27"/>
        <v>378306.47</v>
      </c>
      <c r="C1827" s="403">
        <v>378106.47</v>
      </c>
      <c r="D1827" s="598">
        <v>200</v>
      </c>
    </row>
    <row r="1828" spans="1:4" x14ac:dyDescent="0.2">
      <c r="A1828" s="417">
        <v>44910</v>
      </c>
      <c r="B1828" s="403">
        <f t="shared" si="27"/>
        <v>385097.98</v>
      </c>
      <c r="C1828" s="403">
        <v>384897.98</v>
      </c>
      <c r="D1828" s="598">
        <v>200</v>
      </c>
    </row>
    <row r="1829" spans="1:4" x14ac:dyDescent="0.2">
      <c r="A1829" s="417">
        <v>44911</v>
      </c>
      <c r="B1829" s="403">
        <f t="shared" si="27"/>
        <v>385399.2</v>
      </c>
      <c r="C1829" s="403">
        <v>385199.2</v>
      </c>
      <c r="D1829" s="598">
        <v>200</v>
      </c>
    </row>
    <row r="1830" spans="1:4" x14ac:dyDescent="0.2">
      <c r="A1830" s="417">
        <v>44914</v>
      </c>
      <c r="B1830" s="403">
        <f t="shared" si="27"/>
        <v>385399.2</v>
      </c>
      <c r="C1830" s="403">
        <f t="shared" si="26"/>
        <v>385199.2</v>
      </c>
      <c r="D1830" s="598">
        <v>200</v>
      </c>
    </row>
    <row r="1831" spans="1:4" x14ac:dyDescent="0.2">
      <c r="A1831" s="417">
        <v>44915</v>
      </c>
      <c r="B1831" s="403">
        <f t="shared" si="27"/>
        <v>343338.22</v>
      </c>
      <c r="C1831" s="403">
        <v>343138.22</v>
      </c>
      <c r="D1831" s="598">
        <v>200</v>
      </c>
    </row>
    <row r="1832" spans="1:4" x14ac:dyDescent="0.2">
      <c r="A1832" s="417">
        <v>44916</v>
      </c>
      <c r="B1832" s="403">
        <f t="shared" si="27"/>
        <v>339355.16</v>
      </c>
      <c r="C1832" s="403">
        <v>339155.16</v>
      </c>
      <c r="D1832" s="598">
        <v>200</v>
      </c>
    </row>
    <row r="1833" spans="1:4" x14ac:dyDescent="0.2">
      <c r="A1833" s="417">
        <v>44917</v>
      </c>
      <c r="B1833" s="403">
        <f t="shared" si="27"/>
        <v>346945.63</v>
      </c>
      <c r="C1833" s="403">
        <v>346745.63</v>
      </c>
      <c r="D1833" s="598">
        <v>200</v>
      </c>
    </row>
    <row r="1834" spans="1:4" x14ac:dyDescent="0.2">
      <c r="A1834" s="417">
        <v>44918</v>
      </c>
      <c r="B1834" s="403">
        <f t="shared" si="27"/>
        <v>346470.13</v>
      </c>
      <c r="C1834" s="403">
        <v>346270.13</v>
      </c>
      <c r="D1834" s="598">
        <v>200</v>
      </c>
    </row>
    <row r="1835" spans="1:4" x14ac:dyDescent="0.2">
      <c r="A1835" s="417">
        <v>44921</v>
      </c>
      <c r="B1835" s="403">
        <f t="shared" si="27"/>
        <v>346470.13</v>
      </c>
      <c r="C1835" s="403">
        <f t="shared" si="26"/>
        <v>346270.13</v>
      </c>
      <c r="D1835" s="598">
        <v>200</v>
      </c>
    </row>
    <row r="1836" spans="1:4" x14ac:dyDescent="0.2">
      <c r="A1836" s="417">
        <v>44922</v>
      </c>
      <c r="B1836" s="403">
        <f t="shared" si="27"/>
        <v>346470.13</v>
      </c>
      <c r="C1836" s="403">
        <f t="shared" si="26"/>
        <v>346270.13</v>
      </c>
      <c r="D1836" s="598">
        <v>200</v>
      </c>
    </row>
    <row r="1837" spans="1:4" x14ac:dyDescent="0.2">
      <c r="A1837" s="417">
        <v>44923</v>
      </c>
      <c r="B1837" s="403">
        <f t="shared" si="27"/>
        <v>432503.36</v>
      </c>
      <c r="C1837" s="403">
        <v>432303.35999999999</v>
      </c>
      <c r="D1837" s="598">
        <v>200</v>
      </c>
    </row>
    <row r="1838" spans="1:4" x14ac:dyDescent="0.2">
      <c r="A1838" s="417">
        <v>44924</v>
      </c>
      <c r="B1838" s="403">
        <f t="shared" si="27"/>
        <v>432600.88</v>
      </c>
      <c r="C1838" s="403">
        <v>432400.88</v>
      </c>
      <c r="D1838" s="598">
        <v>200</v>
      </c>
    </row>
    <row r="1839" spans="1:4" x14ac:dyDescent="0.2">
      <c r="A1839" s="417">
        <v>44925</v>
      </c>
      <c r="B1839" s="445">
        <f t="shared" si="27"/>
        <v>432698.4</v>
      </c>
      <c r="C1839" s="403">
        <v>432498.4</v>
      </c>
      <c r="D1839" s="598">
        <v>200</v>
      </c>
    </row>
    <row r="1840" spans="1:4" x14ac:dyDescent="0.2">
      <c r="A1840" s="417">
        <v>44928</v>
      </c>
      <c r="B1840" s="403">
        <f t="shared" si="27"/>
        <v>432698.4</v>
      </c>
      <c r="C1840" s="403">
        <f t="shared" si="26"/>
        <v>432498.4</v>
      </c>
      <c r="D1840" s="598">
        <v>200</v>
      </c>
    </row>
    <row r="1841" spans="1:4" x14ac:dyDescent="0.2">
      <c r="A1841" s="417">
        <v>44929</v>
      </c>
      <c r="B1841" s="403">
        <f t="shared" si="27"/>
        <v>432648.4</v>
      </c>
      <c r="C1841" s="403">
        <v>432448.4</v>
      </c>
      <c r="D1841" s="598">
        <v>200</v>
      </c>
    </row>
    <row r="1842" spans="1:4" x14ac:dyDescent="0.2">
      <c r="A1842" s="417">
        <v>44930</v>
      </c>
      <c r="B1842" s="403">
        <f t="shared" si="27"/>
        <v>432648.4</v>
      </c>
      <c r="C1842" s="403">
        <f t="shared" ref="C1842:C1877" si="28">C1841</f>
        <v>432448.4</v>
      </c>
      <c r="D1842" s="598">
        <v>200</v>
      </c>
    </row>
    <row r="1843" spans="1:4" x14ac:dyDescent="0.2">
      <c r="A1843" s="417">
        <v>44931</v>
      </c>
      <c r="B1843" s="403">
        <f t="shared" si="27"/>
        <v>376288.8</v>
      </c>
      <c r="C1843" s="403">
        <v>376088.8</v>
      </c>
      <c r="D1843" s="598">
        <v>200</v>
      </c>
    </row>
    <row r="1844" spans="1:4" x14ac:dyDescent="0.2">
      <c r="A1844" s="417">
        <v>44932</v>
      </c>
      <c r="B1844" s="403">
        <f t="shared" si="27"/>
        <v>375846.51</v>
      </c>
      <c r="C1844" s="403">
        <v>375646.51</v>
      </c>
      <c r="D1844" s="598">
        <v>200</v>
      </c>
    </row>
    <row r="1845" spans="1:4" x14ac:dyDescent="0.2">
      <c r="A1845" s="417">
        <v>44935</v>
      </c>
      <c r="B1845" s="403">
        <f t="shared" si="27"/>
        <v>375246.51</v>
      </c>
      <c r="C1845" s="403">
        <v>375046.51</v>
      </c>
      <c r="D1845" s="598">
        <v>200</v>
      </c>
    </row>
    <row r="1846" spans="1:4" x14ac:dyDescent="0.2">
      <c r="A1846" s="417">
        <v>44936</v>
      </c>
      <c r="B1846" s="403">
        <f t="shared" si="27"/>
        <v>375703.51</v>
      </c>
      <c r="C1846" s="403">
        <v>375503.51</v>
      </c>
      <c r="D1846" s="598">
        <v>200</v>
      </c>
    </row>
    <row r="1847" spans="1:4" x14ac:dyDescent="0.2">
      <c r="A1847" s="417">
        <v>44937</v>
      </c>
      <c r="B1847" s="403">
        <f t="shared" si="27"/>
        <v>375837.32</v>
      </c>
      <c r="C1847" s="403">
        <v>375637.32</v>
      </c>
      <c r="D1847" s="598">
        <v>200</v>
      </c>
    </row>
    <row r="1848" spans="1:4" x14ac:dyDescent="0.2">
      <c r="A1848" s="417">
        <v>44938</v>
      </c>
      <c r="B1848" s="403">
        <f t="shared" si="27"/>
        <v>358313.37</v>
      </c>
      <c r="C1848" s="403">
        <v>358113.37</v>
      </c>
      <c r="D1848" s="598">
        <v>200</v>
      </c>
    </row>
    <row r="1849" spans="1:4" x14ac:dyDescent="0.2">
      <c r="A1849" s="417">
        <v>44939</v>
      </c>
      <c r="B1849" s="403">
        <f t="shared" si="27"/>
        <v>362655.36</v>
      </c>
      <c r="C1849" s="403">
        <v>362455.36</v>
      </c>
      <c r="D1849" s="598">
        <v>200</v>
      </c>
    </row>
    <row r="1850" spans="1:4" x14ac:dyDescent="0.2">
      <c r="A1850" s="417">
        <v>44942</v>
      </c>
      <c r="B1850" s="403">
        <f t="shared" si="27"/>
        <v>362655.36</v>
      </c>
      <c r="C1850" s="403">
        <f t="shared" si="28"/>
        <v>362455.36</v>
      </c>
      <c r="D1850" s="598">
        <v>200</v>
      </c>
    </row>
    <row r="1851" spans="1:4" x14ac:dyDescent="0.2">
      <c r="A1851" s="417">
        <v>44943</v>
      </c>
      <c r="B1851" s="403">
        <f t="shared" si="27"/>
        <v>296234.34999999998</v>
      </c>
      <c r="C1851" s="403">
        <v>296034.34999999998</v>
      </c>
      <c r="D1851" s="598">
        <v>200</v>
      </c>
    </row>
    <row r="1852" spans="1:4" x14ac:dyDescent="0.2">
      <c r="A1852" s="417">
        <v>44944</v>
      </c>
      <c r="B1852" s="403">
        <f t="shared" si="27"/>
        <v>309641.15000000002</v>
      </c>
      <c r="C1852" s="403">
        <v>309441.15000000002</v>
      </c>
      <c r="D1852" s="598">
        <v>200</v>
      </c>
    </row>
    <row r="1853" spans="1:4" x14ac:dyDescent="0.2">
      <c r="A1853" s="417">
        <v>44945</v>
      </c>
      <c r="B1853" s="403">
        <f t="shared" si="27"/>
        <v>316446.05</v>
      </c>
      <c r="C1853" s="403">
        <v>316246.05</v>
      </c>
      <c r="D1853" s="598">
        <v>200</v>
      </c>
    </row>
    <row r="1854" spans="1:4" x14ac:dyDescent="0.2">
      <c r="A1854" s="417">
        <v>44946</v>
      </c>
      <c r="B1854" s="403">
        <f t="shared" si="27"/>
        <v>315066.78000000003</v>
      </c>
      <c r="C1854" s="403">
        <v>314866.78000000003</v>
      </c>
      <c r="D1854" s="598">
        <v>200</v>
      </c>
    </row>
    <row r="1855" spans="1:4" x14ac:dyDescent="0.2">
      <c r="A1855" s="417">
        <v>44949</v>
      </c>
      <c r="B1855" s="403">
        <f t="shared" si="27"/>
        <v>314907.93</v>
      </c>
      <c r="C1855" s="403">
        <v>314707.93</v>
      </c>
      <c r="D1855" s="598">
        <v>200</v>
      </c>
    </row>
    <row r="1856" spans="1:4" x14ac:dyDescent="0.2">
      <c r="A1856" s="417">
        <v>44950</v>
      </c>
      <c r="B1856" s="403">
        <f t="shared" si="27"/>
        <v>314907.93</v>
      </c>
      <c r="C1856" s="403">
        <f t="shared" si="28"/>
        <v>314707.93</v>
      </c>
      <c r="D1856" s="598">
        <v>200</v>
      </c>
    </row>
    <row r="1857" spans="1:4" x14ac:dyDescent="0.2">
      <c r="A1857" s="417">
        <v>44951</v>
      </c>
      <c r="B1857" s="403">
        <f t="shared" si="27"/>
        <v>314907.93</v>
      </c>
      <c r="C1857" s="403">
        <f t="shared" si="28"/>
        <v>314707.93</v>
      </c>
      <c r="D1857" s="598">
        <v>200</v>
      </c>
    </row>
    <row r="1858" spans="1:4" x14ac:dyDescent="0.2">
      <c r="A1858" s="417">
        <v>44952</v>
      </c>
      <c r="B1858" s="403">
        <f t="shared" si="27"/>
        <v>315650.68</v>
      </c>
      <c r="C1858" s="403">
        <v>315450.68</v>
      </c>
      <c r="D1858" s="598">
        <v>200</v>
      </c>
    </row>
    <row r="1859" spans="1:4" x14ac:dyDescent="0.2">
      <c r="A1859" s="417">
        <v>44953</v>
      </c>
      <c r="B1859" s="403">
        <f t="shared" si="27"/>
        <v>291355.65000000002</v>
      </c>
      <c r="C1859" s="403">
        <v>291155.65000000002</v>
      </c>
      <c r="D1859" s="598">
        <v>200</v>
      </c>
    </row>
    <row r="1860" spans="1:4" x14ac:dyDescent="0.2">
      <c r="A1860" s="417">
        <v>44956</v>
      </c>
      <c r="B1860" s="403">
        <f t="shared" si="27"/>
        <v>270294.52</v>
      </c>
      <c r="C1860" s="403">
        <v>270094.52</v>
      </c>
      <c r="D1860" s="598">
        <v>200</v>
      </c>
    </row>
    <row r="1861" spans="1:4" x14ac:dyDescent="0.2">
      <c r="A1861" s="417">
        <v>44957</v>
      </c>
      <c r="B1861" s="403">
        <f t="shared" si="27"/>
        <v>269684.28999999998</v>
      </c>
      <c r="C1861" s="403">
        <v>269484.28999999998</v>
      </c>
      <c r="D1861" s="598">
        <v>200</v>
      </c>
    </row>
    <row r="1862" spans="1:4" x14ac:dyDescent="0.2">
      <c r="A1862" s="417">
        <v>44958</v>
      </c>
      <c r="B1862" s="403">
        <f t="shared" si="27"/>
        <v>269684.28999999998</v>
      </c>
      <c r="C1862" s="403">
        <f t="shared" si="28"/>
        <v>269484.28999999998</v>
      </c>
      <c r="D1862" s="598">
        <v>200</v>
      </c>
    </row>
    <row r="1863" spans="1:4" x14ac:dyDescent="0.2">
      <c r="A1863" s="417">
        <v>44959</v>
      </c>
      <c r="B1863" s="445">
        <f t="shared" si="27"/>
        <v>259972.42</v>
      </c>
      <c r="C1863" s="403">
        <v>259772.42</v>
      </c>
      <c r="D1863" s="598">
        <v>200</v>
      </c>
    </row>
    <row r="1864" spans="1:4" x14ac:dyDescent="0.2">
      <c r="A1864" s="417">
        <v>44960</v>
      </c>
      <c r="B1864" s="403">
        <f t="shared" si="27"/>
        <v>282694.13</v>
      </c>
      <c r="C1864" s="403">
        <v>282494.13</v>
      </c>
      <c r="D1864" s="598">
        <v>200</v>
      </c>
    </row>
    <row r="1865" spans="1:4" x14ac:dyDescent="0.2">
      <c r="A1865" s="417">
        <v>44963</v>
      </c>
      <c r="B1865" s="403">
        <f t="shared" si="27"/>
        <v>282636.44</v>
      </c>
      <c r="C1865" s="403">
        <v>282436.44</v>
      </c>
      <c r="D1865" s="598">
        <v>200</v>
      </c>
    </row>
    <row r="1866" spans="1:4" x14ac:dyDescent="0.2">
      <c r="A1866" s="417">
        <v>44964</v>
      </c>
      <c r="B1866" s="403">
        <f t="shared" ref="B1866:B1924" si="29">C1866+D1866</f>
        <v>298296.44</v>
      </c>
      <c r="C1866" s="403">
        <v>298096.44</v>
      </c>
      <c r="D1866" s="598">
        <v>200</v>
      </c>
    </row>
    <row r="1867" spans="1:4" x14ac:dyDescent="0.2">
      <c r="A1867" s="417">
        <v>44965</v>
      </c>
      <c r="B1867" s="403">
        <f t="shared" si="29"/>
        <v>298259.44</v>
      </c>
      <c r="C1867" s="403">
        <v>298059.44</v>
      </c>
      <c r="D1867" s="598">
        <v>200</v>
      </c>
    </row>
    <row r="1868" spans="1:4" x14ac:dyDescent="0.2">
      <c r="A1868" s="417">
        <v>44966</v>
      </c>
      <c r="B1868" s="403">
        <f t="shared" si="29"/>
        <v>286670.99</v>
      </c>
      <c r="C1868" s="403">
        <v>286470.99</v>
      </c>
      <c r="D1868" s="598">
        <v>200</v>
      </c>
    </row>
    <row r="1869" spans="1:4" x14ac:dyDescent="0.2">
      <c r="A1869" s="417">
        <v>44967</v>
      </c>
      <c r="B1869" s="403">
        <f t="shared" si="29"/>
        <v>329121.65000000002</v>
      </c>
      <c r="C1869" s="403">
        <v>328921.65000000002</v>
      </c>
      <c r="D1869" s="598">
        <v>200</v>
      </c>
    </row>
    <row r="1870" spans="1:4" x14ac:dyDescent="0.2">
      <c r="A1870" s="417">
        <v>44970</v>
      </c>
      <c r="B1870" s="403">
        <f t="shared" si="29"/>
        <v>287265.95</v>
      </c>
      <c r="C1870" s="403">
        <v>287065.95</v>
      </c>
      <c r="D1870" s="598">
        <v>200</v>
      </c>
    </row>
    <row r="1871" spans="1:4" x14ac:dyDescent="0.2">
      <c r="A1871" s="417">
        <v>44971</v>
      </c>
      <c r="B1871" s="403">
        <f t="shared" si="29"/>
        <v>291765.95</v>
      </c>
      <c r="C1871" s="403">
        <v>291565.95</v>
      </c>
      <c r="D1871" s="598">
        <v>200</v>
      </c>
    </row>
    <row r="1872" spans="1:4" x14ac:dyDescent="0.2">
      <c r="A1872" s="417">
        <v>44972</v>
      </c>
      <c r="B1872" s="403">
        <f t="shared" si="29"/>
        <v>291800.28000000003</v>
      </c>
      <c r="C1872" s="403">
        <v>291600.28000000003</v>
      </c>
      <c r="D1872" s="598">
        <v>200</v>
      </c>
    </row>
    <row r="1873" spans="1:4" x14ac:dyDescent="0.2">
      <c r="A1873" s="417">
        <v>44973</v>
      </c>
      <c r="B1873" s="403">
        <f t="shared" si="29"/>
        <v>298342.23</v>
      </c>
      <c r="C1873" s="403">
        <v>298142.23</v>
      </c>
      <c r="D1873" s="598">
        <v>200</v>
      </c>
    </row>
    <row r="1874" spans="1:4" x14ac:dyDescent="0.2">
      <c r="A1874" s="417">
        <v>44974</v>
      </c>
      <c r="B1874" s="403">
        <f t="shared" si="29"/>
        <v>292633.62</v>
      </c>
      <c r="C1874" s="403">
        <v>292433.62</v>
      </c>
      <c r="D1874" s="598">
        <v>200</v>
      </c>
    </row>
    <row r="1875" spans="1:4" x14ac:dyDescent="0.2">
      <c r="A1875" s="417">
        <v>44977</v>
      </c>
      <c r="B1875" s="403">
        <f t="shared" si="29"/>
        <v>292633.62</v>
      </c>
      <c r="C1875" s="403">
        <f t="shared" si="28"/>
        <v>292433.62</v>
      </c>
      <c r="D1875" s="598">
        <v>200</v>
      </c>
    </row>
    <row r="1876" spans="1:4" x14ac:dyDescent="0.2">
      <c r="A1876" s="417">
        <v>44978</v>
      </c>
      <c r="B1876" s="403">
        <f t="shared" si="29"/>
        <v>320810.26</v>
      </c>
      <c r="C1876" s="403">
        <v>320610.26</v>
      </c>
      <c r="D1876" s="598">
        <v>200</v>
      </c>
    </row>
    <row r="1877" spans="1:4" x14ac:dyDescent="0.2">
      <c r="A1877" s="417">
        <v>44979</v>
      </c>
      <c r="B1877" s="403">
        <f t="shared" si="29"/>
        <v>320810.26</v>
      </c>
      <c r="C1877" s="403">
        <f t="shared" si="28"/>
        <v>320610.26</v>
      </c>
      <c r="D1877" s="598">
        <v>200</v>
      </c>
    </row>
    <row r="1878" spans="1:4" x14ac:dyDescent="0.2">
      <c r="A1878" s="417">
        <v>44980</v>
      </c>
      <c r="B1878" s="403">
        <f t="shared" si="29"/>
        <v>341705.89</v>
      </c>
      <c r="C1878" s="403">
        <v>341505.89</v>
      </c>
      <c r="D1878" s="598">
        <v>200</v>
      </c>
    </row>
    <row r="1879" spans="1:4" x14ac:dyDescent="0.2">
      <c r="A1879" s="417">
        <v>44981</v>
      </c>
      <c r="B1879" s="403">
        <f t="shared" si="29"/>
        <v>341754.4</v>
      </c>
      <c r="C1879" s="403">
        <v>341554.4</v>
      </c>
      <c r="D1879" s="598">
        <v>200</v>
      </c>
    </row>
    <row r="1880" spans="1:4" x14ac:dyDescent="0.2">
      <c r="A1880" s="417">
        <v>44984</v>
      </c>
      <c r="B1880" s="403">
        <f t="shared" si="29"/>
        <v>330670.37</v>
      </c>
      <c r="C1880" s="403">
        <v>330470.37</v>
      </c>
      <c r="D1880" s="598">
        <v>200</v>
      </c>
    </row>
    <row r="1881" spans="1:4" x14ac:dyDescent="0.2">
      <c r="A1881" s="417">
        <v>44985</v>
      </c>
      <c r="B1881" s="403">
        <f t="shared" si="29"/>
        <v>338045.7</v>
      </c>
      <c r="C1881" s="403">
        <v>337845.7</v>
      </c>
      <c r="D1881" s="598">
        <v>200</v>
      </c>
    </row>
    <row r="1882" spans="1:4" x14ac:dyDescent="0.2">
      <c r="A1882" s="417">
        <v>44986</v>
      </c>
      <c r="B1882" s="403">
        <f t="shared" si="29"/>
        <v>338604.7</v>
      </c>
      <c r="C1882" s="403">
        <v>338404.7</v>
      </c>
      <c r="D1882" s="598">
        <v>200</v>
      </c>
    </row>
    <row r="1883" spans="1:4" x14ac:dyDescent="0.2">
      <c r="A1883" s="417">
        <v>44987</v>
      </c>
      <c r="B1883" s="403">
        <f t="shared" si="29"/>
        <v>329491.15000000002</v>
      </c>
      <c r="C1883" s="403">
        <v>329291.15000000002</v>
      </c>
      <c r="D1883" s="598">
        <v>200</v>
      </c>
    </row>
    <row r="1884" spans="1:4" x14ac:dyDescent="0.2">
      <c r="A1884" s="417">
        <v>44988</v>
      </c>
      <c r="B1884" s="403">
        <f t="shared" si="29"/>
        <v>329106.55</v>
      </c>
      <c r="C1884" s="403">
        <v>328906.55</v>
      </c>
      <c r="D1884" s="598">
        <v>200</v>
      </c>
    </row>
    <row r="1885" spans="1:4" x14ac:dyDescent="0.2">
      <c r="A1885" s="417">
        <v>44991</v>
      </c>
      <c r="B1885" s="403">
        <f t="shared" si="29"/>
        <v>329106.55</v>
      </c>
      <c r="C1885" s="403">
        <f t="shared" ref="C1885:C1947" si="30">C1884</f>
        <v>328906.55</v>
      </c>
      <c r="D1885" s="598">
        <v>200</v>
      </c>
    </row>
    <row r="1886" spans="1:4" x14ac:dyDescent="0.2">
      <c r="A1886" s="417">
        <v>44992</v>
      </c>
      <c r="B1886" s="403">
        <f t="shared" si="29"/>
        <v>366692.56</v>
      </c>
      <c r="C1886" s="403">
        <v>366492.56</v>
      </c>
      <c r="D1886" s="598">
        <v>200</v>
      </c>
    </row>
    <row r="1887" spans="1:4" x14ac:dyDescent="0.2">
      <c r="A1887" s="417">
        <v>44993</v>
      </c>
      <c r="B1887" s="403">
        <f t="shared" si="29"/>
        <v>368956.85</v>
      </c>
      <c r="C1887" s="403">
        <v>368756.85</v>
      </c>
      <c r="D1887" s="598">
        <v>200</v>
      </c>
    </row>
    <row r="1888" spans="1:4" x14ac:dyDescent="0.2">
      <c r="A1888" s="417">
        <v>44994</v>
      </c>
      <c r="B1888" s="403">
        <f t="shared" si="29"/>
        <v>390880.67</v>
      </c>
      <c r="C1888" s="403">
        <v>390680.67</v>
      </c>
      <c r="D1888" s="598">
        <v>200</v>
      </c>
    </row>
    <row r="1889" spans="1:4" x14ac:dyDescent="0.2">
      <c r="A1889" s="417">
        <v>44995</v>
      </c>
      <c r="B1889" s="403">
        <f t="shared" si="29"/>
        <v>414120.74</v>
      </c>
      <c r="C1889" s="403">
        <v>413920.74</v>
      </c>
      <c r="D1889" s="598">
        <v>200</v>
      </c>
    </row>
    <row r="1890" spans="1:4" x14ac:dyDescent="0.2">
      <c r="A1890" s="417">
        <v>44998</v>
      </c>
      <c r="B1890" s="403">
        <f t="shared" si="29"/>
        <v>424130.52</v>
      </c>
      <c r="C1890" s="403">
        <v>423930.52</v>
      </c>
      <c r="D1890" s="598">
        <v>200</v>
      </c>
    </row>
    <row r="1891" spans="1:4" x14ac:dyDescent="0.2">
      <c r="A1891" s="417">
        <v>44999</v>
      </c>
      <c r="B1891" s="403">
        <f t="shared" si="29"/>
        <v>424130.52</v>
      </c>
      <c r="C1891" s="403">
        <f t="shared" si="30"/>
        <v>423930.52</v>
      </c>
      <c r="D1891" s="598">
        <v>200</v>
      </c>
    </row>
    <row r="1892" spans="1:4" x14ac:dyDescent="0.2">
      <c r="A1892" s="417">
        <v>45000</v>
      </c>
      <c r="B1892" s="403">
        <f t="shared" si="29"/>
        <v>424163.34</v>
      </c>
      <c r="C1892" s="403">
        <v>423963.34</v>
      </c>
      <c r="D1892" s="598">
        <v>200</v>
      </c>
    </row>
    <row r="1893" spans="1:4" x14ac:dyDescent="0.2">
      <c r="A1893" s="417">
        <v>45001</v>
      </c>
      <c r="B1893" s="403">
        <f t="shared" si="29"/>
        <v>422350.37</v>
      </c>
      <c r="C1893" s="403">
        <v>422150.37</v>
      </c>
      <c r="D1893" s="598">
        <v>200</v>
      </c>
    </row>
    <row r="1894" spans="1:4" x14ac:dyDescent="0.2">
      <c r="A1894" s="417">
        <v>45002</v>
      </c>
      <c r="B1894" s="403">
        <f t="shared" si="29"/>
        <v>421965.77</v>
      </c>
      <c r="C1894" s="403">
        <v>421765.77</v>
      </c>
      <c r="D1894" s="598">
        <v>200</v>
      </c>
    </row>
    <row r="1895" spans="1:4" x14ac:dyDescent="0.2">
      <c r="A1895" s="417">
        <v>45005</v>
      </c>
      <c r="B1895" s="403">
        <f t="shared" si="29"/>
        <v>419047.88</v>
      </c>
      <c r="C1895" s="403">
        <v>418847.88</v>
      </c>
      <c r="D1895" s="598">
        <v>200</v>
      </c>
    </row>
    <row r="1896" spans="1:4" x14ac:dyDescent="0.2">
      <c r="A1896" s="417">
        <v>45006</v>
      </c>
      <c r="B1896" s="403">
        <f t="shared" si="29"/>
        <v>425165.2</v>
      </c>
      <c r="C1896" s="403">
        <v>424965.2</v>
      </c>
      <c r="D1896" s="598">
        <v>200</v>
      </c>
    </row>
    <row r="1897" spans="1:4" x14ac:dyDescent="0.2">
      <c r="A1897" s="417">
        <v>45007</v>
      </c>
      <c r="B1897" s="403">
        <f t="shared" si="29"/>
        <v>415468.61</v>
      </c>
      <c r="C1897" s="403">
        <v>415268.61</v>
      </c>
      <c r="D1897" s="598">
        <v>200</v>
      </c>
    </row>
    <row r="1898" spans="1:4" x14ac:dyDescent="0.2">
      <c r="A1898" s="417">
        <v>45008</v>
      </c>
      <c r="B1898" s="403">
        <f t="shared" si="29"/>
        <v>444345.89</v>
      </c>
      <c r="C1898" s="403">
        <v>444145.89</v>
      </c>
      <c r="D1898" s="598">
        <v>200</v>
      </c>
    </row>
    <row r="1899" spans="1:4" x14ac:dyDescent="0.2">
      <c r="A1899" s="417">
        <v>45009</v>
      </c>
      <c r="B1899" s="403">
        <f t="shared" si="29"/>
        <v>444345.89</v>
      </c>
      <c r="C1899" s="403">
        <f t="shared" si="30"/>
        <v>444145.89</v>
      </c>
      <c r="D1899" s="598">
        <v>200</v>
      </c>
    </row>
    <row r="1900" spans="1:4" x14ac:dyDescent="0.2">
      <c r="A1900" s="417">
        <v>45012</v>
      </c>
      <c r="B1900" s="445">
        <f t="shared" si="29"/>
        <v>472758.17</v>
      </c>
      <c r="C1900" s="403">
        <v>472558.17</v>
      </c>
      <c r="D1900" s="598">
        <v>200</v>
      </c>
    </row>
    <row r="1901" spans="1:4" x14ac:dyDescent="0.2">
      <c r="A1901" s="417">
        <v>45013</v>
      </c>
      <c r="B1901" s="403">
        <f t="shared" si="29"/>
        <v>431931.97</v>
      </c>
      <c r="C1901" s="403">
        <v>431731.97</v>
      </c>
      <c r="D1901" s="598">
        <v>200</v>
      </c>
    </row>
    <row r="1902" spans="1:4" x14ac:dyDescent="0.2">
      <c r="A1902" s="417">
        <v>45014</v>
      </c>
      <c r="B1902" s="403">
        <f t="shared" si="29"/>
        <v>435079.42</v>
      </c>
      <c r="C1902" s="403">
        <v>434879.42</v>
      </c>
      <c r="D1902" s="598">
        <v>200</v>
      </c>
    </row>
    <row r="1903" spans="1:4" x14ac:dyDescent="0.2">
      <c r="A1903" s="417">
        <v>45015</v>
      </c>
      <c r="B1903" s="403">
        <f t="shared" si="29"/>
        <v>424040.9</v>
      </c>
      <c r="C1903" s="403">
        <v>423840.9</v>
      </c>
      <c r="D1903" s="598">
        <v>200</v>
      </c>
    </row>
    <row r="1904" spans="1:4" x14ac:dyDescent="0.2">
      <c r="A1904" s="417">
        <v>45016</v>
      </c>
      <c r="B1904" s="403">
        <f t="shared" si="29"/>
        <v>449683.31</v>
      </c>
      <c r="C1904" s="403">
        <v>449483.31</v>
      </c>
      <c r="D1904" s="598">
        <v>200</v>
      </c>
    </row>
    <row r="1905" spans="1:4" x14ac:dyDescent="0.2">
      <c r="A1905" s="417">
        <v>45019</v>
      </c>
      <c r="B1905" s="403">
        <f t="shared" si="29"/>
        <v>449683.31</v>
      </c>
      <c r="C1905" s="403">
        <f t="shared" si="30"/>
        <v>449483.31</v>
      </c>
      <c r="D1905" s="598">
        <v>200</v>
      </c>
    </row>
    <row r="1906" spans="1:4" x14ac:dyDescent="0.2">
      <c r="A1906" s="417">
        <v>45020</v>
      </c>
      <c r="B1906" s="403">
        <f t="shared" si="29"/>
        <v>449683.31</v>
      </c>
      <c r="C1906" s="403">
        <f t="shared" si="30"/>
        <v>449483.31</v>
      </c>
      <c r="D1906" s="598">
        <v>200</v>
      </c>
    </row>
    <row r="1907" spans="1:4" x14ac:dyDescent="0.2">
      <c r="A1907" s="417">
        <v>45021</v>
      </c>
      <c r="B1907" s="403">
        <f t="shared" si="29"/>
        <v>449683.31</v>
      </c>
      <c r="C1907" s="403">
        <f t="shared" si="30"/>
        <v>449483.31</v>
      </c>
      <c r="D1907" s="598">
        <v>200</v>
      </c>
    </row>
    <row r="1908" spans="1:4" x14ac:dyDescent="0.2">
      <c r="A1908" s="417">
        <v>45022</v>
      </c>
      <c r="B1908" s="403">
        <f t="shared" si="29"/>
        <v>425038.75</v>
      </c>
      <c r="C1908" s="403">
        <v>424838.75</v>
      </c>
      <c r="D1908" s="598">
        <v>200</v>
      </c>
    </row>
    <row r="1909" spans="1:4" x14ac:dyDescent="0.2">
      <c r="A1909" s="417">
        <v>45023</v>
      </c>
      <c r="B1909" s="403">
        <f t="shared" si="29"/>
        <v>425038.75</v>
      </c>
      <c r="C1909" s="403">
        <f t="shared" si="30"/>
        <v>424838.75</v>
      </c>
      <c r="D1909" s="598">
        <v>200</v>
      </c>
    </row>
    <row r="1910" spans="1:4" x14ac:dyDescent="0.2">
      <c r="A1910" s="417">
        <v>45026</v>
      </c>
      <c r="B1910" s="403">
        <f t="shared" si="29"/>
        <v>381899.02</v>
      </c>
      <c r="C1910" s="403">
        <v>381699.02</v>
      </c>
      <c r="D1910" s="598">
        <v>200</v>
      </c>
    </row>
    <row r="1911" spans="1:4" x14ac:dyDescent="0.2">
      <c r="A1911" s="417">
        <v>45027</v>
      </c>
      <c r="B1911" s="403">
        <f t="shared" si="29"/>
        <v>403291.29</v>
      </c>
      <c r="C1911" s="403">
        <v>403091.29</v>
      </c>
      <c r="D1911" s="598">
        <v>200</v>
      </c>
    </row>
    <row r="1912" spans="1:4" x14ac:dyDescent="0.2">
      <c r="A1912" s="417">
        <v>45028</v>
      </c>
      <c r="B1912" s="403">
        <f t="shared" si="29"/>
        <v>398523.39</v>
      </c>
      <c r="C1912" s="403">
        <v>398323.39</v>
      </c>
      <c r="D1912" s="598">
        <v>200</v>
      </c>
    </row>
    <row r="1913" spans="1:4" x14ac:dyDescent="0.2">
      <c r="A1913" s="417">
        <v>45029</v>
      </c>
      <c r="B1913" s="403">
        <f t="shared" si="29"/>
        <v>405256.29</v>
      </c>
      <c r="C1913" s="403">
        <v>405056.29</v>
      </c>
      <c r="D1913" s="598">
        <v>200</v>
      </c>
    </row>
    <row r="1914" spans="1:4" x14ac:dyDescent="0.2">
      <c r="A1914" s="417">
        <v>45030</v>
      </c>
      <c r="B1914" s="403">
        <f t="shared" si="29"/>
        <v>404915.18</v>
      </c>
      <c r="C1914" s="403">
        <v>404715.18</v>
      </c>
      <c r="D1914" s="598">
        <v>200</v>
      </c>
    </row>
    <row r="1915" spans="1:4" x14ac:dyDescent="0.2">
      <c r="A1915" s="417">
        <v>45033</v>
      </c>
      <c r="B1915" s="403">
        <f t="shared" si="29"/>
        <v>403828.39</v>
      </c>
      <c r="C1915" s="403">
        <v>403628.39</v>
      </c>
      <c r="D1915" s="598">
        <v>200</v>
      </c>
    </row>
    <row r="1916" spans="1:4" x14ac:dyDescent="0.2">
      <c r="A1916" s="417">
        <v>45034</v>
      </c>
      <c r="B1916" s="403">
        <f t="shared" si="29"/>
        <v>403828.39</v>
      </c>
      <c r="C1916" s="403">
        <f t="shared" si="30"/>
        <v>403628.39</v>
      </c>
      <c r="D1916" s="598">
        <v>200</v>
      </c>
    </row>
    <row r="1917" spans="1:4" x14ac:dyDescent="0.2">
      <c r="A1917" s="417">
        <v>45035</v>
      </c>
      <c r="B1917" s="403">
        <f t="shared" si="29"/>
        <v>434721.04</v>
      </c>
      <c r="C1917" s="403">
        <v>434521.04</v>
      </c>
      <c r="D1917" s="598">
        <v>200</v>
      </c>
    </row>
    <row r="1918" spans="1:4" x14ac:dyDescent="0.2">
      <c r="A1918" s="417">
        <v>45036</v>
      </c>
      <c r="B1918" s="403">
        <f t="shared" si="29"/>
        <v>421127.98</v>
      </c>
      <c r="C1918" s="403">
        <v>420927.98</v>
      </c>
      <c r="D1918" s="598">
        <v>200</v>
      </c>
    </row>
    <row r="1919" spans="1:4" x14ac:dyDescent="0.2">
      <c r="A1919" s="417">
        <v>45037</v>
      </c>
      <c r="B1919" s="403">
        <f t="shared" si="29"/>
        <v>420969.13</v>
      </c>
      <c r="C1919" s="403">
        <v>420769.13</v>
      </c>
      <c r="D1919" s="598">
        <v>200</v>
      </c>
    </row>
    <row r="1920" spans="1:4" x14ac:dyDescent="0.2">
      <c r="A1920" s="417">
        <v>45040</v>
      </c>
      <c r="B1920" s="403">
        <f t="shared" si="29"/>
        <v>420969.13</v>
      </c>
      <c r="C1920" s="403">
        <f t="shared" si="30"/>
        <v>420769.13</v>
      </c>
      <c r="D1920" s="598">
        <v>200</v>
      </c>
    </row>
    <row r="1921" spans="1:4" x14ac:dyDescent="0.2">
      <c r="A1921" s="417">
        <v>45041</v>
      </c>
      <c r="B1921" s="403">
        <f t="shared" si="29"/>
        <v>379345</v>
      </c>
      <c r="C1921" s="403">
        <v>379145</v>
      </c>
      <c r="D1921" s="598">
        <v>200</v>
      </c>
    </row>
    <row r="1922" spans="1:4" x14ac:dyDescent="0.2">
      <c r="A1922" s="417">
        <v>45042</v>
      </c>
      <c r="B1922" s="403">
        <f t="shared" si="29"/>
        <v>379345</v>
      </c>
      <c r="C1922" s="403">
        <f t="shared" si="30"/>
        <v>379145</v>
      </c>
      <c r="D1922" s="598">
        <v>200</v>
      </c>
    </row>
    <row r="1923" spans="1:4" x14ac:dyDescent="0.2">
      <c r="A1923" s="417">
        <v>45043</v>
      </c>
      <c r="B1923" s="403">
        <f t="shared" si="29"/>
        <v>379345</v>
      </c>
      <c r="C1923" s="403">
        <f t="shared" si="30"/>
        <v>379145</v>
      </c>
      <c r="D1923" s="598">
        <v>200</v>
      </c>
    </row>
    <row r="1924" spans="1:4" x14ac:dyDescent="0.2">
      <c r="A1924" s="417">
        <v>45044</v>
      </c>
      <c r="B1924" s="403">
        <f t="shared" si="29"/>
        <v>402733.09</v>
      </c>
      <c r="C1924" s="403">
        <v>402533.09</v>
      </c>
      <c r="D1924" s="598">
        <v>200</v>
      </c>
    </row>
    <row r="1925" spans="1:4" x14ac:dyDescent="0.2">
      <c r="A1925" s="417">
        <v>45047</v>
      </c>
      <c r="B1925" s="403">
        <f t="shared" ref="B1925:B1969" si="31">C1925+D1925</f>
        <v>403316.09</v>
      </c>
      <c r="C1925" s="403">
        <v>403116.09</v>
      </c>
      <c r="D1925" s="598">
        <v>200</v>
      </c>
    </row>
    <row r="1926" spans="1:4" x14ac:dyDescent="0.2">
      <c r="A1926" s="417">
        <v>45048</v>
      </c>
      <c r="B1926" s="403">
        <f t="shared" si="31"/>
        <v>403316.09</v>
      </c>
      <c r="C1926" s="403">
        <f t="shared" si="30"/>
        <v>403116.09</v>
      </c>
      <c r="D1926" s="598">
        <v>200</v>
      </c>
    </row>
    <row r="1927" spans="1:4" x14ac:dyDescent="0.2">
      <c r="A1927" s="417">
        <v>45049</v>
      </c>
      <c r="B1927" s="403">
        <f t="shared" si="31"/>
        <v>385876.12</v>
      </c>
      <c r="C1927" s="403">
        <v>385676.12</v>
      </c>
      <c r="D1927" s="598">
        <v>200</v>
      </c>
    </row>
    <row r="1928" spans="1:4" x14ac:dyDescent="0.2">
      <c r="A1928" s="417">
        <v>45050</v>
      </c>
      <c r="B1928" s="403">
        <f t="shared" si="31"/>
        <v>351812.45</v>
      </c>
      <c r="C1928" s="403">
        <v>351612.45</v>
      </c>
      <c r="D1928" s="598">
        <v>200</v>
      </c>
    </row>
    <row r="1929" spans="1:4" x14ac:dyDescent="0.2">
      <c r="A1929" s="417">
        <v>45051</v>
      </c>
      <c r="B1929" s="403">
        <f t="shared" si="31"/>
        <v>351812.45</v>
      </c>
      <c r="C1929" s="403">
        <f t="shared" si="30"/>
        <v>351612.45</v>
      </c>
      <c r="D1929" s="598">
        <v>200</v>
      </c>
    </row>
    <row r="1930" spans="1:4" x14ac:dyDescent="0.2">
      <c r="A1930" s="417">
        <v>45054</v>
      </c>
      <c r="B1930" s="403">
        <f t="shared" si="31"/>
        <v>368195.43</v>
      </c>
      <c r="C1930" s="403">
        <v>367995.43</v>
      </c>
      <c r="D1930" s="598">
        <v>200</v>
      </c>
    </row>
    <row r="1931" spans="1:4" x14ac:dyDescent="0.2">
      <c r="A1931" s="417">
        <v>45055</v>
      </c>
      <c r="B1931" s="403">
        <f t="shared" si="31"/>
        <v>368195.43</v>
      </c>
      <c r="C1931" s="403">
        <f t="shared" si="30"/>
        <v>367995.43</v>
      </c>
      <c r="D1931" s="598">
        <v>200</v>
      </c>
    </row>
    <row r="1932" spans="1:4" x14ac:dyDescent="0.2">
      <c r="A1932" s="417">
        <v>45056</v>
      </c>
      <c r="B1932" s="403">
        <f t="shared" si="31"/>
        <v>368195.43</v>
      </c>
      <c r="C1932" s="403">
        <f t="shared" si="30"/>
        <v>367995.43</v>
      </c>
      <c r="D1932" s="598">
        <v>200</v>
      </c>
    </row>
    <row r="1933" spans="1:4" x14ac:dyDescent="0.2">
      <c r="A1933" s="417">
        <v>45057</v>
      </c>
      <c r="B1933" s="403">
        <f t="shared" si="31"/>
        <v>368195.43</v>
      </c>
      <c r="C1933" s="403">
        <f t="shared" si="30"/>
        <v>367995.43</v>
      </c>
      <c r="D1933" s="598">
        <v>200</v>
      </c>
    </row>
    <row r="1934" spans="1:4" x14ac:dyDescent="0.2">
      <c r="A1934" s="417">
        <v>45058</v>
      </c>
      <c r="B1934" s="403">
        <f t="shared" si="31"/>
        <v>367810.83</v>
      </c>
      <c r="C1934" s="403">
        <v>367610.83</v>
      </c>
      <c r="D1934" s="598">
        <v>200</v>
      </c>
    </row>
    <row r="1935" spans="1:4" x14ac:dyDescent="0.2">
      <c r="A1935" s="417">
        <v>45061</v>
      </c>
      <c r="B1935" s="403">
        <f t="shared" si="31"/>
        <v>367851.39</v>
      </c>
      <c r="C1935" s="403">
        <v>367651.39</v>
      </c>
      <c r="D1935" s="598">
        <v>200</v>
      </c>
    </row>
    <row r="1936" spans="1:4" x14ac:dyDescent="0.2">
      <c r="A1936" s="417">
        <v>45062</v>
      </c>
      <c r="B1936" s="403">
        <f t="shared" si="31"/>
        <v>367851.39</v>
      </c>
      <c r="C1936" s="403">
        <f t="shared" si="30"/>
        <v>367651.39</v>
      </c>
      <c r="D1936" s="598">
        <v>200</v>
      </c>
    </row>
    <row r="1937" spans="1:4" x14ac:dyDescent="0.2">
      <c r="A1937" s="417">
        <v>45063</v>
      </c>
      <c r="B1937" s="403">
        <f t="shared" si="31"/>
        <v>367851.39</v>
      </c>
      <c r="C1937" s="403">
        <f t="shared" si="30"/>
        <v>367651.39</v>
      </c>
      <c r="D1937" s="598">
        <v>200</v>
      </c>
    </row>
    <row r="1938" spans="1:4" x14ac:dyDescent="0.2">
      <c r="A1938" s="417">
        <v>45064</v>
      </c>
      <c r="B1938" s="403">
        <f t="shared" si="31"/>
        <v>356642.57</v>
      </c>
      <c r="C1938" s="403">
        <v>356442.57</v>
      </c>
      <c r="D1938" s="598">
        <v>200</v>
      </c>
    </row>
    <row r="1939" spans="1:4" x14ac:dyDescent="0.2">
      <c r="A1939" s="417">
        <v>45065</v>
      </c>
      <c r="B1939" s="403">
        <f t="shared" si="31"/>
        <v>356642.57</v>
      </c>
      <c r="C1939" s="403">
        <f t="shared" si="30"/>
        <v>356442.57</v>
      </c>
      <c r="D1939" s="598">
        <v>200</v>
      </c>
    </row>
    <row r="1940" spans="1:4" x14ac:dyDescent="0.2">
      <c r="A1940" s="417">
        <v>45068</v>
      </c>
      <c r="B1940" s="403">
        <f t="shared" si="31"/>
        <v>308974.21000000002</v>
      </c>
      <c r="C1940" s="403">
        <v>308774.21000000002</v>
      </c>
      <c r="D1940" s="598">
        <v>200</v>
      </c>
    </row>
    <row r="1941" spans="1:4" x14ac:dyDescent="0.2">
      <c r="A1941" s="417">
        <v>45069</v>
      </c>
      <c r="B1941" s="403">
        <f t="shared" si="31"/>
        <v>338753.05</v>
      </c>
      <c r="C1941" s="403">
        <v>338553.05</v>
      </c>
      <c r="D1941" s="598">
        <v>200</v>
      </c>
    </row>
    <row r="1942" spans="1:4" x14ac:dyDescent="0.2">
      <c r="A1942" s="417">
        <v>45070</v>
      </c>
      <c r="B1942" s="403">
        <f t="shared" si="31"/>
        <v>391263.14</v>
      </c>
      <c r="C1942" s="403">
        <v>391063.14</v>
      </c>
      <c r="D1942" s="598">
        <v>200</v>
      </c>
    </row>
    <row r="1943" spans="1:4" x14ac:dyDescent="0.2">
      <c r="A1943" s="417">
        <v>45071</v>
      </c>
      <c r="B1943" s="403">
        <f t="shared" si="31"/>
        <v>391263.14</v>
      </c>
      <c r="C1943" s="403">
        <f t="shared" si="30"/>
        <v>391063.14</v>
      </c>
      <c r="D1943" s="598">
        <v>200</v>
      </c>
    </row>
    <row r="1944" spans="1:4" x14ac:dyDescent="0.2">
      <c r="A1944" s="417">
        <v>45072</v>
      </c>
      <c r="B1944" s="403">
        <f t="shared" si="31"/>
        <v>449119.47</v>
      </c>
      <c r="C1944" s="403">
        <v>448919.47</v>
      </c>
      <c r="D1944" s="598">
        <v>200</v>
      </c>
    </row>
    <row r="1945" spans="1:4" x14ac:dyDescent="0.2">
      <c r="A1945" s="417">
        <v>45075</v>
      </c>
      <c r="B1945" s="403">
        <f t="shared" si="31"/>
        <v>449119.47</v>
      </c>
      <c r="C1945" s="403">
        <f t="shared" si="30"/>
        <v>448919.47</v>
      </c>
      <c r="D1945" s="598">
        <v>200</v>
      </c>
    </row>
    <row r="1946" spans="1:4" x14ac:dyDescent="0.2">
      <c r="A1946" s="417">
        <v>45076</v>
      </c>
      <c r="B1946" s="403">
        <f t="shared" si="31"/>
        <v>448869.47</v>
      </c>
      <c r="C1946" s="403">
        <v>448669.47</v>
      </c>
      <c r="D1946" s="598">
        <v>200</v>
      </c>
    </row>
    <row r="1947" spans="1:4" x14ac:dyDescent="0.2">
      <c r="A1947" s="417">
        <v>45077</v>
      </c>
      <c r="B1947" s="403">
        <f t="shared" si="31"/>
        <v>448869.47</v>
      </c>
      <c r="C1947" s="403">
        <f t="shared" si="30"/>
        <v>448669.47</v>
      </c>
      <c r="D1947" s="598">
        <v>200</v>
      </c>
    </row>
    <row r="1948" spans="1:4" x14ac:dyDescent="0.2">
      <c r="A1948" s="417">
        <v>45078</v>
      </c>
      <c r="B1948" s="403">
        <f t="shared" si="31"/>
        <v>438853.17</v>
      </c>
      <c r="C1948" s="403">
        <v>438653.17</v>
      </c>
      <c r="D1948" s="598">
        <v>200</v>
      </c>
    </row>
    <row r="1949" spans="1:4" x14ac:dyDescent="0.2">
      <c r="A1949" s="417">
        <v>45079</v>
      </c>
      <c r="B1949" s="403">
        <f t="shared" si="31"/>
        <v>439117.17</v>
      </c>
      <c r="C1949" s="403">
        <v>438917.17</v>
      </c>
      <c r="D1949" s="598">
        <v>200</v>
      </c>
    </row>
    <row r="1950" spans="1:4" x14ac:dyDescent="0.2">
      <c r="A1950" s="417">
        <v>45082</v>
      </c>
      <c r="B1950" s="403">
        <f t="shared" si="31"/>
        <v>407163.47</v>
      </c>
      <c r="C1950" s="403">
        <v>406963.47</v>
      </c>
      <c r="D1950" s="598">
        <v>200</v>
      </c>
    </row>
    <row r="1951" spans="1:4" x14ac:dyDescent="0.2">
      <c r="A1951" s="417">
        <v>45083</v>
      </c>
      <c r="B1951" s="403">
        <f t="shared" si="31"/>
        <v>415855.1</v>
      </c>
      <c r="C1951" s="403">
        <v>415655.1</v>
      </c>
      <c r="D1951" s="598">
        <v>200</v>
      </c>
    </row>
    <row r="1952" spans="1:4" x14ac:dyDescent="0.2">
      <c r="A1952" s="417">
        <v>45084</v>
      </c>
      <c r="B1952" s="403">
        <f t="shared" si="31"/>
        <v>415855.1</v>
      </c>
      <c r="C1952" s="403">
        <f t="shared" ref="C1952:C1965" si="32">C1951</f>
        <v>415655.1</v>
      </c>
      <c r="D1952" s="598">
        <v>200</v>
      </c>
    </row>
    <row r="1953" spans="1:4" x14ac:dyDescent="0.2">
      <c r="A1953" s="417">
        <v>45085</v>
      </c>
      <c r="B1953" s="403">
        <f t="shared" si="31"/>
        <v>412361.18</v>
      </c>
      <c r="C1953" s="403">
        <v>412161.18</v>
      </c>
      <c r="D1953" s="598">
        <v>200</v>
      </c>
    </row>
    <row r="1954" spans="1:4" x14ac:dyDescent="0.2">
      <c r="A1954" s="417">
        <v>45086</v>
      </c>
      <c r="B1954" s="403">
        <f t="shared" si="31"/>
        <v>411976.58</v>
      </c>
      <c r="C1954" s="403">
        <v>411776.58</v>
      </c>
      <c r="D1954" s="598">
        <v>200</v>
      </c>
    </row>
    <row r="1955" spans="1:4" x14ac:dyDescent="0.2">
      <c r="A1955" s="417">
        <v>45089</v>
      </c>
      <c r="B1955" s="403">
        <f t="shared" si="31"/>
        <v>412491.58</v>
      </c>
      <c r="C1955" s="403">
        <v>412291.58</v>
      </c>
      <c r="D1955" s="598">
        <v>200</v>
      </c>
    </row>
    <row r="1956" spans="1:4" x14ac:dyDescent="0.2">
      <c r="A1956" s="417">
        <v>45090</v>
      </c>
      <c r="B1956" s="403">
        <f t="shared" si="31"/>
        <v>412491.58</v>
      </c>
      <c r="C1956" s="403">
        <f t="shared" si="32"/>
        <v>412291.58</v>
      </c>
      <c r="D1956" s="598">
        <v>200</v>
      </c>
    </row>
    <row r="1957" spans="1:4" x14ac:dyDescent="0.2">
      <c r="A1957" s="417">
        <v>45091</v>
      </c>
      <c r="B1957" s="403">
        <f t="shared" si="31"/>
        <v>412491.58</v>
      </c>
      <c r="C1957" s="403">
        <f t="shared" si="32"/>
        <v>412291.58</v>
      </c>
      <c r="D1957" s="598">
        <v>200</v>
      </c>
    </row>
    <row r="1958" spans="1:4" x14ac:dyDescent="0.2">
      <c r="A1958" s="417">
        <v>45092</v>
      </c>
      <c r="B1958" s="403">
        <f t="shared" si="31"/>
        <v>421884.75</v>
      </c>
      <c r="C1958" s="403">
        <v>421684.75</v>
      </c>
      <c r="D1958" s="598">
        <v>200</v>
      </c>
    </row>
    <row r="1959" spans="1:4" x14ac:dyDescent="0.2">
      <c r="A1959" s="417">
        <v>45093</v>
      </c>
      <c r="B1959" s="403">
        <f t="shared" si="31"/>
        <v>421884.75</v>
      </c>
      <c r="C1959" s="403">
        <f t="shared" si="32"/>
        <v>421684.75</v>
      </c>
      <c r="D1959" s="598">
        <v>200</v>
      </c>
    </row>
    <row r="1960" spans="1:4" x14ac:dyDescent="0.2">
      <c r="A1960" s="417">
        <v>45096</v>
      </c>
      <c r="B1960" s="403">
        <f t="shared" si="31"/>
        <v>422030.75</v>
      </c>
      <c r="C1960" s="403">
        <v>421830.75</v>
      </c>
      <c r="D1960" s="598">
        <v>200</v>
      </c>
    </row>
    <row r="1961" spans="1:4" x14ac:dyDescent="0.2">
      <c r="A1961" s="417">
        <v>45097</v>
      </c>
      <c r="B1961" s="403">
        <f t="shared" si="31"/>
        <v>384440.18</v>
      </c>
      <c r="C1961" s="403">
        <v>384240.18</v>
      </c>
      <c r="D1961" s="598">
        <v>200</v>
      </c>
    </row>
    <row r="1962" spans="1:4" x14ac:dyDescent="0.2">
      <c r="A1962" s="417">
        <v>45098</v>
      </c>
      <c r="B1962" s="403">
        <f t="shared" si="31"/>
        <v>383701.41</v>
      </c>
      <c r="C1962" s="403">
        <v>383501.41</v>
      </c>
      <c r="D1962" s="598">
        <v>200</v>
      </c>
    </row>
    <row r="1963" spans="1:4" x14ac:dyDescent="0.2">
      <c r="A1963" s="417">
        <v>45099</v>
      </c>
      <c r="B1963" s="403">
        <f t="shared" si="31"/>
        <v>384859.49</v>
      </c>
      <c r="C1963" s="403">
        <v>384659.49</v>
      </c>
      <c r="D1963" s="598">
        <v>200</v>
      </c>
    </row>
    <row r="1964" spans="1:4" x14ac:dyDescent="0.2">
      <c r="A1964" s="417">
        <v>45100</v>
      </c>
      <c r="B1964" s="403">
        <f t="shared" si="31"/>
        <v>412308.62</v>
      </c>
      <c r="C1964" s="403">
        <v>412108.62</v>
      </c>
      <c r="D1964" s="598">
        <v>200</v>
      </c>
    </row>
    <row r="1965" spans="1:4" x14ac:dyDescent="0.2">
      <c r="A1965" s="417">
        <v>45103</v>
      </c>
      <c r="B1965" s="403">
        <f t="shared" si="31"/>
        <v>412308.62</v>
      </c>
      <c r="C1965" s="403">
        <f t="shared" si="32"/>
        <v>412108.62</v>
      </c>
      <c r="D1965" s="598">
        <v>200</v>
      </c>
    </row>
    <row r="1966" spans="1:4" x14ac:dyDescent="0.2">
      <c r="A1966" s="417">
        <v>45104</v>
      </c>
      <c r="B1966" s="403">
        <f t="shared" si="31"/>
        <v>412282.92</v>
      </c>
      <c r="C1966" s="403">
        <v>412082.92</v>
      </c>
      <c r="D1966" s="598">
        <v>200</v>
      </c>
    </row>
    <row r="1967" spans="1:4" x14ac:dyDescent="0.2">
      <c r="A1967" s="417">
        <v>45105</v>
      </c>
      <c r="B1967" s="403">
        <f t="shared" si="31"/>
        <v>402422.58</v>
      </c>
      <c r="C1967" s="403">
        <v>402222.58</v>
      </c>
      <c r="D1967" s="598">
        <v>200</v>
      </c>
    </row>
    <row r="1968" spans="1:4" x14ac:dyDescent="0.2">
      <c r="A1968" s="417">
        <v>45106</v>
      </c>
      <c r="B1968" s="403">
        <f t="shared" si="31"/>
        <v>402266.7</v>
      </c>
      <c r="C1968" s="403">
        <v>402066.7</v>
      </c>
      <c r="D1968" s="598">
        <v>200</v>
      </c>
    </row>
    <row r="1969" spans="1:4" x14ac:dyDescent="0.2">
      <c r="A1969" s="417">
        <v>45107</v>
      </c>
      <c r="B1969" s="403">
        <f t="shared" si="31"/>
        <v>407981.99</v>
      </c>
      <c r="C1969" s="403">
        <v>407781.99</v>
      </c>
      <c r="D1969" s="598">
        <v>200</v>
      </c>
    </row>
    <row r="1970" spans="1:4" x14ac:dyDescent="0.2">
      <c r="A1970" s="417">
        <v>45110</v>
      </c>
      <c r="B1970" s="403">
        <f t="shared" ref="B1970:B2016" si="33">C1970+D1970</f>
        <v>373219.37</v>
      </c>
      <c r="C1970" s="403">
        <v>373019.37</v>
      </c>
      <c r="D1970" s="598">
        <v>200</v>
      </c>
    </row>
    <row r="1971" spans="1:4" x14ac:dyDescent="0.2">
      <c r="A1971" s="417">
        <v>45111</v>
      </c>
      <c r="B1971" s="403">
        <f t="shared" si="33"/>
        <v>373219.37</v>
      </c>
      <c r="C1971" s="403">
        <f>C1970</f>
        <v>373019.37</v>
      </c>
      <c r="D1971" s="598">
        <v>200</v>
      </c>
    </row>
    <row r="1972" spans="1:4" x14ac:dyDescent="0.2">
      <c r="A1972" s="417">
        <v>45112</v>
      </c>
      <c r="B1972" s="403">
        <f t="shared" si="33"/>
        <v>373219.37</v>
      </c>
      <c r="C1972" s="403">
        <f t="shared" ref="C1972:C2023" si="34">C1971</f>
        <v>373019.37</v>
      </c>
      <c r="D1972" s="598">
        <v>200</v>
      </c>
    </row>
    <row r="1973" spans="1:4" x14ac:dyDescent="0.2">
      <c r="A1973" s="417">
        <v>45113</v>
      </c>
      <c r="B1973" s="403">
        <f t="shared" si="33"/>
        <v>376696.27</v>
      </c>
      <c r="C1973" s="403">
        <v>376496.27</v>
      </c>
      <c r="D1973" s="598">
        <v>200</v>
      </c>
    </row>
    <row r="1974" spans="1:4" x14ac:dyDescent="0.2">
      <c r="A1974" s="417">
        <v>45114</v>
      </c>
      <c r="B1974" s="403">
        <f t="shared" si="33"/>
        <v>376906.67</v>
      </c>
      <c r="C1974" s="403">
        <v>376706.67</v>
      </c>
      <c r="D1974" s="598">
        <v>200</v>
      </c>
    </row>
    <row r="1975" spans="1:4" x14ac:dyDescent="0.2">
      <c r="A1975" s="417">
        <v>45117</v>
      </c>
      <c r="B1975" s="403">
        <f t="shared" si="33"/>
        <v>377111.67</v>
      </c>
      <c r="C1975" s="403">
        <v>376911.67</v>
      </c>
      <c r="D1975" s="598">
        <v>200</v>
      </c>
    </row>
    <row r="1976" spans="1:4" x14ac:dyDescent="0.2">
      <c r="A1976" s="417">
        <v>45118</v>
      </c>
      <c r="B1976" s="403">
        <f t="shared" si="33"/>
        <v>378617.91</v>
      </c>
      <c r="C1976" s="403">
        <v>378417.91</v>
      </c>
      <c r="D1976" s="598">
        <v>200</v>
      </c>
    </row>
    <row r="1977" spans="1:4" x14ac:dyDescent="0.2">
      <c r="A1977" s="417">
        <v>45119</v>
      </c>
      <c r="B1977" s="403">
        <f t="shared" si="33"/>
        <v>378999.91</v>
      </c>
      <c r="C1977" s="403">
        <v>378799.91</v>
      </c>
      <c r="D1977" s="598">
        <v>200</v>
      </c>
    </row>
    <row r="1978" spans="1:4" x14ac:dyDescent="0.2">
      <c r="A1978" s="417">
        <v>45120</v>
      </c>
      <c r="B1978" s="403">
        <f t="shared" si="33"/>
        <v>399013.52</v>
      </c>
      <c r="C1978" s="403">
        <v>398813.52</v>
      </c>
      <c r="D1978" s="598">
        <v>200</v>
      </c>
    </row>
    <row r="1979" spans="1:4" x14ac:dyDescent="0.2">
      <c r="A1979" s="417">
        <v>45121</v>
      </c>
      <c r="B1979" s="403">
        <f t="shared" si="33"/>
        <v>399052</v>
      </c>
      <c r="C1979" s="403">
        <v>398852</v>
      </c>
      <c r="D1979" s="598">
        <v>200</v>
      </c>
    </row>
    <row r="1980" spans="1:4" x14ac:dyDescent="0.2">
      <c r="A1980" s="417">
        <v>45124</v>
      </c>
      <c r="B1980" s="403">
        <f t="shared" si="33"/>
        <v>398802</v>
      </c>
      <c r="C1980" s="403">
        <v>398602</v>
      </c>
      <c r="D1980" s="598">
        <v>200</v>
      </c>
    </row>
    <row r="1981" spans="1:4" x14ac:dyDescent="0.2">
      <c r="A1981" s="417">
        <v>45125</v>
      </c>
      <c r="B1981" s="403">
        <f t="shared" si="33"/>
        <v>415884.95</v>
      </c>
      <c r="C1981" s="403">
        <v>415684.95</v>
      </c>
      <c r="D1981" s="598">
        <v>200</v>
      </c>
    </row>
    <row r="1982" spans="1:4" x14ac:dyDescent="0.2">
      <c r="A1982" s="417">
        <v>45126</v>
      </c>
      <c r="B1982" s="403">
        <f t="shared" si="33"/>
        <v>416084.95</v>
      </c>
      <c r="C1982" s="403">
        <v>415884.95</v>
      </c>
      <c r="D1982" s="598">
        <v>200</v>
      </c>
    </row>
    <row r="1983" spans="1:4" x14ac:dyDescent="0.2">
      <c r="A1983" s="417">
        <v>45127</v>
      </c>
      <c r="B1983" s="403">
        <f t="shared" si="33"/>
        <v>409180.98</v>
      </c>
      <c r="C1983" s="403">
        <v>408980.98</v>
      </c>
      <c r="D1983" s="598">
        <v>200</v>
      </c>
    </row>
    <row r="1984" spans="1:4" x14ac:dyDescent="0.2">
      <c r="A1984" s="417">
        <v>45128</v>
      </c>
      <c r="B1984" s="403">
        <f t="shared" si="33"/>
        <v>411006.01</v>
      </c>
      <c r="C1984" s="403">
        <v>410806.01</v>
      </c>
      <c r="D1984" s="598">
        <v>200</v>
      </c>
    </row>
    <row r="1985" spans="1:4" x14ac:dyDescent="0.2">
      <c r="A1985" s="417">
        <v>45131</v>
      </c>
      <c r="B1985" s="403">
        <f t="shared" si="33"/>
        <v>411445.54</v>
      </c>
      <c r="C1985" s="403">
        <v>411245.54</v>
      </c>
      <c r="D1985" s="598">
        <v>200</v>
      </c>
    </row>
    <row r="1986" spans="1:4" x14ac:dyDescent="0.2">
      <c r="A1986" s="417">
        <v>45132</v>
      </c>
      <c r="B1986" s="403">
        <f t="shared" si="33"/>
        <v>412425.15</v>
      </c>
      <c r="C1986" s="403">
        <v>412225.15</v>
      </c>
      <c r="D1986" s="598">
        <v>200</v>
      </c>
    </row>
    <row r="1987" spans="1:4" x14ac:dyDescent="0.2">
      <c r="A1987" s="417">
        <v>45133</v>
      </c>
      <c r="B1987" s="403">
        <f t="shared" si="33"/>
        <v>412425.15</v>
      </c>
      <c r="C1987" s="403">
        <f t="shared" si="34"/>
        <v>412225.15</v>
      </c>
      <c r="D1987" s="598">
        <v>200</v>
      </c>
    </row>
    <row r="1988" spans="1:4" x14ac:dyDescent="0.2">
      <c r="A1988" s="417">
        <v>45134</v>
      </c>
      <c r="B1988" s="403">
        <f t="shared" si="33"/>
        <v>387088.04</v>
      </c>
      <c r="C1988" s="403">
        <v>386888.04</v>
      </c>
      <c r="D1988" s="598">
        <v>200</v>
      </c>
    </row>
    <row r="1989" spans="1:4" x14ac:dyDescent="0.2">
      <c r="A1989" s="417">
        <v>45135</v>
      </c>
      <c r="B1989" s="403">
        <f t="shared" si="33"/>
        <v>405857.22</v>
      </c>
      <c r="C1989" s="403">
        <v>405657.22</v>
      </c>
      <c r="D1989" s="598">
        <v>200</v>
      </c>
    </row>
    <row r="1990" spans="1:4" x14ac:dyDescent="0.2">
      <c r="A1990" s="417">
        <v>45138</v>
      </c>
      <c r="B1990" s="403">
        <f t="shared" si="33"/>
        <v>404076.54</v>
      </c>
      <c r="C1990" s="403">
        <v>403876.54</v>
      </c>
      <c r="D1990" s="598">
        <v>200</v>
      </c>
    </row>
    <row r="1991" spans="1:4" x14ac:dyDescent="0.2">
      <c r="A1991" s="417">
        <v>45139</v>
      </c>
      <c r="B1991" s="403">
        <f t="shared" si="33"/>
        <v>390920.58</v>
      </c>
      <c r="C1991" s="403">
        <v>390720.58</v>
      </c>
      <c r="D1991" s="598">
        <v>200</v>
      </c>
    </row>
    <row r="1992" spans="1:4" x14ac:dyDescent="0.2">
      <c r="A1992" s="417">
        <v>45140</v>
      </c>
      <c r="B1992" s="403">
        <f t="shared" si="33"/>
        <v>390920.58</v>
      </c>
      <c r="C1992" s="403">
        <f t="shared" si="34"/>
        <v>390720.58</v>
      </c>
      <c r="D1992" s="598">
        <v>200</v>
      </c>
    </row>
    <row r="1993" spans="1:4" x14ac:dyDescent="0.2">
      <c r="A1993" s="417">
        <v>45141</v>
      </c>
      <c r="B1993" s="403">
        <f t="shared" si="33"/>
        <v>386738.53</v>
      </c>
      <c r="C1993" s="403">
        <v>386538.53</v>
      </c>
      <c r="D1993" s="598">
        <v>200</v>
      </c>
    </row>
    <row r="1994" spans="1:4" x14ac:dyDescent="0.2">
      <c r="A1994" s="417">
        <v>45142</v>
      </c>
      <c r="B1994" s="403">
        <f t="shared" si="33"/>
        <v>384493.66</v>
      </c>
      <c r="C1994" s="403">
        <v>384293.66</v>
      </c>
      <c r="D1994" s="598">
        <v>200</v>
      </c>
    </row>
    <row r="1995" spans="1:4" x14ac:dyDescent="0.2">
      <c r="A1995" s="417">
        <v>45145</v>
      </c>
      <c r="B1995" s="403">
        <f t="shared" si="33"/>
        <v>385493.66</v>
      </c>
      <c r="C1995" s="403">
        <v>385293.66</v>
      </c>
      <c r="D1995" s="598">
        <v>200</v>
      </c>
    </row>
    <row r="1996" spans="1:4" x14ac:dyDescent="0.2">
      <c r="A1996" s="417">
        <v>45146</v>
      </c>
      <c r="B1996" s="403">
        <f t="shared" si="33"/>
        <v>385493.66</v>
      </c>
      <c r="C1996" s="403">
        <f t="shared" si="34"/>
        <v>385293.66</v>
      </c>
      <c r="D1996" s="598">
        <v>200</v>
      </c>
    </row>
    <row r="1997" spans="1:4" x14ac:dyDescent="0.2">
      <c r="A1997" s="417">
        <v>45147</v>
      </c>
      <c r="B1997" s="403">
        <f t="shared" si="33"/>
        <v>385493.66</v>
      </c>
      <c r="C1997" s="403">
        <f t="shared" si="34"/>
        <v>385293.66</v>
      </c>
      <c r="D1997" s="598">
        <v>200</v>
      </c>
    </row>
    <row r="1998" spans="1:4" x14ac:dyDescent="0.2">
      <c r="A1998" s="417">
        <v>45148</v>
      </c>
      <c r="B1998" s="403">
        <f t="shared" si="33"/>
        <v>385493.66</v>
      </c>
      <c r="C1998" s="403">
        <f t="shared" si="34"/>
        <v>385293.66</v>
      </c>
      <c r="D1998" s="598">
        <v>200</v>
      </c>
    </row>
    <row r="1999" spans="1:4" x14ac:dyDescent="0.2">
      <c r="A1999" s="417">
        <v>45149</v>
      </c>
      <c r="B1999" s="403">
        <f t="shared" si="33"/>
        <v>386021.66</v>
      </c>
      <c r="C1999" s="403">
        <v>385821.66</v>
      </c>
      <c r="D1999" s="598">
        <v>200</v>
      </c>
    </row>
    <row r="2000" spans="1:4" x14ac:dyDescent="0.2">
      <c r="A2000" s="417">
        <v>45152</v>
      </c>
      <c r="B2000" s="403">
        <f t="shared" si="33"/>
        <v>406742.83</v>
      </c>
      <c r="C2000" s="403">
        <v>406542.83</v>
      </c>
      <c r="D2000" s="598">
        <v>200</v>
      </c>
    </row>
    <row r="2001" spans="1:4" x14ac:dyDescent="0.2">
      <c r="A2001" s="417">
        <v>45153</v>
      </c>
      <c r="B2001" s="403">
        <f t="shared" si="33"/>
        <v>370565.1</v>
      </c>
      <c r="C2001" s="403">
        <v>370365.1</v>
      </c>
      <c r="D2001" s="598">
        <v>200</v>
      </c>
    </row>
    <row r="2002" spans="1:4" x14ac:dyDescent="0.2">
      <c r="A2002" s="417">
        <v>45154</v>
      </c>
      <c r="B2002" s="403">
        <f t="shared" si="33"/>
        <v>370565.1</v>
      </c>
      <c r="C2002" s="403">
        <f t="shared" si="34"/>
        <v>370365.1</v>
      </c>
      <c r="D2002" s="598">
        <v>200</v>
      </c>
    </row>
    <row r="2003" spans="1:4" x14ac:dyDescent="0.2">
      <c r="A2003" s="417">
        <v>45155</v>
      </c>
      <c r="B2003" s="403">
        <f t="shared" si="33"/>
        <v>396789.54</v>
      </c>
      <c r="C2003" s="403">
        <v>396589.54</v>
      </c>
      <c r="D2003" s="598">
        <v>200</v>
      </c>
    </row>
    <row r="2004" spans="1:4" x14ac:dyDescent="0.2">
      <c r="A2004" s="417">
        <v>45156</v>
      </c>
      <c r="B2004" s="403">
        <f t="shared" si="33"/>
        <v>396404.94</v>
      </c>
      <c r="C2004" s="403">
        <v>396204.94</v>
      </c>
      <c r="D2004" s="598">
        <v>200</v>
      </c>
    </row>
    <row r="2005" spans="1:4" x14ac:dyDescent="0.2">
      <c r="A2005" s="417">
        <v>45159</v>
      </c>
      <c r="B2005" s="403">
        <f t="shared" si="33"/>
        <v>394335.05</v>
      </c>
      <c r="C2005" s="403">
        <v>394135.05</v>
      </c>
      <c r="D2005" s="598">
        <v>200</v>
      </c>
    </row>
    <row r="2006" spans="1:4" x14ac:dyDescent="0.2">
      <c r="A2006" s="417">
        <v>45160</v>
      </c>
      <c r="B2006" s="403">
        <f t="shared" si="33"/>
        <v>394335.05</v>
      </c>
      <c r="C2006" s="403">
        <f t="shared" si="34"/>
        <v>394135.05</v>
      </c>
      <c r="D2006" s="598">
        <v>200</v>
      </c>
    </row>
    <row r="2007" spans="1:4" x14ac:dyDescent="0.2">
      <c r="A2007" s="417">
        <v>45161</v>
      </c>
      <c r="B2007" s="403">
        <f t="shared" si="33"/>
        <v>394359.06</v>
      </c>
      <c r="C2007" s="403">
        <v>394159.06</v>
      </c>
      <c r="D2007" s="598">
        <v>200</v>
      </c>
    </row>
    <row r="2008" spans="1:4" x14ac:dyDescent="0.2">
      <c r="A2008" s="417">
        <v>45162</v>
      </c>
      <c r="B2008" s="403">
        <f t="shared" si="33"/>
        <v>388296.14</v>
      </c>
      <c r="C2008" s="403">
        <v>388096.14</v>
      </c>
      <c r="D2008" s="598">
        <v>200</v>
      </c>
    </row>
    <row r="2009" spans="1:4" x14ac:dyDescent="0.2">
      <c r="A2009" s="417">
        <v>45163</v>
      </c>
      <c r="B2009" s="403">
        <f t="shared" si="33"/>
        <v>388621.14</v>
      </c>
      <c r="C2009" s="403">
        <v>388421.14</v>
      </c>
      <c r="D2009" s="598">
        <v>200</v>
      </c>
    </row>
    <row r="2010" spans="1:4" x14ac:dyDescent="0.2">
      <c r="A2010" s="417">
        <v>45164</v>
      </c>
      <c r="B2010" s="403">
        <f t="shared" si="33"/>
        <v>388621.14</v>
      </c>
      <c r="C2010" s="403">
        <f t="shared" si="34"/>
        <v>388421.14</v>
      </c>
      <c r="D2010" s="598">
        <v>200</v>
      </c>
    </row>
    <row r="2011" spans="1:4" x14ac:dyDescent="0.2">
      <c r="A2011" s="417">
        <v>45165</v>
      </c>
      <c r="B2011" s="403">
        <f t="shared" si="33"/>
        <v>388621.14</v>
      </c>
      <c r="C2011" s="403">
        <f t="shared" si="34"/>
        <v>388421.14</v>
      </c>
      <c r="D2011" s="598">
        <v>200</v>
      </c>
    </row>
    <row r="2012" spans="1:4" x14ac:dyDescent="0.2">
      <c r="A2012" s="417">
        <v>45166</v>
      </c>
      <c r="B2012" s="403">
        <f t="shared" si="33"/>
        <v>350982.96</v>
      </c>
      <c r="C2012" s="403">
        <v>350782.96</v>
      </c>
      <c r="D2012" s="598">
        <v>200</v>
      </c>
    </row>
    <row r="2013" spans="1:4" x14ac:dyDescent="0.2">
      <c r="A2013" s="417">
        <v>45167</v>
      </c>
      <c r="B2013" s="403">
        <f t="shared" si="33"/>
        <v>451232.96</v>
      </c>
      <c r="C2013" s="403">
        <v>451032.96</v>
      </c>
      <c r="D2013" s="598">
        <v>200</v>
      </c>
    </row>
    <row r="2014" spans="1:4" x14ac:dyDescent="0.2">
      <c r="A2014" s="417">
        <v>45168</v>
      </c>
      <c r="B2014" s="403">
        <f t="shared" si="33"/>
        <v>499724.02</v>
      </c>
      <c r="C2014" s="403">
        <v>499524.02</v>
      </c>
      <c r="D2014" s="598">
        <v>200</v>
      </c>
    </row>
    <row r="2015" spans="1:4" x14ac:dyDescent="0.2">
      <c r="A2015" s="417">
        <v>45169</v>
      </c>
      <c r="B2015" s="403">
        <f t="shared" si="33"/>
        <v>519129.97</v>
      </c>
      <c r="C2015" s="403">
        <v>518929.97</v>
      </c>
      <c r="D2015" s="598">
        <v>200</v>
      </c>
    </row>
    <row r="2016" spans="1:4" x14ac:dyDescent="0.2">
      <c r="A2016" s="417">
        <v>45170</v>
      </c>
      <c r="B2016" s="403">
        <f t="shared" si="33"/>
        <v>494825.52</v>
      </c>
      <c r="C2016" s="403">
        <v>494625.52</v>
      </c>
      <c r="D2016" s="598">
        <v>200</v>
      </c>
    </row>
    <row r="2017" spans="1:4" x14ac:dyDescent="0.2">
      <c r="A2017" s="417">
        <v>45171</v>
      </c>
      <c r="B2017" s="403">
        <f t="shared" ref="B2017:B2023" si="35">C2017+D2017</f>
        <v>494825.52</v>
      </c>
      <c r="C2017" s="403">
        <f t="shared" si="34"/>
        <v>494625.52</v>
      </c>
      <c r="D2017" s="598">
        <v>200</v>
      </c>
    </row>
    <row r="2018" spans="1:4" x14ac:dyDescent="0.2">
      <c r="A2018" s="417">
        <v>45172</v>
      </c>
      <c r="B2018" s="403">
        <f t="shared" si="35"/>
        <v>494825.52</v>
      </c>
      <c r="C2018" s="403">
        <f t="shared" si="34"/>
        <v>494625.52</v>
      </c>
      <c r="D2018" s="598">
        <v>200</v>
      </c>
    </row>
    <row r="2019" spans="1:4" x14ac:dyDescent="0.2">
      <c r="A2019" s="417">
        <v>45173</v>
      </c>
      <c r="B2019" s="403">
        <f t="shared" si="35"/>
        <v>494825.52</v>
      </c>
      <c r="C2019" s="403">
        <f t="shared" si="34"/>
        <v>494625.52</v>
      </c>
      <c r="D2019" s="598">
        <v>200</v>
      </c>
    </row>
    <row r="2020" spans="1:4" x14ac:dyDescent="0.2">
      <c r="A2020" s="417">
        <v>45174</v>
      </c>
      <c r="B2020" s="403">
        <f t="shared" si="35"/>
        <v>494875.52</v>
      </c>
      <c r="C2020" s="403">
        <v>494675.52</v>
      </c>
      <c r="D2020" s="598">
        <v>200</v>
      </c>
    </row>
    <row r="2021" spans="1:4" x14ac:dyDescent="0.2">
      <c r="A2021" s="417">
        <v>45175</v>
      </c>
      <c r="B2021" s="403">
        <f t="shared" si="35"/>
        <v>492868.56</v>
      </c>
      <c r="C2021" s="403">
        <v>492668.56</v>
      </c>
      <c r="D2021" s="598">
        <v>200</v>
      </c>
    </row>
    <row r="2022" spans="1:4" x14ac:dyDescent="0.2">
      <c r="A2022" s="417">
        <v>45176</v>
      </c>
      <c r="B2022" s="403">
        <f t="shared" si="35"/>
        <v>492868.56</v>
      </c>
      <c r="C2022" s="403">
        <f t="shared" si="34"/>
        <v>492668.56</v>
      </c>
      <c r="D2022" s="598">
        <v>200</v>
      </c>
    </row>
    <row r="2023" spans="1:4" x14ac:dyDescent="0.2">
      <c r="A2023" s="417">
        <v>45177</v>
      </c>
      <c r="B2023" s="403">
        <f t="shared" si="35"/>
        <v>492868.56</v>
      </c>
      <c r="C2023" s="403">
        <f t="shared" si="34"/>
        <v>492668.56</v>
      </c>
      <c r="D2023" s="598">
        <v>200</v>
      </c>
    </row>
    <row r="2024" spans="1:4" x14ac:dyDescent="0.2">
      <c r="A2024" s="417">
        <v>45180</v>
      </c>
      <c r="B2024" s="403">
        <f t="shared" ref="B2024:B2060" si="36">C2024+D2024</f>
        <v>494218.56</v>
      </c>
      <c r="C2024" s="403">
        <v>494018.56</v>
      </c>
      <c r="D2024" s="598">
        <v>200</v>
      </c>
    </row>
    <row r="2025" spans="1:4" x14ac:dyDescent="0.2">
      <c r="A2025" s="417">
        <v>45181</v>
      </c>
      <c r="B2025" s="403">
        <f t="shared" si="36"/>
        <v>452326.96</v>
      </c>
      <c r="C2025" s="403">
        <v>452126.96</v>
      </c>
      <c r="D2025" s="598">
        <v>200</v>
      </c>
    </row>
    <row r="2026" spans="1:4" x14ac:dyDescent="0.2">
      <c r="A2026" s="417">
        <v>45182</v>
      </c>
      <c r="B2026" s="403">
        <f t="shared" si="36"/>
        <v>475248.53</v>
      </c>
      <c r="C2026" s="403">
        <v>475048.53</v>
      </c>
      <c r="D2026" s="598">
        <v>200</v>
      </c>
    </row>
    <row r="2027" spans="1:4" x14ac:dyDescent="0.2">
      <c r="A2027" s="417">
        <v>45183</v>
      </c>
      <c r="B2027" s="403">
        <f t="shared" si="36"/>
        <v>485579.7</v>
      </c>
      <c r="C2027" s="403">
        <v>485379.7</v>
      </c>
      <c r="D2027" s="598">
        <v>200</v>
      </c>
    </row>
    <row r="2028" spans="1:4" x14ac:dyDescent="0.2">
      <c r="A2028" s="417">
        <v>45184</v>
      </c>
      <c r="B2028" s="403">
        <f t="shared" si="36"/>
        <v>483237.86</v>
      </c>
      <c r="C2028" s="403">
        <v>483037.86</v>
      </c>
      <c r="D2028" s="598">
        <v>200</v>
      </c>
    </row>
    <row r="2029" spans="1:4" x14ac:dyDescent="0.2">
      <c r="A2029" s="417">
        <v>45187</v>
      </c>
      <c r="B2029" s="403">
        <f t="shared" si="36"/>
        <v>482174.8</v>
      </c>
      <c r="C2029" s="403">
        <v>481974.8</v>
      </c>
      <c r="D2029" s="598">
        <v>200</v>
      </c>
    </row>
    <row r="2030" spans="1:4" x14ac:dyDescent="0.2">
      <c r="A2030" s="417">
        <v>45188</v>
      </c>
      <c r="B2030" s="403">
        <f t="shared" si="36"/>
        <v>482199.8</v>
      </c>
      <c r="C2030" s="403">
        <v>481999.8</v>
      </c>
      <c r="D2030" s="598">
        <v>200</v>
      </c>
    </row>
    <row r="2031" spans="1:4" x14ac:dyDescent="0.2">
      <c r="A2031" s="417">
        <v>45189</v>
      </c>
      <c r="B2031" s="403">
        <f t="shared" si="36"/>
        <v>479406.91</v>
      </c>
      <c r="C2031" s="403">
        <v>479206.91</v>
      </c>
      <c r="D2031" s="598">
        <v>200</v>
      </c>
    </row>
    <row r="2032" spans="1:4" x14ac:dyDescent="0.2">
      <c r="A2032" s="417">
        <v>45190</v>
      </c>
      <c r="B2032" s="403">
        <f t="shared" si="36"/>
        <v>470500.67</v>
      </c>
      <c r="C2032" s="403">
        <v>470300.67</v>
      </c>
      <c r="D2032" s="598">
        <v>200</v>
      </c>
    </row>
    <row r="2033" spans="1:4" x14ac:dyDescent="0.2">
      <c r="A2033" s="417">
        <v>45191</v>
      </c>
      <c r="B2033" s="403">
        <f t="shared" si="36"/>
        <v>472716.17</v>
      </c>
      <c r="C2033" s="403">
        <v>472516.17</v>
      </c>
      <c r="D2033" s="598">
        <v>200</v>
      </c>
    </row>
    <row r="2034" spans="1:4" x14ac:dyDescent="0.2">
      <c r="A2034" s="417">
        <v>45194</v>
      </c>
      <c r="B2034" s="403">
        <f t="shared" si="36"/>
        <v>433269.34</v>
      </c>
      <c r="C2034" s="403">
        <v>433069.34</v>
      </c>
      <c r="D2034" s="598">
        <v>200</v>
      </c>
    </row>
    <row r="2035" spans="1:4" x14ac:dyDescent="0.2">
      <c r="A2035" s="417">
        <v>45195</v>
      </c>
      <c r="B2035" s="403">
        <f t="shared" si="36"/>
        <v>433243.64</v>
      </c>
      <c r="C2035" s="403">
        <v>433043.64</v>
      </c>
      <c r="D2035" s="598">
        <v>200</v>
      </c>
    </row>
    <row r="2036" spans="1:4" x14ac:dyDescent="0.2">
      <c r="A2036" s="417">
        <v>45196</v>
      </c>
      <c r="B2036" s="403">
        <f t="shared" si="36"/>
        <v>469337.63</v>
      </c>
      <c r="C2036" s="403">
        <v>469137.63</v>
      </c>
      <c r="D2036" s="598">
        <v>200</v>
      </c>
    </row>
    <row r="2037" spans="1:4" x14ac:dyDescent="0.2">
      <c r="A2037" s="417">
        <v>45197</v>
      </c>
      <c r="B2037" s="403">
        <f t="shared" si="36"/>
        <v>469337.63</v>
      </c>
      <c r="C2037" s="403">
        <f t="shared" ref="C2037:C2099" si="37">C2036</f>
        <v>469137.63</v>
      </c>
      <c r="D2037" s="598">
        <v>200</v>
      </c>
    </row>
    <row r="2038" spans="1:4" x14ac:dyDescent="0.2">
      <c r="A2038" s="417">
        <v>45198</v>
      </c>
      <c r="B2038" s="403">
        <f t="shared" si="36"/>
        <v>468953.03</v>
      </c>
      <c r="C2038" s="403">
        <v>468753.03</v>
      </c>
      <c r="D2038" s="598">
        <v>200</v>
      </c>
    </row>
    <row r="2039" spans="1:4" x14ac:dyDescent="0.2">
      <c r="A2039" s="417">
        <v>45201</v>
      </c>
      <c r="B2039" s="403">
        <f t="shared" si="36"/>
        <v>459905.29</v>
      </c>
      <c r="C2039" s="403">
        <v>459705.29</v>
      </c>
      <c r="D2039" s="598">
        <v>200</v>
      </c>
    </row>
    <row r="2040" spans="1:4" x14ac:dyDescent="0.2">
      <c r="A2040" s="417">
        <v>45202</v>
      </c>
      <c r="B2040" s="403">
        <f t="shared" si="36"/>
        <v>459905.29</v>
      </c>
      <c r="C2040" s="403">
        <f t="shared" si="37"/>
        <v>459705.29</v>
      </c>
      <c r="D2040" s="598">
        <v>200</v>
      </c>
    </row>
    <row r="2041" spans="1:4" x14ac:dyDescent="0.2">
      <c r="A2041" s="417">
        <v>45203</v>
      </c>
      <c r="B2041" s="403">
        <f t="shared" si="36"/>
        <v>459905.29</v>
      </c>
      <c r="C2041" s="403">
        <f t="shared" si="37"/>
        <v>459705.29</v>
      </c>
      <c r="D2041" s="598">
        <v>200</v>
      </c>
    </row>
    <row r="2042" spans="1:4" x14ac:dyDescent="0.2">
      <c r="A2042" s="417">
        <v>45204</v>
      </c>
      <c r="B2042" s="403">
        <f t="shared" si="36"/>
        <v>459905.29</v>
      </c>
      <c r="C2042" s="403">
        <f t="shared" si="37"/>
        <v>459705.29</v>
      </c>
      <c r="D2042" s="598">
        <v>200</v>
      </c>
    </row>
    <row r="2043" spans="1:4" x14ac:dyDescent="0.2">
      <c r="A2043" s="417">
        <v>45205</v>
      </c>
      <c r="B2043" s="403">
        <f t="shared" si="36"/>
        <v>459905.29</v>
      </c>
      <c r="C2043" s="403">
        <f t="shared" si="37"/>
        <v>459705.29</v>
      </c>
      <c r="D2043" s="598">
        <v>200</v>
      </c>
    </row>
    <row r="2044" spans="1:4" x14ac:dyDescent="0.2">
      <c r="A2044" s="417">
        <v>45208</v>
      </c>
      <c r="B2044" s="403">
        <f t="shared" si="36"/>
        <v>459905.29</v>
      </c>
      <c r="C2044" s="403">
        <f t="shared" si="37"/>
        <v>459705.29</v>
      </c>
      <c r="D2044" s="598">
        <v>200</v>
      </c>
    </row>
    <row r="2045" spans="1:4" x14ac:dyDescent="0.2">
      <c r="A2045" s="417">
        <v>45209</v>
      </c>
      <c r="B2045" s="403">
        <f t="shared" si="36"/>
        <v>423446.93</v>
      </c>
      <c r="C2045" s="403">
        <v>423246.93</v>
      </c>
      <c r="D2045" s="598">
        <v>200</v>
      </c>
    </row>
    <row r="2046" spans="1:4" x14ac:dyDescent="0.2">
      <c r="A2046" s="417">
        <v>45210</v>
      </c>
      <c r="B2046" s="403">
        <f t="shared" si="36"/>
        <v>423446.93</v>
      </c>
      <c r="C2046" s="403">
        <f t="shared" si="37"/>
        <v>423246.93</v>
      </c>
      <c r="D2046" s="598">
        <v>200</v>
      </c>
    </row>
    <row r="2047" spans="1:4" x14ac:dyDescent="0.2">
      <c r="A2047" s="417">
        <v>45211</v>
      </c>
      <c r="B2047" s="403">
        <f t="shared" si="36"/>
        <v>407711.69</v>
      </c>
      <c r="C2047" s="403">
        <v>407511.69</v>
      </c>
      <c r="D2047" s="598">
        <v>200</v>
      </c>
    </row>
    <row r="2048" spans="1:4" x14ac:dyDescent="0.2">
      <c r="A2048" s="417">
        <v>45212</v>
      </c>
      <c r="B2048" s="403">
        <f t="shared" si="36"/>
        <v>407733.05</v>
      </c>
      <c r="C2048" s="403">
        <v>407533.05</v>
      </c>
      <c r="D2048" s="598">
        <v>200</v>
      </c>
    </row>
    <row r="2049" spans="1:4" x14ac:dyDescent="0.2">
      <c r="A2049" s="417">
        <v>45215</v>
      </c>
      <c r="B2049" s="403">
        <f t="shared" si="36"/>
        <v>409787.27</v>
      </c>
      <c r="C2049" s="403">
        <v>409587.27</v>
      </c>
      <c r="D2049" s="598">
        <v>200</v>
      </c>
    </row>
    <row r="2050" spans="1:4" x14ac:dyDescent="0.2">
      <c r="A2050" s="417">
        <v>45216</v>
      </c>
      <c r="B2050" s="403">
        <f t="shared" si="36"/>
        <v>409787.27</v>
      </c>
      <c r="C2050" s="403">
        <f t="shared" si="37"/>
        <v>409587.27</v>
      </c>
      <c r="D2050" s="598">
        <v>200</v>
      </c>
    </row>
    <row r="2051" spans="1:4" x14ac:dyDescent="0.2">
      <c r="A2051" s="417">
        <v>45217</v>
      </c>
      <c r="B2051" s="403">
        <f t="shared" si="36"/>
        <v>410017.27</v>
      </c>
      <c r="C2051" s="403">
        <v>409817.27</v>
      </c>
      <c r="D2051" s="598">
        <v>200</v>
      </c>
    </row>
    <row r="2052" spans="1:4" x14ac:dyDescent="0.2">
      <c r="A2052" s="417">
        <v>45218</v>
      </c>
      <c r="B2052" s="403">
        <f t="shared" si="36"/>
        <v>418625.7</v>
      </c>
      <c r="C2052" s="403">
        <v>418425.7</v>
      </c>
      <c r="D2052" s="598">
        <v>200</v>
      </c>
    </row>
    <row r="2053" spans="1:4" x14ac:dyDescent="0.2">
      <c r="A2053" s="417">
        <v>45219</v>
      </c>
      <c r="B2053" s="403">
        <f t="shared" si="36"/>
        <v>418550.7</v>
      </c>
      <c r="C2053" s="403">
        <v>418350.7</v>
      </c>
      <c r="D2053" s="598">
        <v>200</v>
      </c>
    </row>
    <row r="2054" spans="1:4" x14ac:dyDescent="0.2">
      <c r="A2054" s="417">
        <v>45222</v>
      </c>
      <c r="B2054" s="403">
        <f t="shared" si="36"/>
        <v>381523.11</v>
      </c>
      <c r="C2054" s="403">
        <v>381323.11</v>
      </c>
      <c r="D2054" s="598">
        <v>200</v>
      </c>
    </row>
    <row r="2055" spans="1:4" x14ac:dyDescent="0.2">
      <c r="A2055" s="417">
        <v>45223</v>
      </c>
      <c r="B2055" s="403">
        <f t="shared" si="36"/>
        <v>381523.11</v>
      </c>
      <c r="C2055" s="403">
        <f t="shared" si="37"/>
        <v>381323.11</v>
      </c>
      <c r="D2055" s="598">
        <v>200</v>
      </c>
    </row>
    <row r="2056" spans="1:4" x14ac:dyDescent="0.2">
      <c r="A2056" s="417">
        <v>45224</v>
      </c>
      <c r="B2056" s="403">
        <f t="shared" si="36"/>
        <v>381523.11</v>
      </c>
      <c r="C2056" s="403">
        <f t="shared" si="37"/>
        <v>381323.11</v>
      </c>
      <c r="D2056" s="598">
        <v>200</v>
      </c>
    </row>
    <row r="2057" spans="1:4" x14ac:dyDescent="0.2">
      <c r="A2057" s="417">
        <v>45225</v>
      </c>
      <c r="B2057" s="403">
        <f t="shared" si="36"/>
        <v>381909.52</v>
      </c>
      <c r="C2057" s="403">
        <v>381709.52</v>
      </c>
      <c r="D2057" s="598">
        <v>200</v>
      </c>
    </row>
    <row r="2058" spans="1:4" x14ac:dyDescent="0.2">
      <c r="A2058" s="417">
        <v>45226</v>
      </c>
      <c r="B2058" s="403">
        <f t="shared" si="36"/>
        <v>381524.92</v>
      </c>
      <c r="C2058" s="403">
        <v>381324.92</v>
      </c>
      <c r="D2058" s="598">
        <v>200</v>
      </c>
    </row>
    <row r="2059" spans="1:4" x14ac:dyDescent="0.2">
      <c r="A2059" s="417">
        <v>45229</v>
      </c>
      <c r="B2059" s="403">
        <f t="shared" si="36"/>
        <v>381524.92</v>
      </c>
      <c r="C2059" s="403">
        <f t="shared" si="37"/>
        <v>381324.92</v>
      </c>
      <c r="D2059" s="598">
        <v>200</v>
      </c>
    </row>
    <row r="2060" spans="1:4" x14ac:dyDescent="0.2">
      <c r="A2060" s="417">
        <v>45230</v>
      </c>
      <c r="B2060" s="403">
        <f t="shared" si="36"/>
        <v>403601.43</v>
      </c>
      <c r="C2060" s="403">
        <v>403401.43</v>
      </c>
      <c r="D2060" s="598">
        <v>200</v>
      </c>
    </row>
    <row r="2061" spans="1:4" x14ac:dyDescent="0.2">
      <c r="A2061" s="417">
        <v>45231</v>
      </c>
      <c r="B2061" s="403">
        <f t="shared" ref="B2061:B2103" si="38">C2061+D2061</f>
        <v>403601.43</v>
      </c>
      <c r="C2061" s="403">
        <f t="shared" si="37"/>
        <v>403401.43</v>
      </c>
      <c r="D2061" s="598">
        <v>200</v>
      </c>
    </row>
    <row r="2062" spans="1:4" x14ac:dyDescent="0.2">
      <c r="A2062" s="417">
        <v>45232</v>
      </c>
      <c r="B2062" s="403">
        <f t="shared" si="38"/>
        <v>388696.73</v>
      </c>
      <c r="C2062" s="403">
        <v>388496.73</v>
      </c>
      <c r="D2062" s="598">
        <v>200</v>
      </c>
    </row>
    <row r="2063" spans="1:4" x14ac:dyDescent="0.2">
      <c r="A2063" s="417">
        <v>45233</v>
      </c>
      <c r="B2063" s="403">
        <f t="shared" si="38"/>
        <v>388696.73</v>
      </c>
      <c r="C2063" s="403">
        <f t="shared" si="37"/>
        <v>388496.73</v>
      </c>
      <c r="D2063" s="598">
        <v>200</v>
      </c>
    </row>
    <row r="2064" spans="1:4" x14ac:dyDescent="0.2">
      <c r="A2064" s="417">
        <v>45236</v>
      </c>
      <c r="B2064" s="403">
        <f t="shared" si="38"/>
        <v>354074.98</v>
      </c>
      <c r="C2064" s="403">
        <v>353874.98</v>
      </c>
      <c r="D2064" s="598">
        <v>200</v>
      </c>
    </row>
    <row r="2065" spans="1:4" x14ac:dyDescent="0.2">
      <c r="A2065" s="417">
        <v>45237</v>
      </c>
      <c r="B2065" s="403">
        <f t="shared" si="38"/>
        <v>354074.98</v>
      </c>
      <c r="C2065" s="403">
        <f t="shared" si="37"/>
        <v>353874.98</v>
      </c>
      <c r="D2065" s="598">
        <v>200</v>
      </c>
    </row>
    <row r="2066" spans="1:4" x14ac:dyDescent="0.2">
      <c r="A2066" s="417">
        <v>45238</v>
      </c>
      <c r="B2066" s="403">
        <f t="shared" si="38"/>
        <v>412115.27</v>
      </c>
      <c r="C2066" s="403">
        <v>411915.27</v>
      </c>
      <c r="D2066" s="598">
        <v>200</v>
      </c>
    </row>
    <row r="2067" spans="1:4" x14ac:dyDescent="0.2">
      <c r="A2067" s="417">
        <v>45239</v>
      </c>
      <c r="B2067" s="403">
        <f t="shared" si="38"/>
        <v>421170.44</v>
      </c>
      <c r="C2067" s="403">
        <v>420970.44</v>
      </c>
      <c r="D2067" s="598">
        <v>200</v>
      </c>
    </row>
    <row r="2068" spans="1:4" x14ac:dyDescent="0.2">
      <c r="A2068" s="417">
        <v>45240</v>
      </c>
      <c r="B2068" s="403">
        <f t="shared" si="38"/>
        <v>443466.68</v>
      </c>
      <c r="C2068" s="403">
        <v>443266.68</v>
      </c>
      <c r="D2068" s="598">
        <v>200</v>
      </c>
    </row>
    <row r="2069" spans="1:4" x14ac:dyDescent="0.2">
      <c r="A2069" s="417">
        <v>45243</v>
      </c>
      <c r="B2069" s="403">
        <f t="shared" si="38"/>
        <v>443466.68</v>
      </c>
      <c r="C2069" s="403">
        <f t="shared" si="37"/>
        <v>443266.68</v>
      </c>
      <c r="D2069" s="598">
        <v>200</v>
      </c>
    </row>
    <row r="2070" spans="1:4" x14ac:dyDescent="0.2">
      <c r="A2070" s="417">
        <v>45244</v>
      </c>
      <c r="B2070" s="403">
        <f t="shared" si="38"/>
        <v>443467.28</v>
      </c>
      <c r="C2070" s="403">
        <v>443267.28</v>
      </c>
      <c r="D2070" s="598">
        <v>200</v>
      </c>
    </row>
    <row r="2071" spans="1:4" x14ac:dyDescent="0.2">
      <c r="A2071" s="417">
        <v>45245</v>
      </c>
      <c r="B2071" s="403">
        <f t="shared" si="38"/>
        <v>467133.83</v>
      </c>
      <c r="C2071" s="403">
        <v>466933.83</v>
      </c>
      <c r="D2071" s="598">
        <v>200</v>
      </c>
    </row>
    <row r="2072" spans="1:4" x14ac:dyDescent="0.2">
      <c r="A2072" s="417">
        <v>45246</v>
      </c>
      <c r="B2072" s="403">
        <f t="shared" si="38"/>
        <v>457231.63</v>
      </c>
      <c r="C2072" s="403">
        <v>457031.63</v>
      </c>
      <c r="D2072" s="598">
        <v>200</v>
      </c>
    </row>
    <row r="2073" spans="1:4" x14ac:dyDescent="0.2">
      <c r="A2073" s="417">
        <v>45247</v>
      </c>
      <c r="B2073" s="403">
        <f t="shared" si="38"/>
        <v>457180.17</v>
      </c>
      <c r="C2073" s="403">
        <v>456980.17</v>
      </c>
      <c r="D2073" s="598">
        <v>200</v>
      </c>
    </row>
    <row r="2074" spans="1:4" x14ac:dyDescent="0.2">
      <c r="A2074" s="417">
        <v>45250</v>
      </c>
      <c r="B2074" s="403">
        <f t="shared" si="38"/>
        <v>413685.69</v>
      </c>
      <c r="C2074" s="403">
        <v>413485.69</v>
      </c>
      <c r="D2074" s="598">
        <v>200</v>
      </c>
    </row>
    <row r="2075" spans="1:4" x14ac:dyDescent="0.2">
      <c r="A2075" s="417">
        <v>45251</v>
      </c>
      <c r="B2075" s="403">
        <f t="shared" si="38"/>
        <v>413685.69</v>
      </c>
      <c r="C2075" s="403">
        <f t="shared" si="37"/>
        <v>413485.69</v>
      </c>
      <c r="D2075" s="598">
        <v>200</v>
      </c>
    </row>
    <row r="2076" spans="1:4" x14ac:dyDescent="0.2">
      <c r="A2076" s="417">
        <v>45252</v>
      </c>
      <c r="B2076" s="403">
        <f t="shared" si="38"/>
        <v>414169.69</v>
      </c>
      <c r="C2076" s="403">
        <v>413969.69</v>
      </c>
      <c r="D2076" s="598">
        <v>200</v>
      </c>
    </row>
    <row r="2077" spans="1:4" x14ac:dyDescent="0.2">
      <c r="A2077" s="417">
        <v>45253</v>
      </c>
      <c r="B2077" s="403">
        <f t="shared" si="38"/>
        <v>414169.69</v>
      </c>
      <c r="C2077" s="403">
        <f t="shared" si="37"/>
        <v>413969.69</v>
      </c>
      <c r="D2077" s="598">
        <v>200</v>
      </c>
    </row>
    <row r="2078" spans="1:4" x14ac:dyDescent="0.2">
      <c r="A2078" s="417">
        <v>45254</v>
      </c>
      <c r="B2078" s="403">
        <f t="shared" si="38"/>
        <v>413785.09</v>
      </c>
      <c r="C2078" s="403">
        <v>413585.09</v>
      </c>
      <c r="D2078" s="598">
        <v>200</v>
      </c>
    </row>
    <row r="2079" spans="1:4" x14ac:dyDescent="0.2">
      <c r="A2079" s="417">
        <v>45257</v>
      </c>
      <c r="B2079" s="403">
        <f t="shared" si="38"/>
        <v>413785.09</v>
      </c>
      <c r="C2079" s="403">
        <f t="shared" si="37"/>
        <v>413585.09</v>
      </c>
      <c r="D2079" s="598">
        <v>200</v>
      </c>
    </row>
    <row r="2080" spans="1:4" x14ac:dyDescent="0.2">
      <c r="A2080" s="417">
        <v>45258</v>
      </c>
      <c r="B2080" s="403">
        <f t="shared" si="38"/>
        <v>413647.44</v>
      </c>
      <c r="C2080" s="403">
        <v>413447.44</v>
      </c>
      <c r="D2080" s="598">
        <v>200</v>
      </c>
    </row>
    <row r="2081" spans="1:4" x14ac:dyDescent="0.2">
      <c r="A2081" s="417">
        <v>45259</v>
      </c>
      <c r="B2081" s="403">
        <f t="shared" si="38"/>
        <v>413647.44</v>
      </c>
      <c r="C2081" s="403">
        <f t="shared" si="37"/>
        <v>413447.44</v>
      </c>
      <c r="D2081" s="598">
        <v>200</v>
      </c>
    </row>
    <row r="2082" spans="1:4" x14ac:dyDescent="0.2">
      <c r="A2082" s="417">
        <v>45260</v>
      </c>
      <c r="B2082" s="403">
        <f t="shared" si="38"/>
        <v>456909.26</v>
      </c>
      <c r="C2082" s="403">
        <v>456709.26</v>
      </c>
      <c r="D2082" s="598">
        <v>200</v>
      </c>
    </row>
    <row r="2083" spans="1:4" x14ac:dyDescent="0.2">
      <c r="A2083" s="417">
        <v>45261</v>
      </c>
      <c r="B2083" s="403">
        <f t="shared" si="38"/>
        <v>456909.26</v>
      </c>
      <c r="C2083" s="403">
        <f t="shared" si="37"/>
        <v>456709.26</v>
      </c>
      <c r="D2083" s="598">
        <v>200</v>
      </c>
    </row>
    <row r="2084" spans="1:4" x14ac:dyDescent="0.2">
      <c r="A2084" s="417">
        <v>45264</v>
      </c>
      <c r="B2084" s="403">
        <f t="shared" si="38"/>
        <v>420452.25</v>
      </c>
      <c r="C2084" s="403">
        <v>420252.25</v>
      </c>
      <c r="D2084" s="598">
        <v>200</v>
      </c>
    </row>
    <row r="2085" spans="1:4" x14ac:dyDescent="0.2">
      <c r="A2085" s="417">
        <v>45265</v>
      </c>
      <c r="B2085" s="403">
        <f t="shared" si="38"/>
        <v>420452.25</v>
      </c>
      <c r="C2085" s="403">
        <f t="shared" si="37"/>
        <v>420252.25</v>
      </c>
      <c r="D2085" s="598">
        <v>200</v>
      </c>
    </row>
    <row r="2086" spans="1:4" x14ac:dyDescent="0.2">
      <c r="A2086" s="417">
        <v>45266</v>
      </c>
      <c r="B2086" s="403">
        <f t="shared" si="38"/>
        <v>545432.25</v>
      </c>
      <c r="C2086" s="403">
        <v>545232.25</v>
      </c>
      <c r="D2086" s="598">
        <v>200</v>
      </c>
    </row>
    <row r="2087" spans="1:4" x14ac:dyDescent="0.2">
      <c r="A2087" s="417">
        <v>45267</v>
      </c>
      <c r="B2087" s="403">
        <f t="shared" si="38"/>
        <v>545590.84</v>
      </c>
      <c r="C2087" s="403">
        <v>545390.84</v>
      </c>
      <c r="D2087" s="598">
        <v>200</v>
      </c>
    </row>
    <row r="2088" spans="1:4" x14ac:dyDescent="0.2">
      <c r="A2088" s="417">
        <v>45268</v>
      </c>
      <c r="B2088" s="403">
        <f t="shared" si="38"/>
        <v>525679.43000000005</v>
      </c>
      <c r="C2088" s="403">
        <v>525479.43000000005</v>
      </c>
      <c r="D2088" s="598">
        <v>200</v>
      </c>
    </row>
    <row r="2089" spans="1:4" x14ac:dyDescent="0.2">
      <c r="A2089" s="417">
        <v>45271</v>
      </c>
      <c r="B2089" s="403">
        <f t="shared" si="38"/>
        <v>545765.34</v>
      </c>
      <c r="C2089" s="403">
        <v>545565.34</v>
      </c>
      <c r="D2089" s="598">
        <v>200</v>
      </c>
    </row>
    <row r="2090" spans="1:4" x14ac:dyDescent="0.2">
      <c r="A2090" s="417">
        <v>45272</v>
      </c>
      <c r="B2090" s="403">
        <f t="shared" si="38"/>
        <v>546390.34</v>
      </c>
      <c r="C2090" s="403">
        <v>546190.34</v>
      </c>
      <c r="D2090" s="598">
        <v>200</v>
      </c>
    </row>
    <row r="2091" spans="1:4" x14ac:dyDescent="0.2">
      <c r="A2091" s="417">
        <v>45273</v>
      </c>
      <c r="B2091" s="403">
        <f t="shared" si="38"/>
        <v>546489.65</v>
      </c>
      <c r="C2091" s="403">
        <v>546289.65</v>
      </c>
      <c r="D2091" s="598">
        <v>200</v>
      </c>
    </row>
    <row r="2092" spans="1:4" x14ac:dyDescent="0.2">
      <c r="A2092" s="417">
        <v>45274</v>
      </c>
      <c r="B2092" s="403">
        <f t="shared" si="38"/>
        <v>540866.25</v>
      </c>
      <c r="C2092" s="403">
        <v>540666.25</v>
      </c>
      <c r="D2092" s="598">
        <v>200</v>
      </c>
    </row>
    <row r="2093" spans="1:4" x14ac:dyDescent="0.2">
      <c r="A2093" s="417">
        <v>45275</v>
      </c>
      <c r="B2093" s="403">
        <f t="shared" si="38"/>
        <v>540913.56000000006</v>
      </c>
      <c r="C2093" s="403">
        <v>540713.56000000006</v>
      </c>
      <c r="D2093" s="598">
        <v>200</v>
      </c>
    </row>
    <row r="2094" spans="1:4" x14ac:dyDescent="0.2">
      <c r="A2094" s="417">
        <v>45278</v>
      </c>
      <c r="B2094" s="403">
        <f t="shared" si="38"/>
        <v>533274.25</v>
      </c>
      <c r="C2094" s="403">
        <v>533074.25</v>
      </c>
      <c r="D2094" s="598">
        <v>200</v>
      </c>
    </row>
    <row r="2095" spans="1:4" x14ac:dyDescent="0.2">
      <c r="A2095" s="417">
        <v>45279</v>
      </c>
      <c r="B2095" s="403">
        <f t="shared" si="38"/>
        <v>618886.13</v>
      </c>
      <c r="C2095" s="403">
        <v>618686.13</v>
      </c>
      <c r="D2095" s="598">
        <v>200</v>
      </c>
    </row>
    <row r="2096" spans="1:4" x14ac:dyDescent="0.2">
      <c r="A2096" s="417">
        <v>45280</v>
      </c>
      <c r="B2096" s="403">
        <f t="shared" si="38"/>
        <v>614102.62</v>
      </c>
      <c r="C2096" s="403">
        <v>613902.62</v>
      </c>
      <c r="D2096" s="598">
        <v>200</v>
      </c>
    </row>
    <row r="2097" spans="1:4" x14ac:dyDescent="0.2">
      <c r="A2097" s="417">
        <v>45281</v>
      </c>
      <c r="B2097" s="403">
        <f t="shared" si="38"/>
        <v>624405.25</v>
      </c>
      <c r="C2097" s="403">
        <v>624205.25</v>
      </c>
      <c r="D2097" s="598">
        <v>200</v>
      </c>
    </row>
    <row r="2098" spans="1:4" x14ac:dyDescent="0.2">
      <c r="A2098" s="417">
        <v>45282</v>
      </c>
      <c r="B2098" s="403">
        <f t="shared" si="38"/>
        <v>626377.68000000005</v>
      </c>
      <c r="C2098" s="403">
        <v>626177.68000000005</v>
      </c>
      <c r="D2098" s="598">
        <v>200</v>
      </c>
    </row>
    <row r="2099" spans="1:4" x14ac:dyDescent="0.2">
      <c r="A2099" s="417">
        <v>45285</v>
      </c>
      <c r="B2099" s="403">
        <f t="shared" si="38"/>
        <v>626377.68000000005</v>
      </c>
      <c r="C2099" s="403">
        <f t="shared" si="37"/>
        <v>626177.68000000005</v>
      </c>
      <c r="D2099" s="598">
        <v>200</v>
      </c>
    </row>
    <row r="2100" spans="1:4" x14ac:dyDescent="0.2">
      <c r="A2100" s="417">
        <v>45286</v>
      </c>
      <c r="B2100" s="403">
        <f t="shared" si="38"/>
        <v>643671.14</v>
      </c>
      <c r="C2100" s="403">
        <v>643471.14</v>
      </c>
      <c r="D2100" s="598">
        <v>200</v>
      </c>
    </row>
    <row r="2101" spans="1:4" x14ac:dyDescent="0.2">
      <c r="A2101" s="417">
        <v>45287</v>
      </c>
      <c r="B2101" s="403">
        <f t="shared" si="38"/>
        <v>644766.57999999996</v>
      </c>
      <c r="C2101" s="403">
        <v>644566.57999999996</v>
      </c>
      <c r="D2101" s="598">
        <v>200</v>
      </c>
    </row>
    <row r="2102" spans="1:4" x14ac:dyDescent="0.2">
      <c r="A2102" s="417">
        <v>45288</v>
      </c>
      <c r="B2102" s="403">
        <f t="shared" si="38"/>
        <v>638881.80000000005</v>
      </c>
      <c r="C2102" s="403">
        <v>638681.80000000005</v>
      </c>
      <c r="D2102" s="598">
        <v>200</v>
      </c>
    </row>
    <row r="2103" spans="1:4" x14ac:dyDescent="0.2">
      <c r="A2103" s="417">
        <v>45289</v>
      </c>
      <c r="B2103" s="445">
        <f t="shared" si="38"/>
        <v>661874.81999999995</v>
      </c>
      <c r="C2103" s="403">
        <v>661674.81999999995</v>
      </c>
      <c r="D2103" s="598">
        <v>200</v>
      </c>
    </row>
    <row r="2104" spans="1:4" x14ac:dyDescent="0.2">
      <c r="A2104" s="417"/>
      <c r="C2104" s="403"/>
      <c r="D2104" s="598"/>
    </row>
    <row r="2105" spans="1:4" x14ac:dyDescent="0.2">
      <c r="A2105" s="417"/>
      <c r="C2105" s="403"/>
      <c r="D2105" s="598"/>
    </row>
    <row r="2106" spans="1:4" x14ac:dyDescent="0.2">
      <c r="A2106" s="417"/>
      <c r="C2106" s="403"/>
      <c r="D2106" s="598"/>
    </row>
    <row r="2107" spans="1:4" x14ac:dyDescent="0.2">
      <c r="A2107" s="417"/>
      <c r="C2107" s="403"/>
      <c r="D2107" s="598"/>
    </row>
    <row r="2108" spans="1:4" x14ac:dyDescent="0.2">
      <c r="A2108" s="417"/>
      <c r="C2108" s="403"/>
      <c r="D2108" s="598"/>
    </row>
    <row r="2109" spans="1:4" x14ac:dyDescent="0.2">
      <c r="A2109" s="417"/>
      <c r="C2109" s="403"/>
      <c r="D2109" s="598"/>
    </row>
    <row r="2110" spans="1:4" x14ac:dyDescent="0.2">
      <c r="A2110" s="417"/>
      <c r="C2110" s="403"/>
      <c r="D2110" s="598"/>
    </row>
    <row r="2111" spans="1:4" x14ac:dyDescent="0.2">
      <c r="A2111" s="417"/>
      <c r="C2111" s="403"/>
      <c r="D2111" s="598"/>
    </row>
    <row r="2112" spans="1:4" x14ac:dyDescent="0.2">
      <c r="A2112" s="417"/>
      <c r="C2112" s="403"/>
      <c r="D2112" s="598"/>
    </row>
    <row r="2113" spans="1:4" x14ac:dyDescent="0.2">
      <c r="A2113" s="417"/>
      <c r="C2113" s="403"/>
      <c r="D2113" s="598"/>
    </row>
    <row r="2114" spans="1:4" x14ac:dyDescent="0.2">
      <c r="A2114" s="417"/>
      <c r="C2114" s="403"/>
      <c r="D2114" s="598"/>
    </row>
    <row r="2115" spans="1:4" x14ac:dyDescent="0.2">
      <c r="A2115" s="417"/>
      <c r="C2115" s="403"/>
      <c r="D2115" s="598"/>
    </row>
    <row r="2116" spans="1:4" x14ac:dyDescent="0.2">
      <c r="A2116" s="417"/>
      <c r="C2116" s="403"/>
      <c r="D2116" s="598"/>
    </row>
    <row r="2117" spans="1:4" x14ac:dyDescent="0.2">
      <c r="A2117" s="417"/>
      <c r="C2117" s="403"/>
      <c r="D2117" s="598"/>
    </row>
    <row r="2118" spans="1:4" x14ac:dyDescent="0.2">
      <c r="A2118" s="417"/>
      <c r="C2118" s="403"/>
      <c r="D2118" s="598"/>
    </row>
    <row r="2119" spans="1:4" x14ac:dyDescent="0.2">
      <c r="A2119" s="417"/>
      <c r="C2119" s="403"/>
      <c r="D2119" s="598"/>
    </row>
    <row r="2120" spans="1:4" x14ac:dyDescent="0.2">
      <c r="A2120" s="417"/>
      <c r="C2120" s="403"/>
      <c r="D2120" s="598"/>
    </row>
    <row r="2121" spans="1:4" x14ac:dyDescent="0.2">
      <c r="A2121" s="417"/>
      <c r="C2121" s="403"/>
      <c r="D2121" s="598"/>
    </row>
    <row r="2122" spans="1:4" x14ac:dyDescent="0.2">
      <c r="A2122" s="417"/>
      <c r="C2122" s="403"/>
      <c r="D2122" s="598"/>
    </row>
    <row r="2123" spans="1:4" x14ac:dyDescent="0.2">
      <c r="A2123" s="417"/>
      <c r="C2123" s="403"/>
      <c r="D2123" s="598"/>
    </row>
    <row r="2124" spans="1:4" x14ac:dyDescent="0.2">
      <c r="A2124" s="417"/>
      <c r="C2124" s="403"/>
      <c r="D2124" s="598"/>
    </row>
    <row r="2125" spans="1:4" x14ac:dyDescent="0.2">
      <c r="A2125" s="417"/>
      <c r="C2125" s="403"/>
      <c r="D2125" s="598"/>
    </row>
    <row r="2126" spans="1:4" x14ac:dyDescent="0.2">
      <c r="A2126" s="422" t="s">
        <v>268</v>
      </c>
      <c r="B2126" s="403">
        <f>MAX(B$1840:B2125)</f>
        <v>661874.81999999995</v>
      </c>
    </row>
    <row r="2127" spans="1:4" x14ac:dyDescent="0.2">
      <c r="A2127" s="422" t="s">
        <v>269</v>
      </c>
      <c r="B2127" s="403">
        <f>MIN(B$1840:B1881)</f>
        <v>259972.42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408</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2" t="s">
        <v>49</v>
      </c>
      <c r="H5" s="782"/>
      <c r="I5" s="782"/>
      <c r="J5" s="782"/>
      <c r="K5" s="782"/>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595" t="s">
        <v>404</v>
      </c>
      <c r="H7" s="596" t="s">
        <v>405</v>
      </c>
      <c r="I7" s="596" t="s">
        <v>409</v>
      </c>
      <c r="J7" s="596"/>
      <c r="K7" s="595" t="s">
        <v>410</v>
      </c>
      <c r="L7" s="783" t="s">
        <v>411</v>
      </c>
      <c r="M7" s="783"/>
    </row>
    <row r="8" spans="1:57" s="55" customFormat="1" ht="20.25" x14ac:dyDescent="0.2">
      <c r="A8" s="54"/>
      <c r="B8" s="54"/>
      <c r="C8" s="58" t="s">
        <v>100</v>
      </c>
      <c r="D8" s="58"/>
      <c r="E8" s="58"/>
      <c r="F8" s="54"/>
      <c r="G8" s="202">
        <v>360098</v>
      </c>
      <c r="H8" s="202">
        <v>315760.04333000001</v>
      </c>
      <c r="I8" s="202">
        <v>675858.04333000001</v>
      </c>
      <c r="J8" s="202"/>
      <c r="K8" s="202">
        <v>811777</v>
      </c>
      <c r="L8" s="317">
        <v>-135918.95666999999</v>
      </c>
      <c r="M8" s="334">
        <v>-0.16743386012414738</v>
      </c>
    </row>
    <row r="9" spans="1:57" s="55" customFormat="1" ht="20.25" x14ac:dyDescent="0.2">
      <c r="A9" s="54"/>
      <c r="B9" s="54"/>
      <c r="C9" s="58" t="s">
        <v>149</v>
      </c>
      <c r="D9" s="58"/>
      <c r="E9" s="58"/>
      <c r="F9" s="54"/>
      <c r="G9" s="193">
        <v>41504</v>
      </c>
      <c r="H9" s="193">
        <v>25300</v>
      </c>
      <c r="I9" s="193">
        <v>66804</v>
      </c>
      <c r="J9" s="193"/>
      <c r="K9" s="193">
        <v>175000</v>
      </c>
      <c r="L9" s="409">
        <v>-108196</v>
      </c>
      <c r="M9" s="334">
        <v>-0.61826285714285711</v>
      </c>
    </row>
    <row r="10" spans="1:57" s="55" customFormat="1" ht="20.25" x14ac:dyDescent="0.2">
      <c r="A10" s="54"/>
      <c r="B10" s="54"/>
      <c r="C10" s="58" t="s">
        <v>178</v>
      </c>
      <c r="D10" s="58"/>
      <c r="E10" s="58"/>
      <c r="F10" s="54"/>
      <c r="G10" s="193">
        <v>14147</v>
      </c>
      <c r="H10" s="193">
        <v>24011.0864</v>
      </c>
      <c r="I10" s="193">
        <v>38158.0864</v>
      </c>
      <c r="J10" s="193"/>
      <c r="K10" s="193">
        <v>49619</v>
      </c>
      <c r="L10" s="409">
        <v>-11460.9136</v>
      </c>
      <c r="M10" s="334">
        <v>-0.23097832685060157</v>
      </c>
    </row>
    <row r="11" spans="1:57" s="55" customFormat="1" ht="20.25" x14ac:dyDescent="0.2">
      <c r="A11" s="54"/>
      <c r="B11" s="54"/>
      <c r="C11" s="58" t="s">
        <v>101</v>
      </c>
      <c r="D11" s="58"/>
      <c r="E11" s="58"/>
      <c r="F11" s="54"/>
      <c r="G11" s="193"/>
      <c r="H11" s="193"/>
      <c r="I11" s="193">
        <v>0</v>
      </c>
      <c r="J11" s="193"/>
      <c r="K11" s="193"/>
      <c r="L11" s="409"/>
      <c r="M11" s="334"/>
    </row>
    <row r="12" spans="1:57" s="55" customFormat="1" ht="20.25" x14ac:dyDescent="0.2">
      <c r="A12" s="54"/>
      <c r="B12" s="54"/>
      <c r="D12" s="58" t="s">
        <v>138</v>
      </c>
      <c r="E12" s="58"/>
      <c r="F12" s="54"/>
      <c r="G12" s="193">
        <v>103487</v>
      </c>
      <c r="H12" s="193">
        <v>87197.56</v>
      </c>
      <c r="I12" s="193">
        <v>190684.56</v>
      </c>
      <c r="J12" s="193"/>
      <c r="K12" s="193">
        <v>196175</v>
      </c>
      <c r="L12" s="409">
        <v>-5490.4400000000023</v>
      </c>
      <c r="M12" s="334">
        <v>-2.7987460175863399E-2</v>
      </c>
      <c r="O12" s="386"/>
      <c r="P12" s="385"/>
      <c r="Q12" s="385"/>
    </row>
    <row r="13" spans="1:57" s="55" customFormat="1" ht="20.25" x14ac:dyDescent="0.2">
      <c r="A13" s="54"/>
      <c r="B13" s="54"/>
      <c r="D13" s="58" t="s">
        <v>158</v>
      </c>
      <c r="E13" s="58"/>
      <c r="F13" s="54"/>
      <c r="G13" s="193">
        <v>9000</v>
      </c>
      <c r="H13" s="193">
        <v>9000</v>
      </c>
      <c r="I13" s="193">
        <v>18000</v>
      </c>
      <c r="J13" s="193"/>
      <c r="K13" s="193">
        <v>18000</v>
      </c>
      <c r="L13" s="409">
        <v>0</v>
      </c>
      <c r="M13" s="334">
        <v>0</v>
      </c>
      <c r="O13" s="318"/>
      <c r="P13" s="387"/>
      <c r="Q13" s="304"/>
    </row>
    <row r="14" spans="1:57" s="55" customFormat="1" ht="20.25" x14ac:dyDescent="0.2">
      <c r="A14" s="54"/>
      <c r="B14" s="54"/>
      <c r="C14" s="58"/>
      <c r="D14" s="58" t="s">
        <v>400</v>
      </c>
      <c r="E14" s="58"/>
      <c r="F14" s="54"/>
      <c r="G14" s="193">
        <v>48393</v>
      </c>
      <c r="H14" s="193">
        <v>58479.097600000001</v>
      </c>
      <c r="I14" s="193">
        <v>106872.09760000001</v>
      </c>
      <c r="J14" s="193"/>
      <c r="K14" s="193">
        <v>169400</v>
      </c>
      <c r="L14" s="409">
        <v>-62527.902399999992</v>
      </c>
      <c r="M14" s="334">
        <v>-0.36911394569067291</v>
      </c>
      <c r="O14" s="318"/>
      <c r="P14" s="387"/>
      <c r="Q14" s="304"/>
    </row>
    <row r="15" spans="1:57" s="55" customFormat="1" ht="20.25" x14ac:dyDescent="0.2">
      <c r="A15" s="54"/>
      <c r="B15" s="54"/>
      <c r="C15" s="58" t="s">
        <v>375</v>
      </c>
      <c r="D15" s="58"/>
      <c r="E15" s="58"/>
      <c r="F15" s="54"/>
      <c r="G15" s="193">
        <v>5140</v>
      </c>
      <c r="H15" s="193">
        <v>5045</v>
      </c>
      <c r="I15" s="193">
        <v>10185</v>
      </c>
      <c r="J15" s="193"/>
      <c r="K15" s="193">
        <v>17000</v>
      </c>
      <c r="L15" s="409">
        <v>-6815</v>
      </c>
      <c r="M15" s="334">
        <v>-0.40088235294117647</v>
      </c>
      <c r="O15" s="318"/>
      <c r="P15" s="387"/>
      <c r="Q15" s="304"/>
    </row>
    <row r="16" spans="1:57" s="55" customFormat="1" ht="20.25" x14ac:dyDescent="0.2">
      <c r="A16" s="54"/>
      <c r="B16" s="54"/>
      <c r="C16" s="58" t="s">
        <v>109</v>
      </c>
      <c r="D16" s="58"/>
      <c r="E16" s="58"/>
      <c r="F16" s="54"/>
      <c r="G16" s="193">
        <v>701</v>
      </c>
      <c r="H16" s="193">
        <v>592.29</v>
      </c>
      <c r="I16" s="193">
        <v>1293.29</v>
      </c>
      <c r="J16" s="193"/>
      <c r="K16" s="193">
        <v>1200</v>
      </c>
      <c r="L16" s="409">
        <v>93.289999999999964</v>
      </c>
      <c r="M16" s="334">
        <v>7.7741666666666639E-2</v>
      </c>
      <c r="O16" s="318"/>
      <c r="P16" s="387"/>
      <c r="Q16" s="304"/>
    </row>
    <row r="17" spans="1:17" s="55" customFormat="1" ht="20.25" x14ac:dyDescent="0.2">
      <c r="A17" s="54"/>
      <c r="B17" s="54"/>
      <c r="C17" s="58" t="s">
        <v>236</v>
      </c>
      <c r="D17" s="58"/>
      <c r="E17" s="58"/>
      <c r="F17" s="54"/>
      <c r="G17" s="193">
        <v>2152</v>
      </c>
      <c r="H17" s="193">
        <v>1900</v>
      </c>
      <c r="I17" s="193">
        <v>4052</v>
      </c>
      <c r="J17" s="193"/>
      <c r="K17" s="193">
        <v>4200</v>
      </c>
      <c r="L17" s="409">
        <v>-148</v>
      </c>
      <c r="M17" s="334">
        <v>-3.5238095238095235E-2</v>
      </c>
      <c r="O17" s="318"/>
      <c r="P17" s="387"/>
      <c r="Q17" s="304"/>
    </row>
    <row r="18" spans="1:17" s="55" customFormat="1" ht="20.25" x14ac:dyDescent="0.2">
      <c r="A18" s="54"/>
      <c r="B18" s="54"/>
      <c r="C18" s="58" t="s">
        <v>319</v>
      </c>
      <c r="D18" s="58"/>
      <c r="E18" s="58"/>
      <c r="F18" s="54"/>
      <c r="G18" s="193">
        <v>-2942</v>
      </c>
      <c r="H18" s="193">
        <v>0</v>
      </c>
      <c r="I18" s="193">
        <v>-2942</v>
      </c>
      <c r="J18" s="193"/>
      <c r="K18" s="193">
        <v>1500</v>
      </c>
      <c r="L18" s="409">
        <v>-4442</v>
      </c>
      <c r="M18" s="334">
        <v>-2.9613333333333332</v>
      </c>
      <c r="O18" s="318"/>
      <c r="P18" s="387"/>
      <c r="Q18" s="304"/>
    </row>
    <row r="19" spans="1:17" s="55" customFormat="1" ht="20.25" x14ac:dyDescent="0.2">
      <c r="A19" s="54"/>
      <c r="B19" s="54"/>
      <c r="C19" s="58" t="s">
        <v>412</v>
      </c>
      <c r="D19" s="58"/>
      <c r="E19" s="58"/>
      <c r="F19" s="54"/>
      <c r="G19" s="193"/>
      <c r="H19" s="193"/>
      <c r="I19" s="193">
        <v>0</v>
      </c>
      <c r="J19" s="193"/>
      <c r="K19" s="193"/>
      <c r="L19" s="409">
        <v>0</v>
      </c>
      <c r="M19" s="334"/>
      <c r="O19" s="318"/>
      <c r="P19" s="387"/>
      <c r="Q19" s="304"/>
    </row>
    <row r="20" spans="1:17" s="55" customFormat="1" ht="20.25" x14ac:dyDescent="0.2">
      <c r="A20" s="54"/>
      <c r="B20" s="54"/>
      <c r="C20" s="58"/>
      <c r="D20" s="58" t="s">
        <v>11</v>
      </c>
      <c r="E20" s="58"/>
      <c r="F20" s="54"/>
      <c r="G20" s="193">
        <v>15479.72</v>
      </c>
      <c r="H20" s="193">
        <v>16194.880000000001</v>
      </c>
      <c r="I20" s="193">
        <v>31674.6</v>
      </c>
      <c r="J20" s="193"/>
      <c r="K20" s="193">
        <v>29543</v>
      </c>
      <c r="L20" s="409">
        <v>2131.5999999999985</v>
      </c>
      <c r="M20" s="334">
        <v>7.2152455742477015E-2</v>
      </c>
      <c r="O20" s="318"/>
      <c r="P20" s="387"/>
      <c r="Q20" s="304"/>
    </row>
    <row r="21" spans="1:17" s="55" customFormat="1" ht="20.25" x14ac:dyDescent="0.2">
      <c r="A21" s="54"/>
      <c r="B21" s="54"/>
      <c r="C21" s="58"/>
      <c r="D21" s="58" t="s">
        <v>393</v>
      </c>
      <c r="E21" s="58"/>
      <c r="F21" s="58"/>
      <c r="G21" s="193">
        <v>4073</v>
      </c>
      <c r="H21" s="193">
        <v>1960.0200000000002</v>
      </c>
      <c r="I21" s="193">
        <v>6033.02</v>
      </c>
      <c r="J21" s="193"/>
      <c r="K21" s="193">
        <v>5000</v>
      </c>
      <c r="L21" s="409">
        <v>1033.0200000000004</v>
      </c>
      <c r="M21" s="334">
        <v>0.20660400000000009</v>
      </c>
      <c r="O21" s="318"/>
      <c r="P21" s="387"/>
      <c r="Q21" s="304"/>
    </row>
    <row r="22" spans="1:17" s="55" customFormat="1" ht="20.25" x14ac:dyDescent="0.2">
      <c r="A22" s="54"/>
      <c r="B22" s="54"/>
      <c r="C22" s="593"/>
      <c r="D22" s="58" t="s">
        <v>17</v>
      </c>
      <c r="E22" s="593"/>
      <c r="F22" s="593"/>
      <c r="G22" s="193">
        <v>25000</v>
      </c>
      <c r="H22" s="193">
        <v>25000</v>
      </c>
      <c r="I22" s="193">
        <v>50000</v>
      </c>
      <c r="J22" s="193"/>
      <c r="K22" s="193">
        <v>50000</v>
      </c>
      <c r="L22" s="409">
        <v>0</v>
      </c>
      <c r="M22" s="334">
        <v>0</v>
      </c>
      <c r="O22" s="318"/>
      <c r="P22" s="387"/>
      <c r="Q22" s="304"/>
    </row>
    <row r="23" spans="1:17" s="55" customFormat="1" ht="20.25" x14ac:dyDescent="0.2">
      <c r="A23" s="54"/>
      <c r="B23" s="54"/>
      <c r="C23" s="593"/>
      <c r="D23" s="58" t="s">
        <v>413</v>
      </c>
      <c r="E23" s="593"/>
      <c r="F23" s="593"/>
      <c r="G23" s="193">
        <v>15000</v>
      </c>
      <c r="H23" s="193">
        <v>0</v>
      </c>
      <c r="I23" s="193">
        <v>15000</v>
      </c>
      <c r="J23" s="193"/>
      <c r="K23" s="193">
        <v>0</v>
      </c>
      <c r="L23" s="409">
        <v>15000</v>
      </c>
      <c r="M23" s="334"/>
      <c r="O23" s="318"/>
      <c r="P23" s="387"/>
      <c r="Q23" s="304"/>
    </row>
    <row r="24" spans="1:17" s="55" customFormat="1" ht="20.25" x14ac:dyDescent="0.2">
      <c r="A24" s="54"/>
      <c r="B24" s="54"/>
      <c r="C24" s="593"/>
      <c r="D24" s="58" t="s">
        <v>414</v>
      </c>
      <c r="E24" s="593"/>
      <c r="F24" s="593"/>
      <c r="G24" s="193">
        <v>5488</v>
      </c>
      <c r="H24" s="193">
        <v>0</v>
      </c>
      <c r="I24" s="193">
        <v>5488</v>
      </c>
      <c r="J24" s="193"/>
      <c r="K24" s="193">
        <v>0</v>
      </c>
      <c r="L24" s="409">
        <v>5488</v>
      </c>
      <c r="M24" s="334"/>
      <c r="O24" s="318"/>
      <c r="P24" s="387"/>
      <c r="Q24" s="304"/>
    </row>
    <row r="25" spans="1:17" s="55" customFormat="1" ht="20.25" x14ac:dyDescent="0.2">
      <c r="A25" s="54"/>
      <c r="B25" s="54"/>
      <c r="C25" s="58" t="s">
        <v>321</v>
      </c>
      <c r="D25" s="593"/>
      <c r="E25" s="593"/>
      <c r="F25" s="593"/>
      <c r="G25" s="193">
        <v>0</v>
      </c>
      <c r="H25" s="193">
        <v>0</v>
      </c>
      <c r="I25" s="193">
        <v>0</v>
      </c>
      <c r="J25" s="193"/>
      <c r="K25" s="193">
        <v>2000</v>
      </c>
      <c r="L25" s="409">
        <v>-2000</v>
      </c>
      <c r="M25" s="334">
        <v>-1</v>
      </c>
      <c r="O25" s="318"/>
      <c r="P25" s="387"/>
      <c r="Q25" s="304"/>
    </row>
    <row r="26" spans="1:17" s="55" customFormat="1" ht="20.25" x14ac:dyDescent="0.2">
      <c r="A26" s="54"/>
      <c r="B26" s="54"/>
      <c r="C26" s="58" t="s">
        <v>108</v>
      </c>
      <c r="D26" s="593"/>
      <c r="E26" s="593"/>
      <c r="F26" s="593"/>
      <c r="G26" s="193">
        <v>23288</v>
      </c>
      <c r="H26" s="193">
        <v>23288</v>
      </c>
      <c r="I26" s="193">
        <v>46576</v>
      </c>
      <c r="J26" s="193"/>
      <c r="K26" s="193">
        <v>46576</v>
      </c>
      <c r="L26" s="409">
        <v>0</v>
      </c>
      <c r="M26" s="334">
        <v>0</v>
      </c>
      <c r="O26" s="318"/>
      <c r="P26" s="387"/>
      <c r="Q26" s="304"/>
    </row>
    <row r="27" spans="1:17" s="55" customFormat="1" ht="20.25" x14ac:dyDescent="0.2">
      <c r="A27" s="54"/>
      <c r="B27" s="54"/>
      <c r="C27" s="58" t="s">
        <v>415</v>
      </c>
      <c r="D27" s="593"/>
      <c r="E27" s="593"/>
      <c r="F27" s="593"/>
      <c r="G27" s="193">
        <v>11328.2</v>
      </c>
      <c r="H27" s="193">
        <v>10450</v>
      </c>
      <c r="I27" s="193">
        <v>21778.2</v>
      </c>
      <c r="J27" s="193"/>
      <c r="K27" s="193">
        <v>3500</v>
      </c>
      <c r="L27" s="409">
        <v>18278.2</v>
      </c>
      <c r="M27" s="334">
        <v>5.2223428571428574</v>
      </c>
      <c r="O27" s="318"/>
      <c r="P27" s="387"/>
      <c r="Q27" s="304"/>
    </row>
    <row r="28" spans="1:17" s="55" customFormat="1" ht="20.25" x14ac:dyDescent="0.2">
      <c r="A28" s="54"/>
      <c r="B28" s="54"/>
      <c r="C28" s="58" t="s">
        <v>101</v>
      </c>
      <c r="D28" s="593"/>
      <c r="E28" s="593"/>
      <c r="F28" s="593"/>
      <c r="G28" s="193">
        <v>9500</v>
      </c>
      <c r="H28" s="193">
        <v>9499.7799999999988</v>
      </c>
      <c r="I28" s="193">
        <v>18999.78</v>
      </c>
      <c r="J28" s="193"/>
      <c r="K28" s="193">
        <v>19000</v>
      </c>
      <c r="L28" s="409">
        <v>-0.22000000000116415</v>
      </c>
      <c r="M28" s="334">
        <v>-1.1578947368482324E-5</v>
      </c>
      <c r="O28" s="318"/>
      <c r="P28" s="387"/>
      <c r="Q28" s="304"/>
    </row>
    <row r="29" spans="1:17" s="55" customFormat="1" ht="20.25" x14ac:dyDescent="0.2">
      <c r="A29" s="54"/>
      <c r="B29" s="54"/>
      <c r="C29" s="58" t="s">
        <v>318</v>
      </c>
      <c r="D29" s="593"/>
      <c r="E29" s="593"/>
      <c r="F29" s="593"/>
      <c r="G29" s="193">
        <v>26000</v>
      </c>
      <c r="H29" s="193">
        <v>20800.019999999997</v>
      </c>
      <c r="I29" s="193">
        <v>46800.02</v>
      </c>
      <c r="J29" s="193"/>
      <c r="K29" s="193">
        <v>53000</v>
      </c>
      <c r="L29" s="409">
        <v>-6199.9800000000032</v>
      </c>
      <c r="M29" s="334">
        <v>-0.11698075471698119</v>
      </c>
      <c r="O29" s="318"/>
      <c r="P29" s="387"/>
      <c r="Q29" s="304"/>
    </row>
    <row r="30" spans="1:17" s="55" customFormat="1" ht="20.25" x14ac:dyDescent="0.2">
      <c r="A30" s="54"/>
      <c r="B30" s="54"/>
      <c r="C30" s="58" t="s">
        <v>320</v>
      </c>
      <c r="D30" s="593"/>
      <c r="E30" s="593"/>
      <c r="F30" s="593"/>
      <c r="G30" s="193">
        <v>5764.37</v>
      </c>
      <c r="H30" s="193">
        <v>5781</v>
      </c>
      <c r="I30" s="193">
        <v>11545.369999999999</v>
      </c>
      <c r="J30" s="193"/>
      <c r="K30" s="193">
        <v>16835</v>
      </c>
      <c r="L30" s="409">
        <v>-5289.630000000001</v>
      </c>
      <c r="M30" s="334">
        <v>-0.31420433620433624</v>
      </c>
      <c r="O30" s="318"/>
      <c r="P30" s="387"/>
      <c r="Q30" s="304"/>
    </row>
    <row r="31" spans="1:17" s="55" customFormat="1" ht="20.25" x14ac:dyDescent="0.2">
      <c r="A31" s="54"/>
      <c r="B31" s="54"/>
      <c r="C31" s="58"/>
      <c r="D31" s="54" t="s">
        <v>104</v>
      </c>
      <c r="E31" s="58"/>
      <c r="F31" s="54"/>
      <c r="G31" s="201">
        <v>722601.28999999992</v>
      </c>
      <c r="H31" s="201">
        <v>640258.77733000007</v>
      </c>
      <c r="I31" s="201">
        <v>1362860.0673300002</v>
      </c>
      <c r="J31" s="201"/>
      <c r="K31" s="201">
        <v>1669325</v>
      </c>
      <c r="L31" s="600">
        <v>-306464.93267000001</v>
      </c>
      <c r="M31" s="601">
        <v>-0.18358613970916388</v>
      </c>
    </row>
    <row r="32" spans="1:17" s="55" customFormat="1" ht="20.25" x14ac:dyDescent="0.2">
      <c r="A32" s="54"/>
      <c r="B32" s="54"/>
      <c r="C32" s="58"/>
      <c r="D32" s="54"/>
      <c r="E32" s="58"/>
      <c r="F32" s="54"/>
      <c r="G32" s="193"/>
      <c r="H32" s="193"/>
      <c r="I32" s="193"/>
      <c r="J32" s="193"/>
      <c r="K32" s="481"/>
    </row>
    <row r="33" spans="1:15" s="55" customFormat="1" ht="21" thickBot="1" x14ac:dyDescent="0.25">
      <c r="A33" s="54"/>
      <c r="B33" s="66" t="s">
        <v>110</v>
      </c>
      <c r="C33" s="66"/>
      <c r="D33" s="66"/>
      <c r="E33" s="66"/>
      <c r="F33" s="66"/>
      <c r="G33" s="193"/>
      <c r="H33" s="193"/>
      <c r="I33" s="193"/>
      <c r="J33" s="193"/>
    </row>
    <row r="34" spans="1:15" s="55" customFormat="1" ht="20.25" x14ac:dyDescent="0.2">
      <c r="A34" s="54"/>
      <c r="B34" s="54"/>
      <c r="C34" s="58" t="s">
        <v>111</v>
      </c>
      <c r="D34" s="58"/>
      <c r="E34" s="58"/>
      <c r="F34" s="58"/>
      <c r="G34" s="193">
        <v>447013.99</v>
      </c>
      <c r="H34" s="193">
        <v>440623.07</v>
      </c>
      <c r="I34" s="193">
        <v>887637.06</v>
      </c>
      <c r="J34" s="193"/>
      <c r="K34" s="602">
        <v>1102996</v>
      </c>
      <c r="L34" s="409">
        <v>-215358.93999999994</v>
      </c>
      <c r="M34" s="354">
        <v>-0.19524906708637196</v>
      </c>
    </row>
    <row r="35" spans="1:15" s="55" customFormat="1" ht="20.25" x14ac:dyDescent="0.2">
      <c r="A35" s="54"/>
      <c r="B35" s="54"/>
      <c r="C35" s="58" t="s">
        <v>112</v>
      </c>
      <c r="D35" s="58"/>
      <c r="E35" s="58"/>
      <c r="F35" s="58"/>
      <c r="G35" s="193">
        <v>102132.08</v>
      </c>
      <c r="H35" s="193">
        <v>85992.050000000017</v>
      </c>
      <c r="I35" s="193">
        <v>188124.13</v>
      </c>
      <c r="J35" s="193"/>
      <c r="K35" s="230">
        <v>224967</v>
      </c>
      <c r="L35" s="409">
        <v>-36842.869999999995</v>
      </c>
      <c r="M35" s="354">
        <v>-0.16377010850480292</v>
      </c>
    </row>
    <row r="36" spans="1:15" s="55" customFormat="1" ht="20.25" x14ac:dyDescent="0.2">
      <c r="A36" s="54"/>
      <c r="B36" s="54"/>
      <c r="C36" s="58" t="s">
        <v>113</v>
      </c>
      <c r="D36" s="58"/>
      <c r="E36" s="58"/>
      <c r="F36" s="58"/>
      <c r="G36" s="193">
        <v>900</v>
      </c>
      <c r="H36" s="193">
        <v>900</v>
      </c>
      <c r="I36" s="193">
        <v>1800</v>
      </c>
      <c r="J36" s="193"/>
      <c r="K36" s="230">
        <v>1800</v>
      </c>
      <c r="L36" s="409">
        <v>0</v>
      </c>
      <c r="M36" s="354">
        <v>0</v>
      </c>
    </row>
    <row r="37" spans="1:15" s="55" customFormat="1" ht="20.25" x14ac:dyDescent="0.2">
      <c r="A37" s="54"/>
      <c r="B37" s="54"/>
      <c r="C37" s="58" t="s">
        <v>103</v>
      </c>
      <c r="D37" s="58"/>
      <c r="E37" s="58"/>
      <c r="F37" s="58"/>
      <c r="G37" s="193">
        <v>23288</v>
      </c>
      <c r="H37" s="193">
        <v>23288</v>
      </c>
      <c r="I37" s="193">
        <v>46576</v>
      </c>
      <c r="J37" s="193"/>
      <c r="K37" s="230">
        <v>46576</v>
      </c>
      <c r="L37" s="409">
        <v>0</v>
      </c>
      <c r="M37" s="354">
        <v>0</v>
      </c>
    </row>
    <row r="38" spans="1:15" s="55" customFormat="1" ht="20.25" x14ac:dyDescent="0.2">
      <c r="A38" s="54"/>
      <c r="B38" s="54"/>
      <c r="C38" s="58" t="s">
        <v>114</v>
      </c>
      <c r="D38" s="58"/>
      <c r="E38" s="58"/>
      <c r="F38" s="58"/>
      <c r="G38" s="193">
        <v>10831.87</v>
      </c>
      <c r="H38" s="193">
        <v>10418.370000000001</v>
      </c>
      <c r="I38" s="193">
        <v>21250.240000000002</v>
      </c>
      <c r="J38" s="193"/>
      <c r="K38" s="230">
        <v>19050</v>
      </c>
      <c r="L38" s="409">
        <v>2200.2400000000016</v>
      </c>
      <c r="M38" s="354">
        <v>0.11549816272965888</v>
      </c>
    </row>
    <row r="39" spans="1:15" s="55" customFormat="1" ht="20.25" x14ac:dyDescent="0.2">
      <c r="A39" s="54"/>
      <c r="B39" s="54"/>
      <c r="C39" s="58" t="s">
        <v>115</v>
      </c>
      <c r="D39" s="58"/>
      <c r="E39" s="58"/>
      <c r="F39" s="58"/>
      <c r="G39" s="193">
        <v>1224.3499999999999</v>
      </c>
      <c r="H39" s="193">
        <v>1207.24</v>
      </c>
      <c r="I39" s="193">
        <v>2431.59</v>
      </c>
      <c r="J39" s="193"/>
      <c r="K39" s="230">
        <v>3377</v>
      </c>
      <c r="L39" s="409">
        <v>-945.40999999999985</v>
      </c>
      <c r="M39" s="354">
        <v>-0.27995558187740593</v>
      </c>
    </row>
    <row r="40" spans="1:15" s="55" customFormat="1" ht="20.25" x14ac:dyDescent="0.2">
      <c r="A40" s="54"/>
      <c r="B40" s="54"/>
      <c r="C40" s="58" t="s">
        <v>116</v>
      </c>
      <c r="D40" s="58"/>
      <c r="E40" s="58"/>
      <c r="F40" s="58"/>
      <c r="G40" s="193">
        <v>1941.95</v>
      </c>
      <c r="H40" s="193">
        <v>1791.4500000000003</v>
      </c>
      <c r="I40" s="193">
        <v>3733.4000000000005</v>
      </c>
      <c r="J40" s="193"/>
      <c r="K40" s="230">
        <v>4254</v>
      </c>
      <c r="L40" s="409">
        <v>-520.59999999999945</v>
      </c>
      <c r="M40" s="354">
        <v>-0.12237893747061576</v>
      </c>
    </row>
    <row r="41" spans="1:15" s="55" customFormat="1" ht="20.25" x14ac:dyDescent="0.2">
      <c r="A41" s="54"/>
      <c r="B41" s="54"/>
      <c r="C41" s="58" t="s">
        <v>117</v>
      </c>
      <c r="D41" s="58"/>
      <c r="E41" s="58"/>
      <c r="F41" s="58"/>
      <c r="G41" s="193">
        <v>525.84</v>
      </c>
      <c r="H41" s="193">
        <v>1029.27</v>
      </c>
      <c r="I41" s="193">
        <v>1555.1100000000001</v>
      </c>
      <c r="J41" s="193"/>
      <c r="K41" s="230">
        <v>12334</v>
      </c>
      <c r="L41" s="409">
        <v>-10778.89</v>
      </c>
      <c r="M41" s="354">
        <v>-0.8739168153072806</v>
      </c>
    </row>
    <row r="42" spans="1:15" s="55" customFormat="1" ht="20.25" x14ac:dyDescent="0.2">
      <c r="A42" s="54"/>
      <c r="B42" s="54"/>
      <c r="C42" s="58" t="s">
        <v>118</v>
      </c>
      <c r="D42" s="58"/>
      <c r="E42" s="58"/>
      <c r="F42" s="58"/>
      <c r="G42" s="193">
        <v>18906.52</v>
      </c>
      <c r="H42" s="193">
        <v>15450</v>
      </c>
      <c r="I42" s="193">
        <v>34356.520000000004</v>
      </c>
      <c r="J42" s="193"/>
      <c r="K42" s="230">
        <v>38115</v>
      </c>
      <c r="L42" s="409">
        <v>-3758.4799999999959</v>
      </c>
      <c r="M42" s="354">
        <v>-9.8608946608946507E-2</v>
      </c>
    </row>
    <row r="43" spans="1:15" s="55" customFormat="1" ht="20.25" x14ac:dyDescent="0.2">
      <c r="A43" s="54"/>
      <c r="B43" s="54"/>
      <c r="C43" s="58" t="s">
        <v>119</v>
      </c>
      <c r="D43" s="58"/>
      <c r="E43" s="58"/>
      <c r="F43" s="58"/>
      <c r="G43" s="193">
        <v>672.76</v>
      </c>
      <c r="H43" s="193">
        <v>828.07</v>
      </c>
      <c r="I43" s="193">
        <v>1500.83</v>
      </c>
      <c r="J43" s="193"/>
      <c r="K43" s="230">
        <v>5448</v>
      </c>
      <c r="L43" s="409">
        <v>-3947.17</v>
      </c>
      <c r="M43" s="354">
        <v>-0.72451725403817913</v>
      </c>
    </row>
    <row r="44" spans="1:15" s="55" customFormat="1" ht="20.25" x14ac:dyDescent="0.2">
      <c r="A44" s="54"/>
      <c r="B44" s="54"/>
      <c r="C44" s="58" t="s">
        <v>120</v>
      </c>
      <c r="D44" s="58"/>
      <c r="E44" s="58"/>
      <c r="F44" s="58"/>
      <c r="G44" s="193">
        <v>419</v>
      </c>
      <c r="H44" s="193">
        <v>588.96333333333337</v>
      </c>
      <c r="I44" s="193">
        <v>1007.9633333333334</v>
      </c>
      <c r="J44" s="193"/>
      <c r="K44" s="230">
        <v>1262</v>
      </c>
      <c r="L44" s="409">
        <v>-254.03666666666663</v>
      </c>
      <c r="M44" s="354">
        <v>-0.20129688325409401</v>
      </c>
    </row>
    <row r="45" spans="1:15" s="55" customFormat="1" ht="20.25" x14ac:dyDescent="0.2">
      <c r="A45" s="54"/>
      <c r="B45" s="54"/>
      <c r="C45" s="58" t="s">
        <v>165</v>
      </c>
      <c r="D45" s="58"/>
      <c r="E45" s="58"/>
      <c r="F45" s="58"/>
      <c r="G45" s="193">
        <v>7425</v>
      </c>
      <c r="H45" s="193">
        <v>2735</v>
      </c>
      <c r="I45" s="193">
        <v>10160</v>
      </c>
      <c r="J45" s="193"/>
      <c r="K45" s="230">
        <v>12600</v>
      </c>
      <c r="L45" s="409">
        <v>-2440</v>
      </c>
      <c r="M45" s="354">
        <v>-0.19365079365079366</v>
      </c>
    </row>
    <row r="46" spans="1:15" s="55" customFormat="1" ht="20.25" x14ac:dyDescent="0.2">
      <c r="A46" s="54"/>
      <c r="B46" s="54"/>
      <c r="C46" s="784" t="s">
        <v>323</v>
      </c>
      <c r="D46" s="784"/>
      <c r="E46" s="784"/>
      <c r="F46" s="784"/>
      <c r="G46" s="193">
        <v>67</v>
      </c>
      <c r="H46" s="193">
        <v>0</v>
      </c>
      <c r="I46" s="193">
        <v>67</v>
      </c>
      <c r="J46" s="193"/>
      <c r="K46" s="230">
        <v>0</v>
      </c>
      <c r="L46" s="409">
        <v>67</v>
      </c>
      <c r="M46" s="354"/>
      <c r="O46" s="580"/>
    </row>
    <row r="47" spans="1:15" s="55" customFormat="1" ht="20.25" x14ac:dyDescent="0.2">
      <c r="A47" s="54"/>
      <c r="B47" s="54"/>
      <c r="C47" s="58" t="s">
        <v>121</v>
      </c>
      <c r="D47" s="58"/>
      <c r="E47" s="58"/>
      <c r="F47" s="58"/>
      <c r="G47" s="193">
        <v>9698.2999999999993</v>
      </c>
      <c r="H47" s="193">
        <v>6282.170000000001</v>
      </c>
      <c r="I47" s="193">
        <v>15980.470000000001</v>
      </c>
      <c r="J47" s="193"/>
      <c r="K47" s="230">
        <v>12425</v>
      </c>
      <c r="L47" s="409">
        <v>3555.4700000000012</v>
      </c>
      <c r="M47" s="354">
        <v>0.28615452716297796</v>
      </c>
    </row>
    <row r="48" spans="1:15" s="55" customFormat="1" ht="20.25" x14ac:dyDescent="0.2">
      <c r="A48" s="54"/>
      <c r="B48" s="54"/>
      <c r="C48" s="58" t="s">
        <v>122</v>
      </c>
      <c r="D48" s="58"/>
      <c r="E48" s="58"/>
      <c r="F48" s="58"/>
      <c r="G48" s="193">
        <v>5409.5</v>
      </c>
      <c r="H48" s="193">
        <v>6493.7800000000007</v>
      </c>
      <c r="I48" s="193">
        <v>11903.28</v>
      </c>
      <c r="J48" s="193"/>
      <c r="K48" s="230">
        <v>11716</v>
      </c>
      <c r="L48" s="409">
        <v>187.28000000000065</v>
      </c>
      <c r="M48" s="354">
        <v>1.5984977808125696E-2</v>
      </c>
      <c r="O48" s="580"/>
    </row>
    <row r="49" spans="1:17" s="55" customFormat="1" ht="20.25" x14ac:dyDescent="0.2">
      <c r="A49" s="54"/>
      <c r="B49" s="54"/>
      <c r="C49" s="58" t="s">
        <v>129</v>
      </c>
      <c r="D49" s="58"/>
      <c r="E49" s="58"/>
      <c r="F49" s="58"/>
      <c r="G49" s="193">
        <v>733.4</v>
      </c>
      <c r="H49" s="193">
        <v>410</v>
      </c>
      <c r="I49" s="193">
        <v>1143.4000000000001</v>
      </c>
      <c r="J49" s="193"/>
      <c r="K49" s="230">
        <v>1280</v>
      </c>
      <c r="L49" s="409">
        <v>-136.59999999999991</v>
      </c>
      <c r="M49" s="354">
        <v>-0.10671874999999993</v>
      </c>
    </row>
    <row r="50" spans="1:17" s="55" customFormat="1" ht="20.25" x14ac:dyDescent="0.2">
      <c r="A50" s="54"/>
      <c r="B50" s="54"/>
      <c r="C50" s="58" t="s">
        <v>123</v>
      </c>
      <c r="D50" s="58"/>
      <c r="E50" s="58"/>
      <c r="F50" s="58"/>
      <c r="G50" s="193">
        <v>540.31999999999994</v>
      </c>
      <c r="H50" s="193">
        <v>0</v>
      </c>
      <c r="I50" s="193">
        <v>540.31999999999994</v>
      </c>
      <c r="J50" s="193"/>
      <c r="K50" s="230">
        <v>10470</v>
      </c>
      <c r="L50" s="409">
        <v>-9929.68</v>
      </c>
      <c r="M50" s="354">
        <v>-0.94839350525310417</v>
      </c>
      <c r="O50" s="580"/>
    </row>
    <row r="51" spans="1:17" s="55" customFormat="1" ht="20.25" customHeight="1" x14ac:dyDescent="0.2">
      <c r="A51" s="54"/>
      <c r="B51" s="54"/>
      <c r="C51" s="58" t="s">
        <v>198</v>
      </c>
      <c r="D51" s="58"/>
      <c r="E51" s="58"/>
      <c r="F51" s="58"/>
      <c r="G51" s="193">
        <v>2381.4</v>
      </c>
      <c r="H51" s="193">
        <v>300</v>
      </c>
      <c r="I51" s="193">
        <v>2681.4</v>
      </c>
      <c r="J51" s="193"/>
      <c r="K51" s="230">
        <v>20850</v>
      </c>
      <c r="L51" s="409">
        <v>-18168.599999999999</v>
      </c>
      <c r="M51" s="354">
        <v>-0.87139568345323737</v>
      </c>
    </row>
    <row r="52" spans="1:17" s="55" customFormat="1" ht="20.25" x14ac:dyDescent="0.2">
      <c r="A52" s="58"/>
      <c r="B52" s="58"/>
      <c r="C52" s="58" t="s">
        <v>125</v>
      </c>
      <c r="D52" s="58"/>
      <c r="E52" s="58"/>
      <c r="F52" s="58"/>
      <c r="G52" s="193">
        <v>23932</v>
      </c>
      <c r="H52" s="193">
        <v>4454</v>
      </c>
      <c r="I52" s="193">
        <v>28386</v>
      </c>
      <c r="J52" s="193"/>
      <c r="K52" s="230">
        <v>12937</v>
      </c>
      <c r="L52" s="409">
        <v>15449</v>
      </c>
      <c r="M52" s="354">
        <v>1.1941717554301616</v>
      </c>
    </row>
    <row r="53" spans="1:17" s="55" customFormat="1" ht="20.25" x14ac:dyDescent="0.2">
      <c r="A53" s="54"/>
      <c r="B53" s="54"/>
      <c r="C53" s="58" t="s">
        <v>164</v>
      </c>
      <c r="D53" s="58"/>
      <c r="E53" s="58"/>
      <c r="F53" s="58"/>
      <c r="G53" s="193">
        <v>31384.95</v>
      </c>
      <c r="H53" s="193">
        <v>23455</v>
      </c>
      <c r="I53" s="193">
        <v>54839.95</v>
      </c>
      <c r="J53" s="193"/>
      <c r="K53" s="230">
        <v>60011</v>
      </c>
      <c r="L53" s="409">
        <v>-5171.0500000000029</v>
      </c>
      <c r="M53" s="354">
        <v>-8.6168369132325784E-2</v>
      </c>
      <c r="Q53" s="285"/>
    </row>
    <row r="54" spans="1:17" s="55" customFormat="1" ht="20.25" x14ac:dyDescent="0.2">
      <c r="A54" s="54"/>
      <c r="B54" s="54"/>
      <c r="C54" s="58" t="s">
        <v>126</v>
      </c>
      <c r="D54" s="58"/>
      <c r="E54" s="58"/>
      <c r="F54" s="58"/>
      <c r="G54" s="193">
        <v>31753.16</v>
      </c>
      <c r="H54" s="193">
        <v>14675</v>
      </c>
      <c r="I54" s="193">
        <v>46428.160000000003</v>
      </c>
      <c r="J54" s="193"/>
      <c r="K54" s="230">
        <v>61119</v>
      </c>
      <c r="L54" s="409">
        <v>-14690.839999999997</v>
      </c>
      <c r="M54" s="354">
        <v>-0.2403645347600582</v>
      </c>
    </row>
    <row r="55" spans="1:17" s="55" customFormat="1" ht="21" thickBot="1" x14ac:dyDescent="0.25">
      <c r="A55" s="54"/>
      <c r="B55" s="54"/>
      <c r="C55" s="58" t="s">
        <v>402</v>
      </c>
      <c r="D55" s="58"/>
      <c r="E55" s="58"/>
      <c r="F55" s="58"/>
      <c r="G55" s="200">
        <v>297</v>
      </c>
      <c r="H55" s="195">
        <v>990</v>
      </c>
      <c r="I55" s="195">
        <v>1287</v>
      </c>
      <c r="J55" s="195"/>
      <c r="K55" s="603">
        <v>0</v>
      </c>
      <c r="L55" s="412">
        <v>1287</v>
      </c>
      <c r="M55" s="411"/>
    </row>
    <row r="56" spans="1:17" s="55" customFormat="1" ht="20.25" x14ac:dyDescent="0.2">
      <c r="A56" s="58"/>
      <c r="B56" s="58"/>
      <c r="C56" s="54"/>
      <c r="D56" s="54"/>
      <c r="G56" s="193">
        <v>721478.3899999999</v>
      </c>
      <c r="H56" s="193">
        <v>641911.43333333335</v>
      </c>
      <c r="I56" s="193">
        <v>1363389.8233333332</v>
      </c>
      <c r="J56" s="193"/>
      <c r="K56" s="193">
        <v>1663587</v>
      </c>
      <c r="L56" s="193">
        <v>-300197.17666666652</v>
      </c>
      <c r="M56" s="601">
        <v>-0.18045174473391926</v>
      </c>
    </row>
    <row r="57" spans="1:17" s="55" customFormat="1" ht="8.25" customHeight="1" x14ac:dyDescent="0.2">
      <c r="A57" s="58"/>
      <c r="B57" s="58"/>
      <c r="C57" s="54"/>
      <c r="D57" s="54"/>
      <c r="G57" s="193"/>
      <c r="H57" s="193"/>
      <c r="I57" s="193"/>
      <c r="J57" s="193"/>
      <c r="K57" s="193"/>
    </row>
    <row r="58" spans="1:17" s="55" customFormat="1" ht="20.25" x14ac:dyDescent="0.2">
      <c r="A58" s="58"/>
      <c r="B58" s="58"/>
      <c r="C58" s="604" t="s">
        <v>416</v>
      </c>
      <c r="D58"/>
      <c r="E58" s="54"/>
      <c r="F58" s="54"/>
      <c r="G58" s="201">
        <v>1122.9000000000233</v>
      </c>
      <c r="H58" s="201">
        <v>-1652.6560033332789</v>
      </c>
      <c r="I58" s="201">
        <v>-529.75600333325565</v>
      </c>
      <c r="J58" s="193"/>
      <c r="K58" s="201">
        <v>5738</v>
      </c>
      <c r="L58" s="605">
        <v>-6267.7560033332556</v>
      </c>
      <c r="M58" s="601">
        <v>-1.0923241553386642</v>
      </c>
    </row>
    <row r="59" spans="1:17" s="55" customFormat="1" ht="9" customHeight="1" x14ac:dyDescent="0.2">
      <c r="A59" s="58"/>
      <c r="B59" s="58"/>
      <c r="C59" s="58"/>
      <c r="D59" s="58"/>
      <c r="E59" s="58"/>
      <c r="F59" s="58"/>
      <c r="G59" s="193"/>
      <c r="H59" s="193"/>
      <c r="I59" s="193"/>
      <c r="J59" s="193"/>
      <c r="K59" s="193"/>
    </row>
    <row r="60" spans="1:17" s="55" customFormat="1" ht="20.25" x14ac:dyDescent="0.2">
      <c r="A60" s="58"/>
      <c r="B60" s="58"/>
      <c r="C60" s="58" t="s">
        <v>124</v>
      </c>
      <c r="D60" s="58"/>
      <c r="F60" s="58"/>
      <c r="G60" s="193">
        <v>19500</v>
      </c>
      <c r="H60" s="193">
        <v>19720</v>
      </c>
      <c r="I60" s="193">
        <v>39220</v>
      </c>
      <c r="J60" s="193"/>
      <c r="K60" s="193">
        <v>39797</v>
      </c>
    </row>
    <row r="61" spans="1:17" s="55" customFormat="1" ht="9" customHeight="1" x14ac:dyDescent="0.2">
      <c r="A61" s="58"/>
      <c r="B61" s="58"/>
      <c r="C61" s="58"/>
      <c r="D61" s="58"/>
      <c r="E61" s="58"/>
      <c r="F61" s="58"/>
      <c r="G61" s="193"/>
      <c r="H61" s="193"/>
      <c r="I61" s="193"/>
      <c r="J61" s="193"/>
      <c r="K61" s="193"/>
    </row>
    <row r="62" spans="1:17" s="55" customFormat="1" ht="21" thickBot="1" x14ac:dyDescent="0.25">
      <c r="A62" s="54"/>
      <c r="B62" s="54"/>
      <c r="C62" s="604" t="s">
        <v>417</v>
      </c>
      <c r="D62"/>
      <c r="E62"/>
      <c r="F62"/>
      <c r="G62" s="606">
        <v>-18377.099999999977</v>
      </c>
      <c r="H62" s="606">
        <v>-21372.656003333279</v>
      </c>
      <c r="I62" s="606">
        <v>-39749.756003333256</v>
      </c>
      <c r="J62" s="196"/>
      <c r="K62" s="606">
        <v>-34059</v>
      </c>
    </row>
    <row r="63" spans="1:17" s="55" customFormat="1" ht="21" thickTop="1" x14ac:dyDescent="0.2">
      <c r="A63" s="54"/>
      <c r="B63" s="54"/>
      <c r="C63" s="54"/>
      <c r="D63" s="54"/>
      <c r="E63" s="54"/>
      <c r="F63" s="54"/>
      <c r="G63" s="196"/>
      <c r="H63" s="196"/>
      <c r="I63" s="196"/>
      <c r="J63" s="196"/>
      <c r="K63" s="196"/>
    </row>
    <row r="64" spans="1:17" s="55" customFormat="1" ht="23.25" x14ac:dyDescent="0.2">
      <c r="A64" s="54"/>
      <c r="B64" s="222"/>
      <c r="C64" s="54"/>
      <c r="D64" s="54"/>
      <c r="E64" s="54"/>
      <c r="F64" s="54" t="s">
        <v>418</v>
      </c>
      <c r="G64" s="193"/>
      <c r="H64" s="193"/>
      <c r="I64" s="193"/>
      <c r="J64" s="193"/>
      <c r="K64" s="193"/>
    </row>
    <row r="65" spans="1:11" s="55" customFormat="1" ht="20.25" x14ac:dyDescent="0.2">
      <c r="A65" s="58"/>
      <c r="B65" s="58"/>
      <c r="D65" s="58"/>
      <c r="E65" s="58"/>
      <c r="F65" s="608" t="s">
        <v>419</v>
      </c>
      <c r="G65" s="193"/>
      <c r="H65" s="193"/>
      <c r="I65" s="193"/>
      <c r="J65" s="193"/>
      <c r="K65" s="193"/>
    </row>
    <row r="66" spans="1:11" s="55" customFormat="1" ht="20.25" x14ac:dyDescent="0.2">
      <c r="A66" s="58"/>
      <c r="B66" s="58"/>
      <c r="D66" s="58"/>
      <c r="E66" s="58"/>
      <c r="F66" s="608" t="s">
        <v>424</v>
      </c>
      <c r="G66" s="193"/>
      <c r="H66" s="193"/>
      <c r="I66" s="193"/>
      <c r="J66" s="193"/>
      <c r="K66" s="193"/>
    </row>
    <row r="67" spans="1:11" s="55" customFormat="1" ht="20.25" x14ac:dyDescent="0.2">
      <c r="A67" s="54"/>
      <c r="B67" s="54"/>
      <c r="D67" s="58"/>
      <c r="E67" s="54"/>
      <c r="F67" s="608" t="s">
        <v>420</v>
      </c>
      <c r="G67" s="193"/>
      <c r="H67" s="193"/>
      <c r="I67" s="193"/>
      <c r="J67" s="193"/>
      <c r="K67" s="193"/>
    </row>
    <row r="68" spans="1:11" s="55" customFormat="1" ht="23.25" x14ac:dyDescent="0.2">
      <c r="A68" s="54"/>
      <c r="B68" s="222"/>
      <c r="C68" s="54"/>
      <c r="D68" s="54"/>
      <c r="E68" s="54"/>
      <c r="F68" s="608" t="s">
        <v>421</v>
      </c>
      <c r="G68" s="196"/>
      <c r="H68" s="196"/>
      <c r="I68" s="196"/>
      <c r="J68" s="196"/>
      <c r="K68" s="196"/>
    </row>
    <row r="69" spans="1:11" s="55" customFormat="1" ht="20.25" x14ac:dyDescent="0.2">
      <c r="A69" s="54"/>
      <c r="B69" s="54"/>
      <c r="C69" s="54"/>
      <c r="D69" s="54"/>
      <c r="E69" s="54"/>
      <c r="F69" s="608" t="s">
        <v>422</v>
      </c>
      <c r="G69" s="193"/>
      <c r="H69" s="193"/>
      <c r="I69" s="193"/>
      <c r="J69" s="193"/>
      <c r="K69" s="193"/>
    </row>
    <row r="70" spans="1:11" s="62" customFormat="1" ht="26.25" x14ac:dyDescent="0.2">
      <c r="A70" s="219"/>
      <c r="B70" s="219"/>
      <c r="C70" s="219"/>
      <c r="D70" s="219"/>
      <c r="E70" s="219"/>
      <c r="F70" s="608" t="s">
        <v>423</v>
      </c>
      <c r="G70" s="196"/>
      <c r="H70" s="196"/>
      <c r="I70" s="196"/>
      <c r="J70" s="196"/>
      <c r="K70" s="196"/>
    </row>
    <row r="71" spans="1:11" ht="20.25" x14ac:dyDescent="0.3">
      <c r="F71" s="609"/>
      <c r="G71" s="227"/>
      <c r="H71" s="227"/>
      <c r="I71" s="227"/>
      <c r="J71" s="227"/>
      <c r="K71" s="227"/>
    </row>
    <row r="72" spans="1:11" ht="20.25" x14ac:dyDescent="0.3">
      <c r="F72" s="609"/>
      <c r="G72" s="227"/>
      <c r="H72" s="227"/>
      <c r="I72" s="227"/>
      <c r="J72" s="227"/>
      <c r="K72" s="227"/>
    </row>
    <row r="73" spans="1:11" ht="20.25" x14ac:dyDescent="0.3">
      <c r="F73" s="609"/>
      <c r="G73" s="607"/>
      <c r="H73" s="227"/>
      <c r="I73" s="227"/>
      <c r="J73" s="227"/>
      <c r="K73" s="227"/>
    </row>
    <row r="74" spans="1:11" ht="20.25" x14ac:dyDescent="0.3">
      <c r="F74" s="609"/>
      <c r="G74" s="224"/>
      <c r="H74" s="224"/>
      <c r="I74" s="224"/>
      <c r="J74" s="224"/>
      <c r="K74" s="224"/>
    </row>
    <row r="75" spans="1:11" ht="18" x14ac:dyDescent="0.25">
      <c r="F75" s="609"/>
    </row>
    <row r="76" spans="1:11" ht="18" x14ac:dyDescent="0.25">
      <c r="F76" s="609"/>
    </row>
    <row r="77" spans="1:11" ht="18" x14ac:dyDescent="0.25">
      <c r="F77" s="609"/>
    </row>
    <row r="78" spans="1:11" ht="18" x14ac:dyDescent="0.25">
      <c r="F78" s="609"/>
    </row>
    <row r="79" spans="1:11" ht="18" x14ac:dyDescent="0.25">
      <c r="F79" s="609"/>
    </row>
    <row r="80" spans="1:11" ht="18" x14ac:dyDescent="0.25">
      <c r="F80" s="609"/>
    </row>
    <row r="81" spans="6:6" ht="18" x14ac:dyDescent="0.25">
      <c r="F81" s="609"/>
    </row>
    <row r="82" spans="6:6" ht="18" x14ac:dyDescent="0.25">
      <c r="F82" s="609"/>
    </row>
    <row r="83" spans="6:6" ht="18" x14ac:dyDescent="0.25">
      <c r="F83" s="88"/>
    </row>
    <row r="84" spans="6:6" ht="18" x14ac:dyDescent="0.25">
      <c r="F84" s="88"/>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1"/>
  <sheetViews>
    <sheetView zoomScale="85" zoomScaleNormal="85" workbookViewId="0"/>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661</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209" t="s">
        <v>157</v>
      </c>
      <c r="B5" s="210"/>
      <c r="C5" s="210"/>
      <c r="D5" s="210"/>
      <c r="E5" s="210"/>
      <c r="F5" s="210"/>
      <c r="G5" s="210"/>
      <c r="H5" s="210"/>
      <c r="I5" s="210"/>
      <c r="J5" s="210"/>
      <c r="K5" s="211"/>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63" t="s">
        <v>22</v>
      </c>
      <c r="B6" s="669" t="s">
        <v>12</v>
      </c>
      <c r="C6" s="263" t="s">
        <v>1</v>
      </c>
      <c r="D6" s="669" t="s">
        <v>2</v>
      </c>
      <c r="E6" s="263" t="s">
        <v>3</v>
      </c>
      <c r="F6" s="611" t="s">
        <v>9</v>
      </c>
      <c r="G6" s="268" t="s">
        <v>27</v>
      </c>
      <c r="H6" s="611" t="s">
        <v>195</v>
      </c>
      <c r="I6" s="728" t="s">
        <v>26</v>
      </c>
      <c r="J6" s="268" t="s">
        <v>19</v>
      </c>
      <c r="K6" s="730" t="s">
        <v>92</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76" t="s">
        <v>326</v>
      </c>
      <c r="B7" s="621" t="s">
        <v>14</v>
      </c>
      <c r="C7" s="241" t="s">
        <v>340</v>
      </c>
      <c r="D7" s="4">
        <v>43466</v>
      </c>
      <c r="E7" s="240">
        <v>43830</v>
      </c>
      <c r="F7" s="610"/>
      <c r="G7" s="243"/>
      <c r="H7" s="257"/>
      <c r="I7" s="729"/>
      <c r="J7" s="256"/>
      <c r="K7" s="731"/>
      <c r="L7" s="36"/>
    </row>
    <row r="8" spans="1:669" ht="15" x14ac:dyDescent="0.25">
      <c r="A8" s="757" t="s">
        <v>663</v>
      </c>
      <c r="B8" s="751" t="s">
        <v>14</v>
      </c>
      <c r="C8" s="759" t="s">
        <v>664</v>
      </c>
      <c r="D8" s="4">
        <v>45017</v>
      </c>
      <c r="E8" s="615">
        <v>45366</v>
      </c>
      <c r="F8" s="610">
        <v>15310</v>
      </c>
      <c r="G8" s="591">
        <f>I8-H8</f>
        <v>0</v>
      </c>
      <c r="H8" s="257">
        <f>'December''23 AR Aging '!G6</f>
        <v>15310</v>
      </c>
      <c r="I8" s="591">
        <v>15310</v>
      </c>
      <c r="J8" s="257">
        <f>F8-I8</f>
        <v>0</v>
      </c>
      <c r="K8" s="781"/>
      <c r="L8" s="36"/>
    </row>
    <row r="9" spans="1:669" x14ac:dyDescent="0.2">
      <c r="A9" t="s">
        <v>615</v>
      </c>
      <c r="B9" s="500" t="s">
        <v>13</v>
      </c>
      <c r="C9" s="241" t="s">
        <v>340</v>
      </c>
      <c r="D9" s="4">
        <v>44927</v>
      </c>
      <c r="E9" s="240">
        <v>45291</v>
      </c>
      <c r="F9" s="765">
        <v>141001</v>
      </c>
      <c r="G9" s="243">
        <f>I9-H9</f>
        <v>99141.6</v>
      </c>
      <c r="H9" s="257">
        <f>'December''23 AR Aging '!G7</f>
        <v>41859.4</v>
      </c>
      <c r="I9" s="243">
        <v>141001</v>
      </c>
      <c r="J9" s="610">
        <f>F9-I9</f>
        <v>0</v>
      </c>
      <c r="K9" s="243"/>
      <c r="L9" s="205"/>
      <c r="M9" s="232"/>
    </row>
    <row r="10" spans="1:669" x14ac:dyDescent="0.2">
      <c r="A10" s="717" t="s">
        <v>662</v>
      </c>
      <c r="B10" s="723" t="s">
        <v>13</v>
      </c>
      <c r="C10" s="760" t="s">
        <v>340</v>
      </c>
      <c r="D10" s="623">
        <v>45292</v>
      </c>
      <c r="E10" s="460">
        <v>45657</v>
      </c>
      <c r="F10" s="766">
        <v>141001</v>
      </c>
      <c r="G10" s="255">
        <f>I10-H10</f>
        <v>0</v>
      </c>
      <c r="H10" s="612"/>
      <c r="I10" s="255">
        <v>0</v>
      </c>
      <c r="J10" s="769"/>
      <c r="K10" s="255"/>
      <c r="L10" s="625"/>
      <c r="M10" s="232"/>
    </row>
    <row r="11" spans="1:669" x14ac:dyDescent="0.2">
      <c r="A11" s="716" t="s">
        <v>535</v>
      </c>
      <c r="B11" s="500" t="s">
        <v>13</v>
      </c>
      <c r="C11" s="241" t="s">
        <v>339</v>
      </c>
      <c r="D11" s="4">
        <v>44743</v>
      </c>
      <c r="E11" s="240">
        <v>45107</v>
      </c>
      <c r="F11" s="767">
        <v>300000</v>
      </c>
      <c r="G11" s="243">
        <f>I11-H11</f>
        <v>272740.5</v>
      </c>
      <c r="H11" s="257">
        <f>'December''23 AR Aging '!G12</f>
        <v>8749</v>
      </c>
      <c r="I11" s="243">
        <v>281489.5</v>
      </c>
      <c r="J11" s="610">
        <f>F11-I11</f>
        <v>18510.5</v>
      </c>
      <c r="K11" s="251"/>
      <c r="L11" s="625"/>
      <c r="M11" s="232"/>
    </row>
    <row r="12" spans="1:669" x14ac:dyDescent="0.2">
      <c r="A12" s="717" t="s">
        <v>565</v>
      </c>
      <c r="B12" s="723" t="s">
        <v>13</v>
      </c>
      <c r="C12" s="760" t="s">
        <v>339</v>
      </c>
      <c r="D12" s="623">
        <v>45108</v>
      </c>
      <c r="E12" s="460">
        <v>45473</v>
      </c>
      <c r="F12" s="768">
        <v>300000</v>
      </c>
      <c r="G12" s="255">
        <f>I12-H12</f>
        <v>83467.47</v>
      </c>
      <c r="H12" s="612">
        <f>'December''23 AR Aging '!G13</f>
        <v>50815</v>
      </c>
      <c r="I12" s="255">
        <v>134282.47</v>
      </c>
      <c r="J12" s="769">
        <f>F12-I12</f>
        <v>165717.53</v>
      </c>
      <c r="K12" s="753"/>
      <c r="L12" s="625"/>
      <c r="M12" s="232"/>
    </row>
    <row r="13" spans="1:669" hidden="1" x14ac:dyDescent="0.2">
      <c r="A13" s="716" t="s">
        <v>341</v>
      </c>
      <c r="B13" s="500" t="s">
        <v>13</v>
      </c>
      <c r="C13" s="241" t="s">
        <v>154</v>
      </c>
      <c r="D13" s="4">
        <v>43374</v>
      </c>
      <c r="E13" s="240">
        <v>43585</v>
      </c>
      <c r="F13" s="610"/>
      <c r="G13" s="243"/>
      <c r="H13" s="257"/>
      <c r="I13" s="243"/>
      <c r="J13" s="610"/>
      <c r="K13" s="251"/>
      <c r="L13" s="625"/>
      <c r="M13" s="232"/>
    </row>
    <row r="14" spans="1:669" hidden="1" x14ac:dyDescent="0.2">
      <c r="A14" s="716" t="s">
        <v>591</v>
      </c>
      <c r="B14" s="500" t="s">
        <v>13</v>
      </c>
      <c r="C14" s="241" t="s">
        <v>362</v>
      </c>
      <c r="D14" s="4">
        <v>44774</v>
      </c>
      <c r="E14" s="240">
        <v>45138</v>
      </c>
      <c r="F14" s="610"/>
      <c r="G14" s="243"/>
      <c r="H14" s="257"/>
      <c r="I14" s="243"/>
      <c r="J14" s="610"/>
      <c r="K14" s="243"/>
      <c r="L14" s="625"/>
      <c r="M14" s="232"/>
    </row>
    <row r="15" spans="1:669" x14ac:dyDescent="0.2">
      <c r="A15" s="717" t="s">
        <v>590</v>
      </c>
      <c r="B15" s="723" t="s">
        <v>13</v>
      </c>
      <c r="C15" s="760" t="s">
        <v>362</v>
      </c>
      <c r="D15" s="623">
        <v>45139</v>
      </c>
      <c r="E15" s="460">
        <v>45503</v>
      </c>
      <c r="F15" s="769">
        <v>353541.54</v>
      </c>
      <c r="G15" s="255">
        <f>I15-H15</f>
        <v>55228.83</v>
      </c>
      <c r="H15" s="612">
        <f>'December''23 AR Aging '!G31</f>
        <v>52588.880000000005</v>
      </c>
      <c r="I15" s="255">
        <v>107817.71</v>
      </c>
      <c r="J15" s="769">
        <f>F15-I15</f>
        <v>245723.82999999996</v>
      </c>
      <c r="K15" s="255"/>
      <c r="L15" s="626"/>
      <c r="M15" s="232"/>
    </row>
    <row r="16" spans="1:669" s="2" customFormat="1" hidden="1" x14ac:dyDescent="0.2">
      <c r="A16" s="718" t="s">
        <v>396</v>
      </c>
      <c r="B16" s="724" t="s">
        <v>16</v>
      </c>
      <c r="C16" s="761" t="s">
        <v>5</v>
      </c>
      <c r="D16" s="624">
        <v>43831</v>
      </c>
      <c r="E16" s="582">
        <v>44196</v>
      </c>
      <c r="F16" s="770"/>
      <c r="G16" s="754"/>
      <c r="H16" s="257"/>
      <c r="I16" s="754"/>
      <c r="J16" s="770"/>
      <c r="K16" s="754"/>
      <c r="L16" s="625"/>
      <c r="M16" s="232"/>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716"/>
      <c r="B17" s="500"/>
      <c r="C17" s="241"/>
      <c r="D17" s="4"/>
      <c r="E17" s="240"/>
      <c r="F17" s="610"/>
      <c r="G17" s="243"/>
      <c r="H17" s="257"/>
      <c r="I17" s="780"/>
      <c r="J17" s="610"/>
      <c r="K17" s="243"/>
      <c r="L17" s="205"/>
      <c r="M17" s="232"/>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x14ac:dyDescent="0.2">
      <c r="A18" s="719" t="s">
        <v>666</v>
      </c>
      <c r="B18" s="500" t="s">
        <v>16</v>
      </c>
      <c r="C18" s="241" t="s">
        <v>21</v>
      </c>
      <c r="D18" s="4">
        <v>45383</v>
      </c>
      <c r="E18" s="240">
        <v>45534</v>
      </c>
      <c r="F18" s="610">
        <v>3052</v>
      </c>
      <c r="G18" s="243"/>
      <c r="H18" s="257"/>
      <c r="I18" s="243"/>
      <c r="J18" s="610"/>
      <c r="K18" s="243"/>
      <c r="L18" s="205"/>
      <c r="M18" s="232"/>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716"/>
      <c r="B19" s="500" t="s">
        <v>16</v>
      </c>
      <c r="C19" s="241" t="s">
        <v>21</v>
      </c>
      <c r="D19" s="4">
        <v>42644</v>
      </c>
      <c r="E19" s="240">
        <v>43008</v>
      </c>
      <c r="F19" s="610"/>
      <c r="G19" s="243"/>
      <c r="H19" s="610"/>
      <c r="I19" s="243"/>
      <c r="J19" s="610"/>
      <c r="K19" s="755"/>
      <c r="L19" s="205"/>
      <c r="M19" s="232"/>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716" t="s">
        <v>194</v>
      </c>
      <c r="B20" s="500" t="s">
        <v>16</v>
      </c>
      <c r="C20" s="241" t="s">
        <v>21</v>
      </c>
      <c r="D20" s="4">
        <v>43556</v>
      </c>
      <c r="E20" s="240">
        <v>43921</v>
      </c>
      <c r="F20" s="610"/>
      <c r="G20" s="243"/>
      <c r="H20" s="610"/>
      <c r="I20" s="243"/>
      <c r="J20" s="610"/>
      <c r="K20" s="755"/>
      <c r="L20" s="205"/>
      <c r="M20" s="232"/>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716" t="s">
        <v>194</v>
      </c>
      <c r="B21" s="500" t="s">
        <v>16</v>
      </c>
      <c r="C21" s="241" t="s">
        <v>21</v>
      </c>
      <c r="D21" s="4">
        <v>43922</v>
      </c>
      <c r="E21" s="240">
        <v>44286</v>
      </c>
      <c r="F21" s="771"/>
      <c r="G21" s="243"/>
      <c r="H21" s="610"/>
      <c r="I21" s="243"/>
      <c r="J21" s="610"/>
      <c r="K21" s="243"/>
      <c r="L21" s="205"/>
      <c r="M21" s="232"/>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716" t="s">
        <v>450</v>
      </c>
      <c r="B22" s="500" t="s">
        <v>16</v>
      </c>
      <c r="C22" s="241" t="s">
        <v>5</v>
      </c>
      <c r="D22" s="4">
        <v>44562</v>
      </c>
      <c r="E22" s="240">
        <v>44926</v>
      </c>
      <c r="F22" s="771"/>
      <c r="G22" s="243"/>
      <c r="H22" s="610"/>
      <c r="I22" s="243"/>
      <c r="J22" s="610"/>
      <c r="K22" s="243"/>
      <c r="L22" s="205"/>
      <c r="M22" s="232"/>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customHeight="1" x14ac:dyDescent="0.2">
      <c r="A23" s="716" t="s">
        <v>536</v>
      </c>
      <c r="B23" s="500" t="s">
        <v>16</v>
      </c>
      <c r="C23" s="241" t="s">
        <v>21</v>
      </c>
      <c r="D23" s="4">
        <v>44927</v>
      </c>
      <c r="E23" s="240">
        <v>45291</v>
      </c>
      <c r="F23" s="771">
        <v>47500</v>
      </c>
      <c r="G23" s="243">
        <f>I23-H23</f>
        <v>43541.81</v>
      </c>
      <c r="H23" s="610">
        <f>'December''23 AR Aging '!G39</f>
        <v>3958.19</v>
      </c>
      <c r="I23" s="243">
        <f>47500/12*12</f>
        <v>47500</v>
      </c>
      <c r="J23" s="610">
        <f>F23-I23</f>
        <v>0</v>
      </c>
      <c r="K23" s="243"/>
      <c r="L23" s="205"/>
      <c r="M23" s="232"/>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5">
      <c r="A24" s="716" t="s">
        <v>665</v>
      </c>
      <c r="B24" s="500" t="s">
        <v>16</v>
      </c>
      <c r="C24" s="241" t="s">
        <v>21</v>
      </c>
      <c r="D24" s="4">
        <v>45292</v>
      </c>
      <c r="E24" s="240">
        <v>45657</v>
      </c>
      <c r="F24" s="771">
        <v>50000</v>
      </c>
      <c r="G24" s="243"/>
      <c r="H24" s="610"/>
      <c r="I24" s="243"/>
      <c r="J24" s="610"/>
      <c r="K24" s="243"/>
      <c r="L24" s="205"/>
      <c r="M24" s="232"/>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hidden="1" customHeight="1" x14ac:dyDescent="0.2">
      <c r="A25" s="716" t="s">
        <v>194</v>
      </c>
      <c r="B25" s="500" t="s">
        <v>16</v>
      </c>
      <c r="C25" s="241" t="s">
        <v>21</v>
      </c>
      <c r="D25" s="4">
        <v>44652</v>
      </c>
      <c r="E25" s="240">
        <v>45016</v>
      </c>
      <c r="F25" s="771"/>
      <c r="G25" s="243"/>
      <c r="H25" s="610"/>
      <c r="I25" s="243"/>
      <c r="J25" s="610"/>
      <c r="K25" s="243"/>
      <c r="L25" s="205"/>
      <c r="M25" s="232"/>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717" t="s">
        <v>194</v>
      </c>
      <c r="B26" s="723" t="s">
        <v>16</v>
      </c>
      <c r="C26" s="760" t="s">
        <v>21</v>
      </c>
      <c r="D26" s="623">
        <v>45017</v>
      </c>
      <c r="E26" s="460">
        <v>45382</v>
      </c>
      <c r="F26" s="772">
        <v>163196</v>
      </c>
      <c r="G26" s="255">
        <f>I26-H26</f>
        <v>82990.38</v>
      </c>
      <c r="H26" s="769">
        <f>'December''23 AR Aging '!G50</f>
        <v>31233.93</v>
      </c>
      <c r="I26" s="255">
        <v>114224.31</v>
      </c>
      <c r="J26" s="769">
        <f>F26-I26</f>
        <v>48971.69</v>
      </c>
      <c r="K26" s="255"/>
      <c r="L26" s="205"/>
      <c r="M26" s="232"/>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720" t="s">
        <v>430</v>
      </c>
      <c r="B27" s="725" t="s">
        <v>387</v>
      </c>
      <c r="C27" s="762" t="s">
        <v>21</v>
      </c>
      <c r="D27" s="629">
        <v>44256</v>
      </c>
      <c r="E27" s="630">
        <v>44621</v>
      </c>
      <c r="F27" s="771"/>
      <c r="G27" s="243"/>
      <c r="H27" s="610"/>
      <c r="I27" s="243"/>
      <c r="J27" s="610"/>
      <c r="K27" s="243"/>
      <c r="L27" s="205"/>
      <c r="M27" s="232"/>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720"/>
      <c r="B28" s="725"/>
      <c r="C28" s="762"/>
      <c r="D28" s="629"/>
      <c r="E28" s="630"/>
      <c r="F28" s="771"/>
      <c r="G28" s="243"/>
      <c r="H28" s="610"/>
      <c r="I28" s="243"/>
      <c r="J28" s="610"/>
      <c r="K28" s="243"/>
      <c r="L28" s="205"/>
      <c r="M28" s="232"/>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81" customFormat="1" ht="15.75" hidden="1" customHeight="1" x14ac:dyDescent="0.2">
      <c r="A29" s="720" t="s">
        <v>451</v>
      </c>
      <c r="B29" s="725" t="s">
        <v>387</v>
      </c>
      <c r="C29" s="762" t="s">
        <v>21</v>
      </c>
      <c r="D29" s="629">
        <v>44562</v>
      </c>
      <c r="E29" s="630">
        <v>44926</v>
      </c>
      <c r="F29" s="773"/>
      <c r="G29" s="756"/>
      <c r="H29" s="777"/>
      <c r="I29" s="756"/>
      <c r="J29" s="777"/>
      <c r="K29" s="756"/>
      <c r="L29" s="577"/>
      <c r="M29" s="578"/>
      <c r="N29" s="579"/>
      <c r="O29" s="579"/>
      <c r="P29" s="579"/>
      <c r="Q29" s="579"/>
      <c r="R29" s="579"/>
      <c r="S29" s="579"/>
      <c r="T29" s="579"/>
      <c r="U29" s="579"/>
      <c r="V29" s="579"/>
      <c r="W29" s="579"/>
      <c r="X29" s="579"/>
      <c r="Y29" s="579"/>
      <c r="Z29" s="579"/>
      <c r="AA29" s="579"/>
      <c r="AB29" s="580"/>
      <c r="AC29" s="580"/>
      <c r="AD29" s="580"/>
      <c r="AE29" s="580"/>
      <c r="AF29" s="580"/>
      <c r="AG29" s="580"/>
      <c r="AH29" s="580"/>
      <c r="AI29" s="580"/>
      <c r="AJ29" s="580"/>
      <c r="AK29" s="580"/>
      <c r="AL29" s="580"/>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721" t="s">
        <v>537</v>
      </c>
      <c r="B30" s="726" t="s">
        <v>387</v>
      </c>
      <c r="C30" s="763" t="s">
        <v>21</v>
      </c>
      <c r="D30" s="627">
        <v>44927</v>
      </c>
      <c r="E30" s="628">
        <v>45016</v>
      </c>
      <c r="F30" s="774"/>
      <c r="G30" s="776"/>
      <c r="H30" s="778"/>
      <c r="I30" s="776"/>
      <c r="J30" s="778"/>
      <c r="K30" s="255"/>
      <c r="L30" s="205"/>
      <c r="M30" s="232"/>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x14ac:dyDescent="0.25">
      <c r="A31" s="716" t="s">
        <v>452</v>
      </c>
      <c r="B31" s="500" t="s">
        <v>304</v>
      </c>
      <c r="C31" s="241" t="s">
        <v>21</v>
      </c>
      <c r="D31" s="4">
        <v>44927</v>
      </c>
      <c r="E31" s="240">
        <v>45291</v>
      </c>
      <c r="F31" s="610">
        <v>18000</v>
      </c>
      <c r="G31" s="243">
        <f>I31-H31</f>
        <v>13500</v>
      </c>
      <c r="H31" s="610">
        <f>'December''23 AR Aging '!G40</f>
        <v>4500</v>
      </c>
      <c r="I31" s="243">
        <v>18000</v>
      </c>
      <c r="J31" s="610">
        <f>F31-I31</f>
        <v>0</v>
      </c>
      <c r="K31" s="243"/>
      <c r="L31" s="569"/>
      <c r="M31" s="232"/>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717" t="s">
        <v>667</v>
      </c>
      <c r="B32" s="723" t="s">
        <v>304</v>
      </c>
      <c r="C32" s="760" t="s">
        <v>21</v>
      </c>
      <c r="D32" s="623">
        <v>45292</v>
      </c>
      <c r="E32" s="460">
        <v>45657</v>
      </c>
      <c r="F32" s="769">
        <v>18000</v>
      </c>
      <c r="G32" s="255"/>
      <c r="H32" s="769"/>
      <c r="I32" s="255"/>
      <c r="J32" s="769"/>
      <c r="K32" s="255"/>
      <c r="L32" s="205"/>
      <c r="M32" s="232"/>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hidden="1" x14ac:dyDescent="0.2">
      <c r="A33" s="717"/>
      <c r="B33" s="723"/>
      <c r="C33" s="760"/>
      <c r="D33" s="623"/>
      <c r="E33" s="460"/>
      <c r="F33" s="769"/>
      <c r="G33" s="255"/>
      <c r="H33" s="769"/>
      <c r="I33" s="255"/>
      <c r="J33" s="769"/>
      <c r="K33" s="255"/>
      <c r="L33" s="205"/>
      <c r="M33" s="232"/>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hidden="1" x14ac:dyDescent="0.2">
      <c r="A34" s="716" t="s">
        <v>425</v>
      </c>
      <c r="B34" s="236" t="s">
        <v>178</v>
      </c>
      <c r="C34" s="241" t="s">
        <v>443</v>
      </c>
      <c r="D34" s="4">
        <v>44083</v>
      </c>
      <c r="E34" s="240">
        <v>44435</v>
      </c>
      <c r="F34" s="758"/>
      <c r="G34" s="243"/>
      <c r="H34" s="610"/>
      <c r="I34" s="243"/>
      <c r="J34" s="610"/>
      <c r="K34" s="243"/>
      <c r="L34" s="205"/>
      <c r="M34" s="232"/>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722" t="s">
        <v>471</v>
      </c>
      <c r="B35" s="237" t="s">
        <v>178</v>
      </c>
      <c r="C35" s="764" t="s">
        <v>443</v>
      </c>
      <c r="D35" s="616">
        <v>45145</v>
      </c>
      <c r="E35" s="320">
        <v>45513</v>
      </c>
      <c r="F35" s="775">
        <v>71511</v>
      </c>
      <c r="G35" s="244">
        <f>I35-H35</f>
        <v>12594.24</v>
      </c>
      <c r="H35" s="779">
        <f>'December''23 AR Aging '!G60</f>
        <v>3350.76</v>
      </c>
      <c r="I35" s="244">
        <v>15945</v>
      </c>
      <c r="J35" s="779">
        <f>F35-I35</f>
        <v>55566</v>
      </c>
      <c r="K35" s="244"/>
      <c r="L35" s="205"/>
      <c r="M35" s="232"/>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13" t="s">
        <v>33</v>
      </c>
      <c r="B36" s="214"/>
      <c r="C36" s="215"/>
      <c r="D36" s="216"/>
      <c r="E36" s="216"/>
      <c r="F36" s="234"/>
      <c r="G36" s="752">
        <f>SUM(G9:G35)</f>
        <v>663204.82999999996</v>
      </c>
      <c r="H36" s="234">
        <f>SUM(H7:H35)</f>
        <v>212365.16</v>
      </c>
      <c r="I36" s="234">
        <f>SUM(I9:I35)</f>
        <v>860259.99</v>
      </c>
      <c r="J36" s="234">
        <f>SUM(J9:J35)</f>
        <v>534489.55000000005</v>
      </c>
      <c r="K36" s="234">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621"/>
      <c r="B37" s="621"/>
      <c r="C37" s="13"/>
      <c r="D37" s="621"/>
      <c r="E37" s="233"/>
      <c r="H37"/>
    </row>
    <row r="38" spans="1:669" ht="10.5" customHeight="1" thickBot="1" x14ac:dyDescent="0.25">
      <c r="B38" s="34"/>
    </row>
    <row r="39" spans="1:669" s="16" customFormat="1" ht="16.5" thickBot="1" x14ac:dyDescent="0.3">
      <c r="A39" s="247" t="s">
        <v>35</v>
      </c>
      <c r="B39" s="123"/>
      <c r="C39" s="124"/>
      <c r="D39" s="124"/>
      <c r="E39" s="124"/>
      <c r="F39" s="125"/>
      <c r="G39" s="125"/>
      <c r="H39" s="125"/>
      <c r="I39" s="125"/>
      <c r="J39" s="125"/>
      <c r="K39" s="126"/>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63" t="s">
        <v>22</v>
      </c>
      <c r="B40" s="822" t="s">
        <v>12</v>
      </c>
      <c r="C40" s="823"/>
      <c r="D40" s="263" t="s">
        <v>2</v>
      </c>
      <c r="E40" s="711" t="s">
        <v>3</v>
      </c>
      <c r="F40" s="268" t="s">
        <v>23</v>
      </c>
      <c r="G40" s="268" t="s">
        <v>566</v>
      </c>
      <c r="H40" s="268" t="s">
        <v>162</v>
      </c>
      <c r="I40" s="268" t="s">
        <v>19</v>
      </c>
      <c r="J40" s="268" t="s">
        <v>330</v>
      </c>
      <c r="K40" s="268"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36" t="s">
        <v>15</v>
      </c>
      <c r="B41" s="828" t="s">
        <v>11</v>
      </c>
      <c r="C41" s="829"/>
      <c r="D41" s="240">
        <v>41275</v>
      </c>
      <c r="E41" s="727">
        <v>41639</v>
      </c>
      <c r="F41" s="243"/>
      <c r="G41" s="243">
        <v>0</v>
      </c>
      <c r="H41" s="243"/>
      <c r="I41" s="243">
        <f>F41-H41</f>
        <v>0</v>
      </c>
      <c r="J41" s="243">
        <v>0</v>
      </c>
      <c r="K41" s="243">
        <f t="shared" ref="K41:K42" si="0">I41</f>
        <v>0</v>
      </c>
    </row>
    <row r="42" spans="1:669" hidden="1" x14ac:dyDescent="0.2">
      <c r="A42" s="236" t="s">
        <v>261</v>
      </c>
      <c r="B42" s="828" t="s">
        <v>11</v>
      </c>
      <c r="C42" s="829"/>
      <c r="D42" s="240">
        <v>42736</v>
      </c>
      <c r="E42" s="727">
        <v>43100</v>
      </c>
      <c r="F42" s="243"/>
      <c r="G42" s="243">
        <v>0</v>
      </c>
      <c r="H42" s="243">
        <v>25000</v>
      </c>
      <c r="I42" s="243">
        <f>25000-H42</f>
        <v>0</v>
      </c>
      <c r="J42" s="243"/>
      <c r="K42" s="319">
        <f t="shared" si="0"/>
        <v>0</v>
      </c>
    </row>
    <row r="43" spans="1:669" hidden="1" x14ac:dyDescent="0.2">
      <c r="A43" s="236" t="s">
        <v>315</v>
      </c>
      <c r="B43" s="828" t="s">
        <v>11</v>
      </c>
      <c r="C43" s="829"/>
      <c r="D43" s="240">
        <v>43466</v>
      </c>
      <c r="E43" s="727">
        <v>43830</v>
      </c>
      <c r="F43" s="243"/>
      <c r="G43" s="243"/>
      <c r="H43" s="243"/>
      <c r="I43" s="243"/>
      <c r="J43" s="243"/>
      <c r="K43" s="575"/>
    </row>
    <row r="44" spans="1:669" ht="15" hidden="1" x14ac:dyDescent="0.25">
      <c r="A44" s="614" t="s">
        <v>397</v>
      </c>
      <c r="B44" s="832" t="s">
        <v>11</v>
      </c>
      <c r="C44" s="829"/>
      <c r="D44" s="615">
        <v>43831</v>
      </c>
      <c r="E44" s="4">
        <v>44196</v>
      </c>
      <c r="F44" s="591"/>
      <c r="G44" s="257"/>
      <c r="H44" s="591"/>
      <c r="I44" s="257">
        <f>F44-H44</f>
        <v>0</v>
      </c>
      <c r="J44" s="591"/>
      <c r="K44" s="619">
        <f>I44</f>
        <v>0</v>
      </c>
    </row>
    <row r="45" spans="1:669" hidden="1" x14ac:dyDescent="0.2">
      <c r="A45" s="236"/>
      <c r="B45" s="832"/>
      <c r="C45" s="829"/>
      <c r="D45" s="240"/>
      <c r="E45" s="4"/>
      <c r="F45" s="243"/>
      <c r="G45" s="257"/>
      <c r="H45" s="243"/>
      <c r="I45" s="257"/>
      <c r="J45" s="243"/>
      <c r="K45" s="256"/>
    </row>
    <row r="46" spans="1:669" hidden="1" x14ac:dyDescent="0.2">
      <c r="A46" s="236" t="s">
        <v>427</v>
      </c>
      <c r="B46" s="832" t="s">
        <v>11</v>
      </c>
      <c r="C46" s="829"/>
      <c r="D46" s="240">
        <v>44105</v>
      </c>
      <c r="E46" s="4" t="s">
        <v>399</v>
      </c>
      <c r="F46" s="243"/>
      <c r="G46" s="257"/>
      <c r="H46" s="243"/>
      <c r="I46" s="257"/>
      <c r="J46" s="243"/>
      <c r="K46" s="256"/>
    </row>
    <row r="47" spans="1:669" ht="15" hidden="1" x14ac:dyDescent="0.25">
      <c r="A47" s="236" t="s">
        <v>453</v>
      </c>
      <c r="B47" s="832" t="s">
        <v>11</v>
      </c>
      <c r="C47" s="829"/>
      <c r="D47" s="240">
        <v>44562</v>
      </c>
      <c r="E47" s="4">
        <v>44926</v>
      </c>
      <c r="F47" s="243"/>
      <c r="G47" s="257"/>
      <c r="H47" s="243"/>
      <c r="I47" s="257"/>
      <c r="J47" s="243"/>
      <c r="K47" s="256"/>
    </row>
    <row r="48" spans="1:669" ht="15" x14ac:dyDescent="0.25">
      <c r="A48" s="236" t="s">
        <v>538</v>
      </c>
      <c r="B48" s="832" t="s">
        <v>11</v>
      </c>
      <c r="C48" s="829"/>
      <c r="D48" s="240">
        <v>44927</v>
      </c>
      <c r="E48" s="4">
        <v>45291</v>
      </c>
      <c r="F48" s="243">
        <v>27500</v>
      </c>
      <c r="G48" s="257">
        <v>27500</v>
      </c>
      <c r="H48" s="243">
        <v>27500</v>
      </c>
      <c r="I48" s="257">
        <f>F48-H48</f>
        <v>0</v>
      </c>
      <c r="J48" s="243"/>
      <c r="K48" s="256">
        <f t="shared" ref="K48" si="1">I48</f>
        <v>0</v>
      </c>
    </row>
    <row r="49" spans="1:669" ht="15" x14ac:dyDescent="0.25">
      <c r="A49" s="236" t="s">
        <v>613</v>
      </c>
      <c r="B49" s="832" t="s">
        <v>11</v>
      </c>
      <c r="C49" s="829"/>
      <c r="D49" s="240">
        <v>45292</v>
      </c>
      <c r="E49" s="4">
        <v>45657</v>
      </c>
      <c r="F49" s="243">
        <v>25000</v>
      </c>
      <c r="G49" s="257"/>
      <c r="H49" s="243"/>
      <c r="I49" s="257">
        <v>25000</v>
      </c>
      <c r="J49" s="243"/>
      <c r="K49" s="256">
        <f>F49</f>
        <v>25000</v>
      </c>
    </row>
    <row r="50" spans="1:669" hidden="1" x14ac:dyDescent="0.2">
      <c r="A50" s="236"/>
      <c r="B50" s="832"/>
      <c r="C50" s="829"/>
      <c r="D50" s="240"/>
      <c r="E50" s="4"/>
      <c r="F50" s="243"/>
      <c r="G50" s="257"/>
      <c r="H50" s="243"/>
      <c r="I50" s="257"/>
      <c r="J50" s="243"/>
      <c r="K50" s="256"/>
    </row>
    <row r="51" spans="1:669" x14ac:dyDescent="0.2">
      <c r="A51" s="236" t="s">
        <v>546</v>
      </c>
      <c r="B51" s="832" t="s">
        <v>11</v>
      </c>
      <c r="C51" s="829"/>
      <c r="D51" s="240">
        <v>44896</v>
      </c>
      <c r="E51" s="4">
        <v>45322</v>
      </c>
      <c r="F51" s="243">
        <v>4000</v>
      </c>
      <c r="G51" s="257">
        <v>0</v>
      </c>
      <c r="H51" s="243">
        <v>4000</v>
      </c>
      <c r="I51" s="257">
        <f>F51-H51</f>
        <v>0</v>
      </c>
      <c r="J51" s="243"/>
      <c r="K51" s="256">
        <f t="shared" ref="K51:K56" si="2">I51</f>
        <v>0</v>
      </c>
    </row>
    <row r="52" spans="1:669" ht="15" x14ac:dyDescent="0.25">
      <c r="A52" s="236" t="s">
        <v>668</v>
      </c>
      <c r="B52" s="832" t="s">
        <v>11</v>
      </c>
      <c r="C52" s="829"/>
      <c r="D52" s="240">
        <v>45292</v>
      </c>
      <c r="E52" s="4">
        <v>45657</v>
      </c>
      <c r="F52" s="243">
        <v>7500</v>
      </c>
      <c r="G52" s="257">
        <v>0</v>
      </c>
      <c r="H52" s="243">
        <v>282.04000000000002</v>
      </c>
      <c r="I52" s="257">
        <f>F52-H52</f>
        <v>7217.96</v>
      </c>
      <c r="J52" s="243"/>
      <c r="K52" s="256">
        <f t="shared" si="2"/>
        <v>7217.96</v>
      </c>
    </row>
    <row r="53" spans="1:669" x14ac:dyDescent="0.2">
      <c r="A53" s="236" t="s">
        <v>472</v>
      </c>
      <c r="B53" s="832" t="s">
        <v>11</v>
      </c>
      <c r="C53" s="829"/>
      <c r="D53" s="240">
        <v>44743</v>
      </c>
      <c r="E53" s="4">
        <v>45107</v>
      </c>
      <c r="F53" s="243">
        <v>100000</v>
      </c>
      <c r="G53" s="257">
        <v>100000</v>
      </c>
      <c r="H53" s="243">
        <v>100000</v>
      </c>
      <c r="I53" s="257">
        <f>G53-H53</f>
        <v>0</v>
      </c>
      <c r="J53" s="243"/>
      <c r="K53" s="256">
        <f t="shared" si="2"/>
        <v>0</v>
      </c>
    </row>
    <row r="54" spans="1:669" x14ac:dyDescent="0.2">
      <c r="A54" s="236" t="s">
        <v>472</v>
      </c>
      <c r="B54" s="832" t="s">
        <v>11</v>
      </c>
      <c r="C54" s="829"/>
      <c r="D54" s="240">
        <v>45108</v>
      </c>
      <c r="E54" s="4">
        <v>45473</v>
      </c>
      <c r="F54" s="243">
        <v>100000</v>
      </c>
      <c r="G54" s="257">
        <v>0</v>
      </c>
      <c r="H54" s="243"/>
      <c r="I54" s="257">
        <v>100000</v>
      </c>
      <c r="J54" s="243"/>
      <c r="K54" s="256">
        <f t="shared" si="2"/>
        <v>100000</v>
      </c>
    </row>
    <row r="55" spans="1:669" x14ac:dyDescent="0.2">
      <c r="A55" s="236" t="s">
        <v>382</v>
      </c>
      <c r="B55" s="832" t="s">
        <v>17</v>
      </c>
      <c r="C55" s="829"/>
      <c r="D55" s="240">
        <v>44562</v>
      </c>
      <c r="E55" s="4">
        <v>45291</v>
      </c>
      <c r="F55" s="243">
        <v>100000</v>
      </c>
      <c r="G55" s="257">
        <v>50000</v>
      </c>
      <c r="H55" s="243">
        <v>50000</v>
      </c>
      <c r="I55" s="257">
        <f>G55-H55</f>
        <v>0</v>
      </c>
      <c r="J55" s="243"/>
      <c r="K55" s="256">
        <f t="shared" si="2"/>
        <v>0</v>
      </c>
      <c r="U55"/>
    </row>
    <row r="56" spans="1:669" x14ac:dyDescent="0.2">
      <c r="A56" s="236" t="s">
        <v>616</v>
      </c>
      <c r="B56" s="832" t="s">
        <v>17</v>
      </c>
      <c r="C56" s="829"/>
      <c r="D56" s="240">
        <v>45292</v>
      </c>
      <c r="E56" s="4">
        <v>46387</v>
      </c>
      <c r="F56" s="243">
        <v>175000</v>
      </c>
      <c r="G56" s="257"/>
      <c r="H56" s="243"/>
      <c r="I56" s="257">
        <v>65000</v>
      </c>
      <c r="J56" s="256"/>
      <c r="K56" s="319">
        <f t="shared" si="2"/>
        <v>65000</v>
      </c>
      <c r="U56"/>
    </row>
    <row r="57" spans="1:669" ht="15" x14ac:dyDescent="0.25">
      <c r="A57" s="236" t="s">
        <v>538</v>
      </c>
      <c r="B57" s="716" t="s">
        <v>398</v>
      </c>
      <c r="C57" s="621"/>
      <c r="D57" s="240">
        <v>44927</v>
      </c>
      <c r="E57" s="4">
        <v>45291</v>
      </c>
      <c r="F57" s="243">
        <v>50000</v>
      </c>
      <c r="G57" s="243">
        <v>50000</v>
      </c>
      <c r="H57" s="243">
        <v>50000</v>
      </c>
      <c r="I57" s="243">
        <f>G57-H57</f>
        <v>0</v>
      </c>
      <c r="J57" s="256">
        <f>I57</f>
        <v>0</v>
      </c>
      <c r="K57" s="319"/>
      <c r="L57" s="729"/>
      <c r="M57" s="257"/>
      <c r="U57"/>
    </row>
    <row r="58" spans="1:669" s="1" customFormat="1" ht="15" thickBot="1" x14ac:dyDescent="0.25">
      <c r="A58" s="236" t="s">
        <v>18</v>
      </c>
      <c r="B58" s="825" t="s">
        <v>39</v>
      </c>
      <c r="C58" s="825"/>
      <c r="D58" s="240">
        <v>40226</v>
      </c>
      <c r="E58" s="3" t="s">
        <v>25</v>
      </c>
      <c r="F58" s="243">
        <f>8007.78+5000+50</f>
        <v>13057.779999999999</v>
      </c>
      <c r="G58" s="257">
        <v>898.7</v>
      </c>
      <c r="H58" s="243"/>
      <c r="I58" s="257">
        <f>+G58-H58</f>
        <v>898.7</v>
      </c>
      <c r="J58" s="243">
        <f>I58</f>
        <v>898.7</v>
      </c>
      <c r="K58" s="256"/>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 hidden="1" thickBot="1" x14ac:dyDescent="0.25">
      <c r="A59" s="236" t="s">
        <v>383</v>
      </c>
      <c r="B59" s="825" t="s">
        <v>398</v>
      </c>
      <c r="C59" s="825"/>
      <c r="D59" s="240">
        <v>43770</v>
      </c>
      <c r="E59" s="4">
        <v>44196</v>
      </c>
      <c r="F59" s="243"/>
      <c r="G59" s="257"/>
      <c r="H59" s="243"/>
      <c r="I59" s="257"/>
      <c r="J59" s="243"/>
      <c r="K59" s="256"/>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37" t="s">
        <v>670</v>
      </c>
      <c r="B60" s="830" t="s">
        <v>669</v>
      </c>
      <c r="C60" s="831"/>
      <c r="D60" s="320">
        <v>45292</v>
      </c>
      <c r="E60" s="616">
        <v>45657</v>
      </c>
      <c r="F60" s="590"/>
      <c r="G60" s="617"/>
      <c r="H60" s="244"/>
      <c r="I60" s="257">
        <v>125000</v>
      </c>
      <c r="J60" s="244"/>
      <c r="K60" s="252">
        <v>125000</v>
      </c>
      <c r="L60" s="618" t="s">
        <v>97</v>
      </c>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208" customFormat="1" ht="15.75" thickBot="1" x14ac:dyDescent="0.3">
      <c r="A61" s="235" t="s">
        <v>28</v>
      </c>
      <c r="B61" s="238"/>
      <c r="C61" s="238"/>
      <c r="D61" s="239"/>
      <c r="E61" s="239"/>
      <c r="F61" s="242">
        <f t="shared" ref="F61:K61" si="3">SUM(F41:F60)</f>
        <v>602057.78</v>
      </c>
      <c r="G61" s="238">
        <f t="shared" si="3"/>
        <v>228398.7</v>
      </c>
      <c r="H61" s="631">
        <f t="shared" si="3"/>
        <v>256782.04</v>
      </c>
      <c r="I61" s="632">
        <f t="shared" si="3"/>
        <v>323116.66000000003</v>
      </c>
      <c r="J61" s="245">
        <f t="shared" si="3"/>
        <v>898.7</v>
      </c>
      <c r="K61" s="246">
        <f t="shared" si="3"/>
        <v>322217.95999999996</v>
      </c>
      <c r="L61" s="352">
        <f>K36+K61</f>
        <v>322217.95999999996</v>
      </c>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c r="MS61" s="207"/>
      <c r="MT61" s="207"/>
      <c r="MU61" s="207"/>
      <c r="MV61" s="207"/>
      <c r="MW61" s="207"/>
      <c r="MX61" s="207"/>
      <c r="MY61" s="207"/>
      <c r="MZ61" s="207"/>
      <c r="NA61" s="207"/>
      <c r="NB61" s="207"/>
      <c r="NC61" s="207"/>
      <c r="ND61" s="207"/>
      <c r="NE61" s="207"/>
      <c r="NF61" s="207"/>
      <c r="NG61" s="207"/>
      <c r="NH61" s="207"/>
      <c r="NI61" s="207"/>
      <c r="NJ61" s="207"/>
      <c r="NK61" s="207"/>
      <c r="NL61" s="207"/>
      <c r="NM61" s="207"/>
      <c r="NN61" s="207"/>
      <c r="NO61" s="207"/>
      <c r="NP61" s="207"/>
      <c r="NQ61" s="207"/>
      <c r="NR61" s="207"/>
      <c r="NS61" s="207"/>
      <c r="NT61" s="207"/>
      <c r="NU61" s="207"/>
      <c r="NV61" s="207"/>
      <c r="NW61" s="207"/>
      <c r="NX61" s="207"/>
      <c r="NY61" s="207"/>
      <c r="NZ61" s="207"/>
      <c r="OA61" s="207"/>
      <c r="OB61" s="207"/>
      <c r="OC61" s="207"/>
      <c r="OD61" s="207"/>
      <c r="OE61" s="207"/>
      <c r="OF61" s="207"/>
      <c r="OG61" s="207"/>
      <c r="OH61" s="207"/>
      <c r="OI61" s="207"/>
      <c r="OJ61" s="207"/>
      <c r="OK61" s="207"/>
      <c r="OL61" s="207"/>
      <c r="OM61" s="207"/>
      <c r="ON61" s="207"/>
      <c r="OO61" s="207"/>
      <c r="OP61" s="207"/>
      <c r="OQ61" s="207"/>
      <c r="OR61" s="207"/>
      <c r="OS61" s="207"/>
      <c r="OT61" s="207"/>
      <c r="OU61" s="207"/>
      <c r="OV61" s="207"/>
      <c r="OW61" s="207"/>
      <c r="OX61" s="207"/>
      <c r="OY61" s="207"/>
      <c r="OZ61" s="207"/>
      <c r="PA61" s="207"/>
      <c r="PB61" s="207"/>
      <c r="PC61" s="207"/>
      <c r="PD61" s="207"/>
      <c r="PE61" s="207"/>
      <c r="PF61" s="207"/>
      <c r="PG61" s="207"/>
      <c r="PH61" s="207"/>
      <c r="PI61" s="207"/>
      <c r="PJ61" s="207"/>
      <c r="PK61" s="207"/>
      <c r="PL61" s="207"/>
      <c r="PM61" s="207"/>
      <c r="PN61" s="207"/>
      <c r="PO61" s="207"/>
      <c r="PP61" s="207"/>
      <c r="PQ61" s="207"/>
      <c r="PR61" s="207"/>
      <c r="PS61" s="207"/>
      <c r="PT61" s="207"/>
      <c r="PU61" s="207"/>
      <c r="PV61" s="207"/>
      <c r="PW61" s="207"/>
      <c r="PX61" s="207"/>
      <c r="PY61" s="207"/>
      <c r="PZ61" s="207"/>
      <c r="QA61" s="207"/>
      <c r="QB61" s="207"/>
      <c r="QC61" s="207"/>
      <c r="QD61" s="207"/>
      <c r="QE61" s="207"/>
      <c r="QF61" s="207"/>
      <c r="QG61" s="207"/>
      <c r="QH61" s="207"/>
      <c r="QI61" s="207"/>
      <c r="QJ61" s="207"/>
      <c r="QK61" s="207"/>
      <c r="QL61" s="207"/>
      <c r="QM61" s="207"/>
      <c r="QN61" s="207"/>
      <c r="QO61" s="207"/>
      <c r="QP61" s="207"/>
      <c r="QQ61" s="207"/>
      <c r="QR61" s="207"/>
      <c r="QS61" s="207"/>
      <c r="QT61" s="207"/>
      <c r="QU61" s="207"/>
      <c r="QV61" s="207"/>
      <c r="QW61" s="207"/>
      <c r="QX61" s="207"/>
      <c r="QY61" s="207"/>
      <c r="QZ61" s="207"/>
      <c r="RA61" s="207"/>
      <c r="RB61" s="207"/>
      <c r="RC61" s="207"/>
      <c r="RD61" s="207"/>
      <c r="RE61" s="207"/>
      <c r="RF61" s="207"/>
      <c r="RG61" s="207"/>
      <c r="RH61" s="207"/>
      <c r="RI61" s="207"/>
      <c r="RJ61" s="207"/>
      <c r="RK61" s="207"/>
      <c r="RL61" s="207"/>
      <c r="RM61" s="207"/>
      <c r="RN61" s="207"/>
      <c r="RO61" s="207"/>
      <c r="RP61" s="207"/>
      <c r="RQ61" s="207"/>
      <c r="RR61" s="207"/>
      <c r="RS61" s="207"/>
      <c r="RT61" s="207"/>
      <c r="RU61" s="207"/>
      <c r="RV61" s="207"/>
      <c r="RW61" s="207"/>
      <c r="RX61" s="207"/>
      <c r="RY61" s="207"/>
      <c r="RZ61" s="207"/>
      <c r="SA61" s="207"/>
      <c r="SB61" s="207"/>
      <c r="SC61" s="207"/>
      <c r="SD61" s="207"/>
      <c r="SE61" s="207"/>
      <c r="SF61" s="207"/>
      <c r="SG61" s="207"/>
      <c r="SH61" s="207"/>
      <c r="SI61" s="207"/>
      <c r="SJ61" s="207"/>
      <c r="SK61" s="207"/>
      <c r="SL61" s="207"/>
      <c r="SM61" s="207"/>
      <c r="SN61" s="207"/>
      <c r="SO61" s="207"/>
      <c r="SP61" s="207"/>
      <c r="SQ61" s="207"/>
      <c r="SR61" s="207"/>
      <c r="SS61" s="207"/>
      <c r="ST61" s="207"/>
      <c r="SU61" s="207"/>
      <c r="SV61" s="207"/>
      <c r="SW61" s="207"/>
      <c r="SX61" s="207"/>
      <c r="SY61" s="207"/>
      <c r="SZ61" s="207"/>
      <c r="TA61" s="207"/>
      <c r="TB61" s="207"/>
      <c r="TC61" s="207"/>
      <c r="TD61" s="207"/>
      <c r="TE61" s="207"/>
      <c r="TF61" s="207"/>
      <c r="TG61" s="207"/>
      <c r="TH61" s="207"/>
      <c r="TI61" s="207"/>
      <c r="TJ61" s="207"/>
      <c r="TK61" s="207"/>
      <c r="TL61" s="207"/>
      <c r="TM61" s="207"/>
      <c r="TN61" s="207"/>
      <c r="TO61" s="207"/>
      <c r="TP61" s="207"/>
      <c r="TQ61" s="207"/>
      <c r="TR61" s="207"/>
      <c r="TS61" s="207"/>
      <c r="TT61" s="207"/>
      <c r="TU61" s="207"/>
      <c r="TV61" s="207"/>
      <c r="TW61" s="207"/>
      <c r="TX61" s="207"/>
      <c r="TY61" s="207"/>
      <c r="TZ61" s="207"/>
      <c r="UA61" s="207"/>
      <c r="UB61" s="207"/>
      <c r="UC61" s="207"/>
      <c r="UD61" s="207"/>
      <c r="UE61" s="207"/>
      <c r="UF61" s="207"/>
      <c r="UG61" s="207"/>
      <c r="UH61" s="207"/>
      <c r="UI61" s="207"/>
      <c r="UJ61" s="207"/>
      <c r="UK61" s="207"/>
      <c r="UL61" s="207"/>
      <c r="UM61" s="207"/>
      <c r="UN61" s="207"/>
      <c r="UO61" s="207"/>
      <c r="UP61" s="207"/>
      <c r="UQ61" s="207"/>
      <c r="UR61" s="207"/>
      <c r="US61" s="207"/>
      <c r="UT61" s="207"/>
      <c r="UU61" s="207"/>
      <c r="UV61" s="207"/>
      <c r="UW61" s="207"/>
      <c r="UX61" s="207"/>
      <c r="UY61" s="207"/>
      <c r="UZ61" s="207"/>
      <c r="VA61" s="207"/>
      <c r="VB61" s="207"/>
      <c r="VC61" s="207"/>
      <c r="VD61" s="207"/>
      <c r="VE61" s="207"/>
      <c r="VF61" s="207"/>
      <c r="VG61" s="207"/>
      <c r="VH61" s="207"/>
      <c r="VI61" s="207"/>
      <c r="VJ61" s="207"/>
      <c r="VK61" s="207"/>
      <c r="VL61" s="207"/>
      <c r="VM61" s="207"/>
      <c r="VN61" s="207"/>
      <c r="VO61" s="207"/>
      <c r="VP61" s="207"/>
      <c r="VQ61" s="207"/>
      <c r="VR61" s="207"/>
      <c r="VS61" s="207"/>
      <c r="VT61" s="207"/>
      <c r="VU61" s="207"/>
      <c r="VV61" s="207"/>
      <c r="VW61" s="207"/>
      <c r="VX61" s="207"/>
      <c r="VY61" s="207"/>
      <c r="VZ61" s="207"/>
      <c r="WA61" s="207"/>
      <c r="WB61" s="207"/>
      <c r="WC61" s="207"/>
      <c r="WD61" s="207"/>
      <c r="WE61" s="207"/>
      <c r="WF61" s="207"/>
      <c r="WG61" s="207"/>
      <c r="WH61" s="207"/>
      <c r="WI61" s="207"/>
      <c r="WJ61" s="207"/>
      <c r="WK61" s="207"/>
      <c r="WL61" s="207"/>
      <c r="WM61" s="207"/>
      <c r="WN61" s="207"/>
      <c r="WO61" s="207"/>
      <c r="WP61" s="207"/>
      <c r="WQ61" s="207"/>
      <c r="WR61" s="207"/>
      <c r="WS61" s="207"/>
      <c r="WT61" s="207"/>
      <c r="WU61" s="207"/>
      <c r="WV61" s="207"/>
      <c r="WW61" s="207"/>
      <c r="WX61" s="207"/>
      <c r="WY61" s="207"/>
      <c r="WZ61" s="207"/>
      <c r="XA61" s="207"/>
      <c r="XB61" s="207"/>
      <c r="XC61" s="207"/>
      <c r="XD61" s="207"/>
      <c r="XE61" s="207"/>
      <c r="XF61" s="207"/>
      <c r="XG61" s="207"/>
      <c r="XH61" s="207"/>
      <c r="XI61" s="207"/>
      <c r="XJ61" s="207"/>
      <c r="XK61" s="207"/>
      <c r="XL61" s="207"/>
      <c r="XM61" s="207"/>
      <c r="XN61" s="207"/>
      <c r="XO61" s="207"/>
      <c r="XP61" s="207"/>
      <c r="XQ61" s="207"/>
      <c r="XR61" s="207"/>
      <c r="XS61" s="207"/>
      <c r="XT61" s="207"/>
      <c r="XU61" s="207"/>
      <c r="XV61" s="207"/>
      <c r="XW61" s="207"/>
      <c r="XX61" s="207"/>
      <c r="XY61" s="207"/>
      <c r="XZ61" s="207"/>
      <c r="YA61" s="207"/>
      <c r="YB61" s="207"/>
      <c r="YC61" s="207"/>
      <c r="YD61" s="207"/>
      <c r="YE61" s="207"/>
      <c r="YF61" s="207"/>
      <c r="YG61" s="207"/>
      <c r="YH61" s="207"/>
      <c r="YI61" s="207"/>
      <c r="YJ61" s="207"/>
      <c r="YK61" s="207"/>
      <c r="YL61" s="207"/>
      <c r="YM61" s="207"/>
      <c r="YN61" s="207"/>
      <c r="YO61" s="207"/>
      <c r="YP61" s="207"/>
      <c r="YQ61" s="207"/>
      <c r="YR61" s="207"/>
      <c r="YS61" s="207"/>
    </row>
    <row r="62" spans="1:669" ht="15" thickBot="1" x14ac:dyDescent="0.25">
      <c r="U62"/>
    </row>
    <row r="63" spans="1:669" s="15" customFormat="1" ht="18.75" thickBot="1" x14ac:dyDescent="0.3">
      <c r="A63" s="247" t="s">
        <v>137</v>
      </c>
      <c r="B63" s="248"/>
      <c r="C63" s="249"/>
      <c r="D63" s="249"/>
      <c r="E63" s="249"/>
      <c r="F63" s="250"/>
      <c r="G63" s="250"/>
      <c r="H63" s="250"/>
      <c r="I63" s="250"/>
      <c r="J63" s="250"/>
      <c r="K63" s="253"/>
      <c r="L63" s="250"/>
      <c r="M63" s="254"/>
      <c r="N63" s="31"/>
      <c r="O63" s="31"/>
      <c r="P63" s="31"/>
      <c r="Q63" s="31"/>
      <c r="R63" s="31"/>
      <c r="S63" s="31"/>
      <c r="T63" s="31"/>
      <c r="U63" s="8"/>
      <c r="V63" s="31"/>
      <c r="W63" s="31"/>
      <c r="X63" s="31"/>
      <c r="Y63" s="31"/>
      <c r="Z63" s="31"/>
      <c r="AA63" s="31"/>
      <c r="AB63" s="32"/>
      <c r="AC63" s="32"/>
      <c r="AD63" s="32"/>
      <c r="AE63" s="32"/>
      <c r="AF63" s="32"/>
      <c r="AG63" s="32"/>
      <c r="AH63" s="32"/>
      <c r="AI63" s="32"/>
      <c r="AJ63" s="32"/>
      <c r="AK63" s="32"/>
      <c r="AL63" s="3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row>
    <row r="64" spans="1:669" s="17" customFormat="1" ht="33.75" customHeight="1" thickBot="1" x14ac:dyDescent="0.25">
      <c r="A64" s="263" t="s">
        <v>31</v>
      </c>
      <c r="B64" s="822" t="s">
        <v>24</v>
      </c>
      <c r="C64" s="823"/>
      <c r="D64" s="823"/>
      <c r="E64" s="827"/>
      <c r="F64" s="267" t="s">
        <v>36</v>
      </c>
      <c r="G64" s="212" t="s">
        <v>566</v>
      </c>
      <c r="H64" s="212" t="s">
        <v>161</v>
      </c>
      <c r="I64" s="212" t="s">
        <v>460</v>
      </c>
      <c r="J64" s="212" t="s">
        <v>162</v>
      </c>
      <c r="K64" s="212" t="s">
        <v>10</v>
      </c>
      <c r="L64" s="212" t="s">
        <v>329</v>
      </c>
      <c r="M64" s="212" t="s">
        <v>4</v>
      </c>
      <c r="N64" s="26"/>
      <c r="O64" s="26"/>
      <c r="P64" s="26"/>
      <c r="Q64" s="26"/>
      <c r="R64" s="26"/>
      <c r="S64" s="26"/>
      <c r="T64" s="26"/>
      <c r="U64" s="3"/>
      <c r="V64" s="26"/>
      <c r="W64" s="26"/>
      <c r="X64" s="26"/>
      <c r="Y64" s="26"/>
      <c r="Z64" s="26"/>
      <c r="AA64" s="26"/>
      <c r="AB64" s="27"/>
      <c r="AC64" s="27"/>
      <c r="AD64" s="27"/>
      <c r="AE64" s="27"/>
      <c r="AF64" s="27"/>
      <c r="AG64" s="27"/>
      <c r="AH64" s="27"/>
      <c r="AI64" s="27"/>
      <c r="AJ64" s="27"/>
      <c r="AK64" s="27"/>
      <c r="AL64" s="27"/>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row>
    <row r="65" spans="1:669" hidden="1" x14ac:dyDescent="0.2">
      <c r="A65" s="236" t="s">
        <v>454</v>
      </c>
      <c r="B65" s="620" t="s">
        <v>448</v>
      </c>
      <c r="C65" s="621"/>
      <c r="D65" s="621"/>
      <c r="E65" s="622"/>
      <c r="F65" s="243"/>
      <c r="G65" s="243"/>
      <c r="H65" s="243"/>
      <c r="I65" s="243"/>
      <c r="J65" s="256"/>
      <c r="K65" s="319"/>
      <c r="L65" s="243">
        <f>K65</f>
        <v>0</v>
      </c>
      <c r="M65" s="243"/>
      <c r="U65"/>
    </row>
    <row r="66" spans="1:669" x14ac:dyDescent="0.2">
      <c r="A66" s="236" t="s">
        <v>547</v>
      </c>
      <c r="B66" s="620" t="s">
        <v>539</v>
      </c>
      <c r="C66" s="621"/>
      <c r="D66" s="621"/>
      <c r="E66" s="622"/>
      <c r="F66" s="243">
        <v>52000</v>
      </c>
      <c r="G66" s="243"/>
      <c r="H66" s="243">
        <v>52000</v>
      </c>
      <c r="I66" s="243"/>
      <c r="J66" s="256">
        <v>52000</v>
      </c>
      <c r="K66" s="319"/>
      <c r="L66" s="243">
        <f>K66</f>
        <v>0</v>
      </c>
      <c r="M66" s="243"/>
      <c r="U66"/>
    </row>
    <row r="67" spans="1:669" ht="15" x14ac:dyDescent="0.25">
      <c r="A67" s="236" t="s">
        <v>673</v>
      </c>
      <c r="B67" s="620" t="s">
        <v>671</v>
      </c>
      <c r="C67" s="621"/>
      <c r="D67" s="621"/>
      <c r="E67" s="622"/>
      <c r="F67" s="243">
        <v>52000</v>
      </c>
      <c r="G67" s="243"/>
      <c r="H67" s="243"/>
      <c r="I67" s="243"/>
      <c r="J67" s="256"/>
      <c r="K67" s="319">
        <f>H67-J67</f>
        <v>0</v>
      </c>
      <c r="L67" s="243">
        <f>K67</f>
        <v>0</v>
      </c>
      <c r="M67" s="243"/>
      <c r="U67"/>
    </row>
    <row r="68" spans="1:669" x14ac:dyDescent="0.2">
      <c r="A68" s="236" t="s">
        <v>674</v>
      </c>
      <c r="B68" s="824" t="s">
        <v>540</v>
      </c>
      <c r="C68" s="825"/>
      <c r="D68" s="825"/>
      <c r="E68" s="826"/>
      <c r="F68" s="243">
        <v>21000</v>
      </c>
      <c r="G68" s="243"/>
      <c r="H68" s="243">
        <v>21000</v>
      </c>
      <c r="I68" s="243"/>
      <c r="J68" s="256">
        <v>21000</v>
      </c>
      <c r="K68" s="319"/>
      <c r="L68" s="243">
        <f>K68</f>
        <v>0</v>
      </c>
      <c r="M68" s="243"/>
      <c r="U68"/>
    </row>
    <row r="69" spans="1:669" ht="15" x14ac:dyDescent="0.25">
      <c r="A69" s="236" t="s">
        <v>675</v>
      </c>
      <c r="B69" s="824" t="s">
        <v>672</v>
      </c>
      <c r="C69" s="825"/>
      <c r="D69" s="825"/>
      <c r="E69" s="826"/>
      <c r="F69" s="243">
        <v>21000</v>
      </c>
      <c r="G69" s="243"/>
      <c r="H69" s="243"/>
      <c r="I69" s="243"/>
      <c r="J69" s="256"/>
      <c r="K69" s="319"/>
      <c r="L69" s="243"/>
      <c r="M69" s="243"/>
      <c r="U69"/>
    </row>
    <row r="70" spans="1:669" x14ac:dyDescent="0.2">
      <c r="A70" s="236" t="s">
        <v>455</v>
      </c>
      <c r="B70" s="620" t="s">
        <v>548</v>
      </c>
      <c r="C70" s="621"/>
      <c r="D70" s="621"/>
      <c r="E70" s="622"/>
      <c r="F70" s="243"/>
      <c r="G70" s="243"/>
      <c r="H70" s="243"/>
      <c r="I70" s="243"/>
      <c r="J70" s="256"/>
      <c r="K70" s="319"/>
      <c r="L70" s="243"/>
      <c r="M70" s="243"/>
      <c r="U70"/>
    </row>
    <row r="71" spans="1:669" x14ac:dyDescent="0.2">
      <c r="A71" s="236" t="s">
        <v>459</v>
      </c>
      <c r="B71" s="620" t="s">
        <v>548</v>
      </c>
      <c r="C71" s="621"/>
      <c r="D71" s="621"/>
      <c r="E71" s="622"/>
      <c r="F71" s="243">
        <v>5000</v>
      </c>
      <c r="G71" s="243"/>
      <c r="H71" s="243"/>
      <c r="I71" s="243">
        <v>5000</v>
      </c>
      <c r="J71" s="256">
        <v>13840</v>
      </c>
      <c r="K71" s="319"/>
      <c r="L71" s="243"/>
      <c r="M71" s="243"/>
      <c r="U71"/>
    </row>
    <row r="72" spans="1:669" x14ac:dyDescent="0.2">
      <c r="A72" s="236" t="s">
        <v>20</v>
      </c>
      <c r="B72" s="824" t="s">
        <v>426</v>
      </c>
      <c r="C72" s="825"/>
      <c r="D72" s="825"/>
      <c r="E72" s="826"/>
      <c r="F72" s="243"/>
      <c r="G72" s="243">
        <v>0</v>
      </c>
      <c r="H72" s="243">
        <f>J72</f>
        <v>23822.38</v>
      </c>
      <c r="I72" s="243"/>
      <c r="J72" s="256">
        <v>23822.38</v>
      </c>
      <c r="K72" s="319">
        <f>H72-J72</f>
        <v>0</v>
      </c>
      <c r="L72" s="243">
        <v>0</v>
      </c>
      <c r="M72" s="243">
        <v>0</v>
      </c>
    </row>
    <row r="73" spans="1:669" x14ac:dyDescent="0.2">
      <c r="A73" s="236" t="s">
        <v>676</v>
      </c>
      <c r="B73" s="620" t="s">
        <v>592</v>
      </c>
      <c r="C73" s="621"/>
      <c r="D73" s="621"/>
      <c r="E73" s="622"/>
      <c r="F73" s="243"/>
      <c r="G73" s="243"/>
      <c r="H73" s="243">
        <f>21562.6+10000-1000</f>
        <v>30562.6</v>
      </c>
      <c r="I73" s="243"/>
      <c r="J73" s="256">
        <f>H73</f>
        <v>30562.6</v>
      </c>
      <c r="K73" s="319">
        <f>H73-J73</f>
        <v>0</v>
      </c>
      <c r="L73" s="243"/>
      <c r="M73" s="243"/>
    </row>
    <row r="74" spans="1:669" x14ac:dyDescent="0.2">
      <c r="A74" s="236" t="s">
        <v>678</v>
      </c>
      <c r="B74" s="236" t="s">
        <v>677</v>
      </c>
      <c r="C74" s="621"/>
      <c r="D74" s="621"/>
      <c r="E74" s="622"/>
      <c r="F74" s="243"/>
      <c r="G74" s="243"/>
      <c r="H74" s="243">
        <v>8693.64</v>
      </c>
      <c r="I74" s="243"/>
      <c r="J74" s="256"/>
      <c r="K74" s="319">
        <v>8693.64</v>
      </c>
      <c r="L74" s="243">
        <f>K74</f>
        <v>8693.64</v>
      </c>
      <c r="M74" s="243"/>
    </row>
    <row r="75" spans="1:669" x14ac:dyDescent="0.2">
      <c r="A75" s="236" t="s">
        <v>20</v>
      </c>
      <c r="B75" s="824" t="s">
        <v>6</v>
      </c>
      <c r="C75" s="825"/>
      <c r="D75" s="825"/>
      <c r="E75" s="826"/>
      <c r="F75" s="243"/>
      <c r="G75" s="243">
        <v>374.76</v>
      </c>
      <c r="H75" s="243"/>
      <c r="I75" s="243"/>
      <c r="J75" s="256"/>
      <c r="K75" s="319">
        <f>G75+H75-J75</f>
        <v>374.76</v>
      </c>
      <c r="L75" s="243">
        <f>K75</f>
        <v>374.76</v>
      </c>
      <c r="M75" s="243">
        <v>0</v>
      </c>
    </row>
    <row r="76" spans="1:669" x14ac:dyDescent="0.2">
      <c r="A76" s="236" t="s">
        <v>20</v>
      </c>
      <c r="B76" s="824" t="s">
        <v>7</v>
      </c>
      <c r="C76" s="825"/>
      <c r="D76" s="825"/>
      <c r="E76" s="826"/>
      <c r="F76" s="243"/>
      <c r="G76" s="243">
        <v>14792.17</v>
      </c>
      <c r="H76" s="243">
        <f>33.81+5000+2000+1500</f>
        <v>8533.8100000000013</v>
      </c>
      <c r="I76" s="243">
        <v>0</v>
      </c>
      <c r="J76" s="256">
        <f>7253.19+722.1+2316.19</f>
        <v>10291.48</v>
      </c>
      <c r="K76" s="319">
        <f>G76+H76-J76</f>
        <v>13034.500000000004</v>
      </c>
      <c r="L76" s="243">
        <f>K76</f>
        <v>13034.500000000004</v>
      </c>
      <c r="M76" s="243">
        <v>0</v>
      </c>
    </row>
    <row r="77" spans="1:669" x14ac:dyDescent="0.2">
      <c r="A77" s="236" t="s">
        <v>20</v>
      </c>
      <c r="B77" s="824" t="s">
        <v>8</v>
      </c>
      <c r="C77" s="825"/>
      <c r="D77" s="825"/>
      <c r="E77" s="826"/>
      <c r="F77" s="243"/>
      <c r="G77" s="243">
        <v>9827.7800000000007</v>
      </c>
      <c r="H77" s="243"/>
      <c r="I77" s="243"/>
      <c r="J77" s="256">
        <v>1493.92</v>
      </c>
      <c r="K77" s="319">
        <f>G77+H77-J77</f>
        <v>8333.86</v>
      </c>
      <c r="L77" s="243">
        <f>K77</f>
        <v>8333.86</v>
      </c>
      <c r="M77" s="243">
        <v>0</v>
      </c>
    </row>
    <row r="78" spans="1:669" s="19" customFormat="1" x14ac:dyDescent="0.2">
      <c r="A78" s="236" t="s">
        <v>375</v>
      </c>
      <c r="B78" s="834" t="s">
        <v>614</v>
      </c>
      <c r="C78" s="835"/>
      <c r="D78" s="835"/>
      <c r="E78" s="836"/>
      <c r="F78" s="243">
        <v>50000</v>
      </c>
      <c r="G78" s="243">
        <v>0</v>
      </c>
      <c r="H78" s="243">
        <v>50000</v>
      </c>
      <c r="I78" s="243"/>
      <c r="J78" s="243">
        <v>50000</v>
      </c>
      <c r="K78" s="319">
        <f>H78-J78</f>
        <v>0</v>
      </c>
      <c r="L78" s="243">
        <f>K78</f>
        <v>0</v>
      </c>
      <c r="M78" s="243"/>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s="19" customFormat="1" hidden="1" x14ac:dyDescent="0.2">
      <c r="A79" s="236" t="s">
        <v>20</v>
      </c>
      <c r="B79" s="620"/>
      <c r="C79" s="621"/>
      <c r="D79" s="621"/>
      <c r="E79" s="622"/>
      <c r="F79" s="243"/>
      <c r="G79" s="243"/>
      <c r="H79" s="243"/>
      <c r="I79" s="243"/>
      <c r="J79" s="243"/>
      <c r="K79" s="243"/>
      <c r="L79" s="243"/>
      <c r="M79" s="243"/>
      <c r="N79" s="21"/>
      <c r="O79" s="21"/>
      <c r="P79" s="21"/>
      <c r="Q79" s="21"/>
      <c r="R79" s="21"/>
      <c r="S79" s="21"/>
      <c r="T79" s="21"/>
      <c r="U79"/>
      <c r="V79" s="21"/>
      <c r="W79" s="21"/>
      <c r="X79" s="21"/>
      <c r="Y79" s="21"/>
      <c r="Z79" s="21"/>
      <c r="AA79" s="21"/>
      <c r="AB79" s="7"/>
      <c r="AC79" s="7"/>
      <c r="AD79" s="7"/>
      <c r="AE79" s="7"/>
      <c r="AF79" s="7"/>
      <c r="AG79" s="7"/>
      <c r="AH79" s="7"/>
      <c r="AI79" s="7"/>
      <c r="AJ79" s="7"/>
      <c r="AK79" s="7"/>
      <c r="AL79" s="7"/>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row>
    <row r="80" spans="1:669" ht="15" customHeight="1" thickBot="1" x14ac:dyDescent="0.25">
      <c r="A80" s="237"/>
      <c r="B80" s="824"/>
      <c r="C80" s="825"/>
      <c r="D80" s="825"/>
      <c r="E80" s="826"/>
      <c r="F80" s="244"/>
      <c r="G80" s="244">
        <v>0</v>
      </c>
      <c r="H80" s="244"/>
      <c r="I80" s="252"/>
      <c r="J80" s="244">
        <v>0</v>
      </c>
      <c r="K80" s="244"/>
      <c r="L80" s="244"/>
      <c r="M80" s="244">
        <v>0</v>
      </c>
      <c r="U80"/>
    </row>
    <row r="81" spans="1:669" s="208" customFormat="1" ht="15.75" thickBot="1" x14ac:dyDescent="0.3">
      <c r="A81" s="264" t="s">
        <v>34</v>
      </c>
      <c r="B81" s="265"/>
      <c r="C81" s="265"/>
      <c r="D81" s="265"/>
      <c r="E81" s="266"/>
      <c r="F81" s="312">
        <f t="shared" ref="F81:M81" si="4">SUM(F65:F80)</f>
        <v>201000</v>
      </c>
      <c r="G81" s="313">
        <f t="shared" si="4"/>
        <v>24994.71</v>
      </c>
      <c r="H81" s="313">
        <f t="shared" si="4"/>
        <v>194612.43</v>
      </c>
      <c r="I81" s="313">
        <f t="shared" si="4"/>
        <v>5000</v>
      </c>
      <c r="J81" s="313">
        <f t="shared" si="4"/>
        <v>203010.38000000003</v>
      </c>
      <c r="K81" s="314">
        <f t="shared" si="4"/>
        <v>30436.760000000002</v>
      </c>
      <c r="L81" s="315">
        <f>SUM(L65:L80)</f>
        <v>30436.760000000002</v>
      </c>
      <c r="M81" s="314">
        <f t="shared" si="4"/>
        <v>0</v>
      </c>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7"/>
      <c r="DG81" s="207"/>
      <c r="DH81" s="207"/>
      <c r="DI81" s="207"/>
      <c r="DJ81" s="207"/>
      <c r="DK81" s="207"/>
      <c r="DL81" s="207"/>
      <c r="DM81" s="207"/>
      <c r="DN81" s="207"/>
      <c r="DO81" s="207"/>
      <c r="DP81" s="207"/>
      <c r="DQ81" s="207"/>
      <c r="DR81" s="207"/>
      <c r="DS81" s="207"/>
      <c r="DT81" s="207"/>
      <c r="DU81" s="207"/>
      <c r="DV81" s="207"/>
      <c r="DW81" s="207"/>
      <c r="DX81" s="207"/>
      <c r="DY81" s="207"/>
      <c r="DZ81" s="207"/>
      <c r="EA81" s="207"/>
      <c r="EB81" s="207"/>
      <c r="EC81" s="207"/>
      <c r="ED81" s="207"/>
      <c r="EE81" s="207"/>
      <c r="EF81" s="207"/>
      <c r="EG81" s="207"/>
      <c r="EH81" s="207"/>
      <c r="EI81" s="207"/>
      <c r="EJ81" s="207"/>
      <c r="EK81" s="207"/>
      <c r="EL81" s="207"/>
      <c r="EM81" s="207"/>
      <c r="EN81" s="207"/>
      <c r="EO81" s="207"/>
      <c r="EP81" s="207"/>
      <c r="EQ81" s="207"/>
      <c r="ER81" s="207"/>
      <c r="ES81" s="207"/>
      <c r="ET81" s="207"/>
      <c r="EU81" s="207"/>
      <c r="EV81" s="207"/>
      <c r="EW81" s="207"/>
      <c r="EX81" s="207"/>
      <c r="EY81" s="207"/>
      <c r="EZ81" s="207"/>
      <c r="FA81" s="207"/>
      <c r="FB81" s="207"/>
      <c r="FC81" s="207"/>
      <c r="FD81" s="207"/>
      <c r="FE81" s="207"/>
      <c r="FF81" s="207"/>
      <c r="FG81" s="207"/>
      <c r="FH81" s="207"/>
      <c r="FI81" s="207"/>
      <c r="FJ81" s="207"/>
      <c r="FK81" s="207"/>
      <c r="FL81" s="207"/>
      <c r="FM81" s="207"/>
      <c r="FN81" s="207"/>
      <c r="FO81" s="207"/>
      <c r="FP81" s="207"/>
      <c r="FQ81" s="207"/>
      <c r="FR81" s="207"/>
      <c r="FS81" s="207"/>
      <c r="FT81" s="207"/>
      <c r="FU81" s="207"/>
      <c r="FV81" s="207"/>
      <c r="FW81" s="207"/>
      <c r="FX81" s="207"/>
      <c r="FY81" s="207"/>
      <c r="FZ81" s="207"/>
      <c r="GA81" s="207"/>
      <c r="GB81" s="207"/>
      <c r="GC81" s="207"/>
      <c r="GD81" s="207"/>
      <c r="GE81" s="207"/>
      <c r="GF81" s="207"/>
      <c r="GG81" s="207"/>
      <c r="GH81" s="207"/>
      <c r="GI81" s="207"/>
      <c r="GJ81" s="207"/>
      <c r="GK81" s="207"/>
      <c r="GL81" s="207"/>
      <c r="GM81" s="207"/>
      <c r="GN81" s="207"/>
      <c r="GO81" s="207"/>
      <c r="GP81" s="207"/>
      <c r="GQ81" s="207"/>
      <c r="GR81" s="207"/>
      <c r="GS81" s="207"/>
      <c r="GT81" s="207"/>
      <c r="GU81" s="207"/>
      <c r="GV81" s="207"/>
      <c r="GW81" s="207"/>
      <c r="GX81" s="207"/>
      <c r="GY81" s="207"/>
      <c r="GZ81" s="207"/>
      <c r="HA81" s="207"/>
      <c r="HB81" s="207"/>
      <c r="HC81" s="207"/>
      <c r="HD81" s="207"/>
      <c r="HE81" s="207"/>
      <c r="HF81" s="207"/>
      <c r="HG81" s="207"/>
      <c r="HH81" s="207"/>
      <c r="HI81" s="207"/>
      <c r="HJ81" s="207"/>
      <c r="HK81" s="207"/>
      <c r="HL81" s="207"/>
      <c r="HM81" s="207"/>
      <c r="HN81" s="207"/>
      <c r="HO81" s="207"/>
      <c r="HP81" s="207"/>
      <c r="HQ81" s="207"/>
      <c r="HR81" s="207"/>
      <c r="HS81" s="207"/>
      <c r="HT81" s="207"/>
      <c r="HU81" s="207"/>
      <c r="HV81" s="207"/>
      <c r="HW81" s="207"/>
      <c r="HX81" s="207"/>
      <c r="HY81" s="207"/>
      <c r="HZ81" s="207"/>
      <c r="IA81" s="207"/>
      <c r="IB81" s="207"/>
      <c r="IC81" s="207"/>
      <c r="ID81" s="207"/>
      <c r="IE81" s="207"/>
      <c r="IF81" s="207"/>
      <c r="IG81" s="207"/>
      <c r="IH81" s="207"/>
      <c r="II81" s="207"/>
      <c r="IJ81" s="207"/>
      <c r="IK81" s="207"/>
      <c r="IL81" s="207"/>
      <c r="IM81" s="207"/>
      <c r="IN81" s="207"/>
      <c r="IO81" s="207"/>
      <c r="IP81" s="207"/>
      <c r="IQ81" s="207"/>
      <c r="IR81" s="207"/>
      <c r="IS81" s="207"/>
      <c r="IT81" s="207"/>
      <c r="IU81" s="207"/>
      <c r="IV81" s="207"/>
      <c r="IW81" s="207"/>
      <c r="IX81" s="207"/>
      <c r="IY81" s="207"/>
      <c r="IZ81" s="207"/>
      <c r="JA81" s="207"/>
      <c r="JB81" s="207"/>
      <c r="JC81" s="207"/>
      <c r="JD81" s="207"/>
      <c r="JE81" s="207"/>
      <c r="JF81" s="207"/>
      <c r="JG81" s="207"/>
      <c r="JH81" s="207"/>
      <c r="JI81" s="207"/>
      <c r="JJ81" s="207"/>
      <c r="JK81" s="207"/>
      <c r="JL81" s="207"/>
      <c r="JM81" s="207"/>
      <c r="JN81" s="207"/>
      <c r="JO81" s="207"/>
      <c r="JP81" s="207"/>
      <c r="JQ81" s="207"/>
      <c r="JR81" s="207"/>
      <c r="JS81" s="207"/>
      <c r="JT81" s="207"/>
      <c r="JU81" s="207"/>
      <c r="JV81" s="207"/>
      <c r="JW81" s="207"/>
      <c r="JX81" s="207"/>
      <c r="JY81" s="207"/>
      <c r="JZ81" s="207"/>
      <c r="KA81" s="207"/>
      <c r="KB81" s="207"/>
      <c r="KC81" s="207"/>
      <c r="KD81" s="207"/>
      <c r="KE81" s="207"/>
      <c r="KF81" s="207"/>
      <c r="KG81" s="207"/>
      <c r="KH81" s="207"/>
      <c r="KI81" s="207"/>
      <c r="KJ81" s="207"/>
      <c r="KK81" s="207"/>
      <c r="KL81" s="207"/>
      <c r="KM81" s="207"/>
      <c r="KN81" s="207"/>
      <c r="KO81" s="207"/>
      <c r="KP81" s="207"/>
      <c r="KQ81" s="207"/>
      <c r="KR81" s="207"/>
      <c r="KS81" s="207"/>
      <c r="KT81" s="207"/>
      <c r="KU81" s="207"/>
      <c r="KV81" s="207"/>
      <c r="KW81" s="207"/>
      <c r="KX81" s="207"/>
      <c r="KY81" s="207"/>
      <c r="KZ81" s="207"/>
      <c r="LA81" s="207"/>
      <c r="LB81" s="207"/>
      <c r="LC81" s="207"/>
      <c r="LD81" s="207"/>
      <c r="LE81" s="207"/>
      <c r="LF81" s="207"/>
      <c r="LG81" s="207"/>
      <c r="LH81" s="207"/>
      <c r="LI81" s="207"/>
      <c r="LJ81" s="207"/>
      <c r="LK81" s="207"/>
      <c r="LL81" s="207"/>
      <c r="LM81" s="207"/>
      <c r="LN81" s="207"/>
      <c r="LO81" s="207"/>
      <c r="LP81" s="207"/>
      <c r="LQ81" s="207"/>
      <c r="LR81" s="207"/>
      <c r="LS81" s="207"/>
      <c r="LT81" s="207"/>
      <c r="LU81" s="207"/>
      <c r="LV81" s="207"/>
      <c r="LW81" s="207"/>
      <c r="LX81" s="207"/>
      <c r="LY81" s="207"/>
      <c r="LZ81" s="207"/>
      <c r="MA81" s="207"/>
      <c r="MB81" s="207"/>
      <c r="MC81" s="207"/>
      <c r="MD81" s="207"/>
      <c r="ME81" s="207"/>
      <c r="MF81" s="207"/>
      <c r="MG81" s="207"/>
      <c r="MH81" s="207"/>
      <c r="MI81" s="207"/>
      <c r="MJ81" s="207"/>
      <c r="MK81" s="207"/>
      <c r="ML81" s="207"/>
      <c r="MM81" s="207"/>
      <c r="MN81" s="207"/>
      <c r="MO81" s="207"/>
      <c r="MP81" s="207"/>
      <c r="MQ81" s="207"/>
      <c r="MR81" s="207"/>
      <c r="MS81" s="207"/>
      <c r="MT81" s="207"/>
      <c r="MU81" s="207"/>
      <c r="MV81" s="207"/>
      <c r="MW81" s="207"/>
      <c r="MX81" s="207"/>
      <c r="MY81" s="207"/>
      <c r="MZ81" s="207"/>
      <c r="NA81" s="207"/>
      <c r="NB81" s="207"/>
      <c r="NC81" s="207"/>
      <c r="ND81" s="207"/>
      <c r="NE81" s="207"/>
      <c r="NF81" s="207"/>
      <c r="NG81" s="207"/>
      <c r="NH81" s="207"/>
      <c r="NI81" s="207"/>
      <c r="NJ81" s="207"/>
      <c r="NK81" s="207"/>
      <c r="NL81" s="207"/>
      <c r="NM81" s="207"/>
      <c r="NN81" s="207"/>
      <c r="NO81" s="207"/>
      <c r="NP81" s="207"/>
      <c r="NQ81" s="207"/>
      <c r="NR81" s="207"/>
      <c r="NS81" s="207"/>
      <c r="NT81" s="207"/>
      <c r="NU81" s="207"/>
      <c r="NV81" s="207"/>
      <c r="NW81" s="207"/>
      <c r="NX81" s="207"/>
      <c r="NY81" s="207"/>
      <c r="NZ81" s="207"/>
      <c r="OA81" s="207"/>
      <c r="OB81" s="207"/>
      <c r="OC81" s="207"/>
      <c r="OD81" s="207"/>
      <c r="OE81" s="207"/>
      <c r="OF81" s="207"/>
      <c r="OG81" s="207"/>
      <c r="OH81" s="207"/>
      <c r="OI81" s="207"/>
      <c r="OJ81" s="207"/>
      <c r="OK81" s="207"/>
      <c r="OL81" s="207"/>
      <c r="OM81" s="207"/>
      <c r="ON81" s="207"/>
      <c r="OO81" s="207"/>
      <c r="OP81" s="207"/>
      <c r="OQ81" s="207"/>
      <c r="OR81" s="207"/>
      <c r="OS81" s="207"/>
      <c r="OT81" s="207"/>
      <c r="OU81" s="207"/>
      <c r="OV81" s="207"/>
      <c r="OW81" s="207"/>
      <c r="OX81" s="207"/>
      <c r="OY81" s="207"/>
      <c r="OZ81" s="207"/>
      <c r="PA81" s="207"/>
      <c r="PB81" s="207"/>
      <c r="PC81" s="207"/>
      <c r="PD81" s="207"/>
      <c r="PE81" s="207"/>
      <c r="PF81" s="207"/>
      <c r="PG81" s="207"/>
      <c r="PH81" s="207"/>
      <c r="PI81" s="207"/>
      <c r="PJ81" s="207"/>
      <c r="PK81" s="207"/>
      <c r="PL81" s="207"/>
      <c r="PM81" s="207"/>
      <c r="PN81" s="207"/>
      <c r="PO81" s="207"/>
      <c r="PP81" s="207"/>
      <c r="PQ81" s="207"/>
      <c r="PR81" s="207"/>
      <c r="PS81" s="207"/>
      <c r="PT81" s="207"/>
      <c r="PU81" s="207"/>
      <c r="PV81" s="207"/>
      <c r="PW81" s="207"/>
      <c r="PX81" s="207"/>
      <c r="PY81" s="207"/>
      <c r="PZ81" s="207"/>
      <c r="QA81" s="207"/>
      <c r="QB81" s="207"/>
      <c r="QC81" s="207"/>
      <c r="QD81" s="207"/>
      <c r="QE81" s="207"/>
      <c r="QF81" s="207"/>
      <c r="QG81" s="207"/>
      <c r="QH81" s="207"/>
      <c r="QI81" s="207"/>
      <c r="QJ81" s="207"/>
      <c r="QK81" s="207"/>
      <c r="QL81" s="207"/>
      <c r="QM81" s="207"/>
      <c r="QN81" s="207"/>
      <c r="QO81" s="207"/>
      <c r="QP81" s="207"/>
      <c r="QQ81" s="207"/>
      <c r="QR81" s="207"/>
      <c r="QS81" s="207"/>
      <c r="QT81" s="207"/>
      <c r="QU81" s="207"/>
      <c r="QV81" s="207"/>
      <c r="QW81" s="207"/>
      <c r="QX81" s="207"/>
      <c r="QY81" s="207"/>
      <c r="QZ81" s="207"/>
      <c r="RA81" s="207"/>
      <c r="RB81" s="207"/>
      <c r="RC81" s="207"/>
      <c r="RD81" s="207"/>
      <c r="RE81" s="207"/>
      <c r="RF81" s="207"/>
      <c r="RG81" s="207"/>
      <c r="RH81" s="207"/>
      <c r="RI81" s="207"/>
      <c r="RJ81" s="207"/>
      <c r="RK81" s="207"/>
      <c r="RL81" s="207"/>
      <c r="RM81" s="207"/>
      <c r="RN81" s="207"/>
      <c r="RO81" s="207"/>
      <c r="RP81" s="207"/>
      <c r="RQ81" s="207"/>
      <c r="RR81" s="207"/>
      <c r="RS81" s="207"/>
      <c r="RT81" s="207"/>
      <c r="RU81" s="207"/>
      <c r="RV81" s="207"/>
      <c r="RW81" s="207"/>
      <c r="RX81" s="207"/>
      <c r="RY81" s="207"/>
      <c r="RZ81" s="207"/>
      <c r="SA81" s="207"/>
      <c r="SB81" s="207"/>
      <c r="SC81" s="207"/>
      <c r="SD81" s="207"/>
      <c r="SE81" s="207"/>
      <c r="SF81" s="207"/>
      <c r="SG81" s="207"/>
      <c r="SH81" s="207"/>
      <c r="SI81" s="207"/>
      <c r="SJ81" s="207"/>
      <c r="SK81" s="207"/>
      <c r="SL81" s="207"/>
      <c r="SM81" s="207"/>
      <c r="SN81" s="207"/>
      <c r="SO81" s="207"/>
      <c r="SP81" s="207"/>
      <c r="SQ81" s="207"/>
      <c r="SR81" s="207"/>
      <c r="SS81" s="207"/>
      <c r="ST81" s="207"/>
      <c r="SU81" s="207"/>
      <c r="SV81" s="207"/>
      <c r="SW81" s="207"/>
      <c r="SX81" s="207"/>
      <c r="SY81" s="207"/>
      <c r="SZ81" s="207"/>
      <c r="TA81" s="207"/>
      <c r="TB81" s="207"/>
      <c r="TC81" s="207"/>
      <c r="TD81" s="207"/>
      <c r="TE81" s="207"/>
      <c r="TF81" s="207"/>
      <c r="TG81" s="207"/>
      <c r="TH81" s="207"/>
      <c r="TI81" s="207"/>
      <c r="TJ81" s="207"/>
      <c r="TK81" s="207"/>
      <c r="TL81" s="207"/>
      <c r="TM81" s="207"/>
      <c r="TN81" s="207"/>
      <c r="TO81" s="207"/>
      <c r="TP81" s="207"/>
      <c r="TQ81" s="207"/>
      <c r="TR81" s="207"/>
      <c r="TS81" s="207"/>
      <c r="TT81" s="207"/>
      <c r="TU81" s="207"/>
      <c r="TV81" s="207"/>
      <c r="TW81" s="207"/>
      <c r="TX81" s="207"/>
      <c r="TY81" s="207"/>
      <c r="TZ81" s="207"/>
      <c r="UA81" s="207"/>
      <c r="UB81" s="207"/>
      <c r="UC81" s="207"/>
      <c r="UD81" s="207"/>
      <c r="UE81" s="207"/>
      <c r="UF81" s="207"/>
      <c r="UG81" s="207"/>
      <c r="UH81" s="207"/>
      <c r="UI81" s="207"/>
      <c r="UJ81" s="207"/>
      <c r="UK81" s="207"/>
      <c r="UL81" s="207"/>
      <c r="UM81" s="207"/>
      <c r="UN81" s="207"/>
      <c r="UO81" s="207"/>
      <c r="UP81" s="207"/>
      <c r="UQ81" s="207"/>
      <c r="UR81" s="207"/>
      <c r="US81" s="207"/>
      <c r="UT81" s="207"/>
      <c r="UU81" s="207"/>
      <c r="UV81" s="207"/>
      <c r="UW81" s="207"/>
      <c r="UX81" s="207"/>
      <c r="UY81" s="207"/>
      <c r="UZ81" s="207"/>
      <c r="VA81" s="207"/>
      <c r="VB81" s="207"/>
      <c r="VC81" s="207"/>
      <c r="VD81" s="207"/>
      <c r="VE81" s="207"/>
      <c r="VF81" s="207"/>
      <c r="VG81" s="207"/>
      <c r="VH81" s="207"/>
      <c r="VI81" s="207"/>
      <c r="VJ81" s="207"/>
      <c r="VK81" s="207"/>
      <c r="VL81" s="207"/>
      <c r="VM81" s="207"/>
      <c r="VN81" s="207"/>
      <c r="VO81" s="207"/>
      <c r="VP81" s="207"/>
      <c r="VQ81" s="207"/>
      <c r="VR81" s="207"/>
      <c r="VS81" s="207"/>
      <c r="VT81" s="207"/>
      <c r="VU81" s="207"/>
      <c r="VV81" s="207"/>
      <c r="VW81" s="207"/>
      <c r="VX81" s="207"/>
      <c r="VY81" s="207"/>
      <c r="VZ81" s="207"/>
      <c r="WA81" s="207"/>
      <c r="WB81" s="207"/>
      <c r="WC81" s="207"/>
      <c r="WD81" s="207"/>
      <c r="WE81" s="207"/>
      <c r="WF81" s="207"/>
      <c r="WG81" s="207"/>
      <c r="WH81" s="207"/>
      <c r="WI81" s="207"/>
      <c r="WJ81" s="207"/>
      <c r="WK81" s="207"/>
      <c r="WL81" s="207"/>
      <c r="WM81" s="207"/>
      <c r="WN81" s="207"/>
      <c r="WO81" s="207"/>
      <c r="WP81" s="207"/>
      <c r="WQ81" s="207"/>
      <c r="WR81" s="207"/>
      <c r="WS81" s="207"/>
      <c r="WT81" s="207"/>
      <c r="WU81" s="207"/>
      <c r="WV81" s="207"/>
      <c r="WW81" s="207"/>
      <c r="WX81" s="207"/>
      <c r="WY81" s="207"/>
      <c r="WZ81" s="207"/>
      <c r="XA81" s="207"/>
      <c r="XB81" s="207"/>
      <c r="XC81" s="207"/>
      <c r="XD81" s="207"/>
      <c r="XE81" s="207"/>
      <c r="XF81" s="207"/>
      <c r="XG81" s="207"/>
      <c r="XH81" s="207"/>
      <c r="XI81" s="207"/>
      <c r="XJ81" s="207"/>
      <c r="XK81" s="207"/>
      <c r="XL81" s="207"/>
      <c r="XM81" s="207"/>
      <c r="XN81" s="207"/>
      <c r="XO81" s="207"/>
      <c r="XP81" s="207"/>
      <c r="XQ81" s="207"/>
      <c r="XR81" s="207"/>
      <c r="XS81" s="207"/>
      <c r="XT81" s="207"/>
      <c r="XU81" s="207"/>
      <c r="XV81" s="207"/>
      <c r="XW81" s="207"/>
      <c r="XX81" s="207"/>
      <c r="XY81" s="207"/>
      <c r="XZ81" s="207"/>
      <c r="YA81" s="207"/>
      <c r="YB81" s="207"/>
      <c r="YC81" s="207"/>
      <c r="YD81" s="207"/>
      <c r="YE81" s="207"/>
      <c r="YF81" s="207"/>
      <c r="YG81" s="207"/>
      <c r="YH81" s="207"/>
      <c r="YI81" s="207"/>
      <c r="YJ81" s="207"/>
      <c r="YK81" s="207"/>
      <c r="YL81" s="207"/>
      <c r="YM81" s="207"/>
      <c r="YN81" s="207"/>
      <c r="YO81" s="207"/>
      <c r="YP81" s="207"/>
      <c r="YQ81" s="207"/>
      <c r="YR81" s="207"/>
      <c r="YS81" s="207"/>
    </row>
    <row r="82" spans="1:669" ht="15" thickBot="1" x14ac:dyDescent="0.25">
      <c r="L82" s="543" t="s">
        <v>342</v>
      </c>
    </row>
    <row r="83" spans="1:669" s="38" customFormat="1" ht="16.5" thickBot="1" x14ac:dyDescent="0.3">
      <c r="A83" s="41"/>
      <c r="B83" s="42"/>
      <c r="C83" s="42"/>
      <c r="D83" s="42"/>
      <c r="E83" s="42"/>
      <c r="F83" s="42"/>
      <c r="G83" s="42"/>
      <c r="H83" s="42"/>
      <c r="I83" s="42"/>
      <c r="J83" s="42"/>
      <c r="K83" s="42"/>
      <c r="L83" s="399">
        <f>L81+J61</f>
        <v>31335.460000000003</v>
      </c>
      <c r="M83" s="539"/>
      <c r="N83" s="21"/>
      <c r="O83" s="21"/>
      <c r="P83" s="21"/>
      <c r="Q83" s="21"/>
      <c r="R83" s="21"/>
      <c r="S83" s="21"/>
      <c r="T83" s="21"/>
      <c r="U83" s="21"/>
      <c r="V83" s="21"/>
      <c r="W83" s="21"/>
      <c r="X83" s="21"/>
      <c r="Y83" s="21"/>
      <c r="Z83" s="21"/>
      <c r="AA83" s="21"/>
      <c r="AB83" s="7"/>
      <c r="AC83" s="7"/>
      <c r="AD83" s="7"/>
      <c r="AE83" s="7"/>
      <c r="AF83" s="7"/>
      <c r="AG83" s="7"/>
      <c r="AH83" s="7"/>
      <c r="AI83" s="7"/>
      <c r="AJ83" s="7"/>
      <c r="AK83" s="7"/>
      <c r="AL83" s="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row>
    <row r="84" spans="1:669" s="40" customFormat="1" ht="31.5" hidden="1" x14ac:dyDescent="0.25">
      <c r="A84" s="43"/>
      <c r="B84" s="39"/>
      <c r="C84" s="39"/>
      <c r="D84" s="39"/>
      <c r="E84" s="39"/>
      <c r="F84" s="39"/>
      <c r="G84" s="116" t="s">
        <v>169</v>
      </c>
      <c r="H84" s="117" t="s">
        <v>161</v>
      </c>
      <c r="I84" s="117" t="s">
        <v>96</v>
      </c>
      <c r="J84" s="117" t="s">
        <v>53</v>
      </c>
      <c r="K84" s="118" t="s">
        <v>41</v>
      </c>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c r="SE84" s="30"/>
      <c r="SF84" s="30"/>
      <c r="SG84" s="30"/>
      <c r="SH84" s="30"/>
      <c r="SI84" s="30"/>
      <c r="SJ84" s="30"/>
      <c r="SK84" s="30"/>
      <c r="SL84" s="30"/>
      <c r="SM84" s="30"/>
      <c r="SN84" s="30"/>
      <c r="SO84" s="30"/>
      <c r="SP84" s="30"/>
      <c r="SQ84" s="30"/>
      <c r="SR84" s="30"/>
      <c r="SS84" s="30"/>
      <c r="ST84" s="30"/>
      <c r="SU84" s="30"/>
      <c r="SV84" s="30"/>
      <c r="SW84" s="30"/>
      <c r="SX84" s="30"/>
      <c r="SY84" s="30"/>
      <c r="SZ84" s="30"/>
      <c r="TA84" s="30"/>
      <c r="TB84" s="30"/>
      <c r="TC84" s="30"/>
      <c r="TD84" s="30"/>
      <c r="TE84" s="30"/>
      <c r="TF84" s="30"/>
      <c r="TG84" s="30"/>
      <c r="TH84" s="30"/>
      <c r="TI84" s="30"/>
      <c r="TJ84" s="30"/>
      <c r="TK84" s="30"/>
      <c r="TL84" s="30"/>
      <c r="TM84" s="30"/>
      <c r="TN84" s="30"/>
      <c r="TO84" s="30"/>
      <c r="TP84" s="30"/>
      <c r="TQ84" s="30"/>
      <c r="TR84" s="30"/>
      <c r="TS84" s="30"/>
      <c r="TT84" s="30"/>
      <c r="TU84" s="30"/>
      <c r="TV84" s="30"/>
      <c r="TW84" s="30"/>
      <c r="TX84" s="30"/>
      <c r="TY84" s="30"/>
      <c r="TZ84" s="30"/>
      <c r="UA84" s="30"/>
      <c r="UB84" s="30"/>
      <c r="UC84" s="30"/>
      <c r="UD84" s="30"/>
      <c r="UE84" s="30"/>
      <c r="UF84" s="30"/>
      <c r="UG84" s="30"/>
      <c r="UH84" s="30"/>
      <c r="UI84" s="30"/>
      <c r="UJ84" s="30"/>
      <c r="UK84" s="30"/>
      <c r="UL84" s="30"/>
      <c r="UM84" s="30"/>
      <c r="UN84" s="30"/>
      <c r="UO84" s="30"/>
      <c r="UP84" s="30"/>
      <c r="UQ84" s="30"/>
      <c r="UR84" s="30"/>
      <c r="US84" s="30"/>
      <c r="UT84" s="30"/>
      <c r="UU84" s="30"/>
      <c r="UV84" s="30"/>
      <c r="UW84" s="30"/>
      <c r="UX84" s="30"/>
      <c r="UY84" s="30"/>
      <c r="UZ84" s="30"/>
      <c r="VA84" s="30"/>
      <c r="VB84" s="30"/>
      <c r="VC84" s="30"/>
      <c r="VD84" s="30"/>
      <c r="VE84" s="30"/>
      <c r="VF84" s="30"/>
      <c r="VG84" s="30"/>
      <c r="VH84" s="30"/>
      <c r="VI84" s="30"/>
      <c r="VJ84" s="30"/>
      <c r="VK84" s="30"/>
      <c r="VL84" s="30"/>
      <c r="VM84" s="30"/>
      <c r="VN84" s="30"/>
      <c r="VO84" s="30"/>
      <c r="VP84" s="30"/>
      <c r="VQ84" s="30"/>
      <c r="VR84" s="30"/>
      <c r="VS84" s="30"/>
      <c r="VT84" s="30"/>
      <c r="VU84" s="30"/>
      <c r="VV84" s="30"/>
      <c r="VW84" s="30"/>
      <c r="VX84" s="30"/>
      <c r="VY84" s="30"/>
      <c r="VZ84" s="30"/>
      <c r="WA84" s="30"/>
      <c r="WB84" s="30"/>
      <c r="WC84" s="30"/>
      <c r="WD84" s="30"/>
      <c r="WE84" s="30"/>
      <c r="WF84" s="30"/>
      <c r="WG84" s="30"/>
      <c r="WH84" s="30"/>
      <c r="WI84" s="30"/>
      <c r="WJ84" s="30"/>
      <c r="WK84" s="30"/>
      <c r="WL84" s="30"/>
      <c r="WM84" s="30"/>
      <c r="WN84" s="30"/>
      <c r="WO84" s="30"/>
      <c r="WP84" s="30"/>
      <c r="WQ84" s="30"/>
      <c r="WR84" s="30"/>
      <c r="WS84" s="30"/>
      <c r="WT84" s="30"/>
      <c r="WU84" s="30"/>
      <c r="WV84" s="30"/>
      <c r="WW84" s="30"/>
      <c r="WX84" s="30"/>
      <c r="WY84" s="30"/>
      <c r="WZ84" s="30"/>
      <c r="XA84" s="30"/>
      <c r="XB84" s="30"/>
      <c r="XC84" s="30"/>
      <c r="XD84" s="30"/>
      <c r="XE84" s="30"/>
      <c r="XF84" s="30"/>
      <c r="XG84" s="30"/>
      <c r="XH84" s="30"/>
      <c r="XI84" s="30"/>
      <c r="XJ84" s="30"/>
      <c r="XK84" s="30"/>
      <c r="XL84" s="30"/>
      <c r="XM84" s="30"/>
      <c r="XN84" s="30"/>
      <c r="XO84" s="30"/>
      <c r="XP84" s="30"/>
      <c r="XQ84" s="30"/>
      <c r="XR84" s="30"/>
      <c r="XS84" s="30"/>
      <c r="XT84" s="30"/>
      <c r="XU84" s="30"/>
      <c r="XV84" s="30"/>
      <c r="XW84" s="30"/>
      <c r="XX84" s="30"/>
      <c r="XY84" s="30"/>
      <c r="XZ84" s="30"/>
      <c r="YA84" s="30"/>
      <c r="YB84" s="30"/>
      <c r="YC84" s="30"/>
      <c r="YD84" s="30"/>
      <c r="YE84" s="30"/>
      <c r="YF84" s="30"/>
      <c r="YG84" s="30"/>
      <c r="YH84" s="30"/>
      <c r="YI84" s="30"/>
      <c r="YJ84" s="30"/>
      <c r="YK84" s="30"/>
      <c r="YL84" s="30"/>
      <c r="YM84" s="30"/>
      <c r="YN84" s="30"/>
      <c r="YO84" s="30"/>
      <c r="YP84" s="30"/>
      <c r="YQ84" s="30"/>
      <c r="YR84" s="30"/>
      <c r="YS84" s="30"/>
    </row>
    <row r="85" spans="1:669" s="33" customFormat="1" ht="20.25" hidden="1" customHeight="1" x14ac:dyDescent="0.2">
      <c r="A85" s="277" t="s">
        <v>70</v>
      </c>
      <c r="B85" s="838" t="s">
        <v>40</v>
      </c>
      <c r="C85" s="838"/>
      <c r="D85" s="838"/>
      <c r="E85" s="838"/>
      <c r="F85" s="278"/>
      <c r="G85" s="278" t="e">
        <f>104647.76-#REF!-1250-1250</f>
        <v>#REF!</v>
      </c>
      <c r="H85" s="278">
        <f>90450.47-J85-H88</f>
        <v>56290.86</v>
      </c>
      <c r="I85" s="278">
        <f>H72</f>
        <v>23822.38</v>
      </c>
      <c r="J85" s="278">
        <f>'December''23 AR Aging '!G43</f>
        <v>34159.61</v>
      </c>
      <c r="K85" s="279" t="e">
        <f>+I85+J85+H85-G85</f>
        <v>#REF!</v>
      </c>
      <c r="L85" s="36"/>
      <c r="M85" s="36"/>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s="19" customFormat="1" hidden="1" x14ac:dyDescent="0.2">
      <c r="A86" s="280" t="s">
        <v>32</v>
      </c>
      <c r="B86" s="837" t="s">
        <v>29</v>
      </c>
      <c r="C86" s="837"/>
      <c r="D86" s="837"/>
      <c r="E86" s="837"/>
      <c r="F86" s="275"/>
      <c r="G86" s="275"/>
      <c r="H86" s="275">
        <v>0</v>
      </c>
      <c r="I86" s="276"/>
      <c r="J86" s="275">
        <v>0</v>
      </c>
      <c r="K86" s="281"/>
      <c r="L86" s="257"/>
      <c r="M86" s="257">
        <v>0</v>
      </c>
      <c r="N86" s="21"/>
      <c r="O86" s="21"/>
      <c r="P86" s="21"/>
      <c r="Q86" s="21"/>
      <c r="R86" s="21"/>
      <c r="S86" s="21"/>
      <c r="T86" s="21"/>
      <c r="U86"/>
      <c r="V86" s="21"/>
      <c r="W86" s="21"/>
      <c r="X86" s="21"/>
      <c r="Y86" s="21"/>
      <c r="Z86" s="21"/>
      <c r="AA86" s="21"/>
      <c r="AB86" s="7"/>
      <c r="AC86" s="7"/>
      <c r="AD86" s="7"/>
      <c r="AE86" s="7"/>
      <c r="AF86" s="7"/>
      <c r="AG86" s="7"/>
      <c r="AH86" s="7"/>
      <c r="AI86" s="7"/>
      <c r="AJ86" s="7"/>
      <c r="AK86" s="7"/>
      <c r="AL86" s="7"/>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row>
    <row r="87" spans="1:669" hidden="1" x14ac:dyDescent="0.2">
      <c r="A87" s="280" t="s">
        <v>20</v>
      </c>
      <c r="B87" s="839" t="s">
        <v>146</v>
      </c>
      <c r="C87" s="840"/>
      <c r="D87" s="840"/>
      <c r="E87" s="841"/>
      <c r="F87" s="275"/>
      <c r="G87" s="275"/>
      <c r="H87" s="275"/>
      <c r="I87" s="276"/>
      <c r="J87" s="275"/>
      <c r="K87" s="281"/>
      <c r="L87" s="257"/>
      <c r="M87" s="257"/>
      <c r="U87"/>
    </row>
    <row r="88" spans="1:669" ht="15" hidden="1" thickBot="1" x14ac:dyDescent="0.25">
      <c r="A88" s="282" t="s">
        <v>145</v>
      </c>
      <c r="B88" s="833" t="s">
        <v>40</v>
      </c>
      <c r="C88" s="833"/>
      <c r="D88" s="833"/>
      <c r="E88" s="833"/>
      <c r="F88" s="283"/>
      <c r="G88" s="283"/>
      <c r="H88" s="283">
        <v>0</v>
      </c>
      <c r="I88" s="283"/>
      <c r="J88" s="283"/>
      <c r="K88" s="284"/>
      <c r="L88" s="36"/>
      <c r="M88" s="36"/>
      <c r="U88"/>
    </row>
    <row r="89" spans="1:669" hidden="1" x14ac:dyDescent="0.2">
      <c r="F89" s="190"/>
      <c r="G89" s="190"/>
      <c r="H89" s="190"/>
      <c r="I89" s="190"/>
      <c r="J89" s="190">
        <f>J85+I81+H36+J88</f>
        <v>251524.77000000002</v>
      </c>
      <c r="K89" s="190" t="s">
        <v>46</v>
      </c>
    </row>
    <row r="90" spans="1:669" hidden="1" x14ac:dyDescent="0.2">
      <c r="F90" s="190"/>
      <c r="G90" s="190"/>
      <c r="H90" s="190"/>
      <c r="I90" s="190"/>
      <c r="J90" s="179">
        <f>'December''23 AR Aging '!G73</f>
        <v>266691.07</v>
      </c>
      <c r="K90" s="190" t="s">
        <v>444</v>
      </c>
    </row>
    <row r="91" spans="1:669" ht="15" hidden="1" customHeight="1" thickBot="1" x14ac:dyDescent="0.25">
      <c r="F91" s="190"/>
      <c r="G91" s="190"/>
      <c r="H91" s="190"/>
      <c r="I91" s="190"/>
      <c r="J91" s="559">
        <f>J90-J89</f>
        <v>15166.299999999988</v>
      </c>
      <c r="K91" s="190" t="s">
        <v>386</v>
      </c>
    </row>
    <row r="92" spans="1:669" ht="15" hidden="1" customHeight="1" thickTop="1" x14ac:dyDescent="0.2">
      <c r="C92" s="5"/>
      <c r="E92" s="4"/>
    </row>
    <row r="93" spans="1:669" hidden="1" x14ac:dyDescent="0.2"/>
    <row r="94" spans="1:669" hidden="1" x14ac:dyDescent="0.2"/>
    <row r="101" spans="1:5" x14ac:dyDescent="0.2">
      <c r="A101" s="6"/>
      <c r="E101" s="4"/>
    </row>
  </sheetData>
  <mergeCells count="33">
    <mergeCell ref="B77:E77"/>
    <mergeCell ref="B44:C44"/>
    <mergeCell ref="B46:C46"/>
    <mergeCell ref="B47:C47"/>
    <mergeCell ref="B56:C56"/>
    <mergeCell ref="B59:C59"/>
    <mergeCell ref="B53:C53"/>
    <mergeCell ref="B49:C49"/>
    <mergeCell ref="B50:C50"/>
    <mergeCell ref="B48:C48"/>
    <mergeCell ref="B52:C52"/>
    <mergeCell ref="B88:E88"/>
    <mergeCell ref="B78:E78"/>
    <mergeCell ref="B86:E86"/>
    <mergeCell ref="B80:E80"/>
    <mergeCell ref="B85:E85"/>
    <mergeCell ref="B87:E87"/>
    <mergeCell ref="B40:C40"/>
    <mergeCell ref="B76:E76"/>
    <mergeCell ref="B64:E64"/>
    <mergeCell ref="B42:C42"/>
    <mergeCell ref="B58:C58"/>
    <mergeCell ref="B60:C60"/>
    <mergeCell ref="B72:E72"/>
    <mergeCell ref="B75:E75"/>
    <mergeCell ref="B41:C41"/>
    <mergeCell ref="B68:E68"/>
    <mergeCell ref="B43:C43"/>
    <mergeCell ref="B55:C55"/>
    <mergeCell ref="B45:C45"/>
    <mergeCell ref="B51:C51"/>
    <mergeCell ref="B69:E69"/>
    <mergeCell ref="B54:C54"/>
  </mergeCells>
  <pageMargins left="0.45" right="0" top="0.75" bottom="0" header="0.3" footer="0.05"/>
  <pageSetup paperSize="5"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3"/>
  <sheetViews>
    <sheetView zoomScale="70" zoomScaleNormal="70" workbookViewId="0"/>
  </sheetViews>
  <sheetFormatPr defaultRowHeight="14.25" x14ac:dyDescent="0.2"/>
  <cols>
    <col min="1" max="1" width="1.875" style="45" customWidth="1"/>
    <col min="2" max="2" width="55.875" style="45" customWidth="1"/>
    <col min="3" max="5" width="17.125" style="91" customWidth="1"/>
    <col min="6" max="6" width="18.75" style="91" customWidth="1"/>
    <col min="7" max="7" width="16.875" style="506" customWidth="1"/>
    <col min="8" max="8" width="11.75" customWidth="1"/>
    <col min="9" max="9" width="19.25" style="21" bestFit="1"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505"/>
      <c r="H1" s="20"/>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632</v>
      </c>
      <c r="B2" s="11"/>
      <c r="C2" s="9"/>
      <c r="D2" s="9"/>
      <c r="E2" s="20"/>
      <c r="F2" s="20"/>
      <c r="G2" s="505"/>
      <c r="H2" s="20"/>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504"/>
      <c r="F3" s="70"/>
    </row>
    <row r="4" spans="1:2009" s="3" customFormat="1" ht="16.5" thickBot="1" x14ac:dyDescent="0.3">
      <c r="A4" s="44"/>
      <c r="B4" s="44"/>
      <c r="C4" s="70" t="s">
        <v>633</v>
      </c>
      <c r="D4" s="70" t="s">
        <v>636</v>
      </c>
      <c r="E4" s="70" t="s">
        <v>609</v>
      </c>
      <c r="F4" s="70" t="s">
        <v>647</v>
      </c>
      <c r="G4" s="507" t="s">
        <v>401</v>
      </c>
      <c r="I4" s="26"/>
    </row>
    <row r="5" spans="1:2009" ht="24.95" customHeight="1" x14ac:dyDescent="0.25">
      <c r="A5" s="842" t="s">
        <v>65</v>
      </c>
      <c r="B5" s="843"/>
      <c r="C5" s="114"/>
      <c r="D5" s="114"/>
      <c r="E5" s="122"/>
      <c r="F5" s="122"/>
      <c r="G5" s="508"/>
    </row>
    <row r="6" spans="1:2009" s="190" customFormat="1" ht="24.95" customHeight="1" x14ac:dyDescent="0.25">
      <c r="A6" s="274"/>
      <c r="B6" s="92" t="s">
        <v>650</v>
      </c>
      <c r="C6" s="415">
        <v>15310</v>
      </c>
      <c r="D6" s="129"/>
      <c r="E6" s="415"/>
      <c r="F6" s="129"/>
      <c r="G6" s="509">
        <f>SUM(C6:F6)</f>
        <v>15310</v>
      </c>
      <c r="I6" s="21"/>
    </row>
    <row r="7" spans="1:2009" s="71" customFormat="1" ht="24.95" customHeight="1" x14ac:dyDescent="0.25">
      <c r="A7" s="96"/>
      <c r="B7" s="92" t="s">
        <v>544</v>
      </c>
      <c r="C7" s="129">
        <v>41859.4</v>
      </c>
      <c r="D7" s="129"/>
      <c r="E7" s="129"/>
      <c r="F7" s="130"/>
      <c r="G7" s="509">
        <f>ROUND(SUM(C7:F7),5)</f>
        <v>41859.4</v>
      </c>
      <c r="H7"/>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61" customFormat="1" ht="24.95" customHeight="1" thickBot="1" x14ac:dyDescent="0.3">
      <c r="A8" s="158"/>
      <c r="B8" s="159" t="s">
        <v>153</v>
      </c>
      <c r="C8" s="649">
        <f>SUM(C5:C7)</f>
        <v>57169.4</v>
      </c>
      <c r="D8" s="649"/>
      <c r="E8" s="649"/>
      <c r="F8" s="649"/>
      <c r="G8" s="650">
        <f>ROUND(SUM(G3:G7),5)</f>
        <v>57169.4</v>
      </c>
      <c r="H8" s="160"/>
      <c r="I8" s="21"/>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row>
    <row r="9" spans="1:2009" s="3" customFormat="1" ht="12.75" customHeight="1" thickBot="1" x14ac:dyDescent="0.3">
      <c r="A9" s="72"/>
      <c r="B9" s="72"/>
      <c r="C9" s="131"/>
      <c r="D9" s="131"/>
      <c r="E9" s="131"/>
      <c r="F9" s="131"/>
      <c r="G9" s="510"/>
      <c r="I9" s="26"/>
    </row>
    <row r="10" spans="1:2009" s="73" customFormat="1" ht="24.95" customHeight="1" x14ac:dyDescent="0.25">
      <c r="A10" s="97" t="s">
        <v>66</v>
      </c>
      <c r="B10" s="98"/>
      <c r="C10" s="132"/>
      <c r="D10" s="132"/>
      <c r="E10" s="133"/>
      <c r="F10" s="133"/>
      <c r="G10" s="511"/>
      <c r="H10"/>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hidden="1" customHeight="1" x14ac:dyDescent="0.25">
      <c r="A11" s="99"/>
      <c r="B11" s="74" t="s">
        <v>42</v>
      </c>
      <c r="C11" s="134"/>
      <c r="D11" s="134"/>
      <c r="E11" s="135"/>
      <c r="F11" s="135"/>
      <c r="G11" s="512">
        <f>ROUND(SUM(C11:F11),5)</f>
        <v>0</v>
      </c>
      <c r="H11"/>
      <c r="I11" s="2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73" customFormat="1" ht="24.95" customHeight="1" x14ac:dyDescent="0.25">
      <c r="A12" s="99"/>
      <c r="B12" s="74" t="s">
        <v>462</v>
      </c>
      <c r="C12" s="134"/>
      <c r="D12" s="134"/>
      <c r="E12" s="135"/>
      <c r="F12" s="135">
        <v>8749</v>
      </c>
      <c r="G12" s="512">
        <f>ROUND(SUM(C12:F12),5)</f>
        <v>8749</v>
      </c>
      <c r="H12"/>
      <c r="I12" s="21"/>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row>
    <row r="13" spans="1:2009" s="73" customFormat="1" ht="24.95" customHeight="1" x14ac:dyDescent="0.25">
      <c r="A13" s="99"/>
      <c r="B13" s="74" t="s">
        <v>587</v>
      </c>
      <c r="C13" s="134">
        <v>23579.42</v>
      </c>
      <c r="D13" s="134">
        <v>19840.12</v>
      </c>
      <c r="E13" s="134">
        <v>3410.44</v>
      </c>
      <c r="F13" s="135">
        <v>3985.02</v>
      </c>
      <c r="G13" s="512">
        <f>ROUND(SUM(C13:F13),5)</f>
        <v>50815</v>
      </c>
      <c r="H13"/>
      <c r="I13" s="736"/>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row>
    <row r="14" spans="1:2009" s="165" customFormat="1" ht="24.95" customHeight="1" thickBot="1" x14ac:dyDescent="0.3">
      <c r="A14" s="162"/>
      <c r="B14" s="163" t="s">
        <v>135</v>
      </c>
      <c r="C14" s="164">
        <f>ROUND(SUM(C10:C13),5)</f>
        <v>23579.42</v>
      </c>
      <c r="D14" s="164">
        <f>SUM(D11:D13)</f>
        <v>19840.12</v>
      </c>
      <c r="E14" s="164">
        <f>SUM(E11:E13)</f>
        <v>3410.44</v>
      </c>
      <c r="F14" s="164">
        <f>SUM(F11:F13)</f>
        <v>12734.02</v>
      </c>
      <c r="G14" s="589">
        <f>ROUND(SUM(G10:G13),5)</f>
        <v>59564</v>
      </c>
      <c r="H14" s="160"/>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row>
    <row r="15" spans="1:2009" s="3" customFormat="1" ht="12.75" customHeight="1" thickBot="1" x14ac:dyDescent="0.3">
      <c r="A15" s="72"/>
      <c r="B15" s="72"/>
      <c r="C15" s="136"/>
      <c r="D15" s="136"/>
      <c r="E15" s="136"/>
      <c r="F15" s="136"/>
      <c r="G15" s="513"/>
      <c r="I15" s="26"/>
    </row>
    <row r="16" spans="1:2009" s="75" customFormat="1" ht="24.95" hidden="1" customHeight="1" x14ac:dyDescent="0.25">
      <c r="A16" s="100" t="s">
        <v>67</v>
      </c>
      <c r="B16" s="101"/>
      <c r="C16" s="138"/>
      <c r="D16" s="138"/>
      <c r="E16" s="139"/>
      <c r="F16" s="139"/>
      <c r="G16" s="514"/>
      <c r="H16"/>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2"/>
      <c r="B17" s="76" t="s">
        <v>196</v>
      </c>
      <c r="C17" s="140"/>
      <c r="D17" s="140"/>
      <c r="E17" s="141"/>
      <c r="F17" s="141"/>
      <c r="G17" s="515">
        <f t="shared" ref="G17:G20" si="0">ROUND(SUM(C17:F17),5)</f>
        <v>0</v>
      </c>
      <c r="H17"/>
      <c r="I17" s="2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2"/>
      <c r="B18" s="76" t="s">
        <v>265</v>
      </c>
      <c r="C18" s="140"/>
      <c r="D18" s="140"/>
      <c r="E18" s="141"/>
      <c r="F18" s="141"/>
      <c r="G18" s="515">
        <f t="shared" si="0"/>
        <v>0</v>
      </c>
      <c r="H18"/>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2"/>
      <c r="B19" s="76" t="s">
        <v>306</v>
      </c>
      <c r="C19" s="140"/>
      <c r="D19" s="140"/>
      <c r="E19" s="141"/>
      <c r="F19" s="141"/>
      <c r="G19" s="515"/>
      <c r="H19"/>
      <c r="I19" s="21"/>
      <c r="J19"/>
      <c r="K19" s="25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5" customFormat="1" ht="24.95" hidden="1" customHeight="1" x14ac:dyDescent="0.25">
      <c r="A20" s="102"/>
      <c r="B20" s="76" t="s">
        <v>266</v>
      </c>
      <c r="C20" s="140"/>
      <c r="D20" s="140"/>
      <c r="E20" s="141"/>
      <c r="F20" s="141"/>
      <c r="G20" s="515">
        <f t="shared" si="0"/>
        <v>0</v>
      </c>
      <c r="H20"/>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row>
    <row r="21" spans="1:2009" s="75" customFormat="1" ht="24.95" hidden="1" customHeight="1" x14ac:dyDescent="0.25">
      <c r="A21" s="102"/>
      <c r="B21" s="76" t="s">
        <v>307</v>
      </c>
      <c r="C21" s="140"/>
      <c r="D21" s="140"/>
      <c r="E21" s="141"/>
      <c r="F21" s="141"/>
      <c r="G21" s="515"/>
      <c r="H21"/>
      <c r="I21" s="21"/>
      <c r="J21"/>
      <c r="K21" s="25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row>
    <row r="22" spans="1:2009" s="77" customFormat="1" ht="24.95" hidden="1" customHeight="1" x14ac:dyDescent="0.25">
      <c r="A22" s="103"/>
      <c r="B22" s="93" t="s">
        <v>311</v>
      </c>
      <c r="C22" s="140"/>
      <c r="D22" s="140"/>
      <c r="E22" s="141"/>
      <c r="F22" s="141"/>
      <c r="G22" s="515"/>
      <c r="H22" s="3"/>
      <c r="I22" s="2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row>
    <row r="23" spans="1:2009" s="170" customFormat="1" ht="24.95" hidden="1" customHeight="1" thickBot="1" x14ac:dyDescent="0.3">
      <c r="A23" s="166"/>
      <c r="B23" s="167" t="s">
        <v>68</v>
      </c>
      <c r="C23" s="168"/>
      <c r="D23" s="168"/>
      <c r="E23" s="168"/>
      <c r="F23" s="168"/>
      <c r="G23" s="516"/>
      <c r="H23" s="169"/>
      <c r="I23" s="26"/>
      <c r="J23" s="169"/>
      <c r="K23" s="337"/>
      <c r="L23"/>
      <c r="M23"/>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c r="KO23" s="169"/>
      <c r="KP23" s="169"/>
      <c r="KQ23" s="169"/>
      <c r="KR23" s="169"/>
      <c r="KS23" s="169"/>
      <c r="KT23" s="169"/>
      <c r="KU23" s="169"/>
      <c r="KV23" s="169"/>
      <c r="KW23" s="169"/>
      <c r="KX23" s="169"/>
      <c r="KY23" s="169"/>
      <c r="KZ23" s="169"/>
      <c r="LA23" s="169"/>
      <c r="LB23" s="169"/>
      <c r="LC23" s="169"/>
      <c r="LD23" s="169"/>
      <c r="LE23" s="169"/>
      <c r="LF23" s="169"/>
      <c r="LG23" s="169"/>
      <c r="LH23" s="169"/>
      <c r="LI23" s="169"/>
      <c r="LJ23" s="169"/>
      <c r="LK23" s="169"/>
      <c r="LL23" s="169"/>
      <c r="LM23" s="169"/>
      <c r="LN23" s="169"/>
      <c r="LO23" s="169"/>
      <c r="LP23" s="169"/>
      <c r="LQ23" s="169"/>
      <c r="LR23" s="169"/>
      <c r="LS23" s="169"/>
      <c r="LT23" s="169"/>
      <c r="LU23" s="169"/>
      <c r="LV23" s="169"/>
      <c r="LW23" s="169"/>
      <c r="LX23" s="169"/>
      <c r="LY23" s="169"/>
      <c r="LZ23" s="169"/>
      <c r="MA23" s="169"/>
      <c r="MB23" s="169"/>
      <c r="MC23" s="169"/>
      <c r="MD23" s="169"/>
      <c r="ME23" s="169"/>
      <c r="MF23" s="169"/>
      <c r="MG23" s="169"/>
      <c r="MH23" s="169"/>
      <c r="MI23" s="169"/>
      <c r="MJ23" s="169"/>
      <c r="MK23" s="169"/>
      <c r="ML23" s="169"/>
      <c r="MM23" s="169"/>
      <c r="MN23" s="169"/>
      <c r="MO23" s="169"/>
      <c r="MP23" s="169"/>
      <c r="MQ23" s="169"/>
      <c r="MR23" s="169"/>
      <c r="MS23" s="169"/>
      <c r="MT23" s="169"/>
      <c r="MU23" s="169"/>
      <c r="MV23" s="169"/>
      <c r="MW23" s="169"/>
      <c r="MX23" s="169"/>
      <c r="MY23" s="169"/>
      <c r="MZ23" s="169"/>
      <c r="NA23" s="169"/>
      <c r="NB23" s="169"/>
      <c r="NC23" s="169"/>
      <c r="ND23" s="169"/>
      <c r="NE23" s="169"/>
      <c r="NF23" s="169"/>
      <c r="NG23" s="169"/>
      <c r="NH23" s="169"/>
      <c r="NI23" s="169"/>
      <c r="NJ23" s="169"/>
      <c r="NK23" s="169"/>
      <c r="NL23" s="169"/>
      <c r="NM23" s="169"/>
      <c r="NN23" s="169"/>
      <c r="NO23" s="169"/>
      <c r="NP23" s="169"/>
      <c r="NQ23" s="169"/>
      <c r="NR23" s="169"/>
      <c r="NS23" s="169"/>
      <c r="NT23" s="169"/>
      <c r="NU23" s="169"/>
      <c r="NV23" s="169"/>
      <c r="NW23" s="169"/>
      <c r="NX23" s="169"/>
      <c r="NY23" s="169"/>
      <c r="NZ23" s="169"/>
      <c r="OA23" s="169"/>
      <c r="OB23" s="169"/>
      <c r="OC23" s="169"/>
      <c r="OD23" s="169"/>
      <c r="OE23" s="169"/>
      <c r="OF23" s="169"/>
      <c r="OG23" s="169"/>
      <c r="OH23" s="169"/>
      <c r="OI23" s="169"/>
      <c r="OJ23" s="169"/>
      <c r="OK23" s="169"/>
      <c r="OL23" s="169"/>
      <c r="OM23" s="169"/>
      <c r="ON23" s="169"/>
      <c r="OO23" s="169"/>
      <c r="OP23" s="169"/>
      <c r="OQ23" s="169"/>
      <c r="OR23" s="169"/>
      <c r="OS23" s="169"/>
      <c r="OT23" s="169"/>
      <c r="OU23" s="169"/>
      <c r="OV23" s="169"/>
      <c r="OW23" s="169"/>
      <c r="OX23" s="169"/>
      <c r="OY23" s="169"/>
      <c r="OZ23" s="169"/>
      <c r="PA23" s="169"/>
      <c r="PB23" s="169"/>
      <c r="PC23" s="169"/>
      <c r="PD23" s="169"/>
      <c r="PE23" s="169"/>
      <c r="PF23" s="169"/>
      <c r="PG23" s="169"/>
      <c r="PH23" s="169"/>
      <c r="PI23" s="169"/>
      <c r="PJ23" s="169"/>
      <c r="PK23" s="169"/>
      <c r="PL23" s="169"/>
      <c r="PM23" s="169"/>
      <c r="PN23" s="169"/>
      <c r="PO23" s="169"/>
      <c r="PP23" s="169"/>
      <c r="PQ23" s="169"/>
      <c r="PR23" s="169"/>
      <c r="PS23" s="169"/>
      <c r="PT23" s="169"/>
      <c r="PU23" s="169"/>
      <c r="PV23" s="169"/>
      <c r="PW23" s="169"/>
      <c r="PX23" s="169"/>
      <c r="PY23" s="169"/>
      <c r="PZ23" s="169"/>
      <c r="QA23" s="169"/>
      <c r="QB23" s="169"/>
      <c r="QC23" s="169"/>
      <c r="QD23" s="169"/>
      <c r="QE23" s="169"/>
      <c r="QF23" s="169"/>
      <c r="QG23" s="169"/>
      <c r="QH23" s="169"/>
      <c r="QI23" s="169"/>
      <c r="QJ23" s="169"/>
      <c r="QK23" s="169"/>
      <c r="QL23" s="169"/>
      <c r="QM23" s="169"/>
      <c r="QN23" s="169"/>
      <c r="QO23" s="169"/>
      <c r="QP23" s="169"/>
      <c r="QQ23" s="169"/>
      <c r="QR23" s="169"/>
      <c r="QS23" s="169"/>
      <c r="QT23" s="169"/>
      <c r="QU23" s="169"/>
      <c r="QV23" s="169"/>
      <c r="QW23" s="169"/>
      <c r="QX23" s="169"/>
      <c r="QY23" s="169"/>
      <c r="QZ23" s="169"/>
      <c r="RA23" s="169"/>
      <c r="RB23" s="169"/>
      <c r="RC23" s="169"/>
      <c r="RD23" s="169"/>
      <c r="RE23" s="169"/>
      <c r="RF23" s="169"/>
      <c r="RG23" s="169"/>
      <c r="RH23" s="169"/>
      <c r="RI23" s="169"/>
      <c r="RJ23" s="169"/>
      <c r="RK23" s="169"/>
      <c r="RL23" s="169"/>
      <c r="RM23" s="169"/>
      <c r="RN23" s="169"/>
      <c r="RO23" s="169"/>
      <c r="RP23" s="169"/>
      <c r="RQ23" s="169"/>
      <c r="RR23" s="169"/>
      <c r="RS23" s="169"/>
      <c r="RT23" s="169"/>
      <c r="RU23" s="169"/>
      <c r="RV23" s="169"/>
      <c r="RW23" s="169"/>
      <c r="RX23" s="169"/>
      <c r="RY23" s="169"/>
      <c r="RZ23" s="169"/>
      <c r="SA23" s="169"/>
      <c r="SB23" s="169"/>
      <c r="SC23" s="169"/>
      <c r="SD23" s="169"/>
      <c r="SE23" s="169"/>
      <c r="SF23" s="169"/>
      <c r="SG23" s="169"/>
      <c r="SH23" s="169"/>
      <c r="SI23" s="169"/>
      <c r="SJ23" s="169"/>
      <c r="SK23" s="169"/>
      <c r="SL23" s="169"/>
      <c r="SM23" s="169"/>
      <c r="SN23" s="169"/>
      <c r="SO23" s="169"/>
      <c r="SP23" s="169"/>
      <c r="SQ23" s="169"/>
      <c r="SR23" s="169"/>
      <c r="SS23" s="169"/>
      <c r="ST23" s="169"/>
      <c r="SU23" s="169"/>
      <c r="SV23" s="169"/>
      <c r="SW23" s="169"/>
      <c r="SX23" s="169"/>
      <c r="SY23" s="169"/>
      <c r="SZ23" s="169"/>
      <c r="TA23" s="169"/>
      <c r="TB23" s="169"/>
      <c r="TC23" s="169"/>
      <c r="TD23" s="169"/>
      <c r="TE23" s="169"/>
      <c r="TF23" s="169"/>
      <c r="TG23" s="169"/>
      <c r="TH23" s="169"/>
      <c r="TI23" s="169"/>
      <c r="TJ23" s="169"/>
      <c r="TK23" s="169"/>
      <c r="TL23" s="169"/>
      <c r="TM23" s="169"/>
      <c r="TN23" s="169"/>
      <c r="TO23" s="169"/>
      <c r="TP23" s="169"/>
      <c r="TQ23" s="169"/>
      <c r="TR23" s="169"/>
      <c r="TS23" s="169"/>
      <c r="TT23" s="169"/>
      <c r="TU23" s="169"/>
      <c r="TV23" s="169"/>
      <c r="TW23" s="169"/>
      <c r="TX23" s="169"/>
      <c r="TY23" s="169"/>
      <c r="TZ23" s="169"/>
      <c r="UA23" s="169"/>
      <c r="UB23" s="169"/>
      <c r="UC23" s="169"/>
      <c r="UD23" s="169"/>
      <c r="UE23" s="169"/>
      <c r="UF23" s="169"/>
      <c r="UG23" s="169"/>
      <c r="UH23" s="169"/>
      <c r="UI23" s="169"/>
      <c r="UJ23" s="169"/>
      <c r="UK23" s="169"/>
      <c r="UL23" s="169"/>
      <c r="UM23" s="169"/>
      <c r="UN23" s="169"/>
      <c r="UO23" s="169"/>
      <c r="UP23" s="169"/>
      <c r="UQ23" s="169"/>
      <c r="UR23" s="169"/>
      <c r="US23" s="169"/>
      <c r="UT23" s="169"/>
      <c r="UU23" s="169"/>
      <c r="UV23" s="169"/>
      <c r="UW23" s="169"/>
      <c r="UX23" s="169"/>
      <c r="UY23" s="169"/>
      <c r="UZ23" s="169"/>
      <c r="VA23" s="169"/>
      <c r="VB23" s="169"/>
      <c r="VC23" s="169"/>
      <c r="VD23" s="169"/>
      <c r="VE23" s="169"/>
      <c r="VF23" s="169"/>
      <c r="VG23" s="169"/>
      <c r="VH23" s="169"/>
      <c r="VI23" s="169"/>
      <c r="VJ23" s="169"/>
      <c r="VK23" s="169"/>
      <c r="VL23" s="169"/>
      <c r="VM23" s="169"/>
      <c r="VN23" s="169"/>
      <c r="VO23" s="169"/>
      <c r="VP23" s="169"/>
      <c r="VQ23" s="169"/>
      <c r="VR23" s="169"/>
      <c r="VS23" s="169"/>
      <c r="VT23" s="169"/>
      <c r="VU23" s="169"/>
      <c r="VV23" s="169"/>
      <c r="VW23" s="169"/>
      <c r="VX23" s="169"/>
      <c r="VY23" s="169"/>
      <c r="VZ23" s="169"/>
      <c r="WA23" s="169"/>
      <c r="WB23" s="169"/>
      <c r="WC23" s="169"/>
      <c r="WD23" s="169"/>
      <c r="WE23" s="169"/>
      <c r="WF23" s="169"/>
      <c r="WG23" s="169"/>
      <c r="WH23" s="169"/>
      <c r="WI23" s="169"/>
      <c r="WJ23" s="169"/>
      <c r="WK23" s="169"/>
      <c r="WL23" s="169"/>
      <c r="WM23" s="169"/>
      <c r="WN23" s="169"/>
      <c r="WO23" s="169"/>
      <c r="WP23" s="169"/>
      <c r="WQ23" s="169"/>
      <c r="WR23" s="169"/>
      <c r="WS23" s="169"/>
      <c r="WT23" s="169"/>
      <c r="WU23" s="169"/>
      <c r="WV23" s="169"/>
      <c r="WW23" s="169"/>
      <c r="WX23" s="169"/>
      <c r="WY23" s="169"/>
      <c r="WZ23" s="169"/>
      <c r="XA23" s="169"/>
      <c r="XB23" s="169"/>
      <c r="XC23" s="169"/>
      <c r="XD23" s="169"/>
      <c r="XE23" s="169"/>
      <c r="XF23" s="169"/>
      <c r="XG23" s="169"/>
      <c r="XH23" s="169"/>
      <c r="XI23" s="169"/>
      <c r="XJ23" s="169"/>
      <c r="XK23" s="169"/>
      <c r="XL23" s="169"/>
      <c r="XM23" s="169"/>
      <c r="XN23" s="169"/>
      <c r="XO23" s="169"/>
      <c r="XP23" s="169"/>
      <c r="XQ23" s="169"/>
      <c r="XR23" s="169"/>
      <c r="XS23" s="169"/>
      <c r="XT23" s="169"/>
      <c r="XU23" s="169"/>
      <c r="XV23" s="169"/>
      <c r="XW23" s="169"/>
      <c r="XX23" s="169"/>
      <c r="XY23" s="169"/>
      <c r="XZ23" s="169"/>
      <c r="YA23" s="169"/>
      <c r="YB23" s="169"/>
      <c r="YC23" s="169"/>
      <c r="YD23" s="169"/>
      <c r="YE23" s="169"/>
      <c r="YF23" s="169"/>
      <c r="YG23" s="169"/>
      <c r="YH23" s="169"/>
      <c r="YI23" s="169"/>
      <c r="YJ23" s="169"/>
      <c r="YK23" s="169"/>
      <c r="YL23" s="169"/>
      <c r="YM23" s="169"/>
      <c r="YN23" s="169"/>
      <c r="YO23" s="169"/>
      <c r="YP23" s="169"/>
      <c r="YQ23" s="169"/>
      <c r="YR23" s="169"/>
      <c r="YS23" s="169"/>
      <c r="YT23" s="169"/>
      <c r="YU23" s="169"/>
      <c r="YV23" s="169"/>
      <c r="YW23" s="169"/>
      <c r="YX23" s="169"/>
      <c r="YY23" s="169"/>
      <c r="YZ23" s="169"/>
      <c r="ZA23" s="169"/>
      <c r="ZB23" s="169"/>
      <c r="ZC23" s="169"/>
      <c r="ZD23" s="169"/>
      <c r="ZE23" s="169"/>
      <c r="ZF23" s="169"/>
      <c r="ZG23" s="169"/>
      <c r="ZH23" s="169"/>
      <c r="ZI23" s="169"/>
      <c r="ZJ23" s="169"/>
      <c r="ZK23" s="169"/>
      <c r="ZL23" s="169"/>
      <c r="ZM23" s="169"/>
      <c r="ZN23" s="169"/>
      <c r="ZO23" s="169"/>
      <c r="ZP23" s="169"/>
      <c r="ZQ23" s="169"/>
      <c r="ZR23" s="169"/>
      <c r="ZS23" s="169"/>
      <c r="ZT23" s="169"/>
      <c r="ZU23" s="169"/>
      <c r="ZV23" s="169"/>
      <c r="ZW23" s="169"/>
      <c r="ZX23" s="169"/>
      <c r="ZY23" s="169"/>
      <c r="ZZ23" s="169"/>
      <c r="AAA23" s="169"/>
      <c r="AAB23" s="169"/>
      <c r="AAC23" s="169"/>
      <c r="AAD23" s="169"/>
      <c r="AAE23" s="169"/>
      <c r="AAF23" s="169"/>
      <c r="AAG23" s="169"/>
      <c r="AAH23" s="169"/>
      <c r="AAI23" s="169"/>
      <c r="AAJ23" s="169"/>
      <c r="AAK23" s="169"/>
      <c r="AAL23" s="169"/>
      <c r="AAM23" s="169"/>
      <c r="AAN23" s="169"/>
      <c r="AAO23" s="169"/>
      <c r="AAP23" s="169"/>
      <c r="AAQ23" s="169"/>
      <c r="AAR23" s="169"/>
      <c r="AAS23" s="169"/>
      <c r="AAT23" s="169"/>
      <c r="AAU23" s="169"/>
      <c r="AAV23" s="169"/>
      <c r="AAW23" s="169"/>
      <c r="AAX23" s="169"/>
      <c r="AAY23" s="169"/>
      <c r="AAZ23" s="169"/>
      <c r="ABA23" s="169"/>
      <c r="ABB23" s="169"/>
      <c r="ABC23" s="169"/>
      <c r="ABD23" s="169"/>
      <c r="ABE23" s="169"/>
      <c r="ABF23" s="169"/>
      <c r="ABG23" s="169"/>
      <c r="ABH23" s="169"/>
      <c r="ABI23" s="169"/>
      <c r="ABJ23" s="169"/>
      <c r="ABK23" s="169"/>
      <c r="ABL23" s="169"/>
      <c r="ABM23" s="169"/>
      <c r="ABN23" s="169"/>
      <c r="ABO23" s="169"/>
      <c r="ABP23" s="169"/>
      <c r="ABQ23" s="169"/>
      <c r="ABR23" s="169"/>
      <c r="ABS23" s="169"/>
      <c r="ABT23" s="169"/>
      <c r="ABU23" s="169"/>
      <c r="ABV23" s="169"/>
      <c r="ABW23" s="169"/>
      <c r="ABX23" s="169"/>
      <c r="ABY23" s="169"/>
      <c r="ABZ23" s="169"/>
      <c r="ACA23" s="169"/>
      <c r="ACB23" s="169"/>
      <c r="ACC23" s="169"/>
      <c r="ACD23" s="169"/>
      <c r="ACE23" s="169"/>
      <c r="ACF23" s="169"/>
      <c r="ACG23" s="169"/>
      <c r="ACH23" s="169"/>
      <c r="ACI23" s="169"/>
      <c r="ACJ23" s="169"/>
      <c r="ACK23" s="169"/>
      <c r="ACL23" s="169"/>
      <c r="ACM23" s="169"/>
      <c r="ACN23" s="169"/>
      <c r="ACO23" s="169"/>
      <c r="ACP23" s="169"/>
      <c r="ACQ23" s="169"/>
      <c r="ACR23" s="169"/>
      <c r="ACS23" s="169"/>
      <c r="ACT23" s="169"/>
      <c r="ACU23" s="169"/>
      <c r="ACV23" s="169"/>
      <c r="ACW23" s="169"/>
      <c r="ACX23" s="169"/>
      <c r="ACY23" s="169"/>
      <c r="ACZ23" s="169"/>
      <c r="ADA23" s="169"/>
      <c r="ADB23" s="169"/>
      <c r="ADC23" s="169"/>
      <c r="ADD23" s="169"/>
      <c r="ADE23" s="169"/>
      <c r="ADF23" s="169"/>
      <c r="ADG23" s="169"/>
      <c r="ADH23" s="169"/>
      <c r="ADI23" s="169"/>
      <c r="ADJ23" s="169"/>
      <c r="ADK23" s="169"/>
      <c r="ADL23" s="169"/>
      <c r="ADM23" s="169"/>
      <c r="ADN23" s="169"/>
      <c r="ADO23" s="169"/>
      <c r="ADP23" s="169"/>
      <c r="ADQ23" s="169"/>
      <c r="ADR23" s="169"/>
      <c r="ADS23" s="169"/>
      <c r="ADT23" s="169"/>
      <c r="ADU23" s="169"/>
      <c r="ADV23" s="169"/>
      <c r="ADW23" s="169"/>
      <c r="ADX23" s="169"/>
      <c r="ADY23" s="169"/>
      <c r="ADZ23" s="169"/>
      <c r="AEA23" s="169"/>
      <c r="AEB23" s="169"/>
      <c r="AEC23" s="169"/>
      <c r="AED23" s="169"/>
      <c r="AEE23" s="169"/>
      <c r="AEF23" s="169"/>
      <c r="AEG23" s="169"/>
      <c r="AEH23" s="169"/>
      <c r="AEI23" s="169"/>
      <c r="AEJ23" s="169"/>
      <c r="AEK23" s="169"/>
      <c r="AEL23" s="169"/>
      <c r="AEM23" s="169"/>
      <c r="AEN23" s="169"/>
      <c r="AEO23" s="169"/>
      <c r="AEP23" s="169"/>
      <c r="AEQ23" s="169"/>
      <c r="AER23" s="169"/>
      <c r="AES23" s="169"/>
      <c r="AET23" s="169"/>
      <c r="AEU23" s="169"/>
      <c r="AEV23" s="169"/>
      <c r="AEW23" s="169"/>
      <c r="AEX23" s="169"/>
      <c r="AEY23" s="169"/>
      <c r="AEZ23" s="169"/>
      <c r="AFA23" s="169"/>
      <c r="AFB23" s="169"/>
      <c r="AFC23" s="169"/>
      <c r="AFD23" s="169"/>
      <c r="AFE23" s="169"/>
      <c r="AFF23" s="169"/>
      <c r="AFG23" s="169"/>
      <c r="AFH23" s="169"/>
      <c r="AFI23" s="169"/>
      <c r="AFJ23" s="169"/>
      <c r="AFK23" s="169"/>
      <c r="AFL23" s="169"/>
      <c r="AFM23" s="169"/>
      <c r="AFN23" s="169"/>
      <c r="AFO23" s="169"/>
      <c r="AFP23" s="169"/>
      <c r="AFQ23" s="169"/>
      <c r="AFR23" s="169"/>
      <c r="AFS23" s="169"/>
      <c r="AFT23" s="169"/>
      <c r="AFU23" s="169"/>
      <c r="AFV23" s="169"/>
      <c r="AFW23" s="169"/>
      <c r="AFX23" s="169"/>
      <c r="AFY23" s="169"/>
      <c r="AFZ23" s="169"/>
      <c r="AGA23" s="169"/>
      <c r="AGB23" s="169"/>
      <c r="AGC23" s="169"/>
      <c r="AGD23" s="169"/>
      <c r="AGE23" s="169"/>
      <c r="AGF23" s="169"/>
      <c r="AGG23" s="169"/>
      <c r="AGH23" s="169"/>
      <c r="AGI23" s="169"/>
      <c r="AGJ23" s="169"/>
      <c r="AGK23" s="169"/>
      <c r="AGL23" s="169"/>
      <c r="AGM23" s="169"/>
      <c r="AGN23" s="169"/>
      <c r="AGO23" s="169"/>
      <c r="AGP23" s="169"/>
      <c r="AGQ23" s="169"/>
      <c r="AGR23" s="169"/>
      <c r="AGS23" s="169"/>
      <c r="AGT23" s="169"/>
      <c r="AGU23" s="169"/>
      <c r="AGV23" s="169"/>
      <c r="AGW23" s="169"/>
      <c r="AGX23" s="169"/>
      <c r="AGY23" s="169"/>
      <c r="AGZ23" s="169"/>
      <c r="AHA23" s="169"/>
      <c r="AHB23" s="169"/>
      <c r="AHC23" s="169"/>
      <c r="AHD23" s="169"/>
      <c r="AHE23" s="169"/>
      <c r="AHF23" s="169"/>
      <c r="AHG23" s="169"/>
      <c r="AHH23" s="169"/>
      <c r="AHI23" s="169"/>
      <c r="AHJ23" s="169"/>
      <c r="AHK23" s="169"/>
      <c r="AHL23" s="169"/>
      <c r="AHM23" s="169"/>
      <c r="AHN23" s="169"/>
      <c r="AHO23" s="169"/>
      <c r="AHP23" s="169"/>
      <c r="AHQ23" s="169"/>
      <c r="AHR23" s="169"/>
      <c r="AHS23" s="169"/>
      <c r="AHT23" s="169"/>
      <c r="AHU23" s="169"/>
      <c r="AHV23" s="169"/>
      <c r="AHW23" s="169"/>
      <c r="AHX23" s="169"/>
      <c r="AHY23" s="169"/>
      <c r="AHZ23" s="169"/>
      <c r="AIA23" s="169"/>
      <c r="AIB23" s="169"/>
      <c r="AIC23" s="169"/>
      <c r="AID23" s="169"/>
      <c r="AIE23" s="169"/>
      <c r="AIF23" s="169"/>
      <c r="AIG23" s="169"/>
      <c r="AIH23" s="169"/>
      <c r="AII23" s="169"/>
      <c r="AIJ23" s="169"/>
      <c r="AIK23" s="169"/>
      <c r="AIL23" s="169"/>
      <c r="AIM23" s="169"/>
      <c r="AIN23" s="169"/>
      <c r="AIO23" s="169"/>
      <c r="AIP23" s="169"/>
      <c r="AIQ23" s="169"/>
      <c r="AIR23" s="169"/>
      <c r="AIS23" s="169"/>
      <c r="AIT23" s="169"/>
      <c r="AIU23" s="169"/>
      <c r="AIV23" s="169"/>
      <c r="AIW23" s="169"/>
      <c r="AIX23" s="169"/>
      <c r="AIY23" s="169"/>
      <c r="AIZ23" s="169"/>
      <c r="AJA23" s="169"/>
      <c r="AJB23" s="169"/>
      <c r="AJC23" s="169"/>
      <c r="AJD23" s="169"/>
      <c r="AJE23" s="169"/>
      <c r="AJF23" s="169"/>
      <c r="AJG23" s="169"/>
      <c r="AJH23" s="169"/>
      <c r="AJI23" s="169"/>
      <c r="AJJ23" s="169"/>
      <c r="AJK23" s="169"/>
      <c r="AJL23" s="169"/>
      <c r="AJM23" s="169"/>
      <c r="AJN23" s="169"/>
      <c r="AJO23" s="169"/>
      <c r="AJP23" s="169"/>
      <c r="AJQ23" s="169"/>
      <c r="AJR23" s="169"/>
      <c r="AJS23" s="169"/>
      <c r="AJT23" s="169"/>
      <c r="AJU23" s="169"/>
      <c r="AJV23" s="169"/>
      <c r="AJW23" s="169"/>
      <c r="AJX23" s="169"/>
      <c r="AJY23" s="169"/>
      <c r="AJZ23" s="169"/>
      <c r="AKA23" s="169"/>
      <c r="AKB23" s="169"/>
      <c r="AKC23" s="169"/>
      <c r="AKD23" s="169"/>
      <c r="AKE23" s="169"/>
      <c r="AKF23" s="169"/>
      <c r="AKG23" s="169"/>
      <c r="AKH23" s="169"/>
      <c r="AKI23" s="169"/>
      <c r="AKJ23" s="169"/>
      <c r="AKK23" s="169"/>
      <c r="AKL23" s="169"/>
      <c r="AKM23" s="169"/>
      <c r="AKN23" s="169"/>
      <c r="AKO23" s="169"/>
      <c r="AKP23" s="169"/>
      <c r="AKQ23" s="169"/>
      <c r="AKR23" s="169"/>
      <c r="AKS23" s="169"/>
      <c r="AKT23" s="169"/>
      <c r="AKU23" s="169"/>
      <c r="AKV23" s="169"/>
      <c r="AKW23" s="169"/>
      <c r="AKX23" s="169"/>
      <c r="AKY23" s="169"/>
      <c r="AKZ23" s="169"/>
      <c r="ALA23" s="169"/>
      <c r="ALB23" s="169"/>
      <c r="ALC23" s="169"/>
      <c r="ALD23" s="169"/>
      <c r="ALE23" s="169"/>
      <c r="ALF23" s="169"/>
      <c r="ALG23" s="169"/>
      <c r="ALH23" s="169"/>
      <c r="ALI23" s="169"/>
      <c r="ALJ23" s="169"/>
      <c r="ALK23" s="169"/>
      <c r="ALL23" s="169"/>
      <c r="ALM23" s="169"/>
      <c r="ALN23" s="169"/>
      <c r="ALO23" s="169"/>
      <c r="ALP23" s="169"/>
      <c r="ALQ23" s="169"/>
      <c r="ALR23" s="169"/>
      <c r="ALS23" s="169"/>
      <c r="ALT23" s="169"/>
      <c r="ALU23" s="169"/>
      <c r="ALV23" s="169"/>
      <c r="ALW23" s="169"/>
      <c r="ALX23" s="169"/>
      <c r="ALY23" s="169"/>
      <c r="ALZ23" s="169"/>
      <c r="AMA23" s="169"/>
      <c r="AMB23" s="169"/>
      <c r="AMC23" s="169"/>
      <c r="AMD23" s="169"/>
      <c r="AME23" s="169"/>
      <c r="AMF23" s="169"/>
      <c r="AMG23" s="169"/>
      <c r="AMH23" s="169"/>
      <c r="AMI23" s="169"/>
      <c r="AMJ23" s="169"/>
      <c r="AMK23" s="169"/>
      <c r="AML23" s="169"/>
      <c r="AMM23" s="169"/>
      <c r="AMN23" s="169"/>
      <c r="AMO23" s="169"/>
      <c r="AMP23" s="169"/>
      <c r="AMQ23" s="169"/>
      <c r="AMR23" s="169"/>
      <c r="AMS23" s="169"/>
      <c r="AMT23" s="169"/>
      <c r="AMU23" s="169"/>
      <c r="AMV23" s="169"/>
      <c r="AMW23" s="169"/>
      <c r="AMX23" s="169"/>
      <c r="AMY23" s="169"/>
      <c r="AMZ23" s="169"/>
      <c r="ANA23" s="169"/>
      <c r="ANB23" s="169"/>
      <c r="ANC23" s="169"/>
      <c r="AND23" s="169"/>
      <c r="ANE23" s="169"/>
      <c r="ANF23" s="169"/>
      <c r="ANG23" s="169"/>
      <c r="ANH23" s="169"/>
      <c r="ANI23" s="169"/>
      <c r="ANJ23" s="169"/>
      <c r="ANK23" s="169"/>
      <c r="ANL23" s="169"/>
      <c r="ANM23" s="169"/>
      <c r="ANN23" s="169"/>
      <c r="ANO23" s="169"/>
      <c r="ANP23" s="169"/>
      <c r="ANQ23" s="169"/>
      <c r="ANR23" s="169"/>
      <c r="ANS23" s="169"/>
      <c r="ANT23" s="169"/>
      <c r="ANU23" s="169"/>
      <c r="ANV23" s="169"/>
      <c r="ANW23" s="169"/>
      <c r="ANX23" s="169"/>
      <c r="ANY23" s="169"/>
      <c r="ANZ23" s="169"/>
      <c r="AOA23" s="169"/>
      <c r="AOB23" s="169"/>
      <c r="AOC23" s="169"/>
      <c r="AOD23" s="169"/>
      <c r="AOE23" s="169"/>
      <c r="AOF23" s="169"/>
      <c r="AOG23" s="169"/>
      <c r="AOH23" s="169"/>
      <c r="AOI23" s="169"/>
      <c r="AOJ23" s="169"/>
      <c r="AOK23" s="169"/>
      <c r="AOL23" s="169"/>
      <c r="AOM23" s="169"/>
      <c r="AON23" s="169"/>
      <c r="AOO23" s="169"/>
      <c r="AOP23" s="169"/>
      <c r="AOQ23" s="169"/>
      <c r="AOR23" s="169"/>
      <c r="AOS23" s="169"/>
      <c r="AOT23" s="169"/>
      <c r="AOU23" s="169"/>
      <c r="AOV23" s="169"/>
      <c r="AOW23" s="169"/>
      <c r="AOX23" s="169"/>
      <c r="AOY23" s="169"/>
      <c r="AOZ23" s="169"/>
      <c r="APA23" s="169"/>
      <c r="APB23" s="169"/>
      <c r="APC23" s="169"/>
      <c r="APD23" s="169"/>
      <c r="APE23" s="169"/>
      <c r="APF23" s="169"/>
      <c r="APG23" s="169"/>
      <c r="APH23" s="169"/>
      <c r="API23" s="169"/>
      <c r="APJ23" s="169"/>
      <c r="APK23" s="169"/>
      <c r="APL23" s="169"/>
      <c r="APM23" s="169"/>
      <c r="APN23" s="169"/>
      <c r="APO23" s="169"/>
      <c r="APP23" s="169"/>
      <c r="APQ23" s="169"/>
      <c r="APR23" s="169"/>
      <c r="APS23" s="169"/>
      <c r="APT23" s="169"/>
      <c r="APU23" s="169"/>
      <c r="APV23" s="169"/>
      <c r="APW23" s="169"/>
      <c r="APX23" s="169"/>
      <c r="APY23" s="169"/>
      <c r="APZ23" s="169"/>
      <c r="AQA23" s="169"/>
      <c r="AQB23" s="169"/>
      <c r="AQC23" s="169"/>
      <c r="AQD23" s="169"/>
      <c r="AQE23" s="169"/>
      <c r="AQF23" s="169"/>
      <c r="AQG23" s="169"/>
      <c r="AQH23" s="169"/>
      <c r="AQI23" s="169"/>
      <c r="AQJ23" s="169"/>
      <c r="AQK23" s="169"/>
      <c r="AQL23" s="169"/>
      <c r="AQM23" s="169"/>
      <c r="AQN23" s="169"/>
      <c r="AQO23" s="169"/>
      <c r="AQP23" s="169"/>
      <c r="AQQ23" s="169"/>
      <c r="AQR23" s="169"/>
      <c r="AQS23" s="169"/>
      <c r="AQT23" s="169"/>
      <c r="AQU23" s="169"/>
      <c r="AQV23" s="169"/>
      <c r="AQW23" s="169"/>
      <c r="AQX23" s="169"/>
      <c r="AQY23" s="169"/>
      <c r="AQZ23" s="169"/>
      <c r="ARA23" s="169"/>
      <c r="ARB23" s="169"/>
      <c r="ARC23" s="169"/>
      <c r="ARD23" s="169"/>
      <c r="ARE23" s="169"/>
      <c r="ARF23" s="169"/>
      <c r="ARG23" s="169"/>
      <c r="ARH23" s="169"/>
      <c r="ARI23" s="169"/>
      <c r="ARJ23" s="169"/>
      <c r="ARK23" s="169"/>
      <c r="ARL23" s="169"/>
      <c r="ARM23" s="169"/>
      <c r="ARN23" s="169"/>
      <c r="ARO23" s="169"/>
      <c r="ARP23" s="169"/>
      <c r="ARQ23" s="169"/>
      <c r="ARR23" s="169"/>
      <c r="ARS23" s="169"/>
      <c r="ART23" s="169"/>
      <c r="ARU23" s="169"/>
      <c r="ARV23" s="169"/>
      <c r="ARW23" s="169"/>
      <c r="ARX23" s="169"/>
      <c r="ARY23" s="169"/>
      <c r="ARZ23" s="169"/>
      <c r="ASA23" s="169"/>
      <c r="ASB23" s="169"/>
      <c r="ASC23" s="169"/>
      <c r="ASD23" s="169"/>
      <c r="ASE23" s="169"/>
      <c r="ASF23" s="169"/>
      <c r="ASG23" s="169"/>
      <c r="ASH23" s="169"/>
      <c r="ASI23" s="169"/>
      <c r="ASJ23" s="169"/>
      <c r="ASK23" s="169"/>
      <c r="ASL23" s="169"/>
      <c r="ASM23" s="169"/>
      <c r="ASN23" s="169"/>
      <c r="ASO23" s="169"/>
      <c r="ASP23" s="169"/>
      <c r="ASQ23" s="169"/>
      <c r="ASR23" s="169"/>
      <c r="ASS23" s="169"/>
      <c r="AST23" s="169"/>
      <c r="ASU23" s="169"/>
      <c r="ASV23" s="169"/>
      <c r="ASW23" s="169"/>
      <c r="ASX23" s="169"/>
      <c r="ASY23" s="169"/>
      <c r="ASZ23" s="169"/>
      <c r="ATA23" s="169"/>
      <c r="ATB23" s="169"/>
      <c r="ATC23" s="169"/>
      <c r="ATD23" s="169"/>
      <c r="ATE23" s="169"/>
      <c r="ATF23" s="169"/>
      <c r="ATG23" s="169"/>
      <c r="ATH23" s="169"/>
      <c r="ATI23" s="169"/>
      <c r="ATJ23" s="169"/>
      <c r="ATK23" s="169"/>
      <c r="ATL23" s="169"/>
      <c r="ATM23" s="169"/>
      <c r="ATN23" s="169"/>
      <c r="ATO23" s="169"/>
      <c r="ATP23" s="169"/>
      <c r="ATQ23" s="169"/>
      <c r="ATR23" s="169"/>
      <c r="ATS23" s="169"/>
      <c r="ATT23" s="169"/>
      <c r="ATU23" s="169"/>
      <c r="ATV23" s="169"/>
      <c r="ATW23" s="169"/>
      <c r="ATX23" s="169"/>
      <c r="ATY23" s="169"/>
      <c r="ATZ23" s="169"/>
      <c r="AUA23" s="169"/>
      <c r="AUB23" s="169"/>
      <c r="AUC23" s="169"/>
      <c r="AUD23" s="169"/>
      <c r="AUE23" s="169"/>
      <c r="AUF23" s="169"/>
      <c r="AUG23" s="169"/>
      <c r="AUH23" s="169"/>
      <c r="AUI23" s="169"/>
      <c r="AUJ23" s="169"/>
      <c r="AUK23" s="169"/>
      <c r="AUL23" s="169"/>
      <c r="AUM23" s="169"/>
      <c r="AUN23" s="169"/>
      <c r="AUO23" s="169"/>
      <c r="AUP23" s="169"/>
      <c r="AUQ23" s="169"/>
      <c r="AUR23" s="169"/>
      <c r="AUS23" s="169"/>
      <c r="AUT23" s="169"/>
      <c r="AUU23" s="169"/>
      <c r="AUV23" s="169"/>
      <c r="AUW23" s="169"/>
      <c r="AUX23" s="169"/>
      <c r="AUY23" s="169"/>
      <c r="AUZ23" s="169"/>
      <c r="AVA23" s="169"/>
      <c r="AVB23" s="169"/>
      <c r="AVC23" s="169"/>
      <c r="AVD23" s="169"/>
      <c r="AVE23" s="169"/>
      <c r="AVF23" s="169"/>
      <c r="AVG23" s="169"/>
      <c r="AVH23" s="169"/>
      <c r="AVI23" s="169"/>
      <c r="AVJ23" s="169"/>
      <c r="AVK23" s="169"/>
      <c r="AVL23" s="169"/>
      <c r="AVM23" s="169"/>
      <c r="AVN23" s="169"/>
      <c r="AVO23" s="169"/>
      <c r="AVP23" s="169"/>
      <c r="AVQ23" s="169"/>
      <c r="AVR23" s="169"/>
      <c r="AVS23" s="169"/>
      <c r="AVT23" s="169"/>
      <c r="AVU23" s="169"/>
      <c r="AVV23" s="169"/>
      <c r="AVW23" s="169"/>
      <c r="AVX23" s="169"/>
      <c r="AVY23" s="169"/>
      <c r="AVZ23" s="169"/>
      <c r="AWA23" s="169"/>
      <c r="AWB23" s="169"/>
      <c r="AWC23" s="169"/>
      <c r="AWD23" s="169"/>
      <c r="AWE23" s="169"/>
      <c r="AWF23" s="169"/>
      <c r="AWG23" s="169"/>
      <c r="AWH23" s="169"/>
      <c r="AWI23" s="169"/>
      <c r="AWJ23" s="169"/>
      <c r="AWK23" s="169"/>
      <c r="AWL23" s="169"/>
      <c r="AWM23" s="169"/>
      <c r="AWN23" s="169"/>
      <c r="AWO23" s="169"/>
      <c r="AWP23" s="169"/>
      <c r="AWQ23" s="169"/>
      <c r="AWR23" s="169"/>
      <c r="AWS23" s="169"/>
      <c r="AWT23" s="169"/>
      <c r="AWU23" s="169"/>
      <c r="AWV23" s="169"/>
      <c r="AWW23" s="169"/>
      <c r="AWX23" s="169"/>
      <c r="AWY23" s="169"/>
      <c r="AWZ23" s="169"/>
      <c r="AXA23" s="169"/>
      <c r="AXB23" s="169"/>
      <c r="AXC23" s="169"/>
      <c r="AXD23" s="169"/>
      <c r="AXE23" s="169"/>
      <c r="AXF23" s="169"/>
      <c r="AXG23" s="169"/>
      <c r="AXH23" s="169"/>
      <c r="AXI23" s="169"/>
      <c r="AXJ23" s="169"/>
      <c r="AXK23" s="169"/>
      <c r="AXL23" s="169"/>
      <c r="AXM23" s="169"/>
      <c r="AXN23" s="169"/>
      <c r="AXO23" s="169"/>
      <c r="AXP23" s="169"/>
      <c r="AXQ23" s="169"/>
      <c r="AXR23" s="169"/>
      <c r="AXS23" s="169"/>
      <c r="AXT23" s="169"/>
      <c r="AXU23" s="169"/>
      <c r="AXV23" s="169"/>
      <c r="AXW23" s="169"/>
      <c r="AXX23" s="169"/>
      <c r="AXY23" s="169"/>
      <c r="AXZ23" s="169"/>
      <c r="AYA23" s="169"/>
      <c r="AYB23" s="169"/>
      <c r="AYC23" s="169"/>
      <c r="AYD23" s="169"/>
      <c r="AYE23" s="169"/>
      <c r="AYF23" s="169"/>
      <c r="AYG23" s="169"/>
      <c r="AYH23" s="169"/>
      <c r="AYI23" s="169"/>
      <c r="AYJ23" s="169"/>
      <c r="AYK23" s="169"/>
      <c r="AYL23" s="169"/>
      <c r="AYM23" s="169"/>
      <c r="AYN23" s="169"/>
      <c r="AYO23" s="169"/>
      <c r="AYP23" s="169"/>
      <c r="AYQ23" s="169"/>
      <c r="AYR23" s="169"/>
      <c r="AYS23" s="169"/>
      <c r="AYT23" s="169"/>
      <c r="AYU23" s="169"/>
      <c r="AYV23" s="169"/>
      <c r="AYW23" s="169"/>
      <c r="AYX23" s="169"/>
      <c r="AYY23" s="169"/>
      <c r="AYZ23" s="169"/>
      <c r="AZA23" s="169"/>
      <c r="AZB23" s="169"/>
      <c r="AZC23" s="169"/>
      <c r="AZD23" s="169"/>
      <c r="AZE23" s="169"/>
      <c r="AZF23" s="169"/>
      <c r="AZG23" s="169"/>
      <c r="AZH23" s="169"/>
      <c r="AZI23" s="169"/>
      <c r="AZJ23" s="169"/>
      <c r="AZK23" s="169"/>
      <c r="AZL23" s="169"/>
      <c r="AZM23" s="169"/>
      <c r="AZN23" s="169"/>
      <c r="AZO23" s="169"/>
      <c r="AZP23" s="169"/>
      <c r="AZQ23" s="169"/>
      <c r="AZR23" s="169"/>
      <c r="AZS23" s="169"/>
      <c r="AZT23" s="169"/>
      <c r="AZU23" s="169"/>
      <c r="AZV23" s="169"/>
      <c r="AZW23" s="169"/>
      <c r="AZX23" s="169"/>
      <c r="AZY23" s="169"/>
      <c r="AZZ23" s="169"/>
      <c r="BAA23" s="169"/>
      <c r="BAB23" s="169"/>
      <c r="BAC23" s="169"/>
      <c r="BAD23" s="169"/>
      <c r="BAE23" s="169"/>
      <c r="BAF23" s="169"/>
      <c r="BAG23" s="169"/>
      <c r="BAH23" s="169"/>
      <c r="BAI23" s="169"/>
      <c r="BAJ23" s="169"/>
      <c r="BAK23" s="169"/>
      <c r="BAL23" s="169"/>
      <c r="BAM23" s="169"/>
      <c r="BAN23" s="169"/>
      <c r="BAO23" s="169"/>
      <c r="BAP23" s="169"/>
      <c r="BAQ23" s="169"/>
      <c r="BAR23" s="169"/>
      <c r="BAS23" s="169"/>
      <c r="BAT23" s="169"/>
      <c r="BAU23" s="169"/>
      <c r="BAV23" s="169"/>
      <c r="BAW23" s="169"/>
      <c r="BAX23" s="169"/>
      <c r="BAY23" s="169"/>
      <c r="BAZ23" s="169"/>
      <c r="BBA23" s="169"/>
      <c r="BBB23" s="169"/>
      <c r="BBC23" s="169"/>
      <c r="BBD23" s="169"/>
      <c r="BBE23" s="169"/>
      <c r="BBF23" s="169"/>
      <c r="BBG23" s="169"/>
      <c r="BBH23" s="169"/>
      <c r="BBI23" s="169"/>
      <c r="BBJ23" s="169"/>
      <c r="BBK23" s="169"/>
      <c r="BBL23" s="169"/>
      <c r="BBM23" s="169"/>
      <c r="BBN23" s="169"/>
      <c r="BBO23" s="169"/>
      <c r="BBP23" s="169"/>
      <c r="BBQ23" s="169"/>
      <c r="BBR23" s="169"/>
      <c r="BBS23" s="169"/>
      <c r="BBT23" s="169"/>
      <c r="BBU23" s="169"/>
      <c r="BBV23" s="169"/>
      <c r="BBW23" s="169"/>
      <c r="BBX23" s="169"/>
      <c r="BBY23" s="169"/>
      <c r="BBZ23" s="169"/>
      <c r="BCA23" s="169"/>
      <c r="BCB23" s="169"/>
      <c r="BCC23" s="169"/>
      <c r="BCD23" s="169"/>
      <c r="BCE23" s="169"/>
      <c r="BCF23" s="169"/>
      <c r="BCG23" s="169"/>
      <c r="BCH23" s="169"/>
      <c r="BCI23" s="169"/>
      <c r="BCJ23" s="169"/>
      <c r="BCK23" s="169"/>
      <c r="BCL23" s="169"/>
      <c r="BCM23" s="169"/>
      <c r="BCN23" s="169"/>
      <c r="BCO23" s="169"/>
      <c r="BCP23" s="169"/>
      <c r="BCQ23" s="169"/>
      <c r="BCR23" s="169"/>
      <c r="BCS23" s="169"/>
      <c r="BCT23" s="169"/>
      <c r="BCU23" s="169"/>
      <c r="BCV23" s="169"/>
      <c r="BCW23" s="169"/>
      <c r="BCX23" s="169"/>
      <c r="BCY23" s="169"/>
      <c r="BCZ23" s="169"/>
      <c r="BDA23" s="169"/>
      <c r="BDB23" s="169"/>
      <c r="BDC23" s="169"/>
      <c r="BDD23" s="169"/>
      <c r="BDE23" s="169"/>
      <c r="BDF23" s="169"/>
      <c r="BDG23" s="169"/>
      <c r="BDH23" s="169"/>
      <c r="BDI23" s="169"/>
      <c r="BDJ23" s="169"/>
      <c r="BDK23" s="169"/>
      <c r="BDL23" s="169"/>
      <c r="BDM23" s="169"/>
      <c r="BDN23" s="169"/>
      <c r="BDO23" s="169"/>
      <c r="BDP23" s="169"/>
      <c r="BDQ23" s="169"/>
      <c r="BDR23" s="169"/>
      <c r="BDS23" s="169"/>
      <c r="BDT23" s="169"/>
      <c r="BDU23" s="169"/>
      <c r="BDV23" s="169"/>
      <c r="BDW23" s="169"/>
      <c r="BDX23" s="169"/>
      <c r="BDY23" s="169"/>
      <c r="BDZ23" s="169"/>
      <c r="BEA23" s="169"/>
      <c r="BEB23" s="169"/>
      <c r="BEC23" s="169"/>
      <c r="BED23" s="169"/>
      <c r="BEE23" s="169"/>
      <c r="BEF23" s="169"/>
      <c r="BEG23" s="169"/>
      <c r="BEH23" s="169"/>
      <c r="BEI23" s="169"/>
      <c r="BEJ23" s="169"/>
      <c r="BEK23" s="169"/>
      <c r="BEL23" s="169"/>
      <c r="BEM23" s="169"/>
      <c r="BEN23" s="169"/>
      <c r="BEO23" s="169"/>
      <c r="BEP23" s="169"/>
      <c r="BEQ23" s="169"/>
      <c r="BER23" s="169"/>
      <c r="BES23" s="169"/>
      <c r="BET23" s="169"/>
      <c r="BEU23" s="169"/>
      <c r="BEV23" s="169"/>
      <c r="BEW23" s="169"/>
      <c r="BEX23" s="169"/>
      <c r="BEY23" s="169"/>
      <c r="BEZ23" s="169"/>
      <c r="BFA23" s="169"/>
      <c r="BFB23" s="169"/>
      <c r="BFC23" s="169"/>
      <c r="BFD23" s="169"/>
      <c r="BFE23" s="169"/>
      <c r="BFF23" s="169"/>
      <c r="BFG23" s="169"/>
      <c r="BFH23" s="169"/>
      <c r="BFI23" s="169"/>
      <c r="BFJ23" s="169"/>
      <c r="BFK23" s="169"/>
      <c r="BFL23" s="169"/>
      <c r="BFM23" s="169"/>
      <c r="BFN23" s="169"/>
      <c r="BFO23" s="169"/>
      <c r="BFP23" s="169"/>
      <c r="BFQ23" s="169"/>
      <c r="BFR23" s="169"/>
      <c r="BFS23" s="169"/>
      <c r="BFT23" s="169"/>
      <c r="BFU23" s="169"/>
      <c r="BFV23" s="169"/>
      <c r="BFW23" s="169"/>
      <c r="BFX23" s="169"/>
      <c r="BFY23" s="169"/>
      <c r="BFZ23" s="169"/>
      <c r="BGA23" s="169"/>
      <c r="BGB23" s="169"/>
      <c r="BGC23" s="169"/>
      <c r="BGD23" s="169"/>
      <c r="BGE23" s="169"/>
      <c r="BGF23" s="169"/>
      <c r="BGG23" s="169"/>
      <c r="BGH23" s="169"/>
      <c r="BGI23" s="169"/>
      <c r="BGJ23" s="169"/>
      <c r="BGK23" s="169"/>
      <c r="BGL23" s="169"/>
      <c r="BGM23" s="169"/>
      <c r="BGN23" s="169"/>
      <c r="BGO23" s="169"/>
      <c r="BGP23" s="169"/>
      <c r="BGQ23" s="169"/>
      <c r="BGR23" s="169"/>
      <c r="BGS23" s="169"/>
      <c r="BGT23" s="169"/>
      <c r="BGU23" s="169"/>
      <c r="BGV23" s="169"/>
      <c r="BGW23" s="169"/>
      <c r="BGX23" s="169"/>
      <c r="BGY23" s="169"/>
      <c r="BGZ23" s="169"/>
      <c r="BHA23" s="169"/>
      <c r="BHB23" s="169"/>
      <c r="BHC23" s="169"/>
      <c r="BHD23" s="169"/>
      <c r="BHE23" s="169"/>
      <c r="BHF23" s="169"/>
      <c r="BHG23" s="169"/>
      <c r="BHH23" s="169"/>
      <c r="BHI23" s="169"/>
      <c r="BHJ23" s="169"/>
      <c r="BHK23" s="169"/>
      <c r="BHL23" s="169"/>
      <c r="BHM23" s="169"/>
      <c r="BHN23" s="169"/>
      <c r="BHO23" s="169"/>
      <c r="BHP23" s="169"/>
      <c r="BHQ23" s="169"/>
      <c r="BHR23" s="169"/>
      <c r="BHS23" s="169"/>
      <c r="BHT23" s="169"/>
      <c r="BHU23" s="169"/>
      <c r="BHV23" s="169"/>
      <c r="BHW23" s="169"/>
      <c r="BHX23" s="169"/>
      <c r="BHY23" s="169"/>
      <c r="BHZ23" s="169"/>
      <c r="BIA23" s="169"/>
      <c r="BIB23" s="169"/>
      <c r="BIC23" s="169"/>
      <c r="BID23" s="169"/>
      <c r="BIE23" s="169"/>
      <c r="BIF23" s="169"/>
      <c r="BIG23" s="169"/>
      <c r="BIH23" s="169"/>
      <c r="BII23" s="169"/>
      <c r="BIJ23" s="169"/>
      <c r="BIK23" s="169"/>
      <c r="BIL23" s="169"/>
      <c r="BIM23" s="169"/>
      <c r="BIN23" s="169"/>
      <c r="BIO23" s="169"/>
      <c r="BIP23" s="169"/>
      <c r="BIQ23" s="169"/>
      <c r="BIR23" s="169"/>
      <c r="BIS23" s="169"/>
      <c r="BIT23" s="169"/>
      <c r="BIU23" s="169"/>
      <c r="BIV23" s="169"/>
      <c r="BIW23" s="169"/>
      <c r="BIX23" s="169"/>
      <c r="BIY23" s="169"/>
      <c r="BIZ23" s="169"/>
      <c r="BJA23" s="169"/>
      <c r="BJB23" s="169"/>
      <c r="BJC23" s="169"/>
      <c r="BJD23" s="169"/>
      <c r="BJE23" s="169"/>
      <c r="BJF23" s="169"/>
      <c r="BJG23" s="169"/>
      <c r="BJH23" s="169"/>
      <c r="BJI23" s="169"/>
      <c r="BJJ23" s="169"/>
      <c r="BJK23" s="169"/>
      <c r="BJL23" s="169"/>
      <c r="BJM23" s="169"/>
      <c r="BJN23" s="169"/>
      <c r="BJO23" s="169"/>
      <c r="BJP23" s="169"/>
      <c r="BJQ23" s="169"/>
      <c r="BJR23" s="169"/>
      <c r="BJS23" s="169"/>
      <c r="BJT23" s="169"/>
      <c r="BJU23" s="169"/>
      <c r="BJV23" s="169"/>
      <c r="BJW23" s="169"/>
      <c r="BJX23" s="169"/>
      <c r="BJY23" s="169"/>
      <c r="BJZ23" s="169"/>
      <c r="BKA23" s="169"/>
      <c r="BKB23" s="169"/>
      <c r="BKC23" s="169"/>
      <c r="BKD23" s="169"/>
      <c r="BKE23" s="169"/>
      <c r="BKF23" s="169"/>
      <c r="BKG23" s="169"/>
      <c r="BKH23" s="169"/>
      <c r="BKI23" s="169"/>
      <c r="BKJ23" s="169"/>
      <c r="BKK23" s="169"/>
      <c r="BKL23" s="169"/>
      <c r="BKM23" s="169"/>
      <c r="BKN23" s="169"/>
      <c r="BKO23" s="169"/>
      <c r="BKP23" s="169"/>
      <c r="BKQ23" s="169"/>
      <c r="BKR23" s="169"/>
      <c r="BKS23" s="169"/>
      <c r="BKT23" s="169"/>
      <c r="BKU23" s="169"/>
      <c r="BKV23" s="169"/>
      <c r="BKW23" s="169"/>
      <c r="BKX23" s="169"/>
      <c r="BKY23" s="169"/>
      <c r="BKZ23" s="169"/>
      <c r="BLA23" s="169"/>
      <c r="BLB23" s="169"/>
      <c r="BLC23" s="169"/>
      <c r="BLD23" s="169"/>
      <c r="BLE23" s="169"/>
      <c r="BLF23" s="169"/>
      <c r="BLG23" s="169"/>
      <c r="BLH23" s="169"/>
      <c r="BLI23" s="169"/>
      <c r="BLJ23" s="169"/>
      <c r="BLK23" s="169"/>
      <c r="BLL23" s="169"/>
      <c r="BLM23" s="169"/>
      <c r="BLN23" s="169"/>
      <c r="BLO23" s="169"/>
      <c r="BLP23" s="169"/>
      <c r="BLQ23" s="169"/>
      <c r="BLR23" s="169"/>
      <c r="BLS23" s="169"/>
      <c r="BLT23" s="169"/>
      <c r="BLU23" s="169"/>
      <c r="BLV23" s="169"/>
      <c r="BLW23" s="169"/>
      <c r="BLX23" s="169"/>
      <c r="BLY23" s="169"/>
      <c r="BLZ23" s="169"/>
      <c r="BMA23" s="169"/>
      <c r="BMB23" s="169"/>
      <c r="BMC23" s="169"/>
      <c r="BMD23" s="169"/>
      <c r="BME23" s="169"/>
      <c r="BMF23" s="169"/>
      <c r="BMG23" s="169"/>
      <c r="BMH23" s="169"/>
      <c r="BMI23" s="169"/>
      <c r="BMJ23" s="169"/>
      <c r="BMK23" s="169"/>
      <c r="BML23" s="169"/>
      <c r="BMM23" s="169"/>
      <c r="BMN23" s="169"/>
      <c r="BMO23" s="169"/>
      <c r="BMP23" s="169"/>
      <c r="BMQ23" s="169"/>
      <c r="BMR23" s="169"/>
      <c r="BMS23" s="169"/>
      <c r="BMT23" s="169"/>
      <c r="BMU23" s="169"/>
      <c r="BMV23" s="169"/>
      <c r="BMW23" s="169"/>
      <c r="BMX23" s="169"/>
      <c r="BMY23" s="169"/>
      <c r="BMZ23" s="169"/>
      <c r="BNA23" s="169"/>
      <c r="BNB23" s="169"/>
      <c r="BNC23" s="169"/>
      <c r="BND23" s="169"/>
      <c r="BNE23" s="169"/>
      <c r="BNF23" s="169"/>
      <c r="BNG23" s="169"/>
      <c r="BNH23" s="169"/>
      <c r="BNI23" s="169"/>
      <c r="BNJ23" s="169"/>
      <c r="BNK23" s="169"/>
      <c r="BNL23" s="169"/>
      <c r="BNM23" s="169"/>
      <c r="BNN23" s="169"/>
      <c r="BNO23" s="169"/>
      <c r="BNP23" s="169"/>
      <c r="BNQ23" s="169"/>
      <c r="BNR23" s="169"/>
      <c r="BNS23" s="169"/>
      <c r="BNT23" s="169"/>
      <c r="BNU23" s="169"/>
      <c r="BNV23" s="169"/>
      <c r="BNW23" s="169"/>
      <c r="BNX23" s="169"/>
      <c r="BNY23" s="169"/>
      <c r="BNZ23" s="169"/>
      <c r="BOA23" s="169"/>
      <c r="BOB23" s="169"/>
      <c r="BOC23" s="169"/>
      <c r="BOD23" s="169"/>
      <c r="BOE23" s="169"/>
      <c r="BOF23" s="169"/>
      <c r="BOG23" s="169"/>
      <c r="BOH23" s="169"/>
      <c r="BOI23" s="169"/>
      <c r="BOJ23" s="169"/>
      <c r="BOK23" s="169"/>
      <c r="BOL23" s="169"/>
      <c r="BOM23" s="169"/>
      <c r="BON23" s="169"/>
      <c r="BOO23" s="169"/>
      <c r="BOP23" s="169"/>
      <c r="BOQ23" s="169"/>
      <c r="BOR23" s="169"/>
      <c r="BOS23" s="169"/>
      <c r="BOT23" s="169"/>
      <c r="BOU23" s="169"/>
      <c r="BOV23" s="169"/>
      <c r="BOW23" s="169"/>
      <c r="BOX23" s="169"/>
      <c r="BOY23" s="169"/>
      <c r="BOZ23" s="169"/>
      <c r="BPA23" s="169"/>
      <c r="BPB23" s="169"/>
      <c r="BPC23" s="169"/>
      <c r="BPD23" s="169"/>
      <c r="BPE23" s="169"/>
      <c r="BPF23" s="169"/>
      <c r="BPG23" s="169"/>
      <c r="BPH23" s="169"/>
      <c r="BPI23" s="169"/>
      <c r="BPJ23" s="169"/>
      <c r="BPK23" s="169"/>
      <c r="BPL23" s="169"/>
      <c r="BPM23" s="169"/>
      <c r="BPN23" s="169"/>
      <c r="BPO23" s="169"/>
      <c r="BPP23" s="169"/>
      <c r="BPQ23" s="169"/>
      <c r="BPR23" s="169"/>
      <c r="BPS23" s="169"/>
      <c r="BPT23" s="169"/>
      <c r="BPU23" s="169"/>
      <c r="BPV23" s="169"/>
      <c r="BPW23" s="169"/>
      <c r="BPX23" s="169"/>
      <c r="BPY23" s="169"/>
      <c r="BPZ23" s="169"/>
      <c r="BQA23" s="169"/>
      <c r="BQB23" s="169"/>
      <c r="BQC23" s="169"/>
      <c r="BQD23" s="169"/>
      <c r="BQE23" s="169"/>
      <c r="BQF23" s="169"/>
      <c r="BQG23" s="169"/>
      <c r="BQH23" s="169"/>
      <c r="BQI23" s="169"/>
      <c r="BQJ23" s="169"/>
      <c r="BQK23" s="169"/>
      <c r="BQL23" s="169"/>
      <c r="BQM23" s="169"/>
      <c r="BQN23" s="169"/>
      <c r="BQO23" s="169"/>
      <c r="BQP23" s="169"/>
      <c r="BQQ23" s="169"/>
      <c r="BQR23" s="169"/>
      <c r="BQS23" s="169"/>
      <c r="BQT23" s="169"/>
      <c r="BQU23" s="169"/>
      <c r="BQV23" s="169"/>
      <c r="BQW23" s="169"/>
      <c r="BQX23" s="169"/>
      <c r="BQY23" s="169"/>
      <c r="BQZ23" s="169"/>
      <c r="BRA23" s="169"/>
      <c r="BRB23" s="169"/>
      <c r="BRC23" s="169"/>
      <c r="BRD23" s="169"/>
      <c r="BRE23" s="169"/>
      <c r="BRF23" s="169"/>
      <c r="BRG23" s="169"/>
      <c r="BRH23" s="169"/>
      <c r="BRI23" s="169"/>
      <c r="BRJ23" s="169"/>
      <c r="BRK23" s="169"/>
      <c r="BRL23" s="169"/>
      <c r="BRM23" s="169"/>
      <c r="BRN23" s="169"/>
      <c r="BRO23" s="169"/>
      <c r="BRP23" s="169"/>
      <c r="BRQ23" s="169"/>
      <c r="BRR23" s="169"/>
      <c r="BRS23" s="169"/>
      <c r="BRT23" s="169"/>
      <c r="BRU23" s="169"/>
      <c r="BRV23" s="169"/>
      <c r="BRW23" s="169"/>
      <c r="BRX23" s="169"/>
      <c r="BRY23" s="169"/>
      <c r="BRZ23" s="169"/>
      <c r="BSA23" s="169"/>
      <c r="BSB23" s="169"/>
      <c r="BSC23" s="169"/>
      <c r="BSD23" s="169"/>
      <c r="BSE23" s="169"/>
      <c r="BSF23" s="169"/>
      <c r="BSG23" s="169"/>
      <c r="BSH23" s="169"/>
      <c r="BSI23" s="169"/>
      <c r="BSJ23" s="169"/>
      <c r="BSK23" s="169"/>
      <c r="BSL23" s="169"/>
      <c r="BSM23" s="169"/>
      <c r="BSN23" s="169"/>
      <c r="BSO23" s="169"/>
      <c r="BSP23" s="169"/>
      <c r="BSQ23" s="169"/>
      <c r="BSR23" s="169"/>
      <c r="BSS23" s="169"/>
      <c r="BST23" s="169"/>
      <c r="BSU23" s="169"/>
      <c r="BSV23" s="169"/>
      <c r="BSW23" s="169"/>
      <c r="BSX23" s="169"/>
      <c r="BSY23" s="169"/>
      <c r="BSZ23" s="169"/>
      <c r="BTA23" s="169"/>
      <c r="BTB23" s="169"/>
      <c r="BTC23" s="169"/>
      <c r="BTD23" s="169"/>
      <c r="BTE23" s="169"/>
      <c r="BTF23" s="169"/>
      <c r="BTG23" s="169"/>
      <c r="BTH23" s="169"/>
      <c r="BTI23" s="169"/>
      <c r="BTJ23" s="169"/>
      <c r="BTK23" s="169"/>
      <c r="BTL23" s="169"/>
      <c r="BTM23" s="169"/>
      <c r="BTN23" s="169"/>
      <c r="BTO23" s="169"/>
      <c r="BTP23" s="169"/>
      <c r="BTQ23" s="169"/>
      <c r="BTR23" s="169"/>
      <c r="BTS23" s="169"/>
      <c r="BTT23" s="169"/>
      <c r="BTU23" s="169"/>
      <c r="BTV23" s="169"/>
      <c r="BTW23" s="169"/>
      <c r="BTX23" s="169"/>
      <c r="BTY23" s="169"/>
      <c r="BTZ23" s="169"/>
      <c r="BUA23" s="169"/>
      <c r="BUB23" s="169"/>
      <c r="BUC23" s="169"/>
      <c r="BUD23" s="169"/>
      <c r="BUE23" s="169"/>
      <c r="BUF23" s="169"/>
      <c r="BUG23" s="169"/>
      <c r="BUH23" s="169"/>
      <c r="BUI23" s="169"/>
      <c r="BUJ23" s="169"/>
      <c r="BUK23" s="169"/>
      <c r="BUL23" s="169"/>
      <c r="BUM23" s="169"/>
      <c r="BUN23" s="169"/>
      <c r="BUO23" s="169"/>
      <c r="BUP23" s="169"/>
      <c r="BUQ23" s="169"/>
      <c r="BUR23" s="169"/>
      <c r="BUS23" s="169"/>
      <c r="BUT23" s="169"/>
      <c r="BUU23" s="169"/>
      <c r="BUV23" s="169"/>
      <c r="BUW23" s="169"/>
      <c r="BUX23" s="169"/>
      <c r="BUY23" s="169"/>
      <c r="BUZ23" s="169"/>
      <c r="BVA23" s="169"/>
      <c r="BVB23" s="169"/>
      <c r="BVC23" s="169"/>
      <c r="BVD23" s="169"/>
      <c r="BVE23" s="169"/>
      <c r="BVF23" s="169"/>
      <c r="BVG23" s="169"/>
      <c r="BVH23" s="169"/>
      <c r="BVI23" s="169"/>
      <c r="BVJ23" s="169"/>
      <c r="BVK23" s="169"/>
      <c r="BVL23" s="169"/>
      <c r="BVM23" s="169"/>
      <c r="BVN23" s="169"/>
      <c r="BVO23" s="169"/>
      <c r="BVP23" s="169"/>
      <c r="BVQ23" s="169"/>
      <c r="BVR23" s="169"/>
      <c r="BVS23" s="169"/>
      <c r="BVT23" s="169"/>
      <c r="BVU23" s="169"/>
      <c r="BVV23" s="169"/>
      <c r="BVW23" s="169"/>
      <c r="BVX23" s="169"/>
      <c r="BVY23" s="169"/>
      <c r="BVZ23" s="169"/>
      <c r="BWA23" s="169"/>
      <c r="BWB23" s="169"/>
      <c r="BWC23" s="169"/>
      <c r="BWD23" s="169"/>
      <c r="BWE23" s="169"/>
      <c r="BWF23" s="169"/>
      <c r="BWG23" s="169"/>
      <c r="BWH23" s="169"/>
      <c r="BWI23" s="169"/>
      <c r="BWJ23" s="169"/>
      <c r="BWK23" s="169"/>
      <c r="BWL23" s="169"/>
      <c r="BWM23" s="169"/>
      <c r="BWN23" s="169"/>
      <c r="BWO23" s="169"/>
      <c r="BWP23" s="169"/>
      <c r="BWQ23" s="169"/>
      <c r="BWR23" s="169"/>
      <c r="BWS23" s="169"/>
      <c r="BWT23" s="169"/>
      <c r="BWU23" s="169"/>
      <c r="BWV23" s="169"/>
      <c r="BWW23" s="169"/>
      <c r="BWX23" s="169"/>
      <c r="BWY23" s="169"/>
      <c r="BWZ23" s="169"/>
      <c r="BXA23" s="169"/>
      <c r="BXB23" s="169"/>
      <c r="BXC23" s="169"/>
      <c r="BXD23" s="169"/>
      <c r="BXE23" s="169"/>
      <c r="BXF23" s="169"/>
      <c r="BXG23" s="169"/>
      <c r="BXH23" s="169"/>
      <c r="BXI23" s="169"/>
      <c r="BXJ23" s="169"/>
      <c r="BXK23" s="169"/>
      <c r="BXL23" s="169"/>
      <c r="BXM23" s="169"/>
      <c r="BXN23" s="169"/>
      <c r="BXO23" s="169"/>
      <c r="BXP23" s="169"/>
      <c r="BXQ23" s="169"/>
      <c r="BXR23" s="169"/>
      <c r="BXS23" s="169"/>
      <c r="BXT23" s="169"/>
      <c r="BXU23" s="169"/>
      <c r="BXV23" s="169"/>
      <c r="BXW23" s="169"/>
      <c r="BXX23" s="169"/>
      <c r="BXY23" s="169"/>
      <c r="BXZ23" s="169"/>
      <c r="BYA23" s="169"/>
      <c r="BYB23" s="169"/>
      <c r="BYC23" s="169"/>
      <c r="BYD23" s="169"/>
      <c r="BYE23" s="169"/>
      <c r="BYF23" s="169"/>
      <c r="BYG23" s="169"/>
    </row>
    <row r="24" spans="1:2009" s="3" customFormat="1" ht="12.75" hidden="1" customHeight="1" thickBot="1" x14ac:dyDescent="0.3">
      <c r="A24" s="72"/>
      <c r="B24" s="78"/>
      <c r="C24" s="142"/>
      <c r="D24" s="142"/>
      <c r="E24" s="142"/>
      <c r="F24" s="142"/>
      <c r="G24" s="517"/>
      <c r="I24" s="26"/>
      <c r="K24" s="338"/>
      <c r="L24" s="337">
        <v>5.54</v>
      </c>
      <c r="M24"/>
    </row>
    <row r="25" spans="1:2009" s="79" customFormat="1" ht="24.95" hidden="1" customHeight="1" x14ac:dyDescent="0.25">
      <c r="A25" s="104" t="s">
        <v>91</v>
      </c>
      <c r="B25" s="105"/>
      <c r="C25" s="143"/>
      <c r="D25" s="143"/>
      <c r="E25" s="144"/>
      <c r="F25" s="144"/>
      <c r="G25" s="518"/>
      <c r="H25"/>
      <c r="I25" s="21"/>
      <c r="J25"/>
      <c r="K25" s="338"/>
      <c r="L25" s="338" t="s">
        <v>193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row>
    <row r="26" spans="1:2009" s="79" customFormat="1" ht="24.95" hidden="1" customHeight="1" x14ac:dyDescent="0.25">
      <c r="A26" s="106"/>
      <c r="B26" s="94" t="s">
        <v>152</v>
      </c>
      <c r="C26" s="145"/>
      <c r="D26" s="145"/>
      <c r="E26" s="146"/>
      <c r="F26" s="146"/>
      <c r="G26" s="519"/>
      <c r="H26"/>
      <c r="I26" s="21"/>
      <c r="J26"/>
      <c r="K26" s="339"/>
      <c r="L26"/>
      <c r="M26" s="340">
        <v>12.3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row>
    <row r="27" spans="1:2009" s="175" customFormat="1" ht="24.95" hidden="1" customHeight="1" thickBot="1" x14ac:dyDescent="0.3">
      <c r="A27" s="171"/>
      <c r="B27" s="172" t="s">
        <v>136</v>
      </c>
      <c r="C27" s="173"/>
      <c r="D27" s="174"/>
      <c r="E27" s="174"/>
      <c r="F27" s="174">
        <f>SUM(F25:F26)</f>
        <v>0</v>
      </c>
      <c r="G27" s="520">
        <f>ROUND(SUM(C27:F27),5)</f>
        <v>0</v>
      </c>
      <c r="H27" s="160"/>
      <c r="I27" s="2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row>
    <row r="28" spans="1:2009" s="3" customFormat="1" ht="12.75" hidden="1" customHeight="1" thickBot="1" x14ac:dyDescent="0.3">
      <c r="A28" s="72"/>
      <c r="B28" s="72"/>
      <c r="C28" s="136"/>
      <c r="D28" s="136"/>
      <c r="E28" s="136"/>
      <c r="F28" s="136"/>
      <c r="G28" s="513"/>
      <c r="I28" s="26"/>
    </row>
    <row r="29" spans="1:2009" s="80" customFormat="1" ht="24.95" customHeight="1" x14ac:dyDescent="0.25">
      <c r="A29" s="107" t="s">
        <v>150</v>
      </c>
      <c r="B29" s="108"/>
      <c r="C29" s="147"/>
      <c r="D29" s="147"/>
      <c r="E29" s="148"/>
      <c r="F29" s="148"/>
      <c r="G29" s="521"/>
      <c r="H29"/>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80" customFormat="1" ht="24.95" hidden="1" customHeight="1" x14ac:dyDescent="0.25">
      <c r="A30" s="299"/>
      <c r="B30" s="84" t="s">
        <v>463</v>
      </c>
      <c r="C30" s="149"/>
      <c r="D30" s="149"/>
      <c r="E30" s="150"/>
      <c r="F30" s="150"/>
      <c r="G30" s="522">
        <f>SUM(C30:F30)</f>
        <v>0</v>
      </c>
      <c r="H30"/>
      <c r="I30" s="2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row>
    <row r="31" spans="1:2009" s="80" customFormat="1" ht="24.95" customHeight="1" x14ac:dyDescent="0.25">
      <c r="A31" s="115"/>
      <c r="B31" s="84" t="s">
        <v>588</v>
      </c>
      <c r="C31" s="149">
        <v>30359.78</v>
      </c>
      <c r="D31" s="149">
        <f>22216.52+12.58</f>
        <v>22229.100000000002</v>
      </c>
      <c r="E31" s="150"/>
      <c r="F31" s="150"/>
      <c r="G31" s="522">
        <f>SUM(C31:F31)</f>
        <v>52588.880000000005</v>
      </c>
      <c r="H31"/>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row>
    <row r="32" spans="1:2009" s="180" customFormat="1" ht="24.95" customHeight="1" thickBot="1" x14ac:dyDescent="0.3">
      <c r="A32" s="176"/>
      <c r="B32" s="177" t="s">
        <v>151</v>
      </c>
      <c r="C32" s="178">
        <f>SUM(C30:C31)</f>
        <v>30359.78</v>
      </c>
      <c r="D32" s="178">
        <f>D30+D31</f>
        <v>22229.100000000002</v>
      </c>
      <c r="E32" s="178"/>
      <c r="F32" s="178"/>
      <c r="G32" s="651">
        <f>SUM(G30:G31)</f>
        <v>52588.880000000005</v>
      </c>
      <c r="H32" s="160"/>
      <c r="I32" s="736"/>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c r="AMK32" s="179"/>
      <c r="AML32" s="179"/>
      <c r="AMM32" s="179"/>
      <c r="AMN32" s="179"/>
      <c r="AMO32" s="179"/>
      <c r="AMP32" s="179"/>
      <c r="AMQ32" s="179"/>
      <c r="AMR32" s="179"/>
      <c r="AMS32" s="179"/>
      <c r="AMT32" s="179"/>
      <c r="AMU32" s="179"/>
      <c r="AMV32" s="179"/>
      <c r="AMW32" s="179"/>
      <c r="AMX32" s="179"/>
      <c r="AMY32" s="179"/>
      <c r="AMZ32" s="179"/>
      <c r="ANA32" s="179"/>
      <c r="ANB32" s="179"/>
      <c r="ANC32" s="179"/>
      <c r="AND32" s="179"/>
      <c r="ANE32" s="179"/>
      <c r="ANF32" s="179"/>
      <c r="ANG32" s="179"/>
      <c r="ANH32" s="179"/>
      <c r="ANI32" s="179"/>
      <c r="ANJ32" s="179"/>
      <c r="ANK32" s="179"/>
      <c r="ANL32" s="179"/>
      <c r="ANM32" s="179"/>
      <c r="ANN32" s="179"/>
      <c r="ANO32" s="179"/>
      <c r="ANP32" s="179"/>
      <c r="ANQ32" s="179"/>
      <c r="ANR32" s="179"/>
      <c r="ANS32" s="179"/>
      <c r="ANT32" s="179"/>
      <c r="ANU32" s="179"/>
      <c r="ANV32" s="179"/>
      <c r="ANW32" s="179"/>
      <c r="ANX32" s="179"/>
      <c r="ANY32" s="179"/>
      <c r="ANZ32" s="179"/>
      <c r="AOA32" s="179"/>
      <c r="AOB32" s="179"/>
      <c r="AOC32" s="179"/>
      <c r="AOD32" s="179"/>
      <c r="AOE32" s="179"/>
      <c r="AOF32" s="179"/>
      <c r="AOG32" s="179"/>
      <c r="AOH32" s="179"/>
      <c r="AOI32" s="179"/>
      <c r="AOJ32" s="179"/>
      <c r="AOK32" s="179"/>
      <c r="AOL32" s="179"/>
      <c r="AOM32" s="179"/>
      <c r="AON32" s="179"/>
      <c r="AOO32" s="179"/>
      <c r="AOP32" s="179"/>
      <c r="AOQ32" s="179"/>
      <c r="AOR32" s="179"/>
      <c r="AOS32" s="179"/>
      <c r="AOT32" s="179"/>
      <c r="AOU32" s="179"/>
      <c r="AOV32" s="179"/>
      <c r="AOW32" s="179"/>
      <c r="AOX32" s="179"/>
      <c r="AOY32" s="179"/>
      <c r="AOZ32" s="179"/>
      <c r="APA32" s="179"/>
      <c r="APB32" s="179"/>
      <c r="APC32" s="179"/>
      <c r="APD32" s="179"/>
      <c r="APE32" s="179"/>
      <c r="APF32" s="179"/>
      <c r="APG32" s="179"/>
      <c r="APH32" s="179"/>
      <c r="API32" s="179"/>
      <c r="APJ32" s="179"/>
      <c r="APK32" s="179"/>
      <c r="APL32" s="179"/>
      <c r="APM32" s="179"/>
      <c r="APN32" s="179"/>
      <c r="APO32" s="179"/>
      <c r="APP32" s="179"/>
      <c r="APQ32" s="179"/>
      <c r="APR32" s="179"/>
      <c r="APS32" s="179"/>
      <c r="APT32" s="179"/>
      <c r="APU32" s="179"/>
      <c r="APV32" s="179"/>
      <c r="APW32" s="179"/>
      <c r="APX32" s="179"/>
      <c r="APY32" s="179"/>
      <c r="APZ32" s="179"/>
      <c r="AQA32" s="179"/>
      <c r="AQB32" s="179"/>
      <c r="AQC32" s="179"/>
      <c r="AQD32" s="179"/>
      <c r="AQE32" s="179"/>
      <c r="AQF32" s="179"/>
      <c r="AQG32" s="179"/>
      <c r="AQH32" s="179"/>
      <c r="AQI32" s="179"/>
      <c r="AQJ32" s="179"/>
      <c r="AQK32" s="179"/>
      <c r="AQL32" s="179"/>
      <c r="AQM32" s="179"/>
      <c r="AQN32" s="179"/>
      <c r="AQO32" s="179"/>
      <c r="AQP32" s="179"/>
      <c r="AQQ32" s="179"/>
      <c r="AQR32" s="179"/>
      <c r="AQS32" s="179"/>
      <c r="AQT32" s="179"/>
      <c r="AQU32" s="179"/>
      <c r="AQV32" s="179"/>
      <c r="AQW32" s="179"/>
      <c r="AQX32" s="179"/>
      <c r="AQY32" s="179"/>
      <c r="AQZ32" s="179"/>
      <c r="ARA32" s="179"/>
      <c r="ARB32" s="179"/>
      <c r="ARC32" s="179"/>
      <c r="ARD32" s="179"/>
      <c r="ARE32" s="179"/>
      <c r="ARF32" s="179"/>
      <c r="ARG32" s="179"/>
      <c r="ARH32" s="179"/>
      <c r="ARI32" s="179"/>
      <c r="ARJ32" s="179"/>
      <c r="ARK32" s="179"/>
      <c r="ARL32" s="179"/>
      <c r="ARM32" s="179"/>
      <c r="ARN32" s="179"/>
      <c r="ARO32" s="179"/>
      <c r="ARP32" s="179"/>
      <c r="ARQ32" s="179"/>
      <c r="ARR32" s="179"/>
      <c r="ARS32" s="179"/>
      <c r="ART32" s="179"/>
      <c r="ARU32" s="179"/>
      <c r="ARV32" s="179"/>
      <c r="ARW32" s="179"/>
      <c r="ARX32" s="179"/>
      <c r="ARY32" s="179"/>
      <c r="ARZ32" s="179"/>
      <c r="ASA32" s="179"/>
      <c r="ASB32" s="179"/>
      <c r="ASC32" s="179"/>
      <c r="ASD32" s="179"/>
      <c r="ASE32" s="179"/>
      <c r="ASF32" s="179"/>
      <c r="ASG32" s="179"/>
      <c r="ASH32" s="179"/>
      <c r="ASI32" s="179"/>
      <c r="ASJ32" s="179"/>
      <c r="ASK32" s="179"/>
      <c r="ASL32" s="179"/>
      <c r="ASM32" s="179"/>
      <c r="ASN32" s="179"/>
      <c r="ASO32" s="179"/>
      <c r="ASP32" s="179"/>
      <c r="ASQ32" s="179"/>
      <c r="ASR32" s="179"/>
      <c r="ASS32" s="179"/>
      <c r="AST32" s="179"/>
      <c r="ASU32" s="179"/>
      <c r="ASV32" s="179"/>
      <c r="ASW32" s="179"/>
      <c r="ASX32" s="179"/>
      <c r="ASY32" s="179"/>
      <c r="ASZ32" s="179"/>
      <c r="ATA32" s="179"/>
      <c r="ATB32" s="179"/>
      <c r="ATC32" s="179"/>
      <c r="ATD32" s="179"/>
      <c r="ATE32" s="179"/>
      <c r="ATF32" s="179"/>
      <c r="ATG32" s="179"/>
      <c r="ATH32" s="179"/>
      <c r="ATI32" s="179"/>
      <c r="ATJ32" s="179"/>
      <c r="ATK32" s="179"/>
      <c r="ATL32" s="179"/>
      <c r="ATM32" s="179"/>
      <c r="ATN32" s="179"/>
      <c r="ATO32" s="179"/>
      <c r="ATP32" s="179"/>
      <c r="ATQ32" s="179"/>
      <c r="ATR32" s="179"/>
      <c r="ATS32" s="179"/>
      <c r="ATT32" s="179"/>
      <c r="ATU32" s="179"/>
      <c r="ATV32" s="179"/>
      <c r="ATW32" s="179"/>
      <c r="ATX32" s="179"/>
      <c r="ATY32" s="179"/>
      <c r="ATZ32" s="179"/>
      <c r="AUA32" s="179"/>
      <c r="AUB32" s="179"/>
      <c r="AUC32" s="179"/>
      <c r="AUD32" s="179"/>
      <c r="AUE32" s="179"/>
      <c r="AUF32" s="179"/>
      <c r="AUG32" s="179"/>
      <c r="AUH32" s="179"/>
      <c r="AUI32" s="179"/>
      <c r="AUJ32" s="179"/>
      <c r="AUK32" s="179"/>
      <c r="AUL32" s="179"/>
      <c r="AUM32" s="179"/>
      <c r="AUN32" s="179"/>
      <c r="AUO32" s="179"/>
      <c r="AUP32" s="179"/>
      <c r="AUQ32" s="179"/>
      <c r="AUR32" s="179"/>
      <c r="AUS32" s="179"/>
      <c r="AUT32" s="179"/>
      <c r="AUU32" s="179"/>
      <c r="AUV32" s="179"/>
      <c r="AUW32" s="179"/>
      <c r="AUX32" s="179"/>
      <c r="AUY32" s="179"/>
      <c r="AUZ32" s="179"/>
      <c r="AVA32" s="179"/>
      <c r="AVB32" s="179"/>
      <c r="AVC32" s="179"/>
      <c r="AVD32" s="179"/>
      <c r="AVE32" s="179"/>
      <c r="AVF32" s="179"/>
      <c r="AVG32" s="179"/>
      <c r="AVH32" s="179"/>
      <c r="AVI32" s="179"/>
      <c r="AVJ32" s="179"/>
      <c r="AVK32" s="179"/>
      <c r="AVL32" s="179"/>
      <c r="AVM32" s="179"/>
      <c r="AVN32" s="179"/>
      <c r="AVO32" s="179"/>
      <c r="AVP32" s="179"/>
      <c r="AVQ32" s="179"/>
      <c r="AVR32" s="179"/>
      <c r="AVS32" s="179"/>
      <c r="AVT32" s="179"/>
      <c r="AVU32" s="179"/>
      <c r="AVV32" s="179"/>
      <c r="AVW32" s="179"/>
      <c r="AVX32" s="179"/>
      <c r="AVY32" s="179"/>
      <c r="AVZ32" s="179"/>
      <c r="AWA32" s="179"/>
      <c r="AWB32" s="179"/>
      <c r="AWC32" s="179"/>
      <c r="AWD32" s="179"/>
      <c r="AWE32" s="179"/>
      <c r="AWF32" s="179"/>
      <c r="AWG32" s="179"/>
      <c r="AWH32" s="179"/>
      <c r="AWI32" s="179"/>
      <c r="AWJ32" s="179"/>
      <c r="AWK32" s="179"/>
      <c r="AWL32" s="179"/>
      <c r="AWM32" s="179"/>
      <c r="AWN32" s="179"/>
      <c r="AWO32" s="179"/>
      <c r="AWP32" s="179"/>
      <c r="AWQ32" s="179"/>
      <c r="AWR32" s="179"/>
      <c r="AWS32" s="179"/>
      <c r="AWT32" s="179"/>
      <c r="AWU32" s="179"/>
      <c r="AWV32" s="179"/>
      <c r="AWW32" s="179"/>
      <c r="AWX32" s="179"/>
      <c r="AWY32" s="179"/>
      <c r="AWZ32" s="179"/>
      <c r="AXA32" s="179"/>
      <c r="AXB32" s="179"/>
      <c r="AXC32" s="179"/>
      <c r="AXD32" s="179"/>
      <c r="AXE32" s="179"/>
      <c r="AXF32" s="179"/>
      <c r="AXG32" s="179"/>
      <c r="AXH32" s="179"/>
      <c r="AXI32" s="179"/>
      <c r="AXJ32" s="179"/>
      <c r="AXK32" s="179"/>
      <c r="AXL32" s="179"/>
      <c r="AXM32" s="179"/>
      <c r="AXN32" s="179"/>
      <c r="AXO32" s="179"/>
      <c r="AXP32" s="179"/>
      <c r="AXQ32" s="179"/>
      <c r="AXR32" s="179"/>
      <c r="AXS32" s="179"/>
      <c r="AXT32" s="179"/>
      <c r="AXU32" s="179"/>
      <c r="AXV32" s="179"/>
      <c r="AXW32" s="179"/>
      <c r="AXX32" s="179"/>
      <c r="AXY32" s="179"/>
      <c r="AXZ32" s="179"/>
      <c r="AYA32" s="179"/>
      <c r="AYB32" s="179"/>
      <c r="AYC32" s="179"/>
      <c r="AYD32" s="179"/>
      <c r="AYE32" s="179"/>
      <c r="AYF32" s="179"/>
      <c r="AYG32" s="179"/>
      <c r="AYH32" s="179"/>
      <c r="AYI32" s="179"/>
      <c r="AYJ32" s="179"/>
      <c r="AYK32" s="179"/>
      <c r="AYL32" s="179"/>
      <c r="AYM32" s="179"/>
      <c r="AYN32" s="179"/>
      <c r="AYO32" s="179"/>
      <c r="AYP32" s="179"/>
      <c r="AYQ32" s="179"/>
      <c r="AYR32" s="179"/>
      <c r="AYS32" s="179"/>
      <c r="AYT32" s="179"/>
      <c r="AYU32" s="179"/>
      <c r="AYV32" s="179"/>
      <c r="AYW32" s="179"/>
      <c r="AYX32" s="179"/>
      <c r="AYY32" s="179"/>
      <c r="AYZ32" s="179"/>
      <c r="AZA32" s="179"/>
      <c r="AZB32" s="179"/>
      <c r="AZC32" s="179"/>
      <c r="AZD32" s="179"/>
      <c r="AZE32" s="179"/>
      <c r="AZF32" s="179"/>
      <c r="AZG32" s="179"/>
      <c r="AZH32" s="179"/>
      <c r="AZI32" s="179"/>
      <c r="AZJ32" s="179"/>
      <c r="AZK32" s="179"/>
      <c r="AZL32" s="179"/>
      <c r="AZM32" s="179"/>
      <c r="AZN32" s="179"/>
      <c r="AZO32" s="179"/>
      <c r="AZP32" s="179"/>
      <c r="AZQ32" s="179"/>
      <c r="AZR32" s="179"/>
      <c r="AZS32" s="179"/>
      <c r="AZT32" s="179"/>
      <c r="AZU32" s="179"/>
      <c r="AZV32" s="179"/>
      <c r="AZW32" s="179"/>
      <c r="AZX32" s="179"/>
      <c r="AZY32" s="179"/>
      <c r="AZZ32" s="179"/>
      <c r="BAA32" s="179"/>
      <c r="BAB32" s="179"/>
      <c r="BAC32" s="179"/>
      <c r="BAD32" s="179"/>
      <c r="BAE32" s="179"/>
      <c r="BAF32" s="179"/>
      <c r="BAG32" s="179"/>
      <c r="BAH32" s="179"/>
      <c r="BAI32" s="179"/>
      <c r="BAJ32" s="179"/>
      <c r="BAK32" s="179"/>
      <c r="BAL32" s="179"/>
      <c r="BAM32" s="179"/>
      <c r="BAN32" s="179"/>
      <c r="BAO32" s="179"/>
      <c r="BAP32" s="179"/>
      <c r="BAQ32" s="179"/>
      <c r="BAR32" s="179"/>
      <c r="BAS32" s="179"/>
      <c r="BAT32" s="179"/>
      <c r="BAU32" s="179"/>
      <c r="BAV32" s="179"/>
      <c r="BAW32" s="179"/>
      <c r="BAX32" s="179"/>
      <c r="BAY32" s="179"/>
      <c r="BAZ32" s="179"/>
      <c r="BBA32" s="179"/>
      <c r="BBB32" s="179"/>
      <c r="BBC32" s="179"/>
      <c r="BBD32" s="179"/>
      <c r="BBE32" s="179"/>
      <c r="BBF32" s="179"/>
      <c r="BBG32" s="179"/>
      <c r="BBH32" s="179"/>
      <c r="BBI32" s="179"/>
      <c r="BBJ32" s="179"/>
      <c r="BBK32" s="179"/>
      <c r="BBL32" s="179"/>
      <c r="BBM32" s="179"/>
      <c r="BBN32" s="179"/>
      <c r="BBO32" s="179"/>
      <c r="BBP32" s="179"/>
      <c r="BBQ32" s="179"/>
      <c r="BBR32" s="179"/>
      <c r="BBS32" s="179"/>
      <c r="BBT32" s="179"/>
      <c r="BBU32" s="179"/>
      <c r="BBV32" s="179"/>
      <c r="BBW32" s="179"/>
      <c r="BBX32" s="179"/>
      <c r="BBY32" s="179"/>
      <c r="BBZ32" s="179"/>
      <c r="BCA32" s="179"/>
      <c r="BCB32" s="179"/>
      <c r="BCC32" s="179"/>
      <c r="BCD32" s="179"/>
      <c r="BCE32" s="179"/>
      <c r="BCF32" s="179"/>
      <c r="BCG32" s="179"/>
      <c r="BCH32" s="179"/>
      <c r="BCI32" s="179"/>
      <c r="BCJ32" s="179"/>
      <c r="BCK32" s="179"/>
      <c r="BCL32" s="179"/>
      <c r="BCM32" s="179"/>
      <c r="BCN32" s="179"/>
      <c r="BCO32" s="179"/>
      <c r="BCP32" s="179"/>
      <c r="BCQ32" s="179"/>
      <c r="BCR32" s="179"/>
      <c r="BCS32" s="179"/>
      <c r="BCT32" s="179"/>
      <c r="BCU32" s="179"/>
      <c r="BCV32" s="179"/>
      <c r="BCW32" s="179"/>
      <c r="BCX32" s="179"/>
      <c r="BCY32" s="179"/>
      <c r="BCZ32" s="179"/>
      <c r="BDA32" s="179"/>
      <c r="BDB32" s="179"/>
      <c r="BDC32" s="179"/>
      <c r="BDD32" s="179"/>
      <c r="BDE32" s="179"/>
      <c r="BDF32" s="179"/>
      <c r="BDG32" s="179"/>
      <c r="BDH32" s="179"/>
      <c r="BDI32" s="179"/>
      <c r="BDJ32" s="179"/>
      <c r="BDK32" s="179"/>
      <c r="BDL32" s="179"/>
      <c r="BDM32" s="179"/>
      <c r="BDN32" s="179"/>
      <c r="BDO32" s="179"/>
      <c r="BDP32" s="179"/>
      <c r="BDQ32" s="179"/>
      <c r="BDR32" s="179"/>
      <c r="BDS32" s="179"/>
      <c r="BDT32" s="179"/>
      <c r="BDU32" s="179"/>
      <c r="BDV32" s="179"/>
      <c r="BDW32" s="179"/>
      <c r="BDX32" s="179"/>
      <c r="BDY32" s="179"/>
      <c r="BDZ32" s="179"/>
      <c r="BEA32" s="179"/>
      <c r="BEB32" s="179"/>
      <c r="BEC32" s="179"/>
      <c r="BED32" s="179"/>
      <c r="BEE32" s="179"/>
      <c r="BEF32" s="179"/>
      <c r="BEG32" s="179"/>
      <c r="BEH32" s="179"/>
      <c r="BEI32" s="179"/>
      <c r="BEJ32" s="179"/>
      <c r="BEK32" s="179"/>
      <c r="BEL32" s="179"/>
      <c r="BEM32" s="179"/>
      <c r="BEN32" s="179"/>
      <c r="BEO32" s="179"/>
      <c r="BEP32" s="179"/>
      <c r="BEQ32" s="179"/>
      <c r="BER32" s="179"/>
      <c r="BES32" s="179"/>
      <c r="BET32" s="179"/>
      <c r="BEU32" s="179"/>
      <c r="BEV32" s="179"/>
      <c r="BEW32" s="179"/>
      <c r="BEX32" s="179"/>
      <c r="BEY32" s="179"/>
      <c r="BEZ32" s="179"/>
      <c r="BFA32" s="179"/>
      <c r="BFB32" s="179"/>
      <c r="BFC32" s="179"/>
      <c r="BFD32" s="179"/>
      <c r="BFE32" s="179"/>
      <c r="BFF32" s="179"/>
      <c r="BFG32" s="179"/>
      <c r="BFH32" s="179"/>
      <c r="BFI32" s="179"/>
      <c r="BFJ32" s="179"/>
      <c r="BFK32" s="179"/>
      <c r="BFL32" s="179"/>
      <c r="BFM32" s="179"/>
      <c r="BFN32" s="179"/>
      <c r="BFO32" s="179"/>
      <c r="BFP32" s="179"/>
      <c r="BFQ32" s="179"/>
      <c r="BFR32" s="179"/>
      <c r="BFS32" s="179"/>
      <c r="BFT32" s="179"/>
      <c r="BFU32" s="179"/>
      <c r="BFV32" s="179"/>
      <c r="BFW32" s="179"/>
      <c r="BFX32" s="179"/>
      <c r="BFY32" s="179"/>
      <c r="BFZ32" s="179"/>
      <c r="BGA32" s="179"/>
      <c r="BGB32" s="179"/>
      <c r="BGC32" s="179"/>
      <c r="BGD32" s="179"/>
      <c r="BGE32" s="179"/>
      <c r="BGF32" s="179"/>
      <c r="BGG32" s="179"/>
      <c r="BGH32" s="179"/>
      <c r="BGI32" s="179"/>
      <c r="BGJ32" s="179"/>
      <c r="BGK32" s="179"/>
      <c r="BGL32" s="179"/>
      <c r="BGM32" s="179"/>
      <c r="BGN32" s="179"/>
      <c r="BGO32" s="179"/>
      <c r="BGP32" s="179"/>
      <c r="BGQ32" s="179"/>
      <c r="BGR32" s="179"/>
      <c r="BGS32" s="179"/>
      <c r="BGT32" s="179"/>
      <c r="BGU32" s="179"/>
      <c r="BGV32" s="179"/>
      <c r="BGW32" s="179"/>
      <c r="BGX32" s="179"/>
      <c r="BGY32" s="179"/>
      <c r="BGZ32" s="179"/>
      <c r="BHA32" s="179"/>
      <c r="BHB32" s="179"/>
      <c r="BHC32" s="179"/>
      <c r="BHD32" s="179"/>
      <c r="BHE32" s="179"/>
      <c r="BHF32" s="179"/>
      <c r="BHG32" s="179"/>
      <c r="BHH32" s="179"/>
      <c r="BHI32" s="179"/>
      <c r="BHJ32" s="179"/>
      <c r="BHK32" s="179"/>
      <c r="BHL32" s="179"/>
      <c r="BHM32" s="179"/>
      <c r="BHN32" s="179"/>
      <c r="BHO32" s="179"/>
      <c r="BHP32" s="179"/>
      <c r="BHQ32" s="179"/>
      <c r="BHR32" s="179"/>
      <c r="BHS32" s="179"/>
      <c r="BHT32" s="179"/>
      <c r="BHU32" s="179"/>
      <c r="BHV32" s="179"/>
      <c r="BHW32" s="179"/>
      <c r="BHX32" s="179"/>
      <c r="BHY32" s="179"/>
      <c r="BHZ32" s="179"/>
      <c r="BIA32" s="179"/>
      <c r="BIB32" s="179"/>
      <c r="BIC32" s="179"/>
      <c r="BID32" s="179"/>
      <c r="BIE32" s="179"/>
      <c r="BIF32" s="179"/>
      <c r="BIG32" s="179"/>
      <c r="BIH32" s="179"/>
      <c r="BII32" s="179"/>
      <c r="BIJ32" s="179"/>
      <c r="BIK32" s="179"/>
      <c r="BIL32" s="179"/>
      <c r="BIM32" s="179"/>
      <c r="BIN32" s="179"/>
      <c r="BIO32" s="179"/>
      <c r="BIP32" s="179"/>
      <c r="BIQ32" s="179"/>
      <c r="BIR32" s="179"/>
      <c r="BIS32" s="179"/>
      <c r="BIT32" s="179"/>
      <c r="BIU32" s="179"/>
      <c r="BIV32" s="179"/>
      <c r="BIW32" s="179"/>
      <c r="BIX32" s="179"/>
      <c r="BIY32" s="179"/>
      <c r="BIZ32" s="179"/>
      <c r="BJA32" s="179"/>
      <c r="BJB32" s="179"/>
      <c r="BJC32" s="179"/>
      <c r="BJD32" s="179"/>
      <c r="BJE32" s="179"/>
      <c r="BJF32" s="179"/>
      <c r="BJG32" s="179"/>
      <c r="BJH32" s="179"/>
      <c r="BJI32" s="179"/>
      <c r="BJJ32" s="179"/>
      <c r="BJK32" s="179"/>
      <c r="BJL32" s="179"/>
      <c r="BJM32" s="179"/>
      <c r="BJN32" s="179"/>
      <c r="BJO32" s="179"/>
      <c r="BJP32" s="179"/>
      <c r="BJQ32" s="179"/>
      <c r="BJR32" s="179"/>
      <c r="BJS32" s="179"/>
      <c r="BJT32" s="179"/>
      <c r="BJU32" s="179"/>
      <c r="BJV32" s="179"/>
      <c r="BJW32" s="179"/>
      <c r="BJX32" s="179"/>
      <c r="BJY32" s="179"/>
      <c r="BJZ32" s="179"/>
      <c r="BKA32" s="179"/>
      <c r="BKB32" s="179"/>
      <c r="BKC32" s="179"/>
      <c r="BKD32" s="179"/>
      <c r="BKE32" s="179"/>
      <c r="BKF32" s="179"/>
      <c r="BKG32" s="179"/>
      <c r="BKH32" s="179"/>
      <c r="BKI32" s="179"/>
      <c r="BKJ32" s="179"/>
      <c r="BKK32" s="179"/>
      <c r="BKL32" s="179"/>
      <c r="BKM32" s="179"/>
      <c r="BKN32" s="179"/>
      <c r="BKO32" s="179"/>
      <c r="BKP32" s="179"/>
      <c r="BKQ32" s="179"/>
      <c r="BKR32" s="179"/>
      <c r="BKS32" s="179"/>
      <c r="BKT32" s="179"/>
      <c r="BKU32" s="179"/>
      <c r="BKV32" s="179"/>
      <c r="BKW32" s="179"/>
      <c r="BKX32" s="179"/>
      <c r="BKY32" s="179"/>
      <c r="BKZ32" s="179"/>
      <c r="BLA32" s="179"/>
      <c r="BLB32" s="179"/>
      <c r="BLC32" s="179"/>
      <c r="BLD32" s="179"/>
      <c r="BLE32" s="179"/>
      <c r="BLF32" s="179"/>
      <c r="BLG32" s="179"/>
      <c r="BLH32" s="179"/>
      <c r="BLI32" s="179"/>
      <c r="BLJ32" s="179"/>
      <c r="BLK32" s="179"/>
      <c r="BLL32" s="179"/>
      <c r="BLM32" s="179"/>
      <c r="BLN32" s="179"/>
      <c r="BLO32" s="179"/>
      <c r="BLP32" s="179"/>
      <c r="BLQ32" s="179"/>
      <c r="BLR32" s="179"/>
      <c r="BLS32" s="179"/>
      <c r="BLT32" s="179"/>
      <c r="BLU32" s="179"/>
      <c r="BLV32" s="179"/>
      <c r="BLW32" s="179"/>
      <c r="BLX32" s="179"/>
      <c r="BLY32" s="179"/>
      <c r="BLZ32" s="179"/>
      <c r="BMA32" s="179"/>
      <c r="BMB32" s="179"/>
      <c r="BMC32" s="179"/>
      <c r="BMD32" s="179"/>
      <c r="BME32" s="179"/>
      <c r="BMF32" s="179"/>
      <c r="BMG32" s="179"/>
      <c r="BMH32" s="179"/>
      <c r="BMI32" s="179"/>
      <c r="BMJ32" s="179"/>
      <c r="BMK32" s="179"/>
      <c r="BML32" s="179"/>
      <c r="BMM32" s="179"/>
      <c r="BMN32" s="179"/>
      <c r="BMO32" s="179"/>
      <c r="BMP32" s="179"/>
      <c r="BMQ32" s="179"/>
      <c r="BMR32" s="179"/>
      <c r="BMS32" s="179"/>
      <c r="BMT32" s="179"/>
      <c r="BMU32" s="179"/>
      <c r="BMV32" s="179"/>
      <c r="BMW32" s="179"/>
      <c r="BMX32" s="179"/>
      <c r="BMY32" s="179"/>
      <c r="BMZ32" s="179"/>
      <c r="BNA32" s="179"/>
      <c r="BNB32" s="179"/>
      <c r="BNC32" s="179"/>
      <c r="BND32" s="179"/>
      <c r="BNE32" s="179"/>
      <c r="BNF32" s="179"/>
      <c r="BNG32" s="179"/>
      <c r="BNH32" s="179"/>
      <c r="BNI32" s="179"/>
      <c r="BNJ32" s="179"/>
      <c r="BNK32" s="179"/>
      <c r="BNL32" s="179"/>
      <c r="BNM32" s="179"/>
      <c r="BNN32" s="179"/>
      <c r="BNO32" s="179"/>
      <c r="BNP32" s="179"/>
      <c r="BNQ32" s="179"/>
      <c r="BNR32" s="179"/>
      <c r="BNS32" s="179"/>
      <c r="BNT32" s="179"/>
      <c r="BNU32" s="179"/>
      <c r="BNV32" s="179"/>
      <c r="BNW32" s="179"/>
      <c r="BNX32" s="179"/>
      <c r="BNY32" s="179"/>
      <c r="BNZ32" s="179"/>
      <c r="BOA32" s="179"/>
      <c r="BOB32" s="179"/>
      <c r="BOC32" s="179"/>
      <c r="BOD32" s="179"/>
      <c r="BOE32" s="179"/>
      <c r="BOF32" s="179"/>
      <c r="BOG32" s="179"/>
      <c r="BOH32" s="179"/>
      <c r="BOI32" s="179"/>
      <c r="BOJ32" s="179"/>
      <c r="BOK32" s="179"/>
      <c r="BOL32" s="179"/>
      <c r="BOM32" s="179"/>
      <c r="BON32" s="179"/>
      <c r="BOO32" s="179"/>
      <c r="BOP32" s="179"/>
      <c r="BOQ32" s="179"/>
      <c r="BOR32" s="179"/>
      <c r="BOS32" s="179"/>
      <c r="BOT32" s="179"/>
      <c r="BOU32" s="179"/>
      <c r="BOV32" s="179"/>
      <c r="BOW32" s="179"/>
      <c r="BOX32" s="179"/>
      <c r="BOY32" s="179"/>
      <c r="BOZ32" s="179"/>
      <c r="BPA32" s="179"/>
      <c r="BPB32" s="179"/>
      <c r="BPC32" s="179"/>
      <c r="BPD32" s="179"/>
      <c r="BPE32" s="179"/>
      <c r="BPF32" s="179"/>
      <c r="BPG32" s="179"/>
      <c r="BPH32" s="179"/>
      <c r="BPI32" s="179"/>
      <c r="BPJ32" s="179"/>
      <c r="BPK32" s="179"/>
      <c r="BPL32" s="179"/>
      <c r="BPM32" s="179"/>
      <c r="BPN32" s="179"/>
      <c r="BPO32" s="179"/>
      <c r="BPP32" s="179"/>
      <c r="BPQ32" s="179"/>
      <c r="BPR32" s="179"/>
      <c r="BPS32" s="179"/>
      <c r="BPT32" s="179"/>
      <c r="BPU32" s="179"/>
      <c r="BPV32" s="179"/>
      <c r="BPW32" s="179"/>
      <c r="BPX32" s="179"/>
      <c r="BPY32" s="179"/>
      <c r="BPZ32" s="179"/>
      <c r="BQA32" s="179"/>
      <c r="BQB32" s="179"/>
      <c r="BQC32" s="179"/>
      <c r="BQD32" s="179"/>
      <c r="BQE32" s="179"/>
      <c r="BQF32" s="179"/>
      <c r="BQG32" s="179"/>
      <c r="BQH32" s="179"/>
      <c r="BQI32" s="179"/>
      <c r="BQJ32" s="179"/>
      <c r="BQK32" s="179"/>
      <c r="BQL32" s="179"/>
      <c r="BQM32" s="179"/>
      <c r="BQN32" s="179"/>
      <c r="BQO32" s="179"/>
      <c r="BQP32" s="179"/>
      <c r="BQQ32" s="179"/>
      <c r="BQR32" s="179"/>
      <c r="BQS32" s="179"/>
      <c r="BQT32" s="179"/>
      <c r="BQU32" s="179"/>
      <c r="BQV32" s="179"/>
      <c r="BQW32" s="179"/>
      <c r="BQX32" s="179"/>
      <c r="BQY32" s="179"/>
      <c r="BQZ32" s="179"/>
      <c r="BRA32" s="179"/>
      <c r="BRB32" s="179"/>
      <c r="BRC32" s="179"/>
      <c r="BRD32" s="179"/>
      <c r="BRE32" s="179"/>
      <c r="BRF32" s="179"/>
      <c r="BRG32" s="179"/>
      <c r="BRH32" s="179"/>
      <c r="BRI32" s="179"/>
      <c r="BRJ32" s="179"/>
      <c r="BRK32" s="179"/>
      <c r="BRL32" s="179"/>
      <c r="BRM32" s="179"/>
      <c r="BRN32" s="179"/>
      <c r="BRO32" s="179"/>
      <c r="BRP32" s="179"/>
      <c r="BRQ32" s="179"/>
      <c r="BRR32" s="179"/>
      <c r="BRS32" s="179"/>
      <c r="BRT32" s="179"/>
      <c r="BRU32" s="179"/>
      <c r="BRV32" s="179"/>
      <c r="BRW32" s="179"/>
      <c r="BRX32" s="179"/>
      <c r="BRY32" s="179"/>
      <c r="BRZ32" s="179"/>
      <c r="BSA32" s="179"/>
      <c r="BSB32" s="179"/>
      <c r="BSC32" s="179"/>
      <c r="BSD32" s="179"/>
      <c r="BSE32" s="179"/>
      <c r="BSF32" s="179"/>
      <c r="BSG32" s="179"/>
      <c r="BSH32" s="179"/>
      <c r="BSI32" s="179"/>
      <c r="BSJ32" s="179"/>
      <c r="BSK32" s="179"/>
      <c r="BSL32" s="179"/>
      <c r="BSM32" s="179"/>
      <c r="BSN32" s="179"/>
      <c r="BSO32" s="179"/>
      <c r="BSP32" s="179"/>
      <c r="BSQ32" s="179"/>
      <c r="BSR32" s="179"/>
      <c r="BSS32" s="179"/>
      <c r="BST32" s="179"/>
      <c r="BSU32" s="179"/>
      <c r="BSV32" s="179"/>
      <c r="BSW32" s="179"/>
      <c r="BSX32" s="179"/>
      <c r="BSY32" s="179"/>
      <c r="BSZ32" s="179"/>
      <c r="BTA32" s="179"/>
      <c r="BTB32" s="179"/>
      <c r="BTC32" s="179"/>
      <c r="BTD32" s="179"/>
      <c r="BTE32" s="179"/>
      <c r="BTF32" s="179"/>
      <c r="BTG32" s="179"/>
      <c r="BTH32" s="179"/>
      <c r="BTI32" s="179"/>
      <c r="BTJ32" s="179"/>
      <c r="BTK32" s="179"/>
      <c r="BTL32" s="179"/>
      <c r="BTM32" s="179"/>
      <c r="BTN32" s="179"/>
      <c r="BTO32" s="179"/>
      <c r="BTP32" s="179"/>
      <c r="BTQ32" s="179"/>
      <c r="BTR32" s="179"/>
      <c r="BTS32" s="179"/>
      <c r="BTT32" s="179"/>
      <c r="BTU32" s="179"/>
      <c r="BTV32" s="179"/>
      <c r="BTW32" s="179"/>
      <c r="BTX32" s="179"/>
      <c r="BTY32" s="179"/>
      <c r="BTZ32" s="179"/>
      <c r="BUA32" s="179"/>
      <c r="BUB32" s="179"/>
      <c r="BUC32" s="179"/>
      <c r="BUD32" s="179"/>
      <c r="BUE32" s="179"/>
      <c r="BUF32" s="179"/>
      <c r="BUG32" s="179"/>
      <c r="BUH32" s="179"/>
      <c r="BUI32" s="179"/>
      <c r="BUJ32" s="179"/>
      <c r="BUK32" s="179"/>
      <c r="BUL32" s="179"/>
      <c r="BUM32" s="179"/>
      <c r="BUN32" s="179"/>
      <c r="BUO32" s="179"/>
      <c r="BUP32" s="179"/>
      <c r="BUQ32" s="179"/>
      <c r="BUR32" s="179"/>
      <c r="BUS32" s="179"/>
      <c r="BUT32" s="179"/>
      <c r="BUU32" s="179"/>
      <c r="BUV32" s="179"/>
      <c r="BUW32" s="179"/>
      <c r="BUX32" s="179"/>
      <c r="BUY32" s="179"/>
      <c r="BUZ32" s="179"/>
      <c r="BVA32" s="179"/>
      <c r="BVB32" s="179"/>
      <c r="BVC32" s="179"/>
      <c r="BVD32" s="179"/>
      <c r="BVE32" s="179"/>
      <c r="BVF32" s="179"/>
      <c r="BVG32" s="179"/>
      <c r="BVH32" s="179"/>
      <c r="BVI32" s="179"/>
      <c r="BVJ32" s="179"/>
      <c r="BVK32" s="179"/>
      <c r="BVL32" s="179"/>
      <c r="BVM32" s="179"/>
      <c r="BVN32" s="179"/>
      <c r="BVO32" s="179"/>
      <c r="BVP32" s="179"/>
      <c r="BVQ32" s="179"/>
      <c r="BVR32" s="179"/>
      <c r="BVS32" s="179"/>
      <c r="BVT32" s="179"/>
      <c r="BVU32" s="179"/>
      <c r="BVV32" s="179"/>
      <c r="BVW32" s="179"/>
      <c r="BVX32" s="179"/>
      <c r="BVY32" s="179"/>
      <c r="BVZ32" s="179"/>
      <c r="BWA32" s="179"/>
      <c r="BWB32" s="179"/>
      <c r="BWC32" s="179"/>
      <c r="BWD32" s="179"/>
      <c r="BWE32" s="179"/>
      <c r="BWF32" s="179"/>
      <c r="BWG32" s="179"/>
      <c r="BWH32" s="179"/>
      <c r="BWI32" s="179"/>
      <c r="BWJ32" s="179"/>
      <c r="BWK32" s="179"/>
      <c r="BWL32" s="179"/>
      <c r="BWM32" s="179"/>
      <c r="BWN32" s="179"/>
      <c r="BWO32" s="179"/>
      <c r="BWP32" s="179"/>
      <c r="BWQ32" s="179"/>
      <c r="BWR32" s="179"/>
      <c r="BWS32" s="179"/>
      <c r="BWT32" s="179"/>
      <c r="BWU32" s="179"/>
      <c r="BWV32" s="179"/>
      <c r="BWW32" s="179"/>
      <c r="BWX32" s="179"/>
      <c r="BWY32" s="179"/>
      <c r="BWZ32" s="179"/>
      <c r="BXA32" s="179"/>
      <c r="BXB32" s="179"/>
      <c r="BXC32" s="179"/>
      <c r="BXD32" s="179"/>
      <c r="BXE32" s="179"/>
      <c r="BXF32" s="179"/>
      <c r="BXG32" s="179"/>
      <c r="BXH32" s="179"/>
      <c r="BXI32" s="179"/>
      <c r="BXJ32" s="179"/>
      <c r="BXK32" s="179"/>
      <c r="BXL32" s="179"/>
      <c r="BXM32" s="179"/>
      <c r="BXN32" s="179"/>
      <c r="BXO32" s="179"/>
      <c r="BXP32" s="179"/>
      <c r="BXQ32" s="179"/>
      <c r="BXR32" s="179"/>
      <c r="BXS32" s="179"/>
      <c r="BXT32" s="179"/>
      <c r="BXU32" s="179"/>
      <c r="BXV32" s="179"/>
      <c r="BXW32" s="179"/>
      <c r="BXX32" s="179"/>
      <c r="BXY32" s="179"/>
      <c r="BXZ32" s="179"/>
      <c r="BYA32" s="179"/>
      <c r="BYB32" s="179"/>
      <c r="BYC32" s="179"/>
      <c r="BYD32" s="179"/>
      <c r="BYE32" s="179"/>
      <c r="BYF32" s="179"/>
      <c r="BYG32" s="179"/>
    </row>
    <row r="33" spans="1:2009" ht="17.25" customHeight="1" thickBot="1" x14ac:dyDescent="0.3">
      <c r="A33" s="81"/>
      <c r="B33" s="81"/>
      <c r="C33" s="142"/>
      <c r="D33" s="142"/>
      <c r="E33" s="142"/>
      <c r="F33" s="142"/>
      <c r="G33" s="517"/>
      <c r="N33" s="160"/>
      <c r="P33" s="160"/>
    </row>
    <row r="34" spans="1:2009" s="83" customFormat="1" ht="24.95" hidden="1" customHeight="1" x14ac:dyDescent="0.25">
      <c r="A34" s="107" t="s">
        <v>37</v>
      </c>
      <c r="B34" s="108"/>
      <c r="C34" s="151"/>
      <c r="D34" s="151"/>
      <c r="E34" s="152"/>
      <c r="F34" s="152"/>
      <c r="G34" s="524"/>
      <c r="H34"/>
      <c r="I34" s="2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row>
    <row r="35" spans="1:2009" s="80" customFormat="1" ht="24.95" hidden="1" customHeight="1" x14ac:dyDescent="0.25">
      <c r="A35" s="109"/>
      <c r="B35" s="84" t="s">
        <v>38</v>
      </c>
      <c r="C35" s="149"/>
      <c r="D35" s="149"/>
      <c r="E35" s="150"/>
      <c r="F35" s="150"/>
      <c r="G35" s="522"/>
      <c r="H35"/>
      <c r="I35" s="2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row>
    <row r="36" spans="1:2009" s="180" customFormat="1" ht="24.95" hidden="1" customHeight="1" thickBot="1" x14ac:dyDescent="0.3">
      <c r="A36" s="181"/>
      <c r="B36" s="177" t="s">
        <v>69</v>
      </c>
      <c r="C36" s="178"/>
      <c r="D36" s="178"/>
      <c r="E36" s="178"/>
      <c r="F36" s="178"/>
      <c r="G36" s="523"/>
      <c r="H36" s="160"/>
      <c r="I36" s="21"/>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c r="AMK36" s="179"/>
      <c r="AML36" s="179"/>
      <c r="AMM36" s="179"/>
      <c r="AMN36" s="179"/>
      <c r="AMO36" s="179"/>
      <c r="AMP36" s="179"/>
      <c r="AMQ36" s="179"/>
      <c r="AMR36" s="179"/>
      <c r="AMS36" s="179"/>
      <c r="AMT36" s="179"/>
      <c r="AMU36" s="179"/>
      <c r="AMV36" s="179"/>
      <c r="AMW36" s="179"/>
      <c r="AMX36" s="179"/>
      <c r="AMY36" s="179"/>
      <c r="AMZ36" s="179"/>
      <c r="ANA36" s="179"/>
      <c r="ANB36" s="179"/>
      <c r="ANC36" s="179"/>
      <c r="AND36" s="179"/>
      <c r="ANE36" s="179"/>
      <c r="ANF36" s="179"/>
      <c r="ANG36" s="179"/>
      <c r="ANH36" s="179"/>
      <c r="ANI36" s="179"/>
      <c r="ANJ36" s="179"/>
      <c r="ANK36" s="179"/>
      <c r="ANL36" s="179"/>
      <c r="ANM36" s="179"/>
      <c r="ANN36" s="179"/>
      <c r="ANO36" s="179"/>
      <c r="ANP36" s="179"/>
      <c r="ANQ36" s="179"/>
      <c r="ANR36" s="179"/>
      <c r="ANS36" s="179"/>
      <c r="ANT36" s="179"/>
      <c r="ANU36" s="179"/>
      <c r="ANV36" s="179"/>
      <c r="ANW36" s="179"/>
      <c r="ANX36" s="179"/>
      <c r="ANY36" s="179"/>
      <c r="ANZ36" s="179"/>
      <c r="AOA36" s="179"/>
      <c r="AOB36" s="179"/>
      <c r="AOC36" s="179"/>
      <c r="AOD36" s="179"/>
      <c r="AOE36" s="179"/>
      <c r="AOF36" s="179"/>
      <c r="AOG36" s="179"/>
      <c r="AOH36" s="179"/>
      <c r="AOI36" s="179"/>
      <c r="AOJ36" s="179"/>
      <c r="AOK36" s="179"/>
      <c r="AOL36" s="179"/>
      <c r="AOM36" s="179"/>
      <c r="AON36" s="179"/>
      <c r="AOO36" s="179"/>
      <c r="AOP36" s="179"/>
      <c r="AOQ36" s="179"/>
      <c r="AOR36" s="179"/>
      <c r="AOS36" s="179"/>
      <c r="AOT36" s="179"/>
      <c r="AOU36" s="179"/>
      <c r="AOV36" s="179"/>
      <c r="AOW36" s="179"/>
      <c r="AOX36" s="179"/>
      <c r="AOY36" s="179"/>
      <c r="AOZ36" s="179"/>
      <c r="APA36" s="179"/>
      <c r="APB36" s="179"/>
      <c r="APC36" s="179"/>
      <c r="APD36" s="179"/>
      <c r="APE36" s="179"/>
      <c r="APF36" s="179"/>
      <c r="APG36" s="179"/>
      <c r="APH36" s="179"/>
      <c r="API36" s="179"/>
      <c r="APJ36" s="179"/>
      <c r="APK36" s="179"/>
      <c r="APL36" s="179"/>
      <c r="APM36" s="179"/>
      <c r="APN36" s="179"/>
      <c r="APO36" s="179"/>
      <c r="APP36" s="179"/>
      <c r="APQ36" s="179"/>
      <c r="APR36" s="179"/>
      <c r="APS36" s="179"/>
      <c r="APT36" s="179"/>
      <c r="APU36" s="179"/>
      <c r="APV36" s="179"/>
      <c r="APW36" s="179"/>
      <c r="APX36" s="179"/>
      <c r="APY36" s="179"/>
      <c r="APZ36" s="179"/>
      <c r="AQA36" s="179"/>
      <c r="AQB36" s="179"/>
      <c r="AQC36" s="179"/>
      <c r="AQD36" s="179"/>
      <c r="AQE36" s="179"/>
      <c r="AQF36" s="179"/>
      <c r="AQG36" s="179"/>
      <c r="AQH36" s="179"/>
      <c r="AQI36" s="179"/>
      <c r="AQJ36" s="179"/>
      <c r="AQK36" s="179"/>
      <c r="AQL36" s="179"/>
      <c r="AQM36" s="179"/>
      <c r="AQN36" s="179"/>
      <c r="AQO36" s="179"/>
      <c r="AQP36" s="179"/>
      <c r="AQQ36" s="179"/>
      <c r="AQR36" s="179"/>
      <c r="AQS36" s="179"/>
      <c r="AQT36" s="179"/>
      <c r="AQU36" s="179"/>
      <c r="AQV36" s="179"/>
      <c r="AQW36" s="179"/>
      <c r="AQX36" s="179"/>
      <c r="AQY36" s="179"/>
      <c r="AQZ36" s="179"/>
      <c r="ARA36" s="179"/>
      <c r="ARB36" s="179"/>
      <c r="ARC36" s="179"/>
      <c r="ARD36" s="179"/>
      <c r="ARE36" s="179"/>
      <c r="ARF36" s="179"/>
      <c r="ARG36" s="179"/>
      <c r="ARH36" s="179"/>
      <c r="ARI36" s="179"/>
      <c r="ARJ36" s="179"/>
      <c r="ARK36" s="179"/>
      <c r="ARL36" s="179"/>
      <c r="ARM36" s="179"/>
      <c r="ARN36" s="179"/>
      <c r="ARO36" s="179"/>
      <c r="ARP36" s="179"/>
      <c r="ARQ36" s="179"/>
      <c r="ARR36" s="179"/>
      <c r="ARS36" s="179"/>
      <c r="ART36" s="179"/>
      <c r="ARU36" s="179"/>
      <c r="ARV36" s="179"/>
      <c r="ARW36" s="179"/>
      <c r="ARX36" s="179"/>
      <c r="ARY36" s="179"/>
      <c r="ARZ36" s="179"/>
      <c r="ASA36" s="179"/>
      <c r="ASB36" s="179"/>
      <c r="ASC36" s="179"/>
      <c r="ASD36" s="179"/>
      <c r="ASE36" s="179"/>
      <c r="ASF36" s="179"/>
      <c r="ASG36" s="179"/>
      <c r="ASH36" s="179"/>
      <c r="ASI36" s="179"/>
      <c r="ASJ36" s="179"/>
      <c r="ASK36" s="179"/>
      <c r="ASL36" s="179"/>
      <c r="ASM36" s="179"/>
      <c r="ASN36" s="179"/>
      <c r="ASO36" s="179"/>
      <c r="ASP36" s="179"/>
      <c r="ASQ36" s="179"/>
      <c r="ASR36" s="179"/>
      <c r="ASS36" s="179"/>
      <c r="AST36" s="179"/>
      <c r="ASU36" s="179"/>
      <c r="ASV36" s="179"/>
      <c r="ASW36" s="179"/>
      <c r="ASX36" s="179"/>
      <c r="ASY36" s="179"/>
      <c r="ASZ36" s="179"/>
      <c r="ATA36" s="179"/>
      <c r="ATB36" s="179"/>
      <c r="ATC36" s="179"/>
      <c r="ATD36" s="179"/>
      <c r="ATE36" s="179"/>
      <c r="ATF36" s="179"/>
      <c r="ATG36" s="179"/>
      <c r="ATH36" s="179"/>
      <c r="ATI36" s="179"/>
      <c r="ATJ36" s="179"/>
      <c r="ATK36" s="179"/>
      <c r="ATL36" s="179"/>
      <c r="ATM36" s="179"/>
      <c r="ATN36" s="179"/>
      <c r="ATO36" s="179"/>
      <c r="ATP36" s="179"/>
      <c r="ATQ36" s="179"/>
      <c r="ATR36" s="179"/>
      <c r="ATS36" s="179"/>
      <c r="ATT36" s="179"/>
      <c r="ATU36" s="179"/>
      <c r="ATV36" s="179"/>
      <c r="ATW36" s="179"/>
      <c r="ATX36" s="179"/>
      <c r="ATY36" s="179"/>
      <c r="ATZ36" s="179"/>
      <c r="AUA36" s="179"/>
      <c r="AUB36" s="179"/>
      <c r="AUC36" s="179"/>
      <c r="AUD36" s="179"/>
      <c r="AUE36" s="179"/>
      <c r="AUF36" s="179"/>
      <c r="AUG36" s="179"/>
      <c r="AUH36" s="179"/>
      <c r="AUI36" s="179"/>
      <c r="AUJ36" s="179"/>
      <c r="AUK36" s="179"/>
      <c r="AUL36" s="179"/>
      <c r="AUM36" s="179"/>
      <c r="AUN36" s="179"/>
      <c r="AUO36" s="179"/>
      <c r="AUP36" s="179"/>
      <c r="AUQ36" s="179"/>
      <c r="AUR36" s="179"/>
      <c r="AUS36" s="179"/>
      <c r="AUT36" s="179"/>
      <c r="AUU36" s="179"/>
      <c r="AUV36" s="179"/>
      <c r="AUW36" s="179"/>
      <c r="AUX36" s="179"/>
      <c r="AUY36" s="179"/>
      <c r="AUZ36" s="179"/>
      <c r="AVA36" s="179"/>
      <c r="AVB36" s="179"/>
      <c r="AVC36" s="179"/>
      <c r="AVD36" s="179"/>
      <c r="AVE36" s="179"/>
      <c r="AVF36" s="179"/>
      <c r="AVG36" s="179"/>
      <c r="AVH36" s="179"/>
      <c r="AVI36" s="179"/>
      <c r="AVJ36" s="179"/>
      <c r="AVK36" s="179"/>
      <c r="AVL36" s="179"/>
      <c r="AVM36" s="179"/>
      <c r="AVN36" s="179"/>
      <c r="AVO36" s="179"/>
      <c r="AVP36" s="179"/>
      <c r="AVQ36" s="179"/>
      <c r="AVR36" s="179"/>
      <c r="AVS36" s="179"/>
      <c r="AVT36" s="179"/>
      <c r="AVU36" s="179"/>
      <c r="AVV36" s="179"/>
      <c r="AVW36" s="179"/>
      <c r="AVX36" s="179"/>
      <c r="AVY36" s="179"/>
      <c r="AVZ36" s="179"/>
      <c r="AWA36" s="179"/>
      <c r="AWB36" s="179"/>
      <c r="AWC36" s="179"/>
      <c r="AWD36" s="179"/>
      <c r="AWE36" s="179"/>
      <c r="AWF36" s="179"/>
      <c r="AWG36" s="179"/>
      <c r="AWH36" s="179"/>
      <c r="AWI36" s="179"/>
      <c r="AWJ36" s="179"/>
      <c r="AWK36" s="179"/>
      <c r="AWL36" s="179"/>
      <c r="AWM36" s="179"/>
      <c r="AWN36" s="179"/>
      <c r="AWO36" s="179"/>
      <c r="AWP36" s="179"/>
      <c r="AWQ36" s="179"/>
      <c r="AWR36" s="179"/>
      <c r="AWS36" s="179"/>
      <c r="AWT36" s="179"/>
      <c r="AWU36" s="179"/>
      <c r="AWV36" s="179"/>
      <c r="AWW36" s="179"/>
      <c r="AWX36" s="179"/>
      <c r="AWY36" s="179"/>
      <c r="AWZ36" s="179"/>
      <c r="AXA36" s="179"/>
      <c r="AXB36" s="179"/>
      <c r="AXC36" s="179"/>
      <c r="AXD36" s="179"/>
      <c r="AXE36" s="179"/>
      <c r="AXF36" s="179"/>
      <c r="AXG36" s="179"/>
      <c r="AXH36" s="179"/>
      <c r="AXI36" s="179"/>
      <c r="AXJ36" s="179"/>
      <c r="AXK36" s="179"/>
      <c r="AXL36" s="179"/>
      <c r="AXM36" s="179"/>
      <c r="AXN36" s="179"/>
      <c r="AXO36" s="179"/>
      <c r="AXP36" s="179"/>
      <c r="AXQ36" s="179"/>
      <c r="AXR36" s="179"/>
      <c r="AXS36" s="179"/>
      <c r="AXT36" s="179"/>
      <c r="AXU36" s="179"/>
      <c r="AXV36" s="179"/>
      <c r="AXW36" s="179"/>
      <c r="AXX36" s="179"/>
      <c r="AXY36" s="179"/>
      <c r="AXZ36" s="179"/>
      <c r="AYA36" s="179"/>
      <c r="AYB36" s="179"/>
      <c r="AYC36" s="179"/>
      <c r="AYD36" s="179"/>
      <c r="AYE36" s="179"/>
      <c r="AYF36" s="179"/>
      <c r="AYG36" s="179"/>
      <c r="AYH36" s="179"/>
      <c r="AYI36" s="179"/>
      <c r="AYJ36" s="179"/>
      <c r="AYK36" s="179"/>
      <c r="AYL36" s="179"/>
      <c r="AYM36" s="179"/>
      <c r="AYN36" s="179"/>
      <c r="AYO36" s="179"/>
      <c r="AYP36" s="179"/>
      <c r="AYQ36" s="179"/>
      <c r="AYR36" s="179"/>
      <c r="AYS36" s="179"/>
      <c r="AYT36" s="179"/>
      <c r="AYU36" s="179"/>
      <c r="AYV36" s="179"/>
      <c r="AYW36" s="179"/>
      <c r="AYX36" s="179"/>
      <c r="AYY36" s="179"/>
      <c r="AYZ36" s="179"/>
      <c r="AZA36" s="179"/>
      <c r="AZB36" s="179"/>
      <c r="AZC36" s="179"/>
      <c r="AZD36" s="179"/>
      <c r="AZE36" s="179"/>
      <c r="AZF36" s="179"/>
      <c r="AZG36" s="179"/>
      <c r="AZH36" s="179"/>
      <c r="AZI36" s="179"/>
      <c r="AZJ36" s="179"/>
      <c r="AZK36" s="179"/>
      <c r="AZL36" s="179"/>
      <c r="AZM36" s="179"/>
      <c r="AZN36" s="179"/>
      <c r="AZO36" s="179"/>
      <c r="AZP36" s="179"/>
      <c r="AZQ36" s="179"/>
      <c r="AZR36" s="179"/>
      <c r="AZS36" s="179"/>
      <c r="AZT36" s="179"/>
      <c r="AZU36" s="179"/>
      <c r="AZV36" s="179"/>
      <c r="AZW36" s="179"/>
      <c r="AZX36" s="179"/>
      <c r="AZY36" s="179"/>
      <c r="AZZ36" s="179"/>
      <c r="BAA36" s="179"/>
      <c r="BAB36" s="179"/>
      <c r="BAC36" s="179"/>
      <c r="BAD36" s="179"/>
      <c r="BAE36" s="179"/>
      <c r="BAF36" s="179"/>
      <c r="BAG36" s="179"/>
      <c r="BAH36" s="179"/>
      <c r="BAI36" s="179"/>
      <c r="BAJ36" s="179"/>
      <c r="BAK36" s="179"/>
      <c r="BAL36" s="179"/>
      <c r="BAM36" s="179"/>
      <c r="BAN36" s="179"/>
      <c r="BAO36" s="179"/>
      <c r="BAP36" s="179"/>
      <c r="BAQ36" s="179"/>
      <c r="BAR36" s="179"/>
      <c r="BAS36" s="179"/>
      <c r="BAT36" s="179"/>
      <c r="BAU36" s="179"/>
      <c r="BAV36" s="179"/>
      <c r="BAW36" s="179"/>
      <c r="BAX36" s="179"/>
      <c r="BAY36" s="179"/>
      <c r="BAZ36" s="179"/>
      <c r="BBA36" s="179"/>
      <c r="BBB36" s="179"/>
      <c r="BBC36" s="179"/>
      <c r="BBD36" s="179"/>
      <c r="BBE36" s="179"/>
      <c r="BBF36" s="179"/>
      <c r="BBG36" s="179"/>
      <c r="BBH36" s="179"/>
      <c r="BBI36" s="179"/>
      <c r="BBJ36" s="179"/>
      <c r="BBK36" s="179"/>
      <c r="BBL36" s="179"/>
      <c r="BBM36" s="179"/>
      <c r="BBN36" s="179"/>
      <c r="BBO36" s="179"/>
      <c r="BBP36" s="179"/>
      <c r="BBQ36" s="179"/>
      <c r="BBR36" s="179"/>
      <c r="BBS36" s="179"/>
      <c r="BBT36" s="179"/>
      <c r="BBU36" s="179"/>
      <c r="BBV36" s="179"/>
      <c r="BBW36" s="179"/>
      <c r="BBX36" s="179"/>
      <c r="BBY36" s="179"/>
      <c r="BBZ36" s="179"/>
      <c r="BCA36" s="179"/>
      <c r="BCB36" s="179"/>
      <c r="BCC36" s="179"/>
      <c r="BCD36" s="179"/>
      <c r="BCE36" s="179"/>
      <c r="BCF36" s="179"/>
      <c r="BCG36" s="179"/>
      <c r="BCH36" s="179"/>
      <c r="BCI36" s="179"/>
      <c r="BCJ36" s="179"/>
      <c r="BCK36" s="179"/>
      <c r="BCL36" s="179"/>
      <c r="BCM36" s="179"/>
      <c r="BCN36" s="179"/>
      <c r="BCO36" s="179"/>
      <c r="BCP36" s="179"/>
      <c r="BCQ36" s="179"/>
      <c r="BCR36" s="179"/>
      <c r="BCS36" s="179"/>
      <c r="BCT36" s="179"/>
      <c r="BCU36" s="179"/>
      <c r="BCV36" s="179"/>
      <c r="BCW36" s="179"/>
      <c r="BCX36" s="179"/>
      <c r="BCY36" s="179"/>
      <c r="BCZ36" s="179"/>
      <c r="BDA36" s="179"/>
      <c r="BDB36" s="179"/>
      <c r="BDC36" s="179"/>
      <c r="BDD36" s="179"/>
      <c r="BDE36" s="179"/>
      <c r="BDF36" s="179"/>
      <c r="BDG36" s="179"/>
      <c r="BDH36" s="179"/>
      <c r="BDI36" s="179"/>
      <c r="BDJ36" s="179"/>
      <c r="BDK36" s="179"/>
      <c r="BDL36" s="179"/>
      <c r="BDM36" s="179"/>
      <c r="BDN36" s="179"/>
      <c r="BDO36" s="179"/>
      <c r="BDP36" s="179"/>
      <c r="BDQ36" s="179"/>
      <c r="BDR36" s="179"/>
      <c r="BDS36" s="179"/>
      <c r="BDT36" s="179"/>
      <c r="BDU36" s="179"/>
      <c r="BDV36" s="179"/>
      <c r="BDW36" s="179"/>
      <c r="BDX36" s="179"/>
      <c r="BDY36" s="179"/>
      <c r="BDZ36" s="179"/>
      <c r="BEA36" s="179"/>
      <c r="BEB36" s="179"/>
      <c r="BEC36" s="179"/>
      <c r="BED36" s="179"/>
      <c r="BEE36" s="179"/>
      <c r="BEF36" s="179"/>
      <c r="BEG36" s="179"/>
      <c r="BEH36" s="179"/>
      <c r="BEI36" s="179"/>
      <c r="BEJ36" s="179"/>
      <c r="BEK36" s="179"/>
      <c r="BEL36" s="179"/>
      <c r="BEM36" s="179"/>
      <c r="BEN36" s="179"/>
      <c r="BEO36" s="179"/>
      <c r="BEP36" s="179"/>
      <c r="BEQ36" s="179"/>
      <c r="BER36" s="179"/>
      <c r="BES36" s="179"/>
      <c r="BET36" s="179"/>
      <c r="BEU36" s="179"/>
      <c r="BEV36" s="179"/>
      <c r="BEW36" s="179"/>
      <c r="BEX36" s="179"/>
      <c r="BEY36" s="179"/>
      <c r="BEZ36" s="179"/>
      <c r="BFA36" s="179"/>
      <c r="BFB36" s="179"/>
      <c r="BFC36" s="179"/>
      <c r="BFD36" s="179"/>
      <c r="BFE36" s="179"/>
      <c r="BFF36" s="179"/>
      <c r="BFG36" s="179"/>
      <c r="BFH36" s="179"/>
      <c r="BFI36" s="179"/>
      <c r="BFJ36" s="179"/>
      <c r="BFK36" s="179"/>
      <c r="BFL36" s="179"/>
      <c r="BFM36" s="179"/>
      <c r="BFN36" s="179"/>
      <c r="BFO36" s="179"/>
      <c r="BFP36" s="179"/>
      <c r="BFQ36" s="179"/>
      <c r="BFR36" s="179"/>
      <c r="BFS36" s="179"/>
      <c r="BFT36" s="179"/>
      <c r="BFU36" s="179"/>
      <c r="BFV36" s="179"/>
      <c r="BFW36" s="179"/>
      <c r="BFX36" s="179"/>
      <c r="BFY36" s="179"/>
      <c r="BFZ36" s="179"/>
      <c r="BGA36" s="179"/>
      <c r="BGB36" s="179"/>
      <c r="BGC36" s="179"/>
      <c r="BGD36" s="179"/>
      <c r="BGE36" s="179"/>
      <c r="BGF36" s="179"/>
      <c r="BGG36" s="179"/>
      <c r="BGH36" s="179"/>
      <c r="BGI36" s="179"/>
      <c r="BGJ36" s="179"/>
      <c r="BGK36" s="179"/>
      <c r="BGL36" s="179"/>
      <c r="BGM36" s="179"/>
      <c r="BGN36" s="179"/>
      <c r="BGO36" s="179"/>
      <c r="BGP36" s="179"/>
      <c r="BGQ36" s="179"/>
      <c r="BGR36" s="179"/>
      <c r="BGS36" s="179"/>
      <c r="BGT36" s="179"/>
      <c r="BGU36" s="179"/>
      <c r="BGV36" s="179"/>
      <c r="BGW36" s="179"/>
      <c r="BGX36" s="179"/>
      <c r="BGY36" s="179"/>
      <c r="BGZ36" s="179"/>
      <c r="BHA36" s="179"/>
      <c r="BHB36" s="179"/>
      <c r="BHC36" s="179"/>
      <c r="BHD36" s="179"/>
      <c r="BHE36" s="179"/>
      <c r="BHF36" s="179"/>
      <c r="BHG36" s="179"/>
      <c r="BHH36" s="179"/>
      <c r="BHI36" s="179"/>
      <c r="BHJ36" s="179"/>
      <c r="BHK36" s="179"/>
      <c r="BHL36" s="179"/>
      <c r="BHM36" s="179"/>
      <c r="BHN36" s="179"/>
      <c r="BHO36" s="179"/>
      <c r="BHP36" s="179"/>
      <c r="BHQ36" s="179"/>
      <c r="BHR36" s="179"/>
      <c r="BHS36" s="179"/>
      <c r="BHT36" s="179"/>
      <c r="BHU36" s="179"/>
      <c r="BHV36" s="179"/>
      <c r="BHW36" s="179"/>
      <c r="BHX36" s="179"/>
      <c r="BHY36" s="179"/>
      <c r="BHZ36" s="179"/>
      <c r="BIA36" s="179"/>
      <c r="BIB36" s="179"/>
      <c r="BIC36" s="179"/>
      <c r="BID36" s="179"/>
      <c r="BIE36" s="179"/>
      <c r="BIF36" s="179"/>
      <c r="BIG36" s="179"/>
      <c r="BIH36" s="179"/>
      <c r="BII36" s="179"/>
      <c r="BIJ36" s="179"/>
      <c r="BIK36" s="179"/>
      <c r="BIL36" s="179"/>
      <c r="BIM36" s="179"/>
      <c r="BIN36" s="179"/>
      <c r="BIO36" s="179"/>
      <c r="BIP36" s="179"/>
      <c r="BIQ36" s="179"/>
      <c r="BIR36" s="179"/>
      <c r="BIS36" s="179"/>
      <c r="BIT36" s="179"/>
      <c r="BIU36" s="179"/>
      <c r="BIV36" s="179"/>
      <c r="BIW36" s="179"/>
      <c r="BIX36" s="179"/>
      <c r="BIY36" s="179"/>
      <c r="BIZ36" s="179"/>
      <c r="BJA36" s="179"/>
      <c r="BJB36" s="179"/>
      <c r="BJC36" s="179"/>
      <c r="BJD36" s="179"/>
      <c r="BJE36" s="179"/>
      <c r="BJF36" s="179"/>
      <c r="BJG36" s="179"/>
      <c r="BJH36" s="179"/>
      <c r="BJI36" s="179"/>
      <c r="BJJ36" s="179"/>
      <c r="BJK36" s="179"/>
      <c r="BJL36" s="179"/>
      <c r="BJM36" s="179"/>
      <c r="BJN36" s="179"/>
      <c r="BJO36" s="179"/>
      <c r="BJP36" s="179"/>
      <c r="BJQ36" s="179"/>
      <c r="BJR36" s="179"/>
      <c r="BJS36" s="179"/>
      <c r="BJT36" s="179"/>
      <c r="BJU36" s="179"/>
      <c r="BJV36" s="179"/>
      <c r="BJW36" s="179"/>
      <c r="BJX36" s="179"/>
      <c r="BJY36" s="179"/>
      <c r="BJZ36" s="179"/>
      <c r="BKA36" s="179"/>
      <c r="BKB36" s="179"/>
      <c r="BKC36" s="179"/>
      <c r="BKD36" s="179"/>
      <c r="BKE36" s="179"/>
      <c r="BKF36" s="179"/>
      <c r="BKG36" s="179"/>
      <c r="BKH36" s="179"/>
      <c r="BKI36" s="179"/>
      <c r="BKJ36" s="179"/>
      <c r="BKK36" s="179"/>
      <c r="BKL36" s="179"/>
      <c r="BKM36" s="179"/>
      <c r="BKN36" s="179"/>
      <c r="BKO36" s="179"/>
      <c r="BKP36" s="179"/>
      <c r="BKQ36" s="179"/>
      <c r="BKR36" s="179"/>
      <c r="BKS36" s="179"/>
      <c r="BKT36" s="179"/>
      <c r="BKU36" s="179"/>
      <c r="BKV36" s="179"/>
      <c r="BKW36" s="179"/>
      <c r="BKX36" s="179"/>
      <c r="BKY36" s="179"/>
      <c r="BKZ36" s="179"/>
      <c r="BLA36" s="179"/>
      <c r="BLB36" s="179"/>
      <c r="BLC36" s="179"/>
      <c r="BLD36" s="179"/>
      <c r="BLE36" s="179"/>
      <c r="BLF36" s="179"/>
      <c r="BLG36" s="179"/>
      <c r="BLH36" s="179"/>
      <c r="BLI36" s="179"/>
      <c r="BLJ36" s="179"/>
      <c r="BLK36" s="179"/>
      <c r="BLL36" s="179"/>
      <c r="BLM36" s="179"/>
      <c r="BLN36" s="179"/>
      <c r="BLO36" s="179"/>
      <c r="BLP36" s="179"/>
      <c r="BLQ36" s="179"/>
      <c r="BLR36" s="179"/>
      <c r="BLS36" s="179"/>
      <c r="BLT36" s="179"/>
      <c r="BLU36" s="179"/>
      <c r="BLV36" s="179"/>
      <c r="BLW36" s="179"/>
      <c r="BLX36" s="179"/>
      <c r="BLY36" s="179"/>
      <c r="BLZ36" s="179"/>
      <c r="BMA36" s="179"/>
      <c r="BMB36" s="179"/>
      <c r="BMC36" s="179"/>
      <c r="BMD36" s="179"/>
      <c r="BME36" s="179"/>
      <c r="BMF36" s="179"/>
      <c r="BMG36" s="179"/>
      <c r="BMH36" s="179"/>
      <c r="BMI36" s="179"/>
      <c r="BMJ36" s="179"/>
      <c r="BMK36" s="179"/>
      <c r="BML36" s="179"/>
      <c r="BMM36" s="179"/>
      <c r="BMN36" s="179"/>
      <c r="BMO36" s="179"/>
      <c r="BMP36" s="179"/>
      <c r="BMQ36" s="179"/>
      <c r="BMR36" s="179"/>
      <c r="BMS36" s="179"/>
      <c r="BMT36" s="179"/>
      <c r="BMU36" s="179"/>
      <c r="BMV36" s="179"/>
      <c r="BMW36" s="179"/>
      <c r="BMX36" s="179"/>
      <c r="BMY36" s="179"/>
      <c r="BMZ36" s="179"/>
      <c r="BNA36" s="179"/>
      <c r="BNB36" s="179"/>
      <c r="BNC36" s="179"/>
      <c r="BND36" s="179"/>
      <c r="BNE36" s="179"/>
      <c r="BNF36" s="179"/>
      <c r="BNG36" s="179"/>
      <c r="BNH36" s="179"/>
      <c r="BNI36" s="179"/>
      <c r="BNJ36" s="179"/>
      <c r="BNK36" s="179"/>
      <c r="BNL36" s="179"/>
      <c r="BNM36" s="179"/>
      <c r="BNN36" s="179"/>
      <c r="BNO36" s="179"/>
      <c r="BNP36" s="179"/>
      <c r="BNQ36" s="179"/>
      <c r="BNR36" s="179"/>
      <c r="BNS36" s="179"/>
      <c r="BNT36" s="179"/>
      <c r="BNU36" s="179"/>
      <c r="BNV36" s="179"/>
      <c r="BNW36" s="179"/>
      <c r="BNX36" s="179"/>
      <c r="BNY36" s="179"/>
      <c r="BNZ36" s="179"/>
      <c r="BOA36" s="179"/>
      <c r="BOB36" s="179"/>
      <c r="BOC36" s="179"/>
      <c r="BOD36" s="179"/>
      <c r="BOE36" s="179"/>
      <c r="BOF36" s="179"/>
      <c r="BOG36" s="179"/>
      <c r="BOH36" s="179"/>
      <c r="BOI36" s="179"/>
      <c r="BOJ36" s="179"/>
      <c r="BOK36" s="179"/>
      <c r="BOL36" s="179"/>
      <c r="BOM36" s="179"/>
      <c r="BON36" s="179"/>
      <c r="BOO36" s="179"/>
      <c r="BOP36" s="179"/>
      <c r="BOQ36" s="179"/>
      <c r="BOR36" s="179"/>
      <c r="BOS36" s="179"/>
      <c r="BOT36" s="179"/>
      <c r="BOU36" s="179"/>
      <c r="BOV36" s="179"/>
      <c r="BOW36" s="179"/>
      <c r="BOX36" s="179"/>
      <c r="BOY36" s="179"/>
      <c r="BOZ36" s="179"/>
      <c r="BPA36" s="179"/>
      <c r="BPB36" s="179"/>
      <c r="BPC36" s="179"/>
      <c r="BPD36" s="179"/>
      <c r="BPE36" s="179"/>
      <c r="BPF36" s="179"/>
      <c r="BPG36" s="179"/>
      <c r="BPH36" s="179"/>
      <c r="BPI36" s="179"/>
      <c r="BPJ36" s="179"/>
      <c r="BPK36" s="179"/>
      <c r="BPL36" s="179"/>
      <c r="BPM36" s="179"/>
      <c r="BPN36" s="179"/>
      <c r="BPO36" s="179"/>
      <c r="BPP36" s="179"/>
      <c r="BPQ36" s="179"/>
      <c r="BPR36" s="179"/>
      <c r="BPS36" s="179"/>
      <c r="BPT36" s="179"/>
      <c r="BPU36" s="179"/>
      <c r="BPV36" s="179"/>
      <c r="BPW36" s="179"/>
      <c r="BPX36" s="179"/>
      <c r="BPY36" s="179"/>
      <c r="BPZ36" s="179"/>
      <c r="BQA36" s="179"/>
      <c r="BQB36" s="179"/>
      <c r="BQC36" s="179"/>
      <c r="BQD36" s="179"/>
      <c r="BQE36" s="179"/>
      <c r="BQF36" s="179"/>
      <c r="BQG36" s="179"/>
      <c r="BQH36" s="179"/>
      <c r="BQI36" s="179"/>
      <c r="BQJ36" s="179"/>
      <c r="BQK36" s="179"/>
      <c r="BQL36" s="179"/>
      <c r="BQM36" s="179"/>
      <c r="BQN36" s="179"/>
      <c r="BQO36" s="179"/>
      <c r="BQP36" s="179"/>
      <c r="BQQ36" s="179"/>
      <c r="BQR36" s="179"/>
      <c r="BQS36" s="179"/>
      <c r="BQT36" s="179"/>
      <c r="BQU36" s="179"/>
      <c r="BQV36" s="179"/>
      <c r="BQW36" s="179"/>
      <c r="BQX36" s="179"/>
      <c r="BQY36" s="179"/>
      <c r="BQZ36" s="179"/>
      <c r="BRA36" s="179"/>
      <c r="BRB36" s="179"/>
      <c r="BRC36" s="179"/>
      <c r="BRD36" s="179"/>
      <c r="BRE36" s="179"/>
      <c r="BRF36" s="179"/>
      <c r="BRG36" s="179"/>
      <c r="BRH36" s="179"/>
      <c r="BRI36" s="179"/>
      <c r="BRJ36" s="179"/>
      <c r="BRK36" s="179"/>
      <c r="BRL36" s="179"/>
      <c r="BRM36" s="179"/>
      <c r="BRN36" s="179"/>
      <c r="BRO36" s="179"/>
      <c r="BRP36" s="179"/>
      <c r="BRQ36" s="179"/>
      <c r="BRR36" s="179"/>
      <c r="BRS36" s="179"/>
      <c r="BRT36" s="179"/>
      <c r="BRU36" s="179"/>
      <c r="BRV36" s="179"/>
      <c r="BRW36" s="179"/>
      <c r="BRX36" s="179"/>
      <c r="BRY36" s="179"/>
      <c r="BRZ36" s="179"/>
      <c r="BSA36" s="179"/>
      <c r="BSB36" s="179"/>
      <c r="BSC36" s="179"/>
      <c r="BSD36" s="179"/>
      <c r="BSE36" s="179"/>
      <c r="BSF36" s="179"/>
      <c r="BSG36" s="179"/>
      <c r="BSH36" s="179"/>
      <c r="BSI36" s="179"/>
      <c r="BSJ36" s="179"/>
      <c r="BSK36" s="179"/>
      <c r="BSL36" s="179"/>
      <c r="BSM36" s="179"/>
      <c r="BSN36" s="179"/>
      <c r="BSO36" s="179"/>
      <c r="BSP36" s="179"/>
      <c r="BSQ36" s="179"/>
      <c r="BSR36" s="179"/>
      <c r="BSS36" s="179"/>
      <c r="BST36" s="179"/>
      <c r="BSU36" s="179"/>
      <c r="BSV36" s="179"/>
      <c r="BSW36" s="179"/>
      <c r="BSX36" s="179"/>
      <c r="BSY36" s="179"/>
      <c r="BSZ36" s="179"/>
      <c r="BTA36" s="179"/>
      <c r="BTB36" s="179"/>
      <c r="BTC36" s="179"/>
      <c r="BTD36" s="179"/>
      <c r="BTE36" s="179"/>
      <c r="BTF36" s="179"/>
      <c r="BTG36" s="179"/>
      <c r="BTH36" s="179"/>
      <c r="BTI36" s="179"/>
      <c r="BTJ36" s="179"/>
      <c r="BTK36" s="179"/>
      <c r="BTL36" s="179"/>
      <c r="BTM36" s="179"/>
      <c r="BTN36" s="179"/>
      <c r="BTO36" s="179"/>
      <c r="BTP36" s="179"/>
      <c r="BTQ36" s="179"/>
      <c r="BTR36" s="179"/>
      <c r="BTS36" s="179"/>
      <c r="BTT36" s="179"/>
      <c r="BTU36" s="179"/>
      <c r="BTV36" s="179"/>
      <c r="BTW36" s="179"/>
      <c r="BTX36" s="179"/>
      <c r="BTY36" s="179"/>
      <c r="BTZ36" s="179"/>
      <c r="BUA36" s="179"/>
      <c r="BUB36" s="179"/>
      <c r="BUC36" s="179"/>
      <c r="BUD36" s="179"/>
      <c r="BUE36" s="179"/>
      <c r="BUF36" s="179"/>
      <c r="BUG36" s="179"/>
      <c r="BUH36" s="179"/>
      <c r="BUI36" s="179"/>
      <c r="BUJ36" s="179"/>
      <c r="BUK36" s="179"/>
      <c r="BUL36" s="179"/>
      <c r="BUM36" s="179"/>
      <c r="BUN36" s="179"/>
      <c r="BUO36" s="179"/>
      <c r="BUP36" s="179"/>
      <c r="BUQ36" s="179"/>
      <c r="BUR36" s="179"/>
      <c r="BUS36" s="179"/>
      <c r="BUT36" s="179"/>
      <c r="BUU36" s="179"/>
      <c r="BUV36" s="179"/>
      <c r="BUW36" s="179"/>
      <c r="BUX36" s="179"/>
      <c r="BUY36" s="179"/>
      <c r="BUZ36" s="179"/>
      <c r="BVA36" s="179"/>
      <c r="BVB36" s="179"/>
      <c r="BVC36" s="179"/>
      <c r="BVD36" s="179"/>
      <c r="BVE36" s="179"/>
      <c r="BVF36" s="179"/>
      <c r="BVG36" s="179"/>
      <c r="BVH36" s="179"/>
      <c r="BVI36" s="179"/>
      <c r="BVJ36" s="179"/>
      <c r="BVK36" s="179"/>
      <c r="BVL36" s="179"/>
      <c r="BVM36" s="179"/>
      <c r="BVN36" s="179"/>
      <c r="BVO36" s="179"/>
      <c r="BVP36" s="179"/>
      <c r="BVQ36" s="179"/>
      <c r="BVR36" s="179"/>
      <c r="BVS36" s="179"/>
      <c r="BVT36" s="179"/>
      <c r="BVU36" s="179"/>
      <c r="BVV36" s="179"/>
      <c r="BVW36" s="179"/>
      <c r="BVX36" s="179"/>
      <c r="BVY36" s="179"/>
      <c r="BVZ36" s="179"/>
      <c r="BWA36" s="179"/>
      <c r="BWB36" s="179"/>
      <c r="BWC36" s="179"/>
      <c r="BWD36" s="179"/>
      <c r="BWE36" s="179"/>
      <c r="BWF36" s="179"/>
      <c r="BWG36" s="179"/>
      <c r="BWH36" s="179"/>
      <c r="BWI36" s="179"/>
      <c r="BWJ36" s="179"/>
      <c r="BWK36" s="179"/>
      <c r="BWL36" s="179"/>
      <c r="BWM36" s="179"/>
      <c r="BWN36" s="179"/>
      <c r="BWO36" s="179"/>
      <c r="BWP36" s="179"/>
      <c r="BWQ36" s="179"/>
      <c r="BWR36" s="179"/>
      <c r="BWS36" s="179"/>
      <c r="BWT36" s="179"/>
      <c r="BWU36" s="179"/>
      <c r="BWV36" s="179"/>
      <c r="BWW36" s="179"/>
      <c r="BWX36" s="179"/>
      <c r="BWY36" s="179"/>
      <c r="BWZ36" s="179"/>
      <c r="BXA36" s="179"/>
      <c r="BXB36" s="179"/>
      <c r="BXC36" s="179"/>
      <c r="BXD36" s="179"/>
      <c r="BXE36" s="179"/>
      <c r="BXF36" s="179"/>
      <c r="BXG36" s="179"/>
      <c r="BXH36" s="179"/>
      <c r="BXI36" s="179"/>
      <c r="BXJ36" s="179"/>
      <c r="BXK36" s="179"/>
      <c r="BXL36" s="179"/>
      <c r="BXM36" s="179"/>
      <c r="BXN36" s="179"/>
      <c r="BXO36" s="179"/>
      <c r="BXP36" s="179"/>
      <c r="BXQ36" s="179"/>
      <c r="BXR36" s="179"/>
      <c r="BXS36" s="179"/>
      <c r="BXT36" s="179"/>
      <c r="BXU36" s="179"/>
      <c r="BXV36" s="179"/>
      <c r="BXW36" s="179"/>
      <c r="BXX36" s="179"/>
      <c r="BXY36" s="179"/>
      <c r="BXZ36" s="179"/>
      <c r="BYA36" s="179"/>
      <c r="BYB36" s="179"/>
      <c r="BYC36" s="179"/>
      <c r="BYD36" s="179"/>
      <c r="BYE36" s="179"/>
      <c r="BYF36" s="179"/>
      <c r="BYG36" s="179"/>
    </row>
    <row r="37" spans="1:2009" s="3" customFormat="1" ht="13.5" hidden="1" customHeight="1" thickBot="1" x14ac:dyDescent="0.3">
      <c r="A37" s="72"/>
      <c r="B37" s="72"/>
      <c r="C37" s="136"/>
      <c r="D37" s="136"/>
      <c r="E37" s="136"/>
      <c r="F37" s="136"/>
      <c r="G37" s="513"/>
      <c r="I37" s="26"/>
    </row>
    <row r="38" spans="1:2009" s="85" customFormat="1" ht="24.95" customHeight="1" x14ac:dyDescent="0.25">
      <c r="A38" s="110" t="s">
        <v>43</v>
      </c>
      <c r="B38" s="111"/>
      <c r="C38" s="153"/>
      <c r="D38" s="153"/>
      <c r="E38" s="154"/>
      <c r="F38" s="154"/>
      <c r="G38" s="525"/>
      <c r="H38" s="3"/>
      <c r="I38" s="26"/>
      <c r="J38" s="3"/>
      <c r="K38" s="3"/>
      <c r="L38" s="3"/>
      <c r="M38" s="3"/>
      <c r="N38" s="16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112"/>
      <c r="B39" s="86" t="s">
        <v>134</v>
      </c>
      <c r="C39" s="155">
        <f>3958.33-0.14</f>
        <v>3958.19</v>
      </c>
      <c r="D39" s="155"/>
      <c r="E39" s="156"/>
      <c r="F39" s="156"/>
      <c r="G39" s="526">
        <f>ROUND(SUM(C39:F39),5)</f>
        <v>3958.19</v>
      </c>
      <c r="H39" s="3"/>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112"/>
      <c r="B40" s="86" t="s">
        <v>327</v>
      </c>
      <c r="C40" s="155">
        <v>4500</v>
      </c>
      <c r="D40" s="155"/>
      <c r="E40" s="156"/>
      <c r="F40" s="156"/>
      <c r="G40" s="526">
        <f>ROUND(SUM(C40:F40),5)</f>
        <v>4500</v>
      </c>
      <c r="H40" s="3"/>
      <c r="I40" s="26"/>
      <c r="J40" s="3"/>
      <c r="K40" s="3"/>
      <c r="L40" s="3"/>
      <c r="M40" s="3"/>
      <c r="N40" s="16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112"/>
      <c r="B41" s="86" t="s">
        <v>534</v>
      </c>
      <c r="C41" s="155"/>
      <c r="D41" s="155"/>
      <c r="E41" s="156"/>
      <c r="F41" s="156"/>
      <c r="G41" s="526">
        <f>ROUND(SUM(C41:F41),5)</f>
        <v>0</v>
      </c>
      <c r="H41" s="3"/>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85" customFormat="1" ht="24.95" customHeight="1" x14ac:dyDescent="0.25">
      <c r="A42" s="112"/>
      <c r="B42" s="86" t="s">
        <v>334</v>
      </c>
      <c r="C42" s="155">
        <v>60</v>
      </c>
      <c r="D42" s="155"/>
      <c r="E42" s="156"/>
      <c r="F42" s="156"/>
      <c r="G42" s="526">
        <f>ROUND(SUM(C42:F42),5)</f>
        <v>60</v>
      </c>
      <c r="H42" s="3"/>
      <c r="I42" s="26"/>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row>
    <row r="43" spans="1:2009" s="85" customFormat="1" ht="24.95" customHeight="1" x14ac:dyDescent="0.25">
      <c r="A43" s="112"/>
      <c r="B43" s="95" t="s">
        <v>44</v>
      </c>
      <c r="C43" s="155">
        <v>10500</v>
      </c>
      <c r="D43" s="155">
        <v>12915.54</v>
      </c>
      <c r="E43" s="156">
        <v>10744.07</v>
      </c>
      <c r="F43" s="156"/>
      <c r="G43" s="526">
        <f>ROUND(SUM(C43:F43),5)</f>
        <v>34159.61</v>
      </c>
      <c r="H43" s="3"/>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row>
    <row r="44" spans="1:2009" s="185" customFormat="1" ht="24.95" customHeight="1" thickBot="1" x14ac:dyDescent="0.3">
      <c r="A44" s="182"/>
      <c r="B44" s="183" t="s">
        <v>45</v>
      </c>
      <c r="C44" s="184">
        <f>SUM(C39:C43)</f>
        <v>19018.190000000002</v>
      </c>
      <c r="D44" s="184">
        <f>SUM(D39:D43)</f>
        <v>12915.54</v>
      </c>
      <c r="E44" s="184">
        <f>SUM(E39:E43)</f>
        <v>10744.07</v>
      </c>
      <c r="F44" s="184"/>
      <c r="G44" s="652">
        <f>SUM(G39:G43)</f>
        <v>42677.8</v>
      </c>
      <c r="H44" s="169"/>
      <c r="I44" s="26"/>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c r="KM44" s="169"/>
      <c r="KN44" s="169"/>
      <c r="KO44" s="169"/>
      <c r="KP44" s="169"/>
      <c r="KQ44" s="169"/>
      <c r="KR44" s="169"/>
      <c r="KS44" s="169"/>
      <c r="KT44" s="169"/>
      <c r="KU44" s="169"/>
      <c r="KV44" s="169"/>
      <c r="KW44" s="169"/>
      <c r="KX44" s="169"/>
      <c r="KY44" s="169"/>
      <c r="KZ44" s="169"/>
      <c r="LA44" s="169"/>
      <c r="LB44" s="169"/>
      <c r="LC44" s="169"/>
      <c r="LD44" s="169"/>
      <c r="LE44" s="169"/>
      <c r="LF44" s="169"/>
      <c r="LG44" s="169"/>
      <c r="LH44" s="169"/>
      <c r="LI44" s="169"/>
      <c r="LJ44" s="169"/>
      <c r="LK44" s="169"/>
      <c r="LL44" s="169"/>
      <c r="LM44" s="169"/>
      <c r="LN44" s="169"/>
      <c r="LO44" s="169"/>
      <c r="LP44" s="169"/>
      <c r="LQ44" s="169"/>
      <c r="LR44" s="169"/>
      <c r="LS44" s="169"/>
      <c r="LT44" s="169"/>
      <c r="LU44" s="169"/>
      <c r="LV44" s="169"/>
      <c r="LW44" s="169"/>
      <c r="LX44" s="169"/>
      <c r="LY44" s="169"/>
      <c r="LZ44" s="169"/>
      <c r="MA44" s="169"/>
      <c r="MB44" s="169"/>
      <c r="MC44" s="169"/>
      <c r="MD44" s="169"/>
      <c r="ME44" s="169"/>
      <c r="MF44" s="169"/>
      <c r="MG44" s="169"/>
      <c r="MH44" s="169"/>
      <c r="MI44" s="169"/>
      <c r="MJ44" s="169"/>
      <c r="MK44" s="169"/>
      <c r="ML44" s="169"/>
      <c r="MM44" s="169"/>
      <c r="MN44" s="169"/>
      <c r="MO44" s="169"/>
      <c r="MP44" s="169"/>
      <c r="MQ44" s="169"/>
      <c r="MR44" s="169"/>
      <c r="MS44" s="169"/>
      <c r="MT44" s="169"/>
      <c r="MU44" s="169"/>
      <c r="MV44" s="169"/>
      <c r="MW44" s="169"/>
      <c r="MX44" s="169"/>
      <c r="MY44" s="169"/>
      <c r="MZ44" s="169"/>
      <c r="NA44" s="169"/>
      <c r="NB44" s="169"/>
      <c r="NC44" s="169"/>
      <c r="ND44" s="169"/>
      <c r="NE44" s="169"/>
      <c r="NF44" s="169"/>
      <c r="NG44" s="169"/>
      <c r="NH44" s="169"/>
      <c r="NI44" s="169"/>
      <c r="NJ44" s="169"/>
      <c r="NK44" s="169"/>
      <c r="NL44" s="169"/>
      <c r="NM44" s="169"/>
      <c r="NN44" s="169"/>
      <c r="NO44" s="169"/>
      <c r="NP44" s="169"/>
      <c r="NQ44" s="169"/>
      <c r="NR44" s="169"/>
      <c r="NS44" s="169"/>
      <c r="NT44" s="169"/>
      <c r="NU44" s="169"/>
      <c r="NV44" s="169"/>
      <c r="NW44" s="169"/>
      <c r="NX44" s="169"/>
      <c r="NY44" s="169"/>
      <c r="NZ44" s="169"/>
      <c r="OA44" s="169"/>
      <c r="OB44" s="169"/>
      <c r="OC44" s="169"/>
      <c r="OD44" s="169"/>
      <c r="OE44" s="169"/>
      <c r="OF44" s="169"/>
      <c r="OG44" s="169"/>
      <c r="OH44" s="169"/>
      <c r="OI44" s="169"/>
      <c r="OJ44" s="169"/>
      <c r="OK44" s="169"/>
      <c r="OL44" s="169"/>
      <c r="OM44" s="169"/>
      <c r="ON44" s="169"/>
      <c r="OO44" s="169"/>
      <c r="OP44" s="169"/>
      <c r="OQ44" s="169"/>
      <c r="OR44" s="169"/>
      <c r="OS44" s="169"/>
      <c r="OT44" s="169"/>
      <c r="OU44" s="169"/>
      <c r="OV44" s="169"/>
      <c r="OW44" s="169"/>
      <c r="OX44" s="169"/>
      <c r="OY44" s="169"/>
      <c r="OZ44" s="169"/>
      <c r="PA44" s="169"/>
      <c r="PB44" s="169"/>
      <c r="PC44" s="169"/>
      <c r="PD44" s="169"/>
      <c r="PE44" s="169"/>
      <c r="PF44" s="169"/>
      <c r="PG44" s="169"/>
      <c r="PH44" s="169"/>
      <c r="PI44" s="169"/>
      <c r="PJ44" s="169"/>
      <c r="PK44" s="169"/>
      <c r="PL44" s="169"/>
      <c r="PM44" s="169"/>
      <c r="PN44" s="169"/>
      <c r="PO44" s="169"/>
      <c r="PP44" s="169"/>
      <c r="PQ44" s="169"/>
      <c r="PR44" s="169"/>
      <c r="PS44" s="169"/>
      <c r="PT44" s="169"/>
      <c r="PU44" s="169"/>
      <c r="PV44" s="169"/>
      <c r="PW44" s="169"/>
      <c r="PX44" s="169"/>
      <c r="PY44" s="169"/>
      <c r="PZ44" s="169"/>
      <c r="QA44" s="169"/>
      <c r="QB44" s="169"/>
      <c r="QC44" s="169"/>
      <c r="QD44" s="169"/>
      <c r="QE44" s="169"/>
      <c r="QF44" s="169"/>
      <c r="QG44" s="169"/>
      <c r="QH44" s="169"/>
      <c r="QI44" s="169"/>
      <c r="QJ44" s="169"/>
      <c r="QK44" s="169"/>
      <c r="QL44" s="169"/>
      <c r="QM44" s="169"/>
      <c r="QN44" s="169"/>
      <c r="QO44" s="169"/>
      <c r="QP44" s="169"/>
      <c r="QQ44" s="169"/>
      <c r="QR44" s="169"/>
      <c r="QS44" s="169"/>
      <c r="QT44" s="169"/>
      <c r="QU44" s="169"/>
      <c r="QV44" s="169"/>
      <c r="QW44" s="169"/>
      <c r="QX44" s="169"/>
      <c r="QY44" s="169"/>
      <c r="QZ44" s="169"/>
      <c r="RA44" s="169"/>
      <c r="RB44" s="169"/>
      <c r="RC44" s="169"/>
      <c r="RD44" s="169"/>
      <c r="RE44" s="169"/>
      <c r="RF44" s="169"/>
      <c r="RG44" s="169"/>
      <c r="RH44" s="169"/>
      <c r="RI44" s="169"/>
      <c r="RJ44" s="169"/>
      <c r="RK44" s="169"/>
      <c r="RL44" s="169"/>
      <c r="RM44" s="169"/>
      <c r="RN44" s="169"/>
      <c r="RO44" s="169"/>
      <c r="RP44" s="169"/>
      <c r="RQ44" s="169"/>
      <c r="RR44" s="169"/>
      <c r="RS44" s="169"/>
      <c r="RT44" s="169"/>
      <c r="RU44" s="169"/>
      <c r="RV44" s="169"/>
      <c r="RW44" s="169"/>
      <c r="RX44" s="169"/>
      <c r="RY44" s="169"/>
      <c r="RZ44" s="169"/>
      <c r="SA44" s="169"/>
      <c r="SB44" s="169"/>
      <c r="SC44" s="169"/>
      <c r="SD44" s="169"/>
      <c r="SE44" s="169"/>
      <c r="SF44" s="169"/>
      <c r="SG44" s="169"/>
      <c r="SH44" s="169"/>
      <c r="SI44" s="169"/>
      <c r="SJ44" s="169"/>
      <c r="SK44" s="169"/>
      <c r="SL44" s="169"/>
      <c r="SM44" s="169"/>
      <c r="SN44" s="169"/>
      <c r="SO44" s="169"/>
      <c r="SP44" s="169"/>
      <c r="SQ44" s="169"/>
      <c r="SR44" s="169"/>
      <c r="SS44" s="169"/>
      <c r="ST44" s="169"/>
      <c r="SU44" s="169"/>
      <c r="SV44" s="169"/>
      <c r="SW44" s="169"/>
      <c r="SX44" s="169"/>
      <c r="SY44" s="169"/>
      <c r="SZ44" s="169"/>
      <c r="TA44" s="169"/>
      <c r="TB44" s="169"/>
      <c r="TC44" s="169"/>
      <c r="TD44" s="169"/>
      <c r="TE44" s="169"/>
      <c r="TF44" s="169"/>
      <c r="TG44" s="169"/>
      <c r="TH44" s="169"/>
      <c r="TI44" s="169"/>
      <c r="TJ44" s="169"/>
      <c r="TK44" s="169"/>
      <c r="TL44" s="169"/>
      <c r="TM44" s="169"/>
      <c r="TN44" s="169"/>
      <c r="TO44" s="169"/>
      <c r="TP44" s="169"/>
      <c r="TQ44" s="169"/>
      <c r="TR44" s="169"/>
      <c r="TS44" s="169"/>
      <c r="TT44" s="169"/>
      <c r="TU44" s="169"/>
      <c r="TV44" s="169"/>
      <c r="TW44" s="169"/>
      <c r="TX44" s="169"/>
      <c r="TY44" s="169"/>
      <c r="TZ44" s="169"/>
      <c r="UA44" s="169"/>
      <c r="UB44" s="169"/>
      <c r="UC44" s="169"/>
      <c r="UD44" s="169"/>
      <c r="UE44" s="169"/>
      <c r="UF44" s="169"/>
      <c r="UG44" s="169"/>
      <c r="UH44" s="169"/>
      <c r="UI44" s="169"/>
      <c r="UJ44" s="169"/>
      <c r="UK44" s="169"/>
      <c r="UL44" s="169"/>
      <c r="UM44" s="169"/>
      <c r="UN44" s="169"/>
      <c r="UO44" s="169"/>
      <c r="UP44" s="169"/>
      <c r="UQ44" s="169"/>
      <c r="UR44" s="169"/>
      <c r="US44" s="169"/>
      <c r="UT44" s="169"/>
      <c r="UU44" s="169"/>
      <c r="UV44" s="169"/>
      <c r="UW44" s="169"/>
      <c r="UX44" s="169"/>
      <c r="UY44" s="169"/>
      <c r="UZ44" s="169"/>
      <c r="VA44" s="169"/>
      <c r="VB44" s="169"/>
      <c r="VC44" s="169"/>
      <c r="VD44" s="169"/>
      <c r="VE44" s="169"/>
      <c r="VF44" s="169"/>
      <c r="VG44" s="169"/>
      <c r="VH44" s="169"/>
      <c r="VI44" s="169"/>
      <c r="VJ44" s="169"/>
      <c r="VK44" s="169"/>
      <c r="VL44" s="169"/>
      <c r="VM44" s="169"/>
      <c r="VN44" s="169"/>
      <c r="VO44" s="169"/>
      <c r="VP44" s="169"/>
      <c r="VQ44" s="169"/>
      <c r="VR44" s="169"/>
      <c r="VS44" s="169"/>
      <c r="VT44" s="169"/>
      <c r="VU44" s="169"/>
      <c r="VV44" s="169"/>
      <c r="VW44" s="169"/>
      <c r="VX44" s="169"/>
      <c r="VY44" s="169"/>
      <c r="VZ44" s="169"/>
      <c r="WA44" s="169"/>
      <c r="WB44" s="169"/>
      <c r="WC44" s="169"/>
      <c r="WD44" s="169"/>
      <c r="WE44" s="169"/>
      <c r="WF44" s="169"/>
      <c r="WG44" s="169"/>
      <c r="WH44" s="169"/>
      <c r="WI44" s="169"/>
      <c r="WJ44" s="169"/>
      <c r="WK44" s="169"/>
      <c r="WL44" s="169"/>
      <c r="WM44" s="169"/>
      <c r="WN44" s="169"/>
      <c r="WO44" s="169"/>
      <c r="WP44" s="169"/>
      <c r="WQ44" s="169"/>
      <c r="WR44" s="169"/>
      <c r="WS44" s="169"/>
      <c r="WT44" s="169"/>
      <c r="WU44" s="169"/>
      <c r="WV44" s="169"/>
      <c r="WW44" s="169"/>
      <c r="WX44" s="169"/>
      <c r="WY44" s="169"/>
      <c r="WZ44" s="169"/>
      <c r="XA44" s="169"/>
      <c r="XB44" s="169"/>
      <c r="XC44" s="169"/>
      <c r="XD44" s="169"/>
      <c r="XE44" s="169"/>
      <c r="XF44" s="169"/>
      <c r="XG44" s="169"/>
      <c r="XH44" s="169"/>
      <c r="XI44" s="169"/>
      <c r="XJ44" s="169"/>
      <c r="XK44" s="169"/>
      <c r="XL44" s="169"/>
      <c r="XM44" s="169"/>
      <c r="XN44" s="169"/>
      <c r="XO44" s="169"/>
      <c r="XP44" s="169"/>
      <c r="XQ44" s="169"/>
      <c r="XR44" s="169"/>
      <c r="XS44" s="169"/>
      <c r="XT44" s="169"/>
      <c r="XU44" s="169"/>
      <c r="XV44" s="169"/>
      <c r="XW44" s="169"/>
      <c r="XX44" s="169"/>
      <c r="XY44" s="169"/>
      <c r="XZ44" s="169"/>
      <c r="YA44" s="169"/>
      <c r="YB44" s="169"/>
      <c r="YC44" s="169"/>
      <c r="YD44" s="169"/>
      <c r="YE44" s="169"/>
      <c r="YF44" s="169"/>
      <c r="YG44" s="169"/>
      <c r="YH44" s="169"/>
      <c r="YI44" s="169"/>
      <c r="YJ44" s="169"/>
      <c r="YK44" s="169"/>
      <c r="YL44" s="169"/>
      <c r="YM44" s="169"/>
      <c r="YN44" s="169"/>
      <c r="YO44" s="169"/>
      <c r="YP44" s="169"/>
      <c r="YQ44" s="169"/>
      <c r="YR44" s="169"/>
      <c r="YS44" s="169"/>
      <c r="YT44" s="169"/>
      <c r="YU44" s="169"/>
      <c r="YV44" s="169"/>
      <c r="YW44" s="169"/>
      <c r="YX44" s="169"/>
      <c r="YY44" s="169"/>
      <c r="YZ44" s="169"/>
      <c r="ZA44" s="169"/>
      <c r="ZB44" s="169"/>
      <c r="ZC44" s="169"/>
      <c r="ZD44" s="169"/>
      <c r="ZE44" s="169"/>
      <c r="ZF44" s="169"/>
      <c r="ZG44" s="169"/>
      <c r="ZH44" s="169"/>
      <c r="ZI44" s="169"/>
      <c r="ZJ44" s="169"/>
      <c r="ZK44" s="169"/>
      <c r="ZL44" s="169"/>
      <c r="ZM44" s="169"/>
      <c r="ZN44" s="169"/>
      <c r="ZO44" s="169"/>
      <c r="ZP44" s="169"/>
      <c r="ZQ44" s="169"/>
      <c r="ZR44" s="169"/>
      <c r="ZS44" s="169"/>
      <c r="ZT44" s="169"/>
      <c r="ZU44" s="169"/>
      <c r="ZV44" s="169"/>
      <c r="ZW44" s="169"/>
      <c r="ZX44" s="169"/>
      <c r="ZY44" s="169"/>
      <c r="ZZ44" s="169"/>
      <c r="AAA44" s="169"/>
      <c r="AAB44" s="169"/>
      <c r="AAC44" s="169"/>
      <c r="AAD44" s="169"/>
      <c r="AAE44" s="169"/>
      <c r="AAF44" s="169"/>
      <c r="AAG44" s="169"/>
      <c r="AAH44" s="169"/>
      <c r="AAI44" s="169"/>
      <c r="AAJ44" s="169"/>
      <c r="AAK44" s="169"/>
      <c r="AAL44" s="169"/>
      <c r="AAM44" s="169"/>
      <c r="AAN44" s="169"/>
      <c r="AAO44" s="169"/>
      <c r="AAP44" s="169"/>
      <c r="AAQ44" s="169"/>
      <c r="AAR44" s="169"/>
      <c r="AAS44" s="169"/>
      <c r="AAT44" s="169"/>
      <c r="AAU44" s="169"/>
      <c r="AAV44" s="169"/>
      <c r="AAW44" s="169"/>
      <c r="AAX44" s="169"/>
      <c r="AAY44" s="169"/>
      <c r="AAZ44" s="169"/>
      <c r="ABA44" s="169"/>
      <c r="ABB44" s="169"/>
      <c r="ABC44" s="169"/>
      <c r="ABD44" s="169"/>
      <c r="ABE44" s="169"/>
      <c r="ABF44" s="169"/>
      <c r="ABG44" s="169"/>
      <c r="ABH44" s="169"/>
      <c r="ABI44" s="169"/>
      <c r="ABJ44" s="169"/>
      <c r="ABK44" s="169"/>
      <c r="ABL44" s="169"/>
      <c r="ABM44" s="169"/>
      <c r="ABN44" s="169"/>
      <c r="ABO44" s="169"/>
      <c r="ABP44" s="169"/>
      <c r="ABQ44" s="169"/>
      <c r="ABR44" s="169"/>
      <c r="ABS44" s="169"/>
      <c r="ABT44" s="169"/>
      <c r="ABU44" s="169"/>
      <c r="ABV44" s="169"/>
      <c r="ABW44" s="169"/>
      <c r="ABX44" s="169"/>
      <c r="ABY44" s="169"/>
      <c r="ABZ44" s="169"/>
      <c r="ACA44" s="169"/>
      <c r="ACB44" s="169"/>
      <c r="ACC44" s="169"/>
      <c r="ACD44" s="169"/>
      <c r="ACE44" s="169"/>
      <c r="ACF44" s="169"/>
      <c r="ACG44" s="169"/>
      <c r="ACH44" s="169"/>
      <c r="ACI44" s="169"/>
      <c r="ACJ44" s="169"/>
      <c r="ACK44" s="169"/>
      <c r="ACL44" s="169"/>
      <c r="ACM44" s="169"/>
      <c r="ACN44" s="169"/>
      <c r="ACO44" s="169"/>
      <c r="ACP44" s="169"/>
      <c r="ACQ44" s="169"/>
      <c r="ACR44" s="169"/>
      <c r="ACS44" s="169"/>
      <c r="ACT44" s="169"/>
      <c r="ACU44" s="169"/>
      <c r="ACV44" s="169"/>
      <c r="ACW44" s="169"/>
      <c r="ACX44" s="169"/>
      <c r="ACY44" s="169"/>
      <c r="ACZ44" s="169"/>
      <c r="ADA44" s="169"/>
      <c r="ADB44" s="169"/>
      <c r="ADC44" s="169"/>
      <c r="ADD44" s="169"/>
      <c r="ADE44" s="169"/>
      <c r="ADF44" s="169"/>
      <c r="ADG44" s="169"/>
      <c r="ADH44" s="169"/>
      <c r="ADI44" s="169"/>
      <c r="ADJ44" s="169"/>
      <c r="ADK44" s="169"/>
      <c r="ADL44" s="169"/>
      <c r="ADM44" s="169"/>
      <c r="ADN44" s="169"/>
      <c r="ADO44" s="169"/>
      <c r="ADP44" s="169"/>
      <c r="ADQ44" s="169"/>
      <c r="ADR44" s="169"/>
      <c r="ADS44" s="169"/>
      <c r="ADT44" s="169"/>
      <c r="ADU44" s="169"/>
      <c r="ADV44" s="169"/>
      <c r="ADW44" s="169"/>
      <c r="ADX44" s="169"/>
      <c r="ADY44" s="169"/>
      <c r="ADZ44" s="169"/>
      <c r="AEA44" s="169"/>
      <c r="AEB44" s="169"/>
      <c r="AEC44" s="169"/>
      <c r="AED44" s="169"/>
      <c r="AEE44" s="169"/>
      <c r="AEF44" s="169"/>
      <c r="AEG44" s="169"/>
      <c r="AEH44" s="169"/>
      <c r="AEI44" s="169"/>
      <c r="AEJ44" s="169"/>
      <c r="AEK44" s="169"/>
      <c r="AEL44" s="169"/>
      <c r="AEM44" s="169"/>
      <c r="AEN44" s="169"/>
      <c r="AEO44" s="169"/>
      <c r="AEP44" s="169"/>
      <c r="AEQ44" s="169"/>
      <c r="AER44" s="169"/>
      <c r="AES44" s="169"/>
      <c r="AET44" s="169"/>
      <c r="AEU44" s="169"/>
      <c r="AEV44" s="169"/>
      <c r="AEW44" s="169"/>
      <c r="AEX44" s="169"/>
      <c r="AEY44" s="169"/>
      <c r="AEZ44" s="169"/>
      <c r="AFA44" s="169"/>
      <c r="AFB44" s="169"/>
      <c r="AFC44" s="169"/>
      <c r="AFD44" s="169"/>
      <c r="AFE44" s="169"/>
      <c r="AFF44" s="169"/>
      <c r="AFG44" s="169"/>
      <c r="AFH44" s="169"/>
      <c r="AFI44" s="169"/>
      <c r="AFJ44" s="169"/>
      <c r="AFK44" s="169"/>
      <c r="AFL44" s="169"/>
      <c r="AFM44" s="169"/>
      <c r="AFN44" s="169"/>
      <c r="AFO44" s="169"/>
      <c r="AFP44" s="169"/>
      <c r="AFQ44" s="169"/>
      <c r="AFR44" s="169"/>
      <c r="AFS44" s="169"/>
      <c r="AFT44" s="169"/>
      <c r="AFU44" s="169"/>
      <c r="AFV44" s="169"/>
      <c r="AFW44" s="169"/>
      <c r="AFX44" s="169"/>
      <c r="AFY44" s="169"/>
      <c r="AFZ44" s="169"/>
      <c r="AGA44" s="169"/>
      <c r="AGB44" s="169"/>
      <c r="AGC44" s="169"/>
      <c r="AGD44" s="169"/>
      <c r="AGE44" s="169"/>
      <c r="AGF44" s="169"/>
      <c r="AGG44" s="169"/>
      <c r="AGH44" s="169"/>
      <c r="AGI44" s="169"/>
      <c r="AGJ44" s="169"/>
      <c r="AGK44" s="169"/>
      <c r="AGL44" s="169"/>
      <c r="AGM44" s="169"/>
      <c r="AGN44" s="169"/>
      <c r="AGO44" s="169"/>
      <c r="AGP44" s="169"/>
      <c r="AGQ44" s="169"/>
      <c r="AGR44" s="169"/>
      <c r="AGS44" s="169"/>
      <c r="AGT44" s="169"/>
      <c r="AGU44" s="169"/>
      <c r="AGV44" s="169"/>
      <c r="AGW44" s="169"/>
      <c r="AGX44" s="169"/>
      <c r="AGY44" s="169"/>
      <c r="AGZ44" s="169"/>
      <c r="AHA44" s="169"/>
      <c r="AHB44" s="169"/>
      <c r="AHC44" s="169"/>
      <c r="AHD44" s="169"/>
      <c r="AHE44" s="169"/>
      <c r="AHF44" s="169"/>
      <c r="AHG44" s="169"/>
      <c r="AHH44" s="169"/>
      <c r="AHI44" s="169"/>
      <c r="AHJ44" s="169"/>
      <c r="AHK44" s="169"/>
      <c r="AHL44" s="169"/>
      <c r="AHM44" s="169"/>
      <c r="AHN44" s="169"/>
      <c r="AHO44" s="169"/>
      <c r="AHP44" s="169"/>
      <c r="AHQ44" s="169"/>
      <c r="AHR44" s="169"/>
      <c r="AHS44" s="169"/>
      <c r="AHT44" s="169"/>
      <c r="AHU44" s="169"/>
      <c r="AHV44" s="169"/>
      <c r="AHW44" s="169"/>
      <c r="AHX44" s="169"/>
      <c r="AHY44" s="169"/>
      <c r="AHZ44" s="169"/>
      <c r="AIA44" s="169"/>
      <c r="AIB44" s="169"/>
      <c r="AIC44" s="169"/>
      <c r="AID44" s="169"/>
      <c r="AIE44" s="169"/>
      <c r="AIF44" s="169"/>
      <c r="AIG44" s="169"/>
      <c r="AIH44" s="169"/>
      <c r="AII44" s="169"/>
      <c r="AIJ44" s="169"/>
      <c r="AIK44" s="169"/>
      <c r="AIL44" s="169"/>
      <c r="AIM44" s="169"/>
      <c r="AIN44" s="169"/>
      <c r="AIO44" s="169"/>
      <c r="AIP44" s="169"/>
      <c r="AIQ44" s="169"/>
      <c r="AIR44" s="169"/>
      <c r="AIS44" s="169"/>
      <c r="AIT44" s="169"/>
      <c r="AIU44" s="169"/>
      <c r="AIV44" s="169"/>
      <c r="AIW44" s="169"/>
      <c r="AIX44" s="169"/>
      <c r="AIY44" s="169"/>
      <c r="AIZ44" s="169"/>
      <c r="AJA44" s="169"/>
      <c r="AJB44" s="169"/>
      <c r="AJC44" s="169"/>
      <c r="AJD44" s="169"/>
      <c r="AJE44" s="169"/>
      <c r="AJF44" s="169"/>
      <c r="AJG44" s="169"/>
      <c r="AJH44" s="169"/>
      <c r="AJI44" s="169"/>
      <c r="AJJ44" s="169"/>
      <c r="AJK44" s="169"/>
      <c r="AJL44" s="169"/>
      <c r="AJM44" s="169"/>
      <c r="AJN44" s="169"/>
      <c r="AJO44" s="169"/>
      <c r="AJP44" s="169"/>
      <c r="AJQ44" s="169"/>
      <c r="AJR44" s="169"/>
      <c r="AJS44" s="169"/>
      <c r="AJT44" s="169"/>
      <c r="AJU44" s="169"/>
      <c r="AJV44" s="169"/>
      <c r="AJW44" s="169"/>
      <c r="AJX44" s="169"/>
      <c r="AJY44" s="169"/>
      <c r="AJZ44" s="169"/>
      <c r="AKA44" s="169"/>
      <c r="AKB44" s="169"/>
      <c r="AKC44" s="169"/>
      <c r="AKD44" s="169"/>
      <c r="AKE44" s="169"/>
      <c r="AKF44" s="169"/>
      <c r="AKG44" s="169"/>
      <c r="AKH44" s="169"/>
      <c r="AKI44" s="169"/>
      <c r="AKJ44" s="169"/>
      <c r="AKK44" s="169"/>
      <c r="AKL44" s="169"/>
      <c r="AKM44" s="169"/>
      <c r="AKN44" s="169"/>
      <c r="AKO44" s="169"/>
      <c r="AKP44" s="169"/>
      <c r="AKQ44" s="169"/>
      <c r="AKR44" s="169"/>
      <c r="AKS44" s="169"/>
      <c r="AKT44" s="169"/>
      <c r="AKU44" s="169"/>
      <c r="AKV44" s="169"/>
      <c r="AKW44" s="169"/>
      <c r="AKX44" s="169"/>
      <c r="AKY44" s="169"/>
      <c r="AKZ44" s="169"/>
      <c r="ALA44" s="169"/>
      <c r="ALB44" s="169"/>
      <c r="ALC44" s="169"/>
      <c r="ALD44" s="169"/>
      <c r="ALE44" s="169"/>
      <c r="ALF44" s="169"/>
      <c r="ALG44" s="169"/>
      <c r="ALH44" s="169"/>
      <c r="ALI44" s="169"/>
      <c r="ALJ44" s="169"/>
      <c r="ALK44" s="169"/>
      <c r="ALL44" s="169"/>
      <c r="ALM44" s="169"/>
      <c r="ALN44" s="169"/>
      <c r="ALO44" s="169"/>
      <c r="ALP44" s="169"/>
      <c r="ALQ44" s="169"/>
      <c r="ALR44" s="169"/>
      <c r="ALS44" s="169"/>
      <c r="ALT44" s="169"/>
      <c r="ALU44" s="169"/>
      <c r="ALV44" s="169"/>
      <c r="ALW44" s="169"/>
      <c r="ALX44" s="169"/>
      <c r="ALY44" s="169"/>
      <c r="ALZ44" s="169"/>
      <c r="AMA44" s="169"/>
      <c r="AMB44" s="169"/>
      <c r="AMC44" s="169"/>
      <c r="AMD44" s="169"/>
      <c r="AME44" s="169"/>
      <c r="AMF44" s="169"/>
      <c r="AMG44" s="169"/>
      <c r="AMH44" s="169"/>
      <c r="AMI44" s="169"/>
      <c r="AMJ44" s="169"/>
      <c r="AMK44" s="169"/>
      <c r="AML44" s="169"/>
      <c r="AMM44" s="169"/>
      <c r="AMN44" s="169"/>
      <c r="AMO44" s="169"/>
      <c r="AMP44" s="169"/>
      <c r="AMQ44" s="169"/>
      <c r="AMR44" s="169"/>
      <c r="AMS44" s="169"/>
      <c r="AMT44" s="169"/>
      <c r="AMU44" s="169"/>
      <c r="AMV44" s="169"/>
      <c r="AMW44" s="169"/>
      <c r="AMX44" s="169"/>
      <c r="AMY44" s="169"/>
      <c r="AMZ44" s="169"/>
      <c r="ANA44" s="169"/>
      <c r="ANB44" s="169"/>
      <c r="ANC44" s="169"/>
      <c r="AND44" s="169"/>
      <c r="ANE44" s="169"/>
      <c r="ANF44" s="169"/>
      <c r="ANG44" s="169"/>
      <c r="ANH44" s="169"/>
      <c r="ANI44" s="169"/>
      <c r="ANJ44" s="169"/>
      <c r="ANK44" s="169"/>
      <c r="ANL44" s="169"/>
      <c r="ANM44" s="169"/>
      <c r="ANN44" s="169"/>
      <c r="ANO44" s="169"/>
      <c r="ANP44" s="169"/>
      <c r="ANQ44" s="169"/>
      <c r="ANR44" s="169"/>
      <c r="ANS44" s="169"/>
      <c r="ANT44" s="169"/>
      <c r="ANU44" s="169"/>
      <c r="ANV44" s="169"/>
      <c r="ANW44" s="169"/>
      <c r="ANX44" s="169"/>
      <c r="ANY44" s="169"/>
      <c r="ANZ44" s="169"/>
      <c r="AOA44" s="169"/>
      <c r="AOB44" s="169"/>
      <c r="AOC44" s="169"/>
      <c r="AOD44" s="169"/>
      <c r="AOE44" s="169"/>
      <c r="AOF44" s="169"/>
      <c r="AOG44" s="169"/>
      <c r="AOH44" s="169"/>
      <c r="AOI44" s="169"/>
      <c r="AOJ44" s="169"/>
      <c r="AOK44" s="169"/>
      <c r="AOL44" s="169"/>
      <c r="AOM44" s="169"/>
      <c r="AON44" s="169"/>
      <c r="AOO44" s="169"/>
      <c r="AOP44" s="169"/>
      <c r="AOQ44" s="169"/>
      <c r="AOR44" s="169"/>
      <c r="AOS44" s="169"/>
      <c r="AOT44" s="169"/>
      <c r="AOU44" s="169"/>
      <c r="AOV44" s="169"/>
      <c r="AOW44" s="169"/>
      <c r="AOX44" s="169"/>
      <c r="AOY44" s="169"/>
      <c r="AOZ44" s="169"/>
      <c r="APA44" s="169"/>
      <c r="APB44" s="169"/>
      <c r="APC44" s="169"/>
      <c r="APD44" s="169"/>
      <c r="APE44" s="169"/>
      <c r="APF44" s="169"/>
      <c r="APG44" s="169"/>
      <c r="APH44" s="169"/>
      <c r="API44" s="169"/>
      <c r="APJ44" s="169"/>
      <c r="APK44" s="169"/>
      <c r="APL44" s="169"/>
      <c r="APM44" s="169"/>
      <c r="APN44" s="169"/>
      <c r="APO44" s="169"/>
      <c r="APP44" s="169"/>
      <c r="APQ44" s="169"/>
      <c r="APR44" s="169"/>
      <c r="APS44" s="169"/>
      <c r="APT44" s="169"/>
      <c r="APU44" s="169"/>
      <c r="APV44" s="169"/>
      <c r="APW44" s="169"/>
      <c r="APX44" s="169"/>
      <c r="APY44" s="169"/>
      <c r="APZ44" s="169"/>
      <c r="AQA44" s="169"/>
      <c r="AQB44" s="169"/>
      <c r="AQC44" s="169"/>
      <c r="AQD44" s="169"/>
      <c r="AQE44" s="169"/>
      <c r="AQF44" s="169"/>
      <c r="AQG44" s="169"/>
      <c r="AQH44" s="169"/>
      <c r="AQI44" s="169"/>
      <c r="AQJ44" s="169"/>
      <c r="AQK44" s="169"/>
      <c r="AQL44" s="169"/>
      <c r="AQM44" s="169"/>
      <c r="AQN44" s="169"/>
      <c r="AQO44" s="169"/>
      <c r="AQP44" s="169"/>
      <c r="AQQ44" s="169"/>
      <c r="AQR44" s="169"/>
      <c r="AQS44" s="169"/>
      <c r="AQT44" s="169"/>
      <c r="AQU44" s="169"/>
      <c r="AQV44" s="169"/>
      <c r="AQW44" s="169"/>
      <c r="AQX44" s="169"/>
      <c r="AQY44" s="169"/>
      <c r="AQZ44" s="169"/>
      <c r="ARA44" s="169"/>
      <c r="ARB44" s="169"/>
      <c r="ARC44" s="169"/>
      <c r="ARD44" s="169"/>
      <c r="ARE44" s="169"/>
      <c r="ARF44" s="169"/>
      <c r="ARG44" s="169"/>
      <c r="ARH44" s="169"/>
      <c r="ARI44" s="169"/>
      <c r="ARJ44" s="169"/>
      <c r="ARK44" s="169"/>
      <c r="ARL44" s="169"/>
      <c r="ARM44" s="169"/>
      <c r="ARN44" s="169"/>
      <c r="ARO44" s="169"/>
      <c r="ARP44" s="169"/>
      <c r="ARQ44" s="169"/>
      <c r="ARR44" s="169"/>
      <c r="ARS44" s="169"/>
      <c r="ART44" s="169"/>
      <c r="ARU44" s="169"/>
      <c r="ARV44" s="169"/>
      <c r="ARW44" s="169"/>
      <c r="ARX44" s="169"/>
      <c r="ARY44" s="169"/>
      <c r="ARZ44" s="169"/>
      <c r="ASA44" s="169"/>
      <c r="ASB44" s="169"/>
      <c r="ASC44" s="169"/>
      <c r="ASD44" s="169"/>
      <c r="ASE44" s="169"/>
      <c r="ASF44" s="169"/>
      <c r="ASG44" s="169"/>
      <c r="ASH44" s="169"/>
      <c r="ASI44" s="169"/>
      <c r="ASJ44" s="169"/>
      <c r="ASK44" s="169"/>
      <c r="ASL44" s="169"/>
      <c r="ASM44" s="169"/>
      <c r="ASN44" s="169"/>
      <c r="ASO44" s="169"/>
      <c r="ASP44" s="169"/>
      <c r="ASQ44" s="169"/>
      <c r="ASR44" s="169"/>
      <c r="ASS44" s="169"/>
      <c r="AST44" s="169"/>
      <c r="ASU44" s="169"/>
      <c r="ASV44" s="169"/>
      <c r="ASW44" s="169"/>
      <c r="ASX44" s="169"/>
      <c r="ASY44" s="169"/>
      <c r="ASZ44" s="169"/>
      <c r="ATA44" s="169"/>
      <c r="ATB44" s="169"/>
      <c r="ATC44" s="169"/>
      <c r="ATD44" s="169"/>
      <c r="ATE44" s="169"/>
      <c r="ATF44" s="169"/>
      <c r="ATG44" s="169"/>
      <c r="ATH44" s="169"/>
      <c r="ATI44" s="169"/>
      <c r="ATJ44" s="169"/>
      <c r="ATK44" s="169"/>
      <c r="ATL44" s="169"/>
      <c r="ATM44" s="169"/>
      <c r="ATN44" s="169"/>
      <c r="ATO44" s="169"/>
      <c r="ATP44" s="169"/>
      <c r="ATQ44" s="169"/>
      <c r="ATR44" s="169"/>
      <c r="ATS44" s="169"/>
      <c r="ATT44" s="169"/>
      <c r="ATU44" s="169"/>
      <c r="ATV44" s="169"/>
      <c r="ATW44" s="169"/>
      <c r="ATX44" s="169"/>
      <c r="ATY44" s="169"/>
      <c r="ATZ44" s="169"/>
      <c r="AUA44" s="169"/>
      <c r="AUB44" s="169"/>
      <c r="AUC44" s="169"/>
      <c r="AUD44" s="169"/>
      <c r="AUE44" s="169"/>
      <c r="AUF44" s="169"/>
      <c r="AUG44" s="169"/>
      <c r="AUH44" s="169"/>
      <c r="AUI44" s="169"/>
      <c r="AUJ44" s="169"/>
      <c r="AUK44" s="169"/>
      <c r="AUL44" s="169"/>
      <c r="AUM44" s="169"/>
      <c r="AUN44" s="169"/>
      <c r="AUO44" s="169"/>
      <c r="AUP44" s="169"/>
      <c r="AUQ44" s="169"/>
      <c r="AUR44" s="169"/>
      <c r="AUS44" s="169"/>
      <c r="AUT44" s="169"/>
      <c r="AUU44" s="169"/>
      <c r="AUV44" s="169"/>
      <c r="AUW44" s="169"/>
      <c r="AUX44" s="169"/>
      <c r="AUY44" s="169"/>
      <c r="AUZ44" s="169"/>
      <c r="AVA44" s="169"/>
      <c r="AVB44" s="169"/>
      <c r="AVC44" s="169"/>
      <c r="AVD44" s="169"/>
      <c r="AVE44" s="169"/>
      <c r="AVF44" s="169"/>
      <c r="AVG44" s="169"/>
      <c r="AVH44" s="169"/>
      <c r="AVI44" s="169"/>
      <c r="AVJ44" s="169"/>
      <c r="AVK44" s="169"/>
      <c r="AVL44" s="169"/>
      <c r="AVM44" s="169"/>
      <c r="AVN44" s="169"/>
      <c r="AVO44" s="169"/>
      <c r="AVP44" s="169"/>
      <c r="AVQ44" s="169"/>
      <c r="AVR44" s="169"/>
      <c r="AVS44" s="169"/>
      <c r="AVT44" s="169"/>
      <c r="AVU44" s="169"/>
      <c r="AVV44" s="169"/>
      <c r="AVW44" s="169"/>
      <c r="AVX44" s="169"/>
      <c r="AVY44" s="169"/>
      <c r="AVZ44" s="169"/>
      <c r="AWA44" s="169"/>
      <c r="AWB44" s="169"/>
      <c r="AWC44" s="169"/>
      <c r="AWD44" s="169"/>
      <c r="AWE44" s="169"/>
      <c r="AWF44" s="169"/>
      <c r="AWG44" s="169"/>
      <c r="AWH44" s="169"/>
      <c r="AWI44" s="169"/>
      <c r="AWJ44" s="169"/>
      <c r="AWK44" s="169"/>
      <c r="AWL44" s="169"/>
      <c r="AWM44" s="169"/>
      <c r="AWN44" s="169"/>
      <c r="AWO44" s="169"/>
      <c r="AWP44" s="169"/>
      <c r="AWQ44" s="169"/>
      <c r="AWR44" s="169"/>
      <c r="AWS44" s="169"/>
      <c r="AWT44" s="169"/>
      <c r="AWU44" s="169"/>
      <c r="AWV44" s="169"/>
      <c r="AWW44" s="169"/>
      <c r="AWX44" s="169"/>
      <c r="AWY44" s="169"/>
      <c r="AWZ44" s="169"/>
      <c r="AXA44" s="169"/>
      <c r="AXB44" s="169"/>
      <c r="AXC44" s="169"/>
      <c r="AXD44" s="169"/>
      <c r="AXE44" s="169"/>
      <c r="AXF44" s="169"/>
      <c r="AXG44" s="169"/>
      <c r="AXH44" s="169"/>
      <c r="AXI44" s="169"/>
      <c r="AXJ44" s="169"/>
      <c r="AXK44" s="169"/>
      <c r="AXL44" s="169"/>
      <c r="AXM44" s="169"/>
      <c r="AXN44" s="169"/>
      <c r="AXO44" s="169"/>
      <c r="AXP44" s="169"/>
      <c r="AXQ44" s="169"/>
      <c r="AXR44" s="169"/>
      <c r="AXS44" s="169"/>
      <c r="AXT44" s="169"/>
      <c r="AXU44" s="169"/>
      <c r="AXV44" s="169"/>
      <c r="AXW44" s="169"/>
      <c r="AXX44" s="169"/>
      <c r="AXY44" s="169"/>
      <c r="AXZ44" s="169"/>
      <c r="AYA44" s="169"/>
      <c r="AYB44" s="169"/>
      <c r="AYC44" s="169"/>
      <c r="AYD44" s="169"/>
      <c r="AYE44" s="169"/>
      <c r="AYF44" s="169"/>
      <c r="AYG44" s="169"/>
      <c r="AYH44" s="169"/>
      <c r="AYI44" s="169"/>
      <c r="AYJ44" s="169"/>
      <c r="AYK44" s="169"/>
      <c r="AYL44" s="169"/>
      <c r="AYM44" s="169"/>
      <c r="AYN44" s="169"/>
      <c r="AYO44" s="169"/>
      <c r="AYP44" s="169"/>
      <c r="AYQ44" s="169"/>
      <c r="AYR44" s="169"/>
      <c r="AYS44" s="169"/>
      <c r="AYT44" s="169"/>
      <c r="AYU44" s="169"/>
      <c r="AYV44" s="169"/>
      <c r="AYW44" s="169"/>
      <c r="AYX44" s="169"/>
      <c r="AYY44" s="169"/>
      <c r="AYZ44" s="169"/>
      <c r="AZA44" s="169"/>
      <c r="AZB44" s="169"/>
      <c r="AZC44" s="169"/>
      <c r="AZD44" s="169"/>
      <c r="AZE44" s="169"/>
      <c r="AZF44" s="169"/>
      <c r="AZG44" s="169"/>
      <c r="AZH44" s="169"/>
      <c r="AZI44" s="169"/>
      <c r="AZJ44" s="169"/>
      <c r="AZK44" s="169"/>
      <c r="AZL44" s="169"/>
      <c r="AZM44" s="169"/>
      <c r="AZN44" s="169"/>
      <c r="AZO44" s="169"/>
      <c r="AZP44" s="169"/>
      <c r="AZQ44" s="169"/>
      <c r="AZR44" s="169"/>
      <c r="AZS44" s="169"/>
      <c r="AZT44" s="169"/>
      <c r="AZU44" s="169"/>
      <c r="AZV44" s="169"/>
      <c r="AZW44" s="169"/>
      <c r="AZX44" s="169"/>
      <c r="AZY44" s="169"/>
      <c r="AZZ44" s="169"/>
      <c r="BAA44" s="169"/>
      <c r="BAB44" s="169"/>
      <c r="BAC44" s="169"/>
      <c r="BAD44" s="169"/>
      <c r="BAE44" s="169"/>
      <c r="BAF44" s="169"/>
      <c r="BAG44" s="169"/>
      <c r="BAH44" s="169"/>
      <c r="BAI44" s="169"/>
      <c r="BAJ44" s="169"/>
      <c r="BAK44" s="169"/>
      <c r="BAL44" s="169"/>
      <c r="BAM44" s="169"/>
      <c r="BAN44" s="169"/>
      <c r="BAO44" s="169"/>
      <c r="BAP44" s="169"/>
      <c r="BAQ44" s="169"/>
      <c r="BAR44" s="169"/>
      <c r="BAS44" s="169"/>
      <c r="BAT44" s="169"/>
      <c r="BAU44" s="169"/>
      <c r="BAV44" s="169"/>
      <c r="BAW44" s="169"/>
      <c r="BAX44" s="169"/>
      <c r="BAY44" s="169"/>
      <c r="BAZ44" s="169"/>
      <c r="BBA44" s="169"/>
      <c r="BBB44" s="169"/>
      <c r="BBC44" s="169"/>
      <c r="BBD44" s="169"/>
      <c r="BBE44" s="169"/>
      <c r="BBF44" s="169"/>
      <c r="BBG44" s="169"/>
      <c r="BBH44" s="169"/>
      <c r="BBI44" s="169"/>
      <c r="BBJ44" s="169"/>
      <c r="BBK44" s="169"/>
      <c r="BBL44" s="169"/>
      <c r="BBM44" s="169"/>
      <c r="BBN44" s="169"/>
      <c r="BBO44" s="169"/>
      <c r="BBP44" s="169"/>
      <c r="BBQ44" s="169"/>
      <c r="BBR44" s="169"/>
      <c r="BBS44" s="169"/>
      <c r="BBT44" s="169"/>
      <c r="BBU44" s="169"/>
      <c r="BBV44" s="169"/>
      <c r="BBW44" s="169"/>
      <c r="BBX44" s="169"/>
      <c r="BBY44" s="169"/>
      <c r="BBZ44" s="169"/>
      <c r="BCA44" s="169"/>
      <c r="BCB44" s="169"/>
      <c r="BCC44" s="169"/>
      <c r="BCD44" s="169"/>
      <c r="BCE44" s="169"/>
      <c r="BCF44" s="169"/>
      <c r="BCG44" s="169"/>
      <c r="BCH44" s="169"/>
      <c r="BCI44" s="169"/>
      <c r="BCJ44" s="169"/>
      <c r="BCK44" s="169"/>
      <c r="BCL44" s="169"/>
      <c r="BCM44" s="169"/>
      <c r="BCN44" s="169"/>
      <c r="BCO44" s="169"/>
      <c r="BCP44" s="169"/>
      <c r="BCQ44" s="169"/>
      <c r="BCR44" s="169"/>
      <c r="BCS44" s="169"/>
      <c r="BCT44" s="169"/>
      <c r="BCU44" s="169"/>
      <c r="BCV44" s="169"/>
      <c r="BCW44" s="169"/>
      <c r="BCX44" s="169"/>
      <c r="BCY44" s="169"/>
      <c r="BCZ44" s="169"/>
      <c r="BDA44" s="169"/>
      <c r="BDB44" s="169"/>
      <c r="BDC44" s="169"/>
      <c r="BDD44" s="169"/>
      <c r="BDE44" s="169"/>
      <c r="BDF44" s="169"/>
      <c r="BDG44" s="169"/>
      <c r="BDH44" s="169"/>
      <c r="BDI44" s="169"/>
      <c r="BDJ44" s="169"/>
      <c r="BDK44" s="169"/>
      <c r="BDL44" s="169"/>
      <c r="BDM44" s="169"/>
      <c r="BDN44" s="169"/>
      <c r="BDO44" s="169"/>
      <c r="BDP44" s="169"/>
      <c r="BDQ44" s="169"/>
      <c r="BDR44" s="169"/>
      <c r="BDS44" s="169"/>
      <c r="BDT44" s="169"/>
      <c r="BDU44" s="169"/>
      <c r="BDV44" s="169"/>
      <c r="BDW44" s="169"/>
      <c r="BDX44" s="169"/>
      <c r="BDY44" s="169"/>
      <c r="BDZ44" s="169"/>
      <c r="BEA44" s="169"/>
      <c r="BEB44" s="169"/>
      <c r="BEC44" s="169"/>
      <c r="BED44" s="169"/>
      <c r="BEE44" s="169"/>
      <c r="BEF44" s="169"/>
      <c r="BEG44" s="169"/>
      <c r="BEH44" s="169"/>
      <c r="BEI44" s="169"/>
      <c r="BEJ44" s="169"/>
      <c r="BEK44" s="169"/>
      <c r="BEL44" s="169"/>
      <c r="BEM44" s="169"/>
      <c r="BEN44" s="169"/>
      <c r="BEO44" s="169"/>
      <c r="BEP44" s="169"/>
      <c r="BEQ44" s="169"/>
      <c r="BER44" s="169"/>
      <c r="BES44" s="169"/>
      <c r="BET44" s="169"/>
      <c r="BEU44" s="169"/>
      <c r="BEV44" s="169"/>
      <c r="BEW44" s="169"/>
      <c r="BEX44" s="169"/>
      <c r="BEY44" s="169"/>
      <c r="BEZ44" s="169"/>
      <c r="BFA44" s="169"/>
      <c r="BFB44" s="169"/>
      <c r="BFC44" s="169"/>
      <c r="BFD44" s="169"/>
      <c r="BFE44" s="169"/>
      <c r="BFF44" s="169"/>
      <c r="BFG44" s="169"/>
      <c r="BFH44" s="169"/>
      <c r="BFI44" s="169"/>
      <c r="BFJ44" s="169"/>
      <c r="BFK44" s="169"/>
      <c r="BFL44" s="169"/>
      <c r="BFM44" s="169"/>
      <c r="BFN44" s="169"/>
      <c r="BFO44" s="169"/>
      <c r="BFP44" s="169"/>
      <c r="BFQ44" s="169"/>
      <c r="BFR44" s="169"/>
      <c r="BFS44" s="169"/>
      <c r="BFT44" s="169"/>
      <c r="BFU44" s="169"/>
      <c r="BFV44" s="169"/>
      <c r="BFW44" s="169"/>
      <c r="BFX44" s="169"/>
      <c r="BFY44" s="169"/>
      <c r="BFZ44" s="169"/>
      <c r="BGA44" s="169"/>
      <c r="BGB44" s="169"/>
      <c r="BGC44" s="169"/>
      <c r="BGD44" s="169"/>
      <c r="BGE44" s="169"/>
      <c r="BGF44" s="169"/>
      <c r="BGG44" s="169"/>
      <c r="BGH44" s="169"/>
      <c r="BGI44" s="169"/>
      <c r="BGJ44" s="169"/>
      <c r="BGK44" s="169"/>
      <c r="BGL44" s="169"/>
      <c r="BGM44" s="169"/>
      <c r="BGN44" s="169"/>
      <c r="BGO44" s="169"/>
      <c r="BGP44" s="169"/>
      <c r="BGQ44" s="169"/>
      <c r="BGR44" s="169"/>
      <c r="BGS44" s="169"/>
      <c r="BGT44" s="169"/>
      <c r="BGU44" s="169"/>
      <c r="BGV44" s="169"/>
      <c r="BGW44" s="169"/>
      <c r="BGX44" s="169"/>
      <c r="BGY44" s="169"/>
      <c r="BGZ44" s="169"/>
      <c r="BHA44" s="169"/>
      <c r="BHB44" s="169"/>
      <c r="BHC44" s="169"/>
      <c r="BHD44" s="169"/>
      <c r="BHE44" s="169"/>
      <c r="BHF44" s="169"/>
      <c r="BHG44" s="169"/>
      <c r="BHH44" s="169"/>
      <c r="BHI44" s="169"/>
      <c r="BHJ44" s="169"/>
      <c r="BHK44" s="169"/>
      <c r="BHL44" s="169"/>
      <c r="BHM44" s="169"/>
      <c r="BHN44" s="169"/>
      <c r="BHO44" s="169"/>
      <c r="BHP44" s="169"/>
      <c r="BHQ44" s="169"/>
      <c r="BHR44" s="169"/>
      <c r="BHS44" s="169"/>
      <c r="BHT44" s="169"/>
      <c r="BHU44" s="169"/>
      <c r="BHV44" s="169"/>
      <c r="BHW44" s="169"/>
      <c r="BHX44" s="169"/>
      <c r="BHY44" s="169"/>
      <c r="BHZ44" s="169"/>
      <c r="BIA44" s="169"/>
      <c r="BIB44" s="169"/>
      <c r="BIC44" s="169"/>
      <c r="BID44" s="169"/>
      <c r="BIE44" s="169"/>
      <c r="BIF44" s="169"/>
      <c r="BIG44" s="169"/>
      <c r="BIH44" s="169"/>
      <c r="BII44" s="169"/>
      <c r="BIJ44" s="169"/>
      <c r="BIK44" s="169"/>
      <c r="BIL44" s="169"/>
      <c r="BIM44" s="169"/>
      <c r="BIN44" s="169"/>
      <c r="BIO44" s="169"/>
      <c r="BIP44" s="169"/>
      <c r="BIQ44" s="169"/>
      <c r="BIR44" s="169"/>
      <c r="BIS44" s="169"/>
      <c r="BIT44" s="169"/>
      <c r="BIU44" s="169"/>
      <c r="BIV44" s="169"/>
      <c r="BIW44" s="169"/>
      <c r="BIX44" s="169"/>
      <c r="BIY44" s="169"/>
      <c r="BIZ44" s="169"/>
      <c r="BJA44" s="169"/>
      <c r="BJB44" s="169"/>
      <c r="BJC44" s="169"/>
      <c r="BJD44" s="169"/>
      <c r="BJE44" s="169"/>
      <c r="BJF44" s="169"/>
      <c r="BJG44" s="169"/>
      <c r="BJH44" s="169"/>
      <c r="BJI44" s="169"/>
      <c r="BJJ44" s="169"/>
      <c r="BJK44" s="169"/>
      <c r="BJL44" s="169"/>
      <c r="BJM44" s="169"/>
      <c r="BJN44" s="169"/>
      <c r="BJO44" s="169"/>
      <c r="BJP44" s="169"/>
      <c r="BJQ44" s="169"/>
      <c r="BJR44" s="169"/>
      <c r="BJS44" s="169"/>
      <c r="BJT44" s="169"/>
      <c r="BJU44" s="169"/>
      <c r="BJV44" s="169"/>
      <c r="BJW44" s="169"/>
      <c r="BJX44" s="169"/>
      <c r="BJY44" s="169"/>
      <c r="BJZ44" s="169"/>
      <c r="BKA44" s="169"/>
      <c r="BKB44" s="169"/>
      <c r="BKC44" s="169"/>
      <c r="BKD44" s="169"/>
      <c r="BKE44" s="169"/>
      <c r="BKF44" s="169"/>
      <c r="BKG44" s="169"/>
      <c r="BKH44" s="169"/>
      <c r="BKI44" s="169"/>
      <c r="BKJ44" s="169"/>
      <c r="BKK44" s="169"/>
      <c r="BKL44" s="169"/>
      <c r="BKM44" s="169"/>
      <c r="BKN44" s="169"/>
      <c r="BKO44" s="169"/>
      <c r="BKP44" s="169"/>
      <c r="BKQ44" s="169"/>
      <c r="BKR44" s="169"/>
      <c r="BKS44" s="169"/>
      <c r="BKT44" s="169"/>
      <c r="BKU44" s="169"/>
      <c r="BKV44" s="169"/>
      <c r="BKW44" s="169"/>
      <c r="BKX44" s="169"/>
      <c r="BKY44" s="169"/>
      <c r="BKZ44" s="169"/>
      <c r="BLA44" s="169"/>
      <c r="BLB44" s="169"/>
      <c r="BLC44" s="169"/>
      <c r="BLD44" s="169"/>
      <c r="BLE44" s="169"/>
      <c r="BLF44" s="169"/>
      <c r="BLG44" s="169"/>
      <c r="BLH44" s="169"/>
      <c r="BLI44" s="169"/>
      <c r="BLJ44" s="169"/>
      <c r="BLK44" s="169"/>
      <c r="BLL44" s="169"/>
      <c r="BLM44" s="169"/>
      <c r="BLN44" s="169"/>
      <c r="BLO44" s="169"/>
      <c r="BLP44" s="169"/>
      <c r="BLQ44" s="169"/>
      <c r="BLR44" s="169"/>
      <c r="BLS44" s="169"/>
      <c r="BLT44" s="169"/>
      <c r="BLU44" s="169"/>
      <c r="BLV44" s="169"/>
      <c r="BLW44" s="169"/>
      <c r="BLX44" s="169"/>
      <c r="BLY44" s="169"/>
      <c r="BLZ44" s="169"/>
      <c r="BMA44" s="169"/>
      <c r="BMB44" s="169"/>
      <c r="BMC44" s="169"/>
      <c r="BMD44" s="169"/>
      <c r="BME44" s="169"/>
      <c r="BMF44" s="169"/>
      <c r="BMG44" s="169"/>
      <c r="BMH44" s="169"/>
      <c r="BMI44" s="169"/>
      <c r="BMJ44" s="169"/>
      <c r="BMK44" s="169"/>
      <c r="BML44" s="169"/>
      <c r="BMM44" s="169"/>
      <c r="BMN44" s="169"/>
      <c r="BMO44" s="169"/>
      <c r="BMP44" s="169"/>
      <c r="BMQ44" s="169"/>
      <c r="BMR44" s="169"/>
      <c r="BMS44" s="169"/>
      <c r="BMT44" s="169"/>
      <c r="BMU44" s="169"/>
      <c r="BMV44" s="169"/>
      <c r="BMW44" s="169"/>
      <c r="BMX44" s="169"/>
      <c r="BMY44" s="169"/>
      <c r="BMZ44" s="169"/>
      <c r="BNA44" s="169"/>
      <c r="BNB44" s="169"/>
      <c r="BNC44" s="169"/>
      <c r="BND44" s="169"/>
      <c r="BNE44" s="169"/>
      <c r="BNF44" s="169"/>
      <c r="BNG44" s="169"/>
      <c r="BNH44" s="169"/>
      <c r="BNI44" s="169"/>
      <c r="BNJ44" s="169"/>
      <c r="BNK44" s="169"/>
      <c r="BNL44" s="169"/>
      <c r="BNM44" s="169"/>
      <c r="BNN44" s="169"/>
      <c r="BNO44" s="169"/>
      <c r="BNP44" s="169"/>
      <c r="BNQ44" s="169"/>
      <c r="BNR44" s="169"/>
      <c r="BNS44" s="169"/>
      <c r="BNT44" s="169"/>
      <c r="BNU44" s="169"/>
      <c r="BNV44" s="169"/>
      <c r="BNW44" s="169"/>
      <c r="BNX44" s="169"/>
      <c r="BNY44" s="169"/>
      <c r="BNZ44" s="169"/>
      <c r="BOA44" s="169"/>
      <c r="BOB44" s="169"/>
      <c r="BOC44" s="169"/>
      <c r="BOD44" s="169"/>
      <c r="BOE44" s="169"/>
      <c r="BOF44" s="169"/>
      <c r="BOG44" s="169"/>
      <c r="BOH44" s="169"/>
      <c r="BOI44" s="169"/>
      <c r="BOJ44" s="169"/>
      <c r="BOK44" s="169"/>
      <c r="BOL44" s="169"/>
      <c r="BOM44" s="169"/>
      <c r="BON44" s="169"/>
      <c r="BOO44" s="169"/>
      <c r="BOP44" s="169"/>
      <c r="BOQ44" s="169"/>
      <c r="BOR44" s="169"/>
      <c r="BOS44" s="169"/>
      <c r="BOT44" s="169"/>
      <c r="BOU44" s="169"/>
      <c r="BOV44" s="169"/>
      <c r="BOW44" s="169"/>
      <c r="BOX44" s="169"/>
      <c r="BOY44" s="169"/>
      <c r="BOZ44" s="169"/>
      <c r="BPA44" s="169"/>
      <c r="BPB44" s="169"/>
      <c r="BPC44" s="169"/>
      <c r="BPD44" s="169"/>
      <c r="BPE44" s="169"/>
      <c r="BPF44" s="169"/>
      <c r="BPG44" s="169"/>
      <c r="BPH44" s="169"/>
      <c r="BPI44" s="169"/>
      <c r="BPJ44" s="169"/>
      <c r="BPK44" s="169"/>
      <c r="BPL44" s="169"/>
      <c r="BPM44" s="169"/>
      <c r="BPN44" s="169"/>
      <c r="BPO44" s="169"/>
      <c r="BPP44" s="169"/>
      <c r="BPQ44" s="169"/>
      <c r="BPR44" s="169"/>
      <c r="BPS44" s="169"/>
      <c r="BPT44" s="169"/>
      <c r="BPU44" s="169"/>
      <c r="BPV44" s="169"/>
      <c r="BPW44" s="169"/>
      <c r="BPX44" s="169"/>
      <c r="BPY44" s="169"/>
      <c r="BPZ44" s="169"/>
      <c r="BQA44" s="169"/>
      <c r="BQB44" s="169"/>
      <c r="BQC44" s="169"/>
      <c r="BQD44" s="169"/>
      <c r="BQE44" s="169"/>
      <c r="BQF44" s="169"/>
      <c r="BQG44" s="169"/>
      <c r="BQH44" s="169"/>
      <c r="BQI44" s="169"/>
      <c r="BQJ44" s="169"/>
      <c r="BQK44" s="169"/>
      <c r="BQL44" s="169"/>
      <c r="BQM44" s="169"/>
      <c r="BQN44" s="169"/>
      <c r="BQO44" s="169"/>
      <c r="BQP44" s="169"/>
      <c r="BQQ44" s="169"/>
      <c r="BQR44" s="169"/>
      <c r="BQS44" s="169"/>
      <c r="BQT44" s="169"/>
      <c r="BQU44" s="169"/>
      <c r="BQV44" s="169"/>
      <c r="BQW44" s="169"/>
      <c r="BQX44" s="169"/>
      <c r="BQY44" s="169"/>
      <c r="BQZ44" s="169"/>
      <c r="BRA44" s="169"/>
      <c r="BRB44" s="169"/>
      <c r="BRC44" s="169"/>
      <c r="BRD44" s="169"/>
      <c r="BRE44" s="169"/>
      <c r="BRF44" s="169"/>
      <c r="BRG44" s="169"/>
      <c r="BRH44" s="169"/>
      <c r="BRI44" s="169"/>
      <c r="BRJ44" s="169"/>
      <c r="BRK44" s="169"/>
      <c r="BRL44" s="169"/>
      <c r="BRM44" s="169"/>
      <c r="BRN44" s="169"/>
      <c r="BRO44" s="169"/>
      <c r="BRP44" s="169"/>
      <c r="BRQ44" s="169"/>
      <c r="BRR44" s="169"/>
      <c r="BRS44" s="169"/>
      <c r="BRT44" s="169"/>
      <c r="BRU44" s="169"/>
      <c r="BRV44" s="169"/>
      <c r="BRW44" s="169"/>
      <c r="BRX44" s="169"/>
      <c r="BRY44" s="169"/>
      <c r="BRZ44" s="169"/>
      <c r="BSA44" s="169"/>
      <c r="BSB44" s="169"/>
      <c r="BSC44" s="169"/>
      <c r="BSD44" s="169"/>
      <c r="BSE44" s="169"/>
      <c r="BSF44" s="169"/>
      <c r="BSG44" s="169"/>
      <c r="BSH44" s="169"/>
      <c r="BSI44" s="169"/>
      <c r="BSJ44" s="169"/>
      <c r="BSK44" s="169"/>
      <c r="BSL44" s="169"/>
      <c r="BSM44" s="169"/>
      <c r="BSN44" s="169"/>
      <c r="BSO44" s="169"/>
      <c r="BSP44" s="169"/>
      <c r="BSQ44" s="169"/>
      <c r="BSR44" s="169"/>
      <c r="BSS44" s="169"/>
      <c r="BST44" s="169"/>
      <c r="BSU44" s="169"/>
      <c r="BSV44" s="169"/>
      <c r="BSW44" s="169"/>
      <c r="BSX44" s="169"/>
      <c r="BSY44" s="169"/>
      <c r="BSZ44" s="169"/>
      <c r="BTA44" s="169"/>
      <c r="BTB44" s="169"/>
      <c r="BTC44" s="169"/>
      <c r="BTD44" s="169"/>
      <c r="BTE44" s="169"/>
      <c r="BTF44" s="169"/>
      <c r="BTG44" s="169"/>
      <c r="BTH44" s="169"/>
      <c r="BTI44" s="169"/>
      <c r="BTJ44" s="169"/>
      <c r="BTK44" s="169"/>
      <c r="BTL44" s="169"/>
      <c r="BTM44" s="169"/>
      <c r="BTN44" s="169"/>
      <c r="BTO44" s="169"/>
      <c r="BTP44" s="169"/>
      <c r="BTQ44" s="169"/>
      <c r="BTR44" s="169"/>
      <c r="BTS44" s="169"/>
      <c r="BTT44" s="169"/>
      <c r="BTU44" s="169"/>
      <c r="BTV44" s="169"/>
      <c r="BTW44" s="169"/>
      <c r="BTX44" s="169"/>
      <c r="BTY44" s="169"/>
      <c r="BTZ44" s="169"/>
      <c r="BUA44" s="169"/>
      <c r="BUB44" s="169"/>
      <c r="BUC44" s="169"/>
      <c r="BUD44" s="169"/>
      <c r="BUE44" s="169"/>
      <c r="BUF44" s="169"/>
      <c r="BUG44" s="169"/>
      <c r="BUH44" s="169"/>
      <c r="BUI44" s="169"/>
      <c r="BUJ44" s="169"/>
      <c r="BUK44" s="169"/>
      <c r="BUL44" s="169"/>
      <c r="BUM44" s="169"/>
      <c r="BUN44" s="169"/>
      <c r="BUO44" s="169"/>
      <c r="BUP44" s="169"/>
      <c r="BUQ44" s="169"/>
      <c r="BUR44" s="169"/>
      <c r="BUS44" s="169"/>
      <c r="BUT44" s="169"/>
      <c r="BUU44" s="169"/>
      <c r="BUV44" s="169"/>
      <c r="BUW44" s="169"/>
      <c r="BUX44" s="169"/>
      <c r="BUY44" s="169"/>
      <c r="BUZ44" s="169"/>
      <c r="BVA44" s="169"/>
      <c r="BVB44" s="169"/>
      <c r="BVC44" s="169"/>
      <c r="BVD44" s="169"/>
      <c r="BVE44" s="169"/>
      <c r="BVF44" s="169"/>
      <c r="BVG44" s="169"/>
      <c r="BVH44" s="169"/>
      <c r="BVI44" s="169"/>
      <c r="BVJ44" s="169"/>
      <c r="BVK44" s="169"/>
      <c r="BVL44" s="169"/>
      <c r="BVM44" s="169"/>
      <c r="BVN44" s="169"/>
      <c r="BVO44" s="169"/>
      <c r="BVP44" s="169"/>
      <c r="BVQ44" s="169"/>
      <c r="BVR44" s="169"/>
      <c r="BVS44" s="169"/>
      <c r="BVT44" s="169"/>
      <c r="BVU44" s="169"/>
      <c r="BVV44" s="169"/>
      <c r="BVW44" s="169"/>
      <c r="BVX44" s="169"/>
      <c r="BVY44" s="169"/>
      <c r="BVZ44" s="169"/>
      <c r="BWA44" s="169"/>
      <c r="BWB44" s="169"/>
      <c r="BWC44" s="169"/>
      <c r="BWD44" s="169"/>
      <c r="BWE44" s="169"/>
      <c r="BWF44" s="169"/>
      <c r="BWG44" s="169"/>
      <c r="BWH44" s="169"/>
      <c r="BWI44" s="169"/>
      <c r="BWJ44" s="169"/>
      <c r="BWK44" s="169"/>
      <c r="BWL44" s="169"/>
      <c r="BWM44" s="169"/>
      <c r="BWN44" s="169"/>
      <c r="BWO44" s="169"/>
      <c r="BWP44" s="169"/>
      <c r="BWQ44" s="169"/>
      <c r="BWR44" s="169"/>
      <c r="BWS44" s="169"/>
      <c r="BWT44" s="169"/>
      <c r="BWU44" s="169"/>
      <c r="BWV44" s="169"/>
      <c r="BWW44" s="169"/>
      <c r="BWX44" s="169"/>
      <c r="BWY44" s="169"/>
      <c r="BWZ44" s="169"/>
      <c r="BXA44" s="169"/>
      <c r="BXB44" s="169"/>
      <c r="BXC44" s="169"/>
      <c r="BXD44" s="169"/>
      <c r="BXE44" s="169"/>
      <c r="BXF44" s="169"/>
      <c r="BXG44" s="169"/>
      <c r="BXH44" s="169"/>
      <c r="BXI44" s="169"/>
      <c r="BXJ44" s="169"/>
      <c r="BXK44" s="169"/>
      <c r="BXL44" s="169"/>
      <c r="BXM44" s="169"/>
      <c r="BXN44" s="169"/>
      <c r="BXO44" s="169"/>
      <c r="BXP44" s="169"/>
      <c r="BXQ44" s="169"/>
      <c r="BXR44" s="169"/>
      <c r="BXS44" s="169"/>
      <c r="BXT44" s="169"/>
      <c r="BXU44" s="169"/>
      <c r="BXV44" s="169"/>
      <c r="BXW44" s="169"/>
      <c r="BXX44" s="169"/>
      <c r="BXY44" s="169"/>
      <c r="BXZ44" s="169"/>
      <c r="BYA44" s="169"/>
      <c r="BYB44" s="169"/>
      <c r="BYC44" s="169"/>
      <c r="BYD44" s="169"/>
      <c r="BYE44" s="169"/>
      <c r="BYF44" s="169"/>
      <c r="BYG44" s="169"/>
    </row>
    <row r="45" spans="1:2009" s="3" customFormat="1" ht="12.75" customHeight="1" thickBot="1" x14ac:dyDescent="0.3">
      <c r="A45" s="72"/>
      <c r="B45" s="9"/>
      <c r="C45" s="137"/>
      <c r="D45" s="137"/>
      <c r="E45" s="137"/>
      <c r="F45" s="137"/>
      <c r="G45" s="527"/>
      <c r="I45" s="26"/>
    </row>
    <row r="46" spans="1:2009" s="87" customFormat="1" ht="24.95" customHeight="1" x14ac:dyDescent="0.25">
      <c r="A46" s="113" t="s">
        <v>267</v>
      </c>
      <c r="B46" s="341"/>
      <c r="C46" s="342"/>
      <c r="D46" s="343"/>
      <c r="E46" s="342"/>
      <c r="F46" s="343"/>
      <c r="G46" s="528"/>
      <c r="H46" s="3"/>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7" customFormat="1" ht="24.95" hidden="1" customHeight="1" x14ac:dyDescent="0.25">
      <c r="A47" s="308"/>
      <c r="B47" s="345" t="s">
        <v>557</v>
      </c>
      <c r="C47" s="369"/>
      <c r="D47" s="416"/>
      <c r="E47" s="347"/>
      <c r="F47" s="348"/>
      <c r="G47" s="529">
        <f>ROUND(SUM(C47:F47),5)</f>
        <v>0</v>
      </c>
      <c r="H47" s="3"/>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7" customFormat="1" ht="24.95" hidden="1" customHeight="1" x14ac:dyDescent="0.25">
      <c r="A48" s="308"/>
      <c r="B48" s="345" t="s">
        <v>533</v>
      </c>
      <c r="C48" s="369"/>
      <c r="D48" s="416"/>
      <c r="E48" s="369"/>
      <c r="F48" s="416"/>
      <c r="G48" s="529">
        <f>SUM(C48:F48)</f>
        <v>0</v>
      </c>
      <c r="H48" s="3"/>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87" customFormat="1" ht="24.95" hidden="1" customHeight="1" x14ac:dyDescent="0.25">
      <c r="A49" s="308"/>
      <c r="B49" s="345" t="s">
        <v>456</v>
      </c>
      <c r="C49" s="369"/>
      <c r="D49" s="416"/>
      <c r="E49" s="369"/>
      <c r="F49" s="416"/>
      <c r="G49" s="529">
        <f>ROUND(SUM(C49:F49),5)</f>
        <v>0</v>
      </c>
      <c r="H49" s="3"/>
      <c r="I49" s="2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row>
    <row r="50" spans="1:2009" s="87" customFormat="1" ht="24.95" customHeight="1" x14ac:dyDescent="0.25">
      <c r="A50" s="309"/>
      <c r="B50" s="490" t="s">
        <v>558</v>
      </c>
      <c r="C50" s="370">
        <v>19450.560000000001</v>
      </c>
      <c r="D50" s="491">
        <f>11777.79+5.58</f>
        <v>11783.37</v>
      </c>
      <c r="E50" s="370"/>
      <c r="F50" s="370"/>
      <c r="G50" s="530">
        <f>ROUND(SUM(C50:F50),5)</f>
        <v>31233.93</v>
      </c>
      <c r="H50" s="3"/>
      <c r="I50" s="2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row>
    <row r="51" spans="1:2009" s="187" customFormat="1" ht="24.95" customHeight="1" thickBot="1" x14ac:dyDescent="0.3">
      <c r="A51" s="186"/>
      <c r="B51" s="346" t="s">
        <v>442</v>
      </c>
      <c r="C51" s="635">
        <f>SUM(C46:C50)</f>
        <v>19450.560000000001</v>
      </c>
      <c r="D51" s="635">
        <f t="shared" ref="D51" si="1">SUM(D46:D50)</f>
        <v>11783.37</v>
      </c>
      <c r="E51" s="635"/>
      <c r="F51" s="635"/>
      <c r="G51" s="653">
        <f>ROUND(SUM(C51:F51),5)</f>
        <v>31233.93</v>
      </c>
      <c r="H51" s="160"/>
      <c r="I51" s="2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c r="IV51" s="160"/>
      <c r="IW51" s="160"/>
      <c r="IX51" s="160"/>
      <c r="IY51" s="160"/>
      <c r="IZ51" s="160"/>
      <c r="JA51" s="160"/>
      <c r="JB51" s="160"/>
      <c r="JC51" s="160"/>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c r="KJ51" s="160"/>
      <c r="KK51" s="160"/>
      <c r="KL51" s="160"/>
      <c r="KM51" s="160"/>
      <c r="KN51" s="160"/>
      <c r="KO51" s="160"/>
      <c r="KP51" s="160"/>
      <c r="KQ51" s="160"/>
      <c r="KR51" s="160"/>
      <c r="KS51" s="160"/>
      <c r="KT51" s="160"/>
      <c r="KU51" s="160"/>
      <c r="KV51" s="160"/>
      <c r="KW51" s="160"/>
      <c r="KX51" s="160"/>
      <c r="KY51" s="160"/>
      <c r="KZ51" s="160"/>
      <c r="LA51" s="160"/>
      <c r="LB51" s="160"/>
      <c r="LC51" s="160"/>
      <c r="LD51" s="160"/>
      <c r="LE51" s="160"/>
      <c r="LF51" s="160"/>
      <c r="LG51" s="160"/>
      <c r="LH51" s="160"/>
      <c r="LI51" s="160"/>
      <c r="LJ51" s="160"/>
      <c r="LK51" s="160"/>
      <c r="LL51" s="160"/>
      <c r="LM51" s="160"/>
      <c r="LN51" s="160"/>
      <c r="LO51" s="160"/>
      <c r="LP51" s="160"/>
      <c r="LQ51" s="160"/>
      <c r="LR51" s="160"/>
      <c r="LS51" s="160"/>
      <c r="LT51" s="160"/>
      <c r="LU51" s="160"/>
      <c r="LV51" s="160"/>
      <c r="LW51" s="160"/>
      <c r="LX51" s="160"/>
      <c r="LY51" s="160"/>
      <c r="LZ51" s="160"/>
      <c r="MA51" s="160"/>
      <c r="MB51" s="160"/>
      <c r="MC51" s="160"/>
      <c r="MD51" s="160"/>
      <c r="ME51" s="160"/>
      <c r="MF51" s="160"/>
      <c r="MG51" s="160"/>
      <c r="MH51" s="160"/>
      <c r="MI51" s="160"/>
      <c r="MJ51" s="160"/>
      <c r="MK51" s="160"/>
      <c r="ML51" s="160"/>
      <c r="MM51" s="160"/>
      <c r="MN51" s="160"/>
      <c r="MO51" s="160"/>
      <c r="MP51" s="160"/>
      <c r="MQ51" s="160"/>
      <c r="MR51" s="160"/>
      <c r="MS51" s="160"/>
      <c r="MT51" s="160"/>
      <c r="MU51" s="160"/>
      <c r="MV51" s="160"/>
      <c r="MW51" s="160"/>
      <c r="MX51" s="160"/>
      <c r="MY51" s="160"/>
      <c r="MZ51" s="160"/>
      <c r="NA51" s="160"/>
      <c r="NB51" s="160"/>
      <c r="NC51" s="160"/>
      <c r="ND51" s="160"/>
      <c r="NE51" s="160"/>
      <c r="NF51" s="160"/>
      <c r="NG51" s="160"/>
      <c r="NH51" s="160"/>
      <c r="NI51" s="160"/>
      <c r="NJ51" s="160"/>
      <c r="NK51" s="160"/>
      <c r="NL51" s="160"/>
      <c r="NM51" s="160"/>
      <c r="NN51" s="160"/>
      <c r="NO51" s="160"/>
      <c r="NP51" s="160"/>
      <c r="NQ51" s="160"/>
      <c r="NR51" s="160"/>
      <c r="NS51" s="160"/>
      <c r="NT51" s="160"/>
      <c r="NU51" s="160"/>
      <c r="NV51" s="160"/>
      <c r="NW51" s="160"/>
      <c r="NX51" s="160"/>
      <c r="NY51" s="160"/>
      <c r="NZ51" s="160"/>
      <c r="OA51" s="160"/>
      <c r="OB51" s="160"/>
      <c r="OC51" s="160"/>
      <c r="OD51" s="160"/>
      <c r="OE51" s="160"/>
      <c r="OF51" s="160"/>
      <c r="OG51" s="160"/>
      <c r="OH51" s="160"/>
      <c r="OI51" s="160"/>
      <c r="OJ51" s="160"/>
      <c r="OK51" s="160"/>
      <c r="OL51" s="160"/>
      <c r="OM51" s="160"/>
      <c r="ON51" s="160"/>
      <c r="OO51" s="160"/>
      <c r="OP51" s="160"/>
      <c r="OQ51" s="160"/>
      <c r="OR51" s="160"/>
      <c r="OS51" s="160"/>
      <c r="OT51" s="160"/>
      <c r="OU51" s="160"/>
      <c r="OV51" s="160"/>
      <c r="OW51" s="160"/>
      <c r="OX51" s="160"/>
      <c r="OY51" s="160"/>
      <c r="OZ51" s="160"/>
      <c r="PA51" s="160"/>
      <c r="PB51" s="160"/>
      <c r="PC51" s="160"/>
      <c r="PD51" s="160"/>
      <c r="PE51" s="160"/>
      <c r="PF51" s="160"/>
      <c r="PG51" s="160"/>
      <c r="PH51" s="160"/>
      <c r="PI51" s="160"/>
      <c r="PJ51" s="160"/>
      <c r="PK51" s="160"/>
      <c r="PL51" s="160"/>
      <c r="PM51" s="160"/>
      <c r="PN51" s="160"/>
      <c r="PO51" s="160"/>
      <c r="PP51" s="160"/>
      <c r="PQ51" s="160"/>
      <c r="PR51" s="160"/>
      <c r="PS51" s="160"/>
      <c r="PT51" s="160"/>
      <c r="PU51" s="160"/>
      <c r="PV51" s="160"/>
      <c r="PW51" s="160"/>
      <c r="PX51" s="160"/>
      <c r="PY51" s="160"/>
      <c r="PZ51" s="160"/>
      <c r="QA51" s="160"/>
      <c r="QB51" s="160"/>
      <c r="QC51" s="160"/>
      <c r="QD51" s="160"/>
      <c r="QE51" s="160"/>
      <c r="QF51" s="160"/>
      <c r="QG51" s="160"/>
      <c r="QH51" s="160"/>
      <c r="QI51" s="160"/>
      <c r="QJ51" s="160"/>
      <c r="QK51" s="160"/>
      <c r="QL51" s="160"/>
      <c r="QM51" s="160"/>
      <c r="QN51" s="160"/>
      <c r="QO51" s="160"/>
      <c r="QP51" s="160"/>
      <c r="QQ51" s="160"/>
      <c r="QR51" s="160"/>
      <c r="QS51" s="160"/>
      <c r="QT51" s="160"/>
      <c r="QU51" s="160"/>
      <c r="QV51" s="160"/>
      <c r="QW51" s="160"/>
      <c r="QX51" s="160"/>
      <c r="QY51" s="160"/>
      <c r="QZ51" s="160"/>
      <c r="RA51" s="160"/>
      <c r="RB51" s="160"/>
      <c r="RC51" s="160"/>
      <c r="RD51" s="160"/>
      <c r="RE51" s="160"/>
      <c r="RF51" s="160"/>
      <c r="RG51" s="160"/>
      <c r="RH51" s="160"/>
      <c r="RI51" s="160"/>
      <c r="RJ51" s="160"/>
      <c r="RK51" s="160"/>
      <c r="RL51" s="160"/>
      <c r="RM51" s="160"/>
      <c r="RN51" s="160"/>
      <c r="RO51" s="160"/>
      <c r="RP51" s="160"/>
      <c r="RQ51" s="160"/>
      <c r="RR51" s="160"/>
      <c r="RS51" s="160"/>
      <c r="RT51" s="160"/>
      <c r="RU51" s="160"/>
      <c r="RV51" s="160"/>
      <c r="RW51" s="160"/>
      <c r="RX51" s="160"/>
      <c r="RY51" s="160"/>
      <c r="RZ51" s="160"/>
      <c r="SA51" s="160"/>
      <c r="SB51" s="160"/>
      <c r="SC51" s="160"/>
      <c r="SD51" s="160"/>
      <c r="SE51" s="160"/>
      <c r="SF51" s="160"/>
      <c r="SG51" s="160"/>
      <c r="SH51" s="160"/>
      <c r="SI51" s="160"/>
      <c r="SJ51" s="160"/>
      <c r="SK51" s="160"/>
      <c r="SL51" s="160"/>
      <c r="SM51" s="160"/>
      <c r="SN51" s="160"/>
      <c r="SO51" s="160"/>
      <c r="SP51" s="160"/>
      <c r="SQ51" s="160"/>
      <c r="SR51" s="160"/>
      <c r="SS51" s="160"/>
      <c r="ST51" s="160"/>
      <c r="SU51" s="160"/>
      <c r="SV51" s="160"/>
      <c r="SW51" s="160"/>
      <c r="SX51" s="160"/>
      <c r="SY51" s="160"/>
      <c r="SZ51" s="160"/>
      <c r="TA51" s="160"/>
      <c r="TB51" s="160"/>
      <c r="TC51" s="160"/>
      <c r="TD51" s="160"/>
      <c r="TE51" s="160"/>
      <c r="TF51" s="160"/>
      <c r="TG51" s="160"/>
      <c r="TH51" s="160"/>
      <c r="TI51" s="160"/>
      <c r="TJ51" s="160"/>
      <c r="TK51" s="160"/>
      <c r="TL51" s="160"/>
      <c r="TM51" s="160"/>
      <c r="TN51" s="160"/>
      <c r="TO51" s="160"/>
      <c r="TP51" s="160"/>
      <c r="TQ51" s="160"/>
      <c r="TR51" s="160"/>
      <c r="TS51" s="160"/>
      <c r="TT51" s="160"/>
      <c r="TU51" s="160"/>
      <c r="TV51" s="160"/>
      <c r="TW51" s="160"/>
      <c r="TX51" s="160"/>
      <c r="TY51" s="160"/>
      <c r="TZ51" s="160"/>
      <c r="UA51" s="160"/>
      <c r="UB51" s="160"/>
      <c r="UC51" s="160"/>
      <c r="UD51" s="160"/>
      <c r="UE51" s="160"/>
      <c r="UF51" s="160"/>
      <c r="UG51" s="160"/>
      <c r="UH51" s="160"/>
      <c r="UI51" s="160"/>
      <c r="UJ51" s="160"/>
      <c r="UK51" s="160"/>
      <c r="UL51" s="160"/>
      <c r="UM51" s="160"/>
      <c r="UN51" s="160"/>
      <c r="UO51" s="160"/>
      <c r="UP51" s="160"/>
      <c r="UQ51" s="160"/>
      <c r="UR51" s="160"/>
      <c r="US51" s="160"/>
      <c r="UT51" s="160"/>
      <c r="UU51" s="160"/>
      <c r="UV51" s="160"/>
      <c r="UW51" s="160"/>
      <c r="UX51" s="160"/>
      <c r="UY51" s="160"/>
      <c r="UZ51" s="160"/>
      <c r="VA51" s="160"/>
      <c r="VB51" s="160"/>
      <c r="VC51" s="160"/>
      <c r="VD51" s="160"/>
      <c r="VE51" s="160"/>
      <c r="VF51" s="160"/>
      <c r="VG51" s="160"/>
      <c r="VH51" s="160"/>
      <c r="VI51" s="160"/>
      <c r="VJ51" s="160"/>
      <c r="VK51" s="160"/>
      <c r="VL51" s="160"/>
      <c r="VM51" s="160"/>
      <c r="VN51" s="160"/>
      <c r="VO51" s="160"/>
      <c r="VP51" s="160"/>
      <c r="VQ51" s="160"/>
      <c r="VR51" s="160"/>
      <c r="VS51" s="160"/>
      <c r="VT51" s="160"/>
      <c r="VU51" s="160"/>
      <c r="VV51" s="160"/>
      <c r="VW51" s="160"/>
      <c r="VX51" s="160"/>
      <c r="VY51" s="160"/>
      <c r="VZ51" s="160"/>
      <c r="WA51" s="160"/>
      <c r="WB51" s="160"/>
      <c r="WC51" s="160"/>
      <c r="WD51" s="160"/>
      <c r="WE51" s="160"/>
      <c r="WF51" s="160"/>
      <c r="WG51" s="160"/>
      <c r="WH51" s="160"/>
      <c r="WI51" s="160"/>
      <c r="WJ51" s="160"/>
      <c r="WK51" s="160"/>
      <c r="WL51" s="160"/>
      <c r="WM51" s="160"/>
      <c r="WN51" s="160"/>
      <c r="WO51" s="160"/>
      <c r="WP51" s="160"/>
      <c r="WQ51" s="160"/>
      <c r="WR51" s="160"/>
      <c r="WS51" s="160"/>
      <c r="WT51" s="160"/>
      <c r="WU51" s="160"/>
      <c r="WV51" s="160"/>
      <c r="WW51" s="160"/>
      <c r="WX51" s="160"/>
      <c r="WY51" s="160"/>
      <c r="WZ51" s="160"/>
      <c r="XA51" s="160"/>
      <c r="XB51" s="160"/>
      <c r="XC51" s="160"/>
      <c r="XD51" s="160"/>
      <c r="XE51" s="160"/>
      <c r="XF51" s="160"/>
      <c r="XG51" s="160"/>
      <c r="XH51" s="160"/>
      <c r="XI51" s="160"/>
      <c r="XJ51" s="160"/>
      <c r="XK51" s="160"/>
      <c r="XL51" s="160"/>
      <c r="XM51" s="160"/>
      <c r="XN51" s="160"/>
      <c r="XO51" s="160"/>
      <c r="XP51" s="160"/>
      <c r="XQ51" s="160"/>
      <c r="XR51" s="160"/>
      <c r="XS51" s="160"/>
      <c r="XT51" s="160"/>
      <c r="XU51" s="160"/>
      <c r="XV51" s="160"/>
      <c r="XW51" s="160"/>
      <c r="XX51" s="160"/>
      <c r="XY51" s="160"/>
      <c r="XZ51" s="160"/>
      <c r="YA51" s="160"/>
      <c r="YB51" s="160"/>
      <c r="YC51" s="160"/>
      <c r="YD51" s="160"/>
      <c r="YE51" s="160"/>
      <c r="YF51" s="160"/>
      <c r="YG51" s="160"/>
      <c r="YH51" s="160"/>
      <c r="YI51" s="160"/>
      <c r="YJ51" s="160"/>
      <c r="YK51" s="160"/>
      <c r="YL51" s="160"/>
      <c r="YM51" s="160"/>
      <c r="YN51" s="160"/>
      <c r="YO51" s="160"/>
      <c r="YP51" s="160"/>
      <c r="YQ51" s="160"/>
      <c r="YR51" s="160"/>
      <c r="YS51" s="160"/>
      <c r="YT51" s="160"/>
      <c r="YU51" s="160"/>
      <c r="YV51" s="160"/>
      <c r="YW51" s="160"/>
      <c r="YX51" s="160"/>
      <c r="YY51" s="160"/>
      <c r="YZ51" s="160"/>
      <c r="ZA51" s="160"/>
      <c r="ZB51" s="160"/>
      <c r="ZC51" s="160"/>
      <c r="ZD51" s="160"/>
      <c r="ZE51" s="160"/>
      <c r="ZF51" s="160"/>
      <c r="ZG51" s="160"/>
      <c r="ZH51" s="160"/>
      <c r="ZI51" s="160"/>
      <c r="ZJ51" s="160"/>
      <c r="ZK51" s="160"/>
      <c r="ZL51" s="160"/>
      <c r="ZM51" s="160"/>
      <c r="ZN51" s="160"/>
      <c r="ZO51" s="160"/>
      <c r="ZP51" s="160"/>
      <c r="ZQ51" s="160"/>
      <c r="ZR51" s="160"/>
      <c r="ZS51" s="160"/>
      <c r="ZT51" s="160"/>
      <c r="ZU51" s="160"/>
      <c r="ZV51" s="160"/>
      <c r="ZW51" s="160"/>
      <c r="ZX51" s="160"/>
      <c r="ZY51" s="160"/>
      <c r="ZZ51" s="160"/>
      <c r="AAA51" s="160"/>
      <c r="AAB51" s="160"/>
      <c r="AAC51" s="160"/>
      <c r="AAD51" s="160"/>
      <c r="AAE51" s="160"/>
      <c r="AAF51" s="160"/>
      <c r="AAG51" s="160"/>
      <c r="AAH51" s="160"/>
      <c r="AAI51" s="160"/>
      <c r="AAJ51" s="160"/>
      <c r="AAK51" s="160"/>
      <c r="AAL51" s="160"/>
      <c r="AAM51" s="160"/>
      <c r="AAN51" s="160"/>
      <c r="AAO51" s="160"/>
      <c r="AAP51" s="160"/>
      <c r="AAQ51" s="160"/>
      <c r="AAR51" s="160"/>
      <c r="AAS51" s="160"/>
      <c r="AAT51" s="160"/>
      <c r="AAU51" s="160"/>
      <c r="AAV51" s="160"/>
      <c r="AAW51" s="160"/>
      <c r="AAX51" s="160"/>
      <c r="AAY51" s="160"/>
      <c r="AAZ51" s="160"/>
      <c r="ABA51" s="160"/>
      <c r="ABB51" s="160"/>
      <c r="ABC51" s="160"/>
      <c r="ABD51" s="160"/>
      <c r="ABE51" s="160"/>
      <c r="ABF51" s="160"/>
      <c r="ABG51" s="160"/>
      <c r="ABH51" s="160"/>
      <c r="ABI51" s="160"/>
      <c r="ABJ51" s="160"/>
      <c r="ABK51" s="160"/>
      <c r="ABL51" s="160"/>
      <c r="ABM51" s="160"/>
      <c r="ABN51" s="160"/>
      <c r="ABO51" s="160"/>
      <c r="ABP51" s="160"/>
      <c r="ABQ51" s="160"/>
      <c r="ABR51" s="160"/>
      <c r="ABS51" s="160"/>
      <c r="ABT51" s="160"/>
      <c r="ABU51" s="160"/>
      <c r="ABV51" s="160"/>
      <c r="ABW51" s="160"/>
      <c r="ABX51" s="160"/>
      <c r="ABY51" s="160"/>
      <c r="ABZ51" s="160"/>
      <c r="ACA51" s="160"/>
      <c r="ACB51" s="160"/>
      <c r="ACC51" s="160"/>
      <c r="ACD51" s="160"/>
      <c r="ACE51" s="160"/>
      <c r="ACF51" s="160"/>
      <c r="ACG51" s="160"/>
      <c r="ACH51" s="160"/>
      <c r="ACI51" s="160"/>
      <c r="ACJ51" s="160"/>
      <c r="ACK51" s="160"/>
      <c r="ACL51" s="160"/>
      <c r="ACM51" s="160"/>
      <c r="ACN51" s="160"/>
      <c r="ACO51" s="160"/>
      <c r="ACP51" s="160"/>
      <c r="ACQ51" s="160"/>
      <c r="ACR51" s="160"/>
      <c r="ACS51" s="160"/>
      <c r="ACT51" s="160"/>
      <c r="ACU51" s="160"/>
      <c r="ACV51" s="160"/>
      <c r="ACW51" s="160"/>
      <c r="ACX51" s="160"/>
      <c r="ACY51" s="160"/>
      <c r="ACZ51" s="160"/>
      <c r="ADA51" s="160"/>
      <c r="ADB51" s="160"/>
      <c r="ADC51" s="160"/>
      <c r="ADD51" s="160"/>
      <c r="ADE51" s="160"/>
      <c r="ADF51" s="160"/>
      <c r="ADG51" s="160"/>
      <c r="ADH51" s="160"/>
      <c r="ADI51" s="160"/>
      <c r="ADJ51" s="160"/>
      <c r="ADK51" s="160"/>
      <c r="ADL51" s="160"/>
      <c r="ADM51" s="160"/>
      <c r="ADN51" s="160"/>
      <c r="ADO51" s="160"/>
      <c r="ADP51" s="160"/>
      <c r="ADQ51" s="160"/>
      <c r="ADR51" s="160"/>
      <c r="ADS51" s="160"/>
      <c r="ADT51" s="160"/>
      <c r="ADU51" s="160"/>
      <c r="ADV51" s="160"/>
      <c r="ADW51" s="160"/>
      <c r="ADX51" s="160"/>
      <c r="ADY51" s="160"/>
      <c r="ADZ51" s="160"/>
      <c r="AEA51" s="160"/>
      <c r="AEB51" s="160"/>
      <c r="AEC51" s="160"/>
      <c r="AED51" s="160"/>
      <c r="AEE51" s="160"/>
      <c r="AEF51" s="160"/>
      <c r="AEG51" s="160"/>
      <c r="AEH51" s="160"/>
      <c r="AEI51" s="160"/>
      <c r="AEJ51" s="160"/>
      <c r="AEK51" s="160"/>
      <c r="AEL51" s="160"/>
      <c r="AEM51" s="160"/>
      <c r="AEN51" s="160"/>
      <c r="AEO51" s="160"/>
      <c r="AEP51" s="160"/>
      <c r="AEQ51" s="160"/>
      <c r="AER51" s="160"/>
      <c r="AES51" s="160"/>
      <c r="AET51" s="160"/>
      <c r="AEU51" s="160"/>
      <c r="AEV51" s="160"/>
      <c r="AEW51" s="160"/>
      <c r="AEX51" s="160"/>
      <c r="AEY51" s="160"/>
      <c r="AEZ51" s="160"/>
      <c r="AFA51" s="160"/>
      <c r="AFB51" s="160"/>
      <c r="AFC51" s="160"/>
      <c r="AFD51" s="160"/>
      <c r="AFE51" s="160"/>
      <c r="AFF51" s="160"/>
      <c r="AFG51" s="160"/>
      <c r="AFH51" s="160"/>
      <c r="AFI51" s="160"/>
      <c r="AFJ51" s="160"/>
      <c r="AFK51" s="160"/>
      <c r="AFL51" s="160"/>
      <c r="AFM51" s="160"/>
      <c r="AFN51" s="160"/>
      <c r="AFO51" s="160"/>
      <c r="AFP51" s="160"/>
      <c r="AFQ51" s="160"/>
      <c r="AFR51" s="160"/>
      <c r="AFS51" s="160"/>
      <c r="AFT51" s="160"/>
      <c r="AFU51" s="160"/>
      <c r="AFV51" s="160"/>
      <c r="AFW51" s="160"/>
      <c r="AFX51" s="160"/>
      <c r="AFY51" s="160"/>
      <c r="AFZ51" s="160"/>
      <c r="AGA51" s="160"/>
      <c r="AGB51" s="160"/>
      <c r="AGC51" s="160"/>
      <c r="AGD51" s="160"/>
      <c r="AGE51" s="160"/>
      <c r="AGF51" s="160"/>
      <c r="AGG51" s="160"/>
      <c r="AGH51" s="160"/>
      <c r="AGI51" s="160"/>
      <c r="AGJ51" s="160"/>
      <c r="AGK51" s="160"/>
      <c r="AGL51" s="160"/>
      <c r="AGM51" s="160"/>
      <c r="AGN51" s="160"/>
      <c r="AGO51" s="160"/>
      <c r="AGP51" s="160"/>
      <c r="AGQ51" s="160"/>
      <c r="AGR51" s="160"/>
      <c r="AGS51" s="160"/>
      <c r="AGT51" s="160"/>
      <c r="AGU51" s="160"/>
      <c r="AGV51" s="160"/>
      <c r="AGW51" s="160"/>
      <c r="AGX51" s="160"/>
      <c r="AGY51" s="160"/>
      <c r="AGZ51" s="160"/>
      <c r="AHA51" s="160"/>
      <c r="AHB51" s="160"/>
      <c r="AHC51" s="160"/>
      <c r="AHD51" s="160"/>
      <c r="AHE51" s="160"/>
      <c r="AHF51" s="160"/>
      <c r="AHG51" s="160"/>
      <c r="AHH51" s="160"/>
      <c r="AHI51" s="160"/>
      <c r="AHJ51" s="160"/>
      <c r="AHK51" s="160"/>
      <c r="AHL51" s="160"/>
      <c r="AHM51" s="160"/>
      <c r="AHN51" s="160"/>
      <c r="AHO51" s="160"/>
      <c r="AHP51" s="160"/>
      <c r="AHQ51" s="160"/>
      <c r="AHR51" s="160"/>
      <c r="AHS51" s="160"/>
      <c r="AHT51" s="160"/>
      <c r="AHU51" s="160"/>
      <c r="AHV51" s="160"/>
      <c r="AHW51" s="160"/>
      <c r="AHX51" s="160"/>
      <c r="AHY51" s="160"/>
      <c r="AHZ51" s="160"/>
      <c r="AIA51" s="160"/>
      <c r="AIB51" s="160"/>
      <c r="AIC51" s="160"/>
      <c r="AID51" s="160"/>
      <c r="AIE51" s="160"/>
      <c r="AIF51" s="160"/>
      <c r="AIG51" s="160"/>
      <c r="AIH51" s="160"/>
      <c r="AII51" s="160"/>
      <c r="AIJ51" s="160"/>
      <c r="AIK51" s="160"/>
      <c r="AIL51" s="160"/>
      <c r="AIM51" s="160"/>
      <c r="AIN51" s="160"/>
      <c r="AIO51" s="160"/>
      <c r="AIP51" s="160"/>
      <c r="AIQ51" s="160"/>
      <c r="AIR51" s="160"/>
      <c r="AIS51" s="160"/>
      <c r="AIT51" s="160"/>
      <c r="AIU51" s="160"/>
      <c r="AIV51" s="160"/>
      <c r="AIW51" s="160"/>
      <c r="AIX51" s="160"/>
      <c r="AIY51" s="160"/>
      <c r="AIZ51" s="160"/>
      <c r="AJA51" s="160"/>
      <c r="AJB51" s="160"/>
      <c r="AJC51" s="160"/>
      <c r="AJD51" s="160"/>
      <c r="AJE51" s="160"/>
      <c r="AJF51" s="160"/>
      <c r="AJG51" s="160"/>
      <c r="AJH51" s="160"/>
      <c r="AJI51" s="160"/>
      <c r="AJJ51" s="160"/>
      <c r="AJK51" s="160"/>
      <c r="AJL51" s="160"/>
      <c r="AJM51" s="160"/>
      <c r="AJN51" s="160"/>
      <c r="AJO51" s="160"/>
      <c r="AJP51" s="160"/>
      <c r="AJQ51" s="160"/>
      <c r="AJR51" s="160"/>
      <c r="AJS51" s="160"/>
      <c r="AJT51" s="160"/>
      <c r="AJU51" s="160"/>
      <c r="AJV51" s="160"/>
      <c r="AJW51" s="160"/>
      <c r="AJX51" s="160"/>
      <c r="AJY51" s="160"/>
      <c r="AJZ51" s="160"/>
      <c r="AKA51" s="160"/>
      <c r="AKB51" s="160"/>
      <c r="AKC51" s="160"/>
      <c r="AKD51" s="160"/>
      <c r="AKE51" s="160"/>
      <c r="AKF51" s="160"/>
      <c r="AKG51" s="160"/>
      <c r="AKH51" s="160"/>
      <c r="AKI51" s="160"/>
      <c r="AKJ51" s="160"/>
      <c r="AKK51" s="160"/>
      <c r="AKL51" s="160"/>
      <c r="AKM51" s="160"/>
      <c r="AKN51" s="160"/>
      <c r="AKO51" s="160"/>
      <c r="AKP51" s="160"/>
      <c r="AKQ51" s="160"/>
      <c r="AKR51" s="160"/>
      <c r="AKS51" s="160"/>
      <c r="AKT51" s="160"/>
      <c r="AKU51" s="160"/>
      <c r="AKV51" s="160"/>
      <c r="AKW51" s="160"/>
      <c r="AKX51" s="160"/>
      <c r="AKY51" s="160"/>
      <c r="AKZ51" s="160"/>
      <c r="ALA51" s="160"/>
      <c r="ALB51" s="160"/>
      <c r="ALC51" s="160"/>
      <c r="ALD51" s="160"/>
      <c r="ALE51" s="160"/>
      <c r="ALF51" s="160"/>
      <c r="ALG51" s="160"/>
      <c r="ALH51" s="160"/>
      <c r="ALI51" s="160"/>
      <c r="ALJ51" s="160"/>
      <c r="ALK51" s="160"/>
      <c r="ALL51" s="160"/>
      <c r="ALM51" s="160"/>
      <c r="ALN51" s="160"/>
      <c r="ALO51" s="160"/>
      <c r="ALP51" s="160"/>
      <c r="ALQ51" s="160"/>
      <c r="ALR51" s="160"/>
      <c r="ALS51" s="160"/>
      <c r="ALT51" s="160"/>
      <c r="ALU51" s="160"/>
      <c r="ALV51" s="160"/>
      <c r="ALW51" s="160"/>
      <c r="ALX51" s="160"/>
      <c r="ALY51" s="160"/>
      <c r="ALZ51" s="160"/>
      <c r="AMA51" s="160"/>
      <c r="AMB51" s="160"/>
      <c r="AMC51" s="160"/>
      <c r="AMD51" s="160"/>
      <c r="AME51" s="160"/>
      <c r="AMF51" s="160"/>
      <c r="AMG51" s="160"/>
      <c r="AMH51" s="160"/>
      <c r="AMI51" s="160"/>
      <c r="AMJ51" s="160"/>
      <c r="AMK51" s="160"/>
      <c r="AML51" s="160"/>
      <c r="AMM51" s="160"/>
      <c r="AMN51" s="160"/>
      <c r="AMO51" s="160"/>
      <c r="AMP51" s="160"/>
      <c r="AMQ51" s="160"/>
      <c r="AMR51" s="160"/>
      <c r="AMS51" s="160"/>
      <c r="AMT51" s="160"/>
      <c r="AMU51" s="160"/>
      <c r="AMV51" s="160"/>
      <c r="AMW51" s="160"/>
      <c r="AMX51" s="160"/>
      <c r="AMY51" s="160"/>
      <c r="AMZ51" s="160"/>
      <c r="ANA51" s="160"/>
      <c r="ANB51" s="160"/>
      <c r="ANC51" s="160"/>
      <c r="AND51" s="160"/>
      <c r="ANE51" s="160"/>
      <c r="ANF51" s="160"/>
      <c r="ANG51" s="160"/>
      <c r="ANH51" s="160"/>
      <c r="ANI51" s="160"/>
      <c r="ANJ51" s="160"/>
      <c r="ANK51" s="160"/>
      <c r="ANL51" s="160"/>
      <c r="ANM51" s="160"/>
      <c r="ANN51" s="160"/>
      <c r="ANO51" s="160"/>
      <c r="ANP51" s="160"/>
      <c r="ANQ51" s="160"/>
      <c r="ANR51" s="160"/>
      <c r="ANS51" s="160"/>
      <c r="ANT51" s="160"/>
      <c r="ANU51" s="160"/>
      <c r="ANV51" s="160"/>
      <c r="ANW51" s="160"/>
      <c r="ANX51" s="160"/>
      <c r="ANY51" s="160"/>
      <c r="ANZ51" s="160"/>
      <c r="AOA51" s="160"/>
      <c r="AOB51" s="160"/>
      <c r="AOC51" s="160"/>
      <c r="AOD51" s="160"/>
      <c r="AOE51" s="160"/>
      <c r="AOF51" s="160"/>
      <c r="AOG51" s="160"/>
      <c r="AOH51" s="160"/>
      <c r="AOI51" s="160"/>
      <c r="AOJ51" s="160"/>
      <c r="AOK51" s="160"/>
      <c r="AOL51" s="160"/>
      <c r="AOM51" s="160"/>
      <c r="AON51" s="160"/>
      <c r="AOO51" s="160"/>
      <c r="AOP51" s="160"/>
      <c r="AOQ51" s="160"/>
      <c r="AOR51" s="160"/>
      <c r="AOS51" s="160"/>
      <c r="AOT51" s="160"/>
      <c r="AOU51" s="160"/>
      <c r="AOV51" s="160"/>
      <c r="AOW51" s="160"/>
      <c r="AOX51" s="160"/>
      <c r="AOY51" s="160"/>
      <c r="AOZ51" s="160"/>
      <c r="APA51" s="160"/>
      <c r="APB51" s="160"/>
      <c r="APC51" s="160"/>
      <c r="APD51" s="160"/>
      <c r="APE51" s="160"/>
      <c r="APF51" s="160"/>
      <c r="APG51" s="160"/>
      <c r="APH51" s="160"/>
      <c r="API51" s="160"/>
      <c r="APJ51" s="160"/>
      <c r="APK51" s="160"/>
      <c r="APL51" s="160"/>
      <c r="APM51" s="160"/>
      <c r="APN51" s="160"/>
      <c r="APO51" s="160"/>
      <c r="APP51" s="160"/>
      <c r="APQ51" s="160"/>
      <c r="APR51" s="160"/>
      <c r="APS51" s="160"/>
      <c r="APT51" s="160"/>
      <c r="APU51" s="160"/>
      <c r="APV51" s="160"/>
      <c r="APW51" s="160"/>
      <c r="APX51" s="160"/>
      <c r="APY51" s="160"/>
      <c r="APZ51" s="160"/>
      <c r="AQA51" s="160"/>
      <c r="AQB51" s="160"/>
      <c r="AQC51" s="160"/>
      <c r="AQD51" s="160"/>
      <c r="AQE51" s="160"/>
      <c r="AQF51" s="160"/>
      <c r="AQG51" s="160"/>
      <c r="AQH51" s="160"/>
      <c r="AQI51" s="160"/>
      <c r="AQJ51" s="160"/>
      <c r="AQK51" s="160"/>
      <c r="AQL51" s="160"/>
      <c r="AQM51" s="160"/>
      <c r="AQN51" s="160"/>
      <c r="AQO51" s="160"/>
      <c r="AQP51" s="160"/>
      <c r="AQQ51" s="160"/>
      <c r="AQR51" s="160"/>
      <c r="AQS51" s="160"/>
      <c r="AQT51" s="160"/>
      <c r="AQU51" s="160"/>
      <c r="AQV51" s="160"/>
      <c r="AQW51" s="160"/>
      <c r="AQX51" s="160"/>
      <c r="AQY51" s="160"/>
      <c r="AQZ51" s="160"/>
      <c r="ARA51" s="160"/>
      <c r="ARB51" s="160"/>
      <c r="ARC51" s="160"/>
      <c r="ARD51" s="160"/>
      <c r="ARE51" s="160"/>
      <c r="ARF51" s="160"/>
      <c r="ARG51" s="160"/>
      <c r="ARH51" s="160"/>
      <c r="ARI51" s="160"/>
      <c r="ARJ51" s="160"/>
      <c r="ARK51" s="160"/>
      <c r="ARL51" s="160"/>
      <c r="ARM51" s="160"/>
      <c r="ARN51" s="160"/>
      <c r="ARO51" s="160"/>
      <c r="ARP51" s="160"/>
      <c r="ARQ51" s="160"/>
      <c r="ARR51" s="160"/>
      <c r="ARS51" s="160"/>
      <c r="ART51" s="160"/>
      <c r="ARU51" s="160"/>
      <c r="ARV51" s="160"/>
      <c r="ARW51" s="160"/>
      <c r="ARX51" s="160"/>
      <c r="ARY51" s="160"/>
      <c r="ARZ51" s="160"/>
      <c r="ASA51" s="160"/>
      <c r="ASB51" s="160"/>
      <c r="ASC51" s="160"/>
      <c r="ASD51" s="160"/>
      <c r="ASE51" s="160"/>
      <c r="ASF51" s="160"/>
      <c r="ASG51" s="160"/>
      <c r="ASH51" s="160"/>
      <c r="ASI51" s="160"/>
      <c r="ASJ51" s="160"/>
      <c r="ASK51" s="160"/>
      <c r="ASL51" s="160"/>
      <c r="ASM51" s="160"/>
      <c r="ASN51" s="160"/>
      <c r="ASO51" s="160"/>
      <c r="ASP51" s="160"/>
      <c r="ASQ51" s="160"/>
      <c r="ASR51" s="160"/>
      <c r="ASS51" s="160"/>
      <c r="AST51" s="160"/>
      <c r="ASU51" s="160"/>
      <c r="ASV51" s="160"/>
      <c r="ASW51" s="160"/>
      <c r="ASX51" s="160"/>
      <c r="ASY51" s="160"/>
      <c r="ASZ51" s="160"/>
      <c r="ATA51" s="160"/>
      <c r="ATB51" s="160"/>
      <c r="ATC51" s="160"/>
      <c r="ATD51" s="160"/>
      <c r="ATE51" s="160"/>
      <c r="ATF51" s="160"/>
      <c r="ATG51" s="160"/>
      <c r="ATH51" s="160"/>
      <c r="ATI51" s="160"/>
      <c r="ATJ51" s="160"/>
      <c r="ATK51" s="160"/>
      <c r="ATL51" s="160"/>
      <c r="ATM51" s="160"/>
      <c r="ATN51" s="160"/>
      <c r="ATO51" s="160"/>
      <c r="ATP51" s="160"/>
      <c r="ATQ51" s="160"/>
      <c r="ATR51" s="160"/>
      <c r="ATS51" s="160"/>
      <c r="ATT51" s="160"/>
      <c r="ATU51" s="160"/>
      <c r="ATV51" s="160"/>
      <c r="ATW51" s="160"/>
      <c r="ATX51" s="160"/>
      <c r="ATY51" s="160"/>
      <c r="ATZ51" s="160"/>
      <c r="AUA51" s="160"/>
      <c r="AUB51" s="160"/>
      <c r="AUC51" s="160"/>
      <c r="AUD51" s="160"/>
      <c r="AUE51" s="160"/>
      <c r="AUF51" s="160"/>
      <c r="AUG51" s="160"/>
      <c r="AUH51" s="160"/>
      <c r="AUI51" s="160"/>
      <c r="AUJ51" s="160"/>
      <c r="AUK51" s="160"/>
      <c r="AUL51" s="160"/>
      <c r="AUM51" s="160"/>
      <c r="AUN51" s="160"/>
      <c r="AUO51" s="160"/>
      <c r="AUP51" s="160"/>
      <c r="AUQ51" s="160"/>
      <c r="AUR51" s="160"/>
      <c r="AUS51" s="160"/>
      <c r="AUT51" s="160"/>
      <c r="AUU51" s="160"/>
      <c r="AUV51" s="160"/>
      <c r="AUW51" s="160"/>
      <c r="AUX51" s="160"/>
      <c r="AUY51" s="160"/>
      <c r="AUZ51" s="160"/>
      <c r="AVA51" s="160"/>
      <c r="AVB51" s="160"/>
      <c r="AVC51" s="160"/>
      <c r="AVD51" s="160"/>
      <c r="AVE51" s="160"/>
      <c r="AVF51" s="160"/>
      <c r="AVG51" s="160"/>
      <c r="AVH51" s="160"/>
      <c r="AVI51" s="160"/>
      <c r="AVJ51" s="160"/>
      <c r="AVK51" s="160"/>
      <c r="AVL51" s="160"/>
      <c r="AVM51" s="160"/>
      <c r="AVN51" s="160"/>
      <c r="AVO51" s="160"/>
      <c r="AVP51" s="160"/>
      <c r="AVQ51" s="160"/>
      <c r="AVR51" s="160"/>
      <c r="AVS51" s="160"/>
      <c r="AVT51" s="160"/>
      <c r="AVU51" s="160"/>
      <c r="AVV51" s="160"/>
      <c r="AVW51" s="160"/>
      <c r="AVX51" s="160"/>
      <c r="AVY51" s="160"/>
      <c r="AVZ51" s="160"/>
      <c r="AWA51" s="160"/>
      <c r="AWB51" s="160"/>
      <c r="AWC51" s="160"/>
      <c r="AWD51" s="160"/>
      <c r="AWE51" s="160"/>
      <c r="AWF51" s="160"/>
      <c r="AWG51" s="160"/>
      <c r="AWH51" s="160"/>
      <c r="AWI51" s="160"/>
      <c r="AWJ51" s="160"/>
      <c r="AWK51" s="160"/>
      <c r="AWL51" s="160"/>
      <c r="AWM51" s="160"/>
      <c r="AWN51" s="160"/>
      <c r="AWO51" s="160"/>
      <c r="AWP51" s="160"/>
      <c r="AWQ51" s="160"/>
      <c r="AWR51" s="160"/>
      <c r="AWS51" s="160"/>
      <c r="AWT51" s="160"/>
      <c r="AWU51" s="160"/>
      <c r="AWV51" s="160"/>
      <c r="AWW51" s="160"/>
      <c r="AWX51" s="160"/>
      <c r="AWY51" s="160"/>
      <c r="AWZ51" s="160"/>
      <c r="AXA51" s="160"/>
      <c r="AXB51" s="160"/>
      <c r="AXC51" s="160"/>
      <c r="AXD51" s="160"/>
      <c r="AXE51" s="160"/>
      <c r="AXF51" s="160"/>
      <c r="AXG51" s="160"/>
      <c r="AXH51" s="160"/>
      <c r="AXI51" s="160"/>
      <c r="AXJ51" s="160"/>
      <c r="AXK51" s="160"/>
      <c r="AXL51" s="160"/>
      <c r="AXM51" s="160"/>
      <c r="AXN51" s="160"/>
      <c r="AXO51" s="160"/>
      <c r="AXP51" s="160"/>
      <c r="AXQ51" s="160"/>
      <c r="AXR51" s="160"/>
      <c r="AXS51" s="160"/>
      <c r="AXT51" s="160"/>
      <c r="AXU51" s="160"/>
      <c r="AXV51" s="160"/>
      <c r="AXW51" s="160"/>
      <c r="AXX51" s="160"/>
      <c r="AXY51" s="160"/>
      <c r="AXZ51" s="160"/>
      <c r="AYA51" s="160"/>
      <c r="AYB51" s="160"/>
      <c r="AYC51" s="160"/>
      <c r="AYD51" s="160"/>
      <c r="AYE51" s="160"/>
      <c r="AYF51" s="160"/>
      <c r="AYG51" s="160"/>
      <c r="AYH51" s="160"/>
      <c r="AYI51" s="160"/>
      <c r="AYJ51" s="160"/>
      <c r="AYK51" s="160"/>
      <c r="AYL51" s="160"/>
      <c r="AYM51" s="160"/>
      <c r="AYN51" s="160"/>
      <c r="AYO51" s="160"/>
      <c r="AYP51" s="160"/>
      <c r="AYQ51" s="160"/>
      <c r="AYR51" s="160"/>
      <c r="AYS51" s="160"/>
      <c r="AYT51" s="160"/>
      <c r="AYU51" s="160"/>
      <c r="AYV51" s="160"/>
      <c r="AYW51" s="160"/>
      <c r="AYX51" s="160"/>
      <c r="AYY51" s="160"/>
      <c r="AYZ51" s="160"/>
      <c r="AZA51" s="160"/>
      <c r="AZB51" s="160"/>
      <c r="AZC51" s="160"/>
      <c r="AZD51" s="160"/>
      <c r="AZE51" s="160"/>
      <c r="AZF51" s="160"/>
      <c r="AZG51" s="160"/>
      <c r="AZH51" s="160"/>
      <c r="AZI51" s="160"/>
      <c r="AZJ51" s="160"/>
      <c r="AZK51" s="160"/>
      <c r="AZL51" s="160"/>
      <c r="AZM51" s="160"/>
      <c r="AZN51" s="160"/>
      <c r="AZO51" s="160"/>
      <c r="AZP51" s="160"/>
      <c r="AZQ51" s="160"/>
      <c r="AZR51" s="160"/>
      <c r="AZS51" s="160"/>
      <c r="AZT51" s="160"/>
      <c r="AZU51" s="160"/>
      <c r="AZV51" s="160"/>
      <c r="AZW51" s="160"/>
      <c r="AZX51" s="160"/>
      <c r="AZY51" s="160"/>
      <c r="AZZ51" s="160"/>
      <c r="BAA51" s="160"/>
      <c r="BAB51" s="160"/>
      <c r="BAC51" s="160"/>
      <c r="BAD51" s="160"/>
      <c r="BAE51" s="160"/>
      <c r="BAF51" s="160"/>
      <c r="BAG51" s="160"/>
      <c r="BAH51" s="160"/>
      <c r="BAI51" s="160"/>
      <c r="BAJ51" s="160"/>
      <c r="BAK51" s="160"/>
      <c r="BAL51" s="160"/>
      <c r="BAM51" s="160"/>
      <c r="BAN51" s="160"/>
      <c r="BAO51" s="160"/>
      <c r="BAP51" s="160"/>
      <c r="BAQ51" s="160"/>
      <c r="BAR51" s="160"/>
      <c r="BAS51" s="160"/>
      <c r="BAT51" s="160"/>
      <c r="BAU51" s="160"/>
      <c r="BAV51" s="160"/>
      <c r="BAW51" s="160"/>
      <c r="BAX51" s="160"/>
      <c r="BAY51" s="160"/>
      <c r="BAZ51" s="160"/>
      <c r="BBA51" s="160"/>
      <c r="BBB51" s="160"/>
      <c r="BBC51" s="160"/>
      <c r="BBD51" s="160"/>
      <c r="BBE51" s="160"/>
      <c r="BBF51" s="160"/>
      <c r="BBG51" s="160"/>
      <c r="BBH51" s="160"/>
      <c r="BBI51" s="160"/>
      <c r="BBJ51" s="160"/>
      <c r="BBK51" s="160"/>
      <c r="BBL51" s="160"/>
      <c r="BBM51" s="160"/>
      <c r="BBN51" s="160"/>
      <c r="BBO51" s="160"/>
      <c r="BBP51" s="160"/>
      <c r="BBQ51" s="160"/>
      <c r="BBR51" s="160"/>
      <c r="BBS51" s="160"/>
      <c r="BBT51" s="160"/>
      <c r="BBU51" s="160"/>
      <c r="BBV51" s="160"/>
      <c r="BBW51" s="160"/>
      <c r="BBX51" s="160"/>
      <c r="BBY51" s="160"/>
      <c r="BBZ51" s="160"/>
      <c r="BCA51" s="160"/>
      <c r="BCB51" s="160"/>
      <c r="BCC51" s="160"/>
      <c r="BCD51" s="160"/>
      <c r="BCE51" s="160"/>
      <c r="BCF51" s="160"/>
      <c r="BCG51" s="160"/>
      <c r="BCH51" s="160"/>
      <c r="BCI51" s="160"/>
      <c r="BCJ51" s="160"/>
      <c r="BCK51" s="160"/>
      <c r="BCL51" s="160"/>
      <c r="BCM51" s="160"/>
      <c r="BCN51" s="160"/>
      <c r="BCO51" s="160"/>
      <c r="BCP51" s="160"/>
      <c r="BCQ51" s="160"/>
      <c r="BCR51" s="160"/>
      <c r="BCS51" s="160"/>
      <c r="BCT51" s="160"/>
      <c r="BCU51" s="160"/>
      <c r="BCV51" s="160"/>
      <c r="BCW51" s="160"/>
      <c r="BCX51" s="160"/>
      <c r="BCY51" s="160"/>
      <c r="BCZ51" s="160"/>
      <c r="BDA51" s="160"/>
      <c r="BDB51" s="160"/>
      <c r="BDC51" s="160"/>
      <c r="BDD51" s="160"/>
      <c r="BDE51" s="160"/>
      <c r="BDF51" s="160"/>
      <c r="BDG51" s="160"/>
      <c r="BDH51" s="160"/>
      <c r="BDI51" s="160"/>
      <c r="BDJ51" s="160"/>
      <c r="BDK51" s="160"/>
      <c r="BDL51" s="160"/>
      <c r="BDM51" s="160"/>
      <c r="BDN51" s="160"/>
      <c r="BDO51" s="160"/>
      <c r="BDP51" s="160"/>
      <c r="BDQ51" s="160"/>
      <c r="BDR51" s="160"/>
      <c r="BDS51" s="160"/>
      <c r="BDT51" s="160"/>
      <c r="BDU51" s="160"/>
      <c r="BDV51" s="160"/>
      <c r="BDW51" s="160"/>
      <c r="BDX51" s="160"/>
      <c r="BDY51" s="160"/>
      <c r="BDZ51" s="160"/>
      <c r="BEA51" s="160"/>
      <c r="BEB51" s="160"/>
      <c r="BEC51" s="160"/>
      <c r="BED51" s="160"/>
      <c r="BEE51" s="160"/>
      <c r="BEF51" s="160"/>
      <c r="BEG51" s="160"/>
      <c r="BEH51" s="160"/>
      <c r="BEI51" s="160"/>
      <c r="BEJ51" s="160"/>
      <c r="BEK51" s="160"/>
      <c r="BEL51" s="160"/>
      <c r="BEM51" s="160"/>
      <c r="BEN51" s="160"/>
      <c r="BEO51" s="160"/>
      <c r="BEP51" s="160"/>
      <c r="BEQ51" s="160"/>
      <c r="BER51" s="160"/>
      <c r="BES51" s="160"/>
      <c r="BET51" s="160"/>
      <c r="BEU51" s="160"/>
      <c r="BEV51" s="160"/>
      <c r="BEW51" s="160"/>
      <c r="BEX51" s="160"/>
      <c r="BEY51" s="160"/>
      <c r="BEZ51" s="160"/>
      <c r="BFA51" s="160"/>
      <c r="BFB51" s="160"/>
      <c r="BFC51" s="160"/>
      <c r="BFD51" s="160"/>
      <c r="BFE51" s="160"/>
      <c r="BFF51" s="160"/>
      <c r="BFG51" s="160"/>
      <c r="BFH51" s="160"/>
      <c r="BFI51" s="160"/>
      <c r="BFJ51" s="160"/>
      <c r="BFK51" s="160"/>
      <c r="BFL51" s="160"/>
      <c r="BFM51" s="160"/>
      <c r="BFN51" s="160"/>
      <c r="BFO51" s="160"/>
      <c r="BFP51" s="160"/>
      <c r="BFQ51" s="160"/>
      <c r="BFR51" s="160"/>
      <c r="BFS51" s="160"/>
      <c r="BFT51" s="160"/>
      <c r="BFU51" s="160"/>
      <c r="BFV51" s="160"/>
      <c r="BFW51" s="160"/>
      <c r="BFX51" s="160"/>
      <c r="BFY51" s="160"/>
      <c r="BFZ51" s="160"/>
      <c r="BGA51" s="160"/>
      <c r="BGB51" s="160"/>
      <c r="BGC51" s="160"/>
      <c r="BGD51" s="160"/>
      <c r="BGE51" s="160"/>
      <c r="BGF51" s="160"/>
      <c r="BGG51" s="160"/>
      <c r="BGH51" s="160"/>
      <c r="BGI51" s="160"/>
      <c r="BGJ51" s="160"/>
      <c r="BGK51" s="160"/>
      <c r="BGL51" s="160"/>
      <c r="BGM51" s="160"/>
      <c r="BGN51" s="160"/>
      <c r="BGO51" s="160"/>
      <c r="BGP51" s="160"/>
      <c r="BGQ51" s="160"/>
      <c r="BGR51" s="160"/>
      <c r="BGS51" s="160"/>
      <c r="BGT51" s="160"/>
      <c r="BGU51" s="160"/>
      <c r="BGV51" s="160"/>
      <c r="BGW51" s="160"/>
      <c r="BGX51" s="160"/>
      <c r="BGY51" s="160"/>
      <c r="BGZ51" s="160"/>
      <c r="BHA51" s="160"/>
      <c r="BHB51" s="160"/>
      <c r="BHC51" s="160"/>
      <c r="BHD51" s="160"/>
      <c r="BHE51" s="160"/>
      <c r="BHF51" s="160"/>
      <c r="BHG51" s="160"/>
      <c r="BHH51" s="160"/>
      <c r="BHI51" s="160"/>
      <c r="BHJ51" s="160"/>
      <c r="BHK51" s="160"/>
      <c r="BHL51" s="160"/>
      <c r="BHM51" s="160"/>
      <c r="BHN51" s="160"/>
      <c r="BHO51" s="160"/>
      <c r="BHP51" s="160"/>
      <c r="BHQ51" s="160"/>
      <c r="BHR51" s="160"/>
      <c r="BHS51" s="160"/>
      <c r="BHT51" s="160"/>
      <c r="BHU51" s="160"/>
      <c r="BHV51" s="160"/>
      <c r="BHW51" s="160"/>
      <c r="BHX51" s="160"/>
      <c r="BHY51" s="160"/>
      <c r="BHZ51" s="160"/>
      <c r="BIA51" s="160"/>
      <c r="BIB51" s="160"/>
      <c r="BIC51" s="160"/>
      <c r="BID51" s="160"/>
      <c r="BIE51" s="160"/>
      <c r="BIF51" s="160"/>
      <c r="BIG51" s="160"/>
      <c r="BIH51" s="160"/>
      <c r="BII51" s="160"/>
      <c r="BIJ51" s="160"/>
      <c r="BIK51" s="160"/>
      <c r="BIL51" s="160"/>
      <c r="BIM51" s="160"/>
      <c r="BIN51" s="160"/>
      <c r="BIO51" s="160"/>
      <c r="BIP51" s="160"/>
      <c r="BIQ51" s="160"/>
      <c r="BIR51" s="160"/>
      <c r="BIS51" s="160"/>
      <c r="BIT51" s="160"/>
      <c r="BIU51" s="160"/>
      <c r="BIV51" s="160"/>
      <c r="BIW51" s="160"/>
      <c r="BIX51" s="160"/>
      <c r="BIY51" s="160"/>
      <c r="BIZ51" s="160"/>
      <c r="BJA51" s="160"/>
      <c r="BJB51" s="160"/>
      <c r="BJC51" s="160"/>
      <c r="BJD51" s="160"/>
      <c r="BJE51" s="160"/>
      <c r="BJF51" s="160"/>
      <c r="BJG51" s="160"/>
      <c r="BJH51" s="160"/>
      <c r="BJI51" s="160"/>
      <c r="BJJ51" s="160"/>
      <c r="BJK51" s="160"/>
      <c r="BJL51" s="160"/>
      <c r="BJM51" s="160"/>
      <c r="BJN51" s="160"/>
      <c r="BJO51" s="160"/>
      <c r="BJP51" s="160"/>
      <c r="BJQ51" s="160"/>
      <c r="BJR51" s="160"/>
      <c r="BJS51" s="160"/>
      <c r="BJT51" s="160"/>
      <c r="BJU51" s="160"/>
      <c r="BJV51" s="160"/>
      <c r="BJW51" s="160"/>
      <c r="BJX51" s="160"/>
      <c r="BJY51" s="160"/>
      <c r="BJZ51" s="160"/>
      <c r="BKA51" s="160"/>
      <c r="BKB51" s="160"/>
      <c r="BKC51" s="160"/>
      <c r="BKD51" s="160"/>
      <c r="BKE51" s="160"/>
      <c r="BKF51" s="160"/>
      <c r="BKG51" s="160"/>
      <c r="BKH51" s="160"/>
      <c r="BKI51" s="160"/>
      <c r="BKJ51" s="160"/>
      <c r="BKK51" s="160"/>
      <c r="BKL51" s="160"/>
      <c r="BKM51" s="160"/>
      <c r="BKN51" s="160"/>
      <c r="BKO51" s="160"/>
      <c r="BKP51" s="160"/>
      <c r="BKQ51" s="160"/>
      <c r="BKR51" s="160"/>
      <c r="BKS51" s="160"/>
      <c r="BKT51" s="160"/>
      <c r="BKU51" s="160"/>
      <c r="BKV51" s="160"/>
      <c r="BKW51" s="160"/>
      <c r="BKX51" s="160"/>
      <c r="BKY51" s="160"/>
      <c r="BKZ51" s="160"/>
      <c r="BLA51" s="160"/>
      <c r="BLB51" s="160"/>
      <c r="BLC51" s="160"/>
      <c r="BLD51" s="160"/>
      <c r="BLE51" s="160"/>
      <c r="BLF51" s="160"/>
      <c r="BLG51" s="160"/>
      <c r="BLH51" s="160"/>
      <c r="BLI51" s="160"/>
      <c r="BLJ51" s="160"/>
      <c r="BLK51" s="160"/>
      <c r="BLL51" s="160"/>
      <c r="BLM51" s="160"/>
      <c r="BLN51" s="160"/>
      <c r="BLO51" s="160"/>
      <c r="BLP51" s="160"/>
      <c r="BLQ51" s="160"/>
      <c r="BLR51" s="160"/>
      <c r="BLS51" s="160"/>
      <c r="BLT51" s="160"/>
      <c r="BLU51" s="160"/>
      <c r="BLV51" s="160"/>
      <c r="BLW51" s="160"/>
      <c r="BLX51" s="160"/>
      <c r="BLY51" s="160"/>
      <c r="BLZ51" s="160"/>
      <c r="BMA51" s="160"/>
      <c r="BMB51" s="160"/>
      <c r="BMC51" s="160"/>
      <c r="BMD51" s="160"/>
      <c r="BME51" s="160"/>
      <c r="BMF51" s="160"/>
      <c r="BMG51" s="160"/>
      <c r="BMH51" s="160"/>
      <c r="BMI51" s="160"/>
      <c r="BMJ51" s="160"/>
      <c r="BMK51" s="160"/>
      <c r="BML51" s="160"/>
      <c r="BMM51" s="160"/>
      <c r="BMN51" s="160"/>
      <c r="BMO51" s="160"/>
      <c r="BMP51" s="160"/>
      <c r="BMQ51" s="160"/>
      <c r="BMR51" s="160"/>
      <c r="BMS51" s="160"/>
      <c r="BMT51" s="160"/>
      <c r="BMU51" s="160"/>
      <c r="BMV51" s="160"/>
      <c r="BMW51" s="160"/>
      <c r="BMX51" s="160"/>
      <c r="BMY51" s="160"/>
      <c r="BMZ51" s="160"/>
      <c r="BNA51" s="160"/>
      <c r="BNB51" s="160"/>
      <c r="BNC51" s="160"/>
      <c r="BND51" s="160"/>
      <c r="BNE51" s="160"/>
      <c r="BNF51" s="160"/>
      <c r="BNG51" s="160"/>
      <c r="BNH51" s="160"/>
      <c r="BNI51" s="160"/>
      <c r="BNJ51" s="160"/>
      <c r="BNK51" s="160"/>
      <c r="BNL51" s="160"/>
      <c r="BNM51" s="160"/>
      <c r="BNN51" s="160"/>
      <c r="BNO51" s="160"/>
      <c r="BNP51" s="160"/>
      <c r="BNQ51" s="160"/>
      <c r="BNR51" s="160"/>
      <c r="BNS51" s="160"/>
      <c r="BNT51" s="160"/>
      <c r="BNU51" s="160"/>
      <c r="BNV51" s="160"/>
      <c r="BNW51" s="160"/>
      <c r="BNX51" s="160"/>
      <c r="BNY51" s="160"/>
      <c r="BNZ51" s="160"/>
      <c r="BOA51" s="160"/>
      <c r="BOB51" s="160"/>
      <c r="BOC51" s="160"/>
      <c r="BOD51" s="160"/>
      <c r="BOE51" s="160"/>
      <c r="BOF51" s="160"/>
      <c r="BOG51" s="160"/>
      <c r="BOH51" s="160"/>
      <c r="BOI51" s="160"/>
      <c r="BOJ51" s="160"/>
      <c r="BOK51" s="160"/>
      <c r="BOL51" s="160"/>
      <c r="BOM51" s="160"/>
      <c r="BON51" s="160"/>
      <c r="BOO51" s="160"/>
      <c r="BOP51" s="160"/>
      <c r="BOQ51" s="160"/>
      <c r="BOR51" s="160"/>
      <c r="BOS51" s="160"/>
      <c r="BOT51" s="160"/>
      <c r="BOU51" s="160"/>
      <c r="BOV51" s="160"/>
      <c r="BOW51" s="160"/>
      <c r="BOX51" s="160"/>
      <c r="BOY51" s="160"/>
      <c r="BOZ51" s="160"/>
      <c r="BPA51" s="160"/>
      <c r="BPB51" s="160"/>
      <c r="BPC51" s="160"/>
      <c r="BPD51" s="160"/>
      <c r="BPE51" s="160"/>
      <c r="BPF51" s="160"/>
      <c r="BPG51" s="160"/>
      <c r="BPH51" s="160"/>
      <c r="BPI51" s="160"/>
      <c r="BPJ51" s="160"/>
      <c r="BPK51" s="160"/>
      <c r="BPL51" s="160"/>
      <c r="BPM51" s="160"/>
      <c r="BPN51" s="160"/>
      <c r="BPO51" s="160"/>
      <c r="BPP51" s="160"/>
      <c r="BPQ51" s="160"/>
      <c r="BPR51" s="160"/>
      <c r="BPS51" s="160"/>
      <c r="BPT51" s="160"/>
      <c r="BPU51" s="160"/>
      <c r="BPV51" s="160"/>
      <c r="BPW51" s="160"/>
      <c r="BPX51" s="160"/>
      <c r="BPY51" s="160"/>
      <c r="BPZ51" s="160"/>
      <c r="BQA51" s="160"/>
      <c r="BQB51" s="160"/>
      <c r="BQC51" s="160"/>
      <c r="BQD51" s="160"/>
      <c r="BQE51" s="160"/>
      <c r="BQF51" s="160"/>
      <c r="BQG51" s="160"/>
      <c r="BQH51" s="160"/>
      <c r="BQI51" s="160"/>
      <c r="BQJ51" s="160"/>
      <c r="BQK51" s="160"/>
      <c r="BQL51" s="160"/>
      <c r="BQM51" s="160"/>
      <c r="BQN51" s="160"/>
      <c r="BQO51" s="160"/>
      <c r="BQP51" s="160"/>
      <c r="BQQ51" s="160"/>
      <c r="BQR51" s="160"/>
      <c r="BQS51" s="160"/>
      <c r="BQT51" s="160"/>
      <c r="BQU51" s="160"/>
      <c r="BQV51" s="160"/>
      <c r="BQW51" s="160"/>
      <c r="BQX51" s="160"/>
      <c r="BQY51" s="160"/>
      <c r="BQZ51" s="160"/>
      <c r="BRA51" s="160"/>
      <c r="BRB51" s="160"/>
      <c r="BRC51" s="160"/>
      <c r="BRD51" s="160"/>
      <c r="BRE51" s="160"/>
      <c r="BRF51" s="160"/>
      <c r="BRG51" s="160"/>
      <c r="BRH51" s="160"/>
      <c r="BRI51" s="160"/>
      <c r="BRJ51" s="160"/>
      <c r="BRK51" s="160"/>
      <c r="BRL51" s="160"/>
      <c r="BRM51" s="160"/>
      <c r="BRN51" s="160"/>
      <c r="BRO51" s="160"/>
      <c r="BRP51" s="160"/>
      <c r="BRQ51" s="160"/>
      <c r="BRR51" s="160"/>
      <c r="BRS51" s="160"/>
      <c r="BRT51" s="160"/>
      <c r="BRU51" s="160"/>
      <c r="BRV51" s="160"/>
      <c r="BRW51" s="160"/>
      <c r="BRX51" s="160"/>
      <c r="BRY51" s="160"/>
      <c r="BRZ51" s="160"/>
      <c r="BSA51" s="160"/>
      <c r="BSB51" s="160"/>
      <c r="BSC51" s="160"/>
      <c r="BSD51" s="160"/>
      <c r="BSE51" s="160"/>
      <c r="BSF51" s="160"/>
      <c r="BSG51" s="160"/>
      <c r="BSH51" s="160"/>
      <c r="BSI51" s="160"/>
      <c r="BSJ51" s="160"/>
      <c r="BSK51" s="160"/>
      <c r="BSL51" s="160"/>
      <c r="BSM51" s="160"/>
      <c r="BSN51" s="160"/>
      <c r="BSO51" s="160"/>
      <c r="BSP51" s="160"/>
      <c r="BSQ51" s="160"/>
      <c r="BSR51" s="160"/>
      <c r="BSS51" s="160"/>
      <c r="BST51" s="160"/>
      <c r="BSU51" s="160"/>
      <c r="BSV51" s="160"/>
      <c r="BSW51" s="160"/>
      <c r="BSX51" s="160"/>
      <c r="BSY51" s="160"/>
      <c r="BSZ51" s="160"/>
      <c r="BTA51" s="160"/>
      <c r="BTB51" s="160"/>
      <c r="BTC51" s="160"/>
      <c r="BTD51" s="160"/>
      <c r="BTE51" s="160"/>
      <c r="BTF51" s="160"/>
      <c r="BTG51" s="160"/>
      <c r="BTH51" s="160"/>
      <c r="BTI51" s="160"/>
      <c r="BTJ51" s="160"/>
      <c r="BTK51" s="160"/>
      <c r="BTL51" s="160"/>
      <c r="BTM51" s="160"/>
      <c r="BTN51" s="160"/>
      <c r="BTO51" s="160"/>
      <c r="BTP51" s="160"/>
      <c r="BTQ51" s="160"/>
      <c r="BTR51" s="160"/>
      <c r="BTS51" s="160"/>
      <c r="BTT51" s="160"/>
      <c r="BTU51" s="160"/>
      <c r="BTV51" s="160"/>
      <c r="BTW51" s="160"/>
      <c r="BTX51" s="160"/>
      <c r="BTY51" s="160"/>
      <c r="BTZ51" s="160"/>
      <c r="BUA51" s="160"/>
      <c r="BUB51" s="160"/>
      <c r="BUC51" s="160"/>
      <c r="BUD51" s="160"/>
      <c r="BUE51" s="160"/>
      <c r="BUF51" s="160"/>
      <c r="BUG51" s="160"/>
      <c r="BUH51" s="160"/>
      <c r="BUI51" s="160"/>
      <c r="BUJ51" s="160"/>
      <c r="BUK51" s="160"/>
      <c r="BUL51" s="160"/>
      <c r="BUM51" s="160"/>
      <c r="BUN51" s="160"/>
      <c r="BUO51" s="160"/>
      <c r="BUP51" s="160"/>
      <c r="BUQ51" s="160"/>
      <c r="BUR51" s="160"/>
      <c r="BUS51" s="160"/>
      <c r="BUT51" s="160"/>
      <c r="BUU51" s="160"/>
      <c r="BUV51" s="160"/>
      <c r="BUW51" s="160"/>
      <c r="BUX51" s="160"/>
      <c r="BUY51" s="160"/>
      <c r="BUZ51" s="160"/>
      <c r="BVA51" s="160"/>
      <c r="BVB51" s="160"/>
      <c r="BVC51" s="160"/>
      <c r="BVD51" s="160"/>
      <c r="BVE51" s="160"/>
      <c r="BVF51" s="160"/>
      <c r="BVG51" s="160"/>
      <c r="BVH51" s="160"/>
      <c r="BVI51" s="160"/>
      <c r="BVJ51" s="160"/>
      <c r="BVK51" s="160"/>
      <c r="BVL51" s="160"/>
      <c r="BVM51" s="160"/>
      <c r="BVN51" s="160"/>
      <c r="BVO51" s="160"/>
      <c r="BVP51" s="160"/>
      <c r="BVQ51" s="160"/>
      <c r="BVR51" s="160"/>
      <c r="BVS51" s="160"/>
      <c r="BVT51" s="160"/>
      <c r="BVU51" s="160"/>
      <c r="BVV51" s="160"/>
      <c r="BVW51" s="160"/>
      <c r="BVX51" s="160"/>
      <c r="BVY51" s="160"/>
      <c r="BVZ51" s="160"/>
      <c r="BWA51" s="160"/>
      <c r="BWB51" s="160"/>
      <c r="BWC51" s="160"/>
      <c r="BWD51" s="160"/>
      <c r="BWE51" s="160"/>
      <c r="BWF51" s="160"/>
      <c r="BWG51" s="160"/>
      <c r="BWH51" s="160"/>
      <c r="BWI51" s="160"/>
      <c r="BWJ51" s="160"/>
      <c r="BWK51" s="160"/>
      <c r="BWL51" s="160"/>
      <c r="BWM51" s="160"/>
      <c r="BWN51" s="160"/>
      <c r="BWO51" s="160"/>
      <c r="BWP51" s="160"/>
      <c r="BWQ51" s="160"/>
      <c r="BWR51" s="160"/>
      <c r="BWS51" s="160"/>
      <c r="BWT51" s="160"/>
      <c r="BWU51" s="160"/>
      <c r="BWV51" s="160"/>
      <c r="BWW51" s="160"/>
      <c r="BWX51" s="160"/>
      <c r="BWY51" s="160"/>
      <c r="BWZ51" s="160"/>
      <c r="BXA51" s="160"/>
      <c r="BXB51" s="160"/>
      <c r="BXC51" s="160"/>
      <c r="BXD51" s="160"/>
      <c r="BXE51" s="160"/>
      <c r="BXF51" s="160"/>
      <c r="BXG51" s="160"/>
      <c r="BXH51" s="160"/>
      <c r="BXI51" s="160"/>
      <c r="BXJ51" s="160"/>
      <c r="BXK51" s="160"/>
      <c r="BXL51" s="160"/>
      <c r="BXM51" s="160"/>
      <c r="BXN51" s="160"/>
      <c r="BXO51" s="160"/>
      <c r="BXP51" s="160"/>
      <c r="BXQ51" s="160"/>
      <c r="BXR51" s="160"/>
      <c r="BXS51" s="160"/>
      <c r="BXT51" s="160"/>
      <c r="BXU51" s="160"/>
      <c r="BXV51" s="160"/>
      <c r="BXW51" s="160"/>
      <c r="BXX51" s="160"/>
      <c r="BXY51" s="160"/>
      <c r="BXZ51" s="160"/>
      <c r="BYA51" s="160"/>
      <c r="BYB51" s="160"/>
      <c r="BYC51" s="160"/>
      <c r="BYD51" s="160"/>
      <c r="BYE51" s="160"/>
      <c r="BYF51" s="160"/>
      <c r="BYG51" s="160"/>
    </row>
    <row r="52" spans="1:2009" ht="12.75" customHeight="1" thickBot="1" x14ac:dyDescent="0.3">
      <c r="A52" s="81"/>
      <c r="B52" s="88"/>
      <c r="C52" s="137"/>
      <c r="D52" s="137"/>
      <c r="E52" s="137"/>
      <c r="F52" s="137"/>
      <c r="G52" s="527"/>
    </row>
    <row r="53" spans="1:2009" s="89" customFormat="1" ht="24.95" hidden="1" customHeight="1" x14ac:dyDescent="0.25">
      <c r="A53" s="287" t="s">
        <v>174</v>
      </c>
      <c r="B53" s="288"/>
      <c r="C53" s="289"/>
      <c r="D53" s="298"/>
      <c r="E53" s="298"/>
      <c r="F53" s="298"/>
      <c r="G53" s="531"/>
      <c r="H53"/>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9" customFormat="1" ht="24.95" hidden="1" customHeight="1" x14ac:dyDescent="0.25">
      <c r="A54" s="290"/>
      <c r="B54" s="293" t="s">
        <v>209</v>
      </c>
      <c r="C54" s="371"/>
      <c r="D54" s="371"/>
      <c r="E54" s="371"/>
      <c r="F54" s="371"/>
      <c r="G54" s="532">
        <f>SUM(C54:F54)</f>
        <v>0</v>
      </c>
      <c r="H5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s="89" customFormat="1" ht="24.95" hidden="1" customHeight="1" x14ac:dyDescent="0.25">
      <c r="A55" s="291"/>
      <c r="B55" s="294" t="s">
        <v>210</v>
      </c>
      <c r="C55" s="372"/>
      <c r="D55" s="372"/>
      <c r="E55" s="372"/>
      <c r="F55" s="372"/>
      <c r="G55" s="533">
        <f>SUM(C55:F55)</f>
        <v>0</v>
      </c>
      <c r="H55"/>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s="89" customFormat="1" ht="24.75" hidden="1" customHeight="1" thickBot="1" x14ac:dyDescent="0.3">
      <c r="A56" s="844" t="s">
        <v>175</v>
      </c>
      <c r="B56" s="845"/>
      <c r="C56" s="292">
        <f t="shared" ref="C56" si="2">SUM(C53:C55)</f>
        <v>0</v>
      </c>
      <c r="D56" s="292"/>
      <c r="E56" s="292"/>
      <c r="F56" s="292"/>
      <c r="G56" s="534">
        <f t="shared" ref="G56" si="3">SUM(G53:G55)</f>
        <v>0</v>
      </c>
      <c r="H56"/>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42"/>
      <c r="D57" s="142"/>
      <c r="E57" s="142"/>
      <c r="F57" s="142"/>
      <c r="G57" s="517"/>
    </row>
    <row r="58" spans="1:2009" s="89" customFormat="1" ht="24.95" hidden="1" customHeight="1" thickBot="1" x14ac:dyDescent="0.3">
      <c r="A58" s="379" t="s">
        <v>314</v>
      </c>
      <c r="B58" s="376"/>
      <c r="C58" s="377"/>
      <c r="D58" s="378"/>
      <c r="E58" s="378"/>
      <c r="F58" s="378"/>
      <c r="G58" s="535">
        <f>SUM(C58:F58)</f>
        <v>0</v>
      </c>
      <c r="H58"/>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ht="12.75" hidden="1" customHeight="1" thickBot="1" x14ac:dyDescent="0.3">
      <c r="A59" s="81"/>
      <c r="B59" s="81"/>
      <c r="C59" s="142"/>
      <c r="D59" s="142"/>
      <c r="E59" s="142"/>
      <c r="F59" s="142"/>
      <c r="G59" s="517"/>
    </row>
    <row r="60" spans="1:2009" s="89" customFormat="1" ht="24.95" customHeight="1" thickBot="1" x14ac:dyDescent="0.3">
      <c r="A60" s="406" t="s">
        <v>305</v>
      </c>
      <c r="B60" s="310"/>
      <c r="C60" s="311">
        <f>3350.76</f>
        <v>3350.76</v>
      </c>
      <c r="D60" s="311"/>
      <c r="E60" s="311"/>
      <c r="F60" s="311"/>
      <c r="G60" s="654">
        <f>SUM(C60:F60)</f>
        <v>3350.76</v>
      </c>
      <c r="H60"/>
      <c r="I60" s="21"/>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9" customFormat="1" ht="13.5" hidden="1" customHeight="1" x14ac:dyDescent="0.25">
      <c r="A61" s="81"/>
      <c r="B61" s="81"/>
      <c r="C61" s="349"/>
      <c r="D61" s="142"/>
      <c r="E61" s="142"/>
      <c r="F61" s="142"/>
      <c r="G61" s="517"/>
      <c r="H61"/>
      <c r="I61" s="2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9" customFormat="1" ht="24.95" hidden="1" customHeight="1" thickBot="1" x14ac:dyDescent="0.3">
      <c r="A62" s="375" t="s">
        <v>440</v>
      </c>
      <c r="B62" s="374"/>
      <c r="C62" s="350"/>
      <c r="D62" s="351"/>
      <c r="E62" s="351"/>
      <c r="F62" s="351"/>
      <c r="G62" s="536">
        <f>SUM(C62:F62)</f>
        <v>0</v>
      </c>
      <c r="H62"/>
      <c r="I62" s="2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9" customFormat="1" ht="12" customHeight="1" x14ac:dyDescent="0.25">
      <c r="A63" s="538"/>
      <c r="B63" s="538"/>
      <c r="C63" s="349"/>
      <c r="D63" s="142"/>
      <c r="E63" s="142"/>
      <c r="F63" s="142"/>
      <c r="G63" s="517"/>
      <c r="H63"/>
      <c r="I63" s="2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9" customFormat="1" ht="27" hidden="1" customHeight="1" x14ac:dyDescent="0.25">
      <c r="A64" s="659" t="s">
        <v>457</v>
      </c>
      <c r="B64" s="660"/>
      <c r="C64" s="661"/>
      <c r="D64" s="662"/>
      <c r="E64" s="662"/>
      <c r="F64" s="662"/>
      <c r="G64" s="663">
        <f>SUM(C64:F64)</f>
        <v>0</v>
      </c>
      <c r="H64"/>
      <c r="I64" s="21"/>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9" customFormat="1" ht="24.95" customHeight="1" thickBot="1" x14ac:dyDescent="0.3">
      <c r="A65" s="664" t="s">
        <v>338</v>
      </c>
      <c r="B65" s="665"/>
      <c r="C65" s="666">
        <v>1625</v>
      </c>
      <c r="D65" s="667"/>
      <c r="E65" s="667"/>
      <c r="F65" s="667">
        <v>3400</v>
      </c>
      <c r="G65" s="668">
        <f>SUM(C65:F65)</f>
        <v>5025</v>
      </c>
      <c r="H65"/>
      <c r="I65" s="21"/>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9" customFormat="1" ht="12" customHeight="1" thickBot="1" x14ac:dyDescent="0.3">
      <c r="A66" s="538"/>
      <c r="B66" s="538"/>
      <c r="C66" s="349"/>
      <c r="D66" s="142"/>
      <c r="E66" s="142"/>
      <c r="F66" s="142"/>
      <c r="G66" s="517"/>
      <c r="H66"/>
      <c r="I66" s="2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s="89" customFormat="1" ht="24.95" customHeight="1" thickBot="1" x14ac:dyDescent="0.3">
      <c r="A67" s="570" t="s">
        <v>651</v>
      </c>
      <c r="B67" s="571"/>
      <c r="C67" s="572">
        <v>7500</v>
      </c>
      <c r="D67" s="573"/>
      <c r="E67" s="573"/>
      <c r="F67" s="573"/>
      <c r="G67" s="574">
        <f>SUM(C67:F67)</f>
        <v>7500</v>
      </c>
      <c r="H67"/>
      <c r="I67" s="21"/>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row>
    <row r="68" spans="1:2009" ht="9" customHeight="1" x14ac:dyDescent="0.25">
      <c r="A68" s="538"/>
      <c r="B68" s="538"/>
      <c r="C68" s="349"/>
      <c r="D68" s="142"/>
      <c r="E68" s="142"/>
      <c r="F68" s="142"/>
      <c r="G68" s="517"/>
    </row>
    <row r="69" spans="1:2009" ht="24.95" hidden="1" customHeight="1" x14ac:dyDescent="0.25">
      <c r="A69" s="639" t="s">
        <v>441</v>
      </c>
      <c r="B69" s="640"/>
      <c r="C69" s="646"/>
      <c r="D69" s="646"/>
      <c r="E69" s="657"/>
      <c r="F69" s="646"/>
      <c r="G69" s="655">
        <f>SUM(C69:F69)</f>
        <v>0</v>
      </c>
    </row>
    <row r="70" spans="1:2009" ht="24.95" hidden="1" customHeight="1" x14ac:dyDescent="0.25">
      <c r="A70" s="643" t="s">
        <v>395</v>
      </c>
      <c r="B70" s="644"/>
      <c r="C70" s="647"/>
      <c r="D70" s="647"/>
      <c r="E70" s="647"/>
      <c r="F70" s="647"/>
      <c r="G70" s="656">
        <f>SUM(C70:F70)</f>
        <v>0</v>
      </c>
    </row>
    <row r="71" spans="1:2009" ht="24.95" customHeight="1" thickBot="1" x14ac:dyDescent="0.3">
      <c r="A71" s="641" t="s">
        <v>652</v>
      </c>
      <c r="B71" s="645"/>
      <c r="C71" s="647">
        <f>5000+2500+81.3</f>
        <v>7581.3</v>
      </c>
      <c r="D71" s="647"/>
      <c r="E71" s="647"/>
      <c r="F71" s="647"/>
      <c r="G71" s="642">
        <f>SUM(C71:F71)</f>
        <v>7581.3</v>
      </c>
    </row>
    <row r="72" spans="1:2009" ht="12.75" customHeight="1" thickBot="1" x14ac:dyDescent="0.3">
      <c r="A72" s="88"/>
      <c r="B72" s="88"/>
      <c r="C72" s="137"/>
      <c r="D72" s="137"/>
      <c r="E72" s="137"/>
      <c r="F72" s="137"/>
      <c r="G72" s="527"/>
    </row>
    <row r="73" spans="1:2009" s="160" customFormat="1" ht="24.95" customHeight="1" thickBot="1" x14ac:dyDescent="0.3">
      <c r="A73" s="188"/>
      <c r="B73" s="373" t="s">
        <v>655</v>
      </c>
      <c r="C73" s="228">
        <f>SUM(C8+C14+C23+C27+C32+C44+C56)+C36+C51+C60+C62+C58+C67+C65+C71</f>
        <v>169634.41</v>
      </c>
      <c r="D73" s="228">
        <f>SUM(D8+D14+D23+D27+D32+D44+D56)+D36+D51+D60+D62+D58+D67+D65+D71+D64</f>
        <v>66768.13</v>
      </c>
      <c r="E73" s="228">
        <f>SUM(E8+E14+E23+E27+E32+E44+E56)+E36+E51+E60+E62+E65+E71+E64</f>
        <v>14154.51</v>
      </c>
      <c r="F73" s="228">
        <f>SUM(F8+F14+F23+F27+F32+F44+F56)+F36+F51+F60+F65+F71+F62+F64</f>
        <v>16134.02</v>
      </c>
      <c r="G73" s="537">
        <f>SUM(G8+G14+G23+G27+G32+G44+G56)+G36+G51+G60+G62+G58+G67+G65+G71+G64</f>
        <v>266691.07</v>
      </c>
      <c r="I73" s="21"/>
    </row>
    <row r="74" spans="1:2009" s="160" customFormat="1" ht="9" customHeight="1" x14ac:dyDescent="0.25">
      <c r="A74" s="549"/>
      <c r="B74" s="550"/>
      <c r="C74" s="551"/>
      <c r="D74" s="551"/>
      <c r="E74" s="551"/>
      <c r="F74" s="551"/>
      <c r="G74" s="552"/>
      <c r="I74" s="21"/>
    </row>
    <row r="75" spans="1:2009" ht="22.5" customHeight="1" x14ac:dyDescent="0.25">
      <c r="A75" s="90"/>
      <c r="B75" s="547" t="s">
        <v>358</v>
      </c>
      <c r="C75" s="548">
        <f>C73/G$73</f>
        <v>0.63607082906825485</v>
      </c>
      <c r="D75" s="548">
        <f>D73/$G73</f>
        <v>0.2503575766522666</v>
      </c>
      <c r="E75" s="548">
        <f t="shared" ref="E75:G75" si="4">E73/$G73</f>
        <v>5.3074555514738456E-2</v>
      </c>
      <c r="F75" s="548">
        <f t="shared" si="4"/>
        <v>6.0497038764740045E-2</v>
      </c>
      <c r="G75" s="548">
        <f t="shared" si="4"/>
        <v>1</v>
      </c>
    </row>
    <row r="76" spans="1:2009" ht="10.5" customHeight="1" x14ac:dyDescent="0.25">
      <c r="A76" s="90"/>
      <c r="B76" s="90"/>
      <c r="C76" s="157"/>
      <c r="D76" s="157"/>
      <c r="E76" s="157"/>
      <c r="F76" s="157"/>
    </row>
    <row r="77" spans="1:2009" ht="15" customHeight="1" x14ac:dyDescent="0.25">
      <c r="B77" s="261" t="s">
        <v>634</v>
      </c>
      <c r="C77" s="157"/>
      <c r="D77" s="157"/>
      <c r="E77" s="157"/>
      <c r="F77" s="157"/>
    </row>
    <row r="78" spans="1:2009" ht="8.25" customHeight="1" x14ac:dyDescent="0.25">
      <c r="B78" s="127"/>
      <c r="C78" s="157"/>
      <c r="D78" s="157"/>
      <c r="E78" s="157"/>
      <c r="F78" s="157"/>
    </row>
    <row r="79" spans="1:2009" ht="14.25" customHeight="1" x14ac:dyDescent="0.25">
      <c r="B79" s="441" t="s">
        <v>44</v>
      </c>
      <c r="C79" s="443">
        <v>23659.61</v>
      </c>
      <c r="D79" s="157"/>
      <c r="E79" s="157"/>
      <c r="F79" s="157"/>
    </row>
    <row r="80" spans="1:2009" ht="14.25" hidden="1" customHeight="1" x14ac:dyDescent="0.25">
      <c r="B80" s="441" t="s">
        <v>648</v>
      </c>
      <c r="C80" s="443"/>
      <c r="D80" s="157"/>
      <c r="E80" s="157"/>
      <c r="F80" s="157"/>
    </row>
    <row r="81" spans="2:6" ht="14.25" hidden="1" customHeight="1" x14ac:dyDescent="0.25">
      <c r="B81" s="441" t="s">
        <v>610</v>
      </c>
      <c r="C81" s="443"/>
      <c r="D81" s="157"/>
      <c r="E81" s="157"/>
      <c r="F81" s="157"/>
    </row>
    <row r="82" spans="2:6" ht="14.25" hidden="1" customHeight="1" x14ac:dyDescent="0.25">
      <c r="B82" s="441" t="s">
        <v>642</v>
      </c>
      <c r="C82" s="443"/>
      <c r="D82" s="157"/>
      <c r="E82" s="157"/>
      <c r="F82" s="157"/>
    </row>
    <row r="83" spans="2:6" ht="14.25" hidden="1" customHeight="1" x14ac:dyDescent="0.25">
      <c r="B83" s="441" t="s">
        <v>649</v>
      </c>
      <c r="C83" s="443"/>
      <c r="D83" s="157"/>
      <c r="E83" s="157"/>
      <c r="F83" s="157"/>
    </row>
    <row r="84" spans="2:6" ht="14.25" customHeight="1" x14ac:dyDescent="0.25">
      <c r="B84" s="441" t="s">
        <v>656</v>
      </c>
      <c r="C84" s="443">
        <v>15951.06</v>
      </c>
      <c r="D84" s="157"/>
      <c r="E84" s="157"/>
      <c r="F84" s="157"/>
    </row>
    <row r="85" spans="2:6" ht="14.25" hidden="1" customHeight="1" x14ac:dyDescent="0.25">
      <c r="B85" s="441" t="s">
        <v>637</v>
      </c>
      <c r="C85" s="443"/>
      <c r="D85" s="157"/>
      <c r="E85" s="157"/>
      <c r="F85" s="157"/>
    </row>
    <row r="86" spans="2:6" ht="14.25" hidden="1" customHeight="1" x14ac:dyDescent="0.25">
      <c r="B86" s="441" t="s">
        <v>563</v>
      </c>
      <c r="C86" s="443"/>
      <c r="D86" s="157"/>
      <c r="E86" s="157"/>
      <c r="F86" s="157"/>
    </row>
    <row r="87" spans="2:6" ht="14.25" hidden="1" customHeight="1" x14ac:dyDescent="0.25">
      <c r="B87" s="441" t="s">
        <v>643</v>
      </c>
      <c r="C87" s="443"/>
      <c r="D87" s="157"/>
      <c r="E87" s="157"/>
      <c r="F87" s="157"/>
    </row>
    <row r="88" spans="2:6" ht="14.25" hidden="1" customHeight="1" x14ac:dyDescent="0.25">
      <c r="B88" s="441" t="s">
        <v>589</v>
      </c>
      <c r="C88" s="443"/>
      <c r="D88" s="157"/>
      <c r="E88" s="157"/>
      <c r="F88" s="157"/>
    </row>
    <row r="89" spans="2:6" ht="14.25" customHeight="1" x14ac:dyDescent="0.25">
      <c r="B89" s="441" t="s">
        <v>545</v>
      </c>
      <c r="C89" s="443">
        <v>1661.78</v>
      </c>
      <c r="D89" s="157"/>
      <c r="E89" s="157"/>
      <c r="F89" s="157"/>
    </row>
    <row r="90" spans="2:6" ht="14.25" hidden="1" customHeight="1" x14ac:dyDescent="0.25">
      <c r="B90" s="441" t="s">
        <v>564</v>
      </c>
      <c r="C90" s="443"/>
      <c r="D90" s="157"/>
      <c r="E90" s="157"/>
      <c r="F90" s="157"/>
    </row>
    <row r="91" spans="2:6" ht="14.25" hidden="1" customHeight="1" x14ac:dyDescent="0.25">
      <c r="B91" s="441" t="s">
        <v>447</v>
      </c>
      <c r="C91" s="443"/>
      <c r="D91" s="157"/>
      <c r="E91" s="157"/>
      <c r="F91" s="157"/>
    </row>
    <row r="92" spans="2:6" ht="14.25" hidden="1" customHeight="1" x14ac:dyDescent="0.25">
      <c r="B92" s="441" t="s">
        <v>644</v>
      </c>
      <c r="C92" s="443"/>
      <c r="D92" s="157"/>
      <c r="E92" s="157"/>
      <c r="F92" s="157"/>
    </row>
    <row r="93" spans="2:6" ht="14.25" customHeight="1" x14ac:dyDescent="0.25">
      <c r="B93" s="441" t="s">
        <v>638</v>
      </c>
      <c r="C93" s="443">
        <v>11783.37</v>
      </c>
      <c r="D93" s="157"/>
      <c r="E93" s="157"/>
      <c r="F93" s="157"/>
    </row>
    <row r="94" spans="2:6" ht="14.25" customHeight="1" x14ac:dyDescent="0.25">
      <c r="B94" s="441" t="s">
        <v>653</v>
      </c>
      <c r="C94" s="443">
        <v>2500</v>
      </c>
      <c r="D94" s="157"/>
      <c r="E94" s="157"/>
      <c r="F94" s="157"/>
    </row>
    <row r="95" spans="2:6" ht="14.25" customHeight="1" x14ac:dyDescent="0.25">
      <c r="B95" s="441" t="s">
        <v>654</v>
      </c>
      <c r="C95" s="443">
        <v>81.3</v>
      </c>
      <c r="D95" s="157"/>
      <c r="E95" s="157"/>
      <c r="F95" s="157"/>
    </row>
    <row r="96" spans="2:6" ht="14.25" customHeight="1" x14ac:dyDescent="0.25">
      <c r="B96" s="441"/>
      <c r="C96" s="443"/>
      <c r="D96" s="157"/>
      <c r="E96" s="157"/>
      <c r="F96" s="157"/>
    </row>
    <row r="97" spans="2:6" ht="15" x14ac:dyDescent="0.25">
      <c r="B97" s="128" t="s">
        <v>635</v>
      </c>
      <c r="C97" s="295">
        <f>SUM(C78:C96)</f>
        <v>55637.120000000003</v>
      </c>
      <c r="D97" s="157"/>
      <c r="E97" s="157"/>
      <c r="F97" s="157"/>
    </row>
    <row r="98" spans="2:6" ht="5.25" customHeight="1" x14ac:dyDescent="0.2">
      <c r="C98" s="157"/>
      <c r="D98" s="157"/>
      <c r="E98" s="157"/>
      <c r="F98" s="157"/>
    </row>
    <row r="99" spans="2:6" ht="15.75" thickBot="1" x14ac:dyDescent="0.3">
      <c r="B99" s="128" t="s">
        <v>657</v>
      </c>
      <c r="C99" s="321">
        <f>G73-C97</f>
        <v>211053.95</v>
      </c>
      <c r="D99" s="157"/>
      <c r="E99" s="157"/>
      <c r="F99" s="157"/>
    </row>
    <row r="100" spans="2:6" ht="12" customHeight="1" thickTop="1" x14ac:dyDescent="0.2">
      <c r="C100" s="157"/>
      <c r="D100" s="157"/>
      <c r="E100" s="157"/>
      <c r="F100" s="157"/>
    </row>
    <row r="101" spans="2:6" ht="15.75" x14ac:dyDescent="0.25">
      <c r="B101" s="261" t="s">
        <v>173</v>
      </c>
      <c r="C101" s="157"/>
      <c r="D101" s="157"/>
      <c r="E101" s="157"/>
      <c r="F101" s="157"/>
    </row>
    <row r="102" spans="2:6" ht="16.5" customHeight="1" x14ac:dyDescent="0.2">
      <c r="B102" s="442" t="s">
        <v>660</v>
      </c>
      <c r="C102" s="443">
        <v>125000</v>
      </c>
      <c r="D102" s="157"/>
      <c r="E102" s="157"/>
      <c r="F102" s="157"/>
    </row>
    <row r="103" spans="2:6" ht="16.5" customHeight="1" x14ac:dyDescent="0.2">
      <c r="B103" s="442" t="s">
        <v>658</v>
      </c>
      <c r="C103" s="443">
        <v>1194</v>
      </c>
      <c r="D103" s="157"/>
      <c r="E103" s="157"/>
      <c r="F103" s="157"/>
    </row>
    <row r="104" spans="2:6" ht="16.5" customHeight="1" x14ac:dyDescent="0.2">
      <c r="B104" s="442" t="s">
        <v>659</v>
      </c>
      <c r="C104" s="443">
        <v>65000</v>
      </c>
      <c r="D104" s="157"/>
      <c r="E104" s="157"/>
      <c r="F104" s="157"/>
    </row>
    <row r="105" spans="2:6" ht="16.5" hidden="1" customHeight="1" x14ac:dyDescent="0.2">
      <c r="B105" s="442"/>
      <c r="C105" s="443"/>
      <c r="D105" s="157"/>
      <c r="E105" s="157"/>
      <c r="F105" s="157"/>
    </row>
    <row r="106" spans="2:6" ht="16.5" hidden="1" customHeight="1" x14ac:dyDescent="0.2">
      <c r="B106" s="442"/>
      <c r="C106" s="443"/>
      <c r="D106" s="157"/>
      <c r="E106" s="157"/>
      <c r="F106" s="157"/>
    </row>
    <row r="107" spans="2:6" ht="16.5" hidden="1" customHeight="1" x14ac:dyDescent="0.2">
      <c r="B107" s="442"/>
      <c r="C107" s="443"/>
      <c r="D107" s="157"/>
      <c r="E107" s="157"/>
      <c r="F107" s="157"/>
    </row>
    <row r="108" spans="2:6" ht="16.5" hidden="1" customHeight="1" x14ac:dyDescent="0.2">
      <c r="B108" s="442"/>
      <c r="C108" s="443"/>
      <c r="D108" s="157"/>
      <c r="E108" s="157"/>
      <c r="F108" s="157"/>
    </row>
    <row r="109" spans="2:6" ht="16.5" hidden="1" customHeight="1" x14ac:dyDescent="0.2">
      <c r="B109" s="442"/>
      <c r="C109" s="443"/>
      <c r="D109" s="157"/>
      <c r="E109" s="157"/>
      <c r="F109" s="157"/>
    </row>
    <row r="110" spans="2:6" ht="16.5" hidden="1" customHeight="1" x14ac:dyDescent="0.2">
      <c r="B110" s="442"/>
      <c r="C110" s="443"/>
      <c r="D110" s="157"/>
      <c r="E110" s="157"/>
      <c r="F110" s="157"/>
    </row>
    <row r="111" spans="2:6" ht="16.5" hidden="1" customHeight="1" x14ac:dyDescent="0.2">
      <c r="B111" s="442"/>
      <c r="C111" s="443"/>
      <c r="D111" s="157"/>
      <c r="E111" s="157"/>
      <c r="F111" s="157"/>
    </row>
    <row r="112" spans="2:6" ht="16.5" hidden="1" customHeight="1" x14ac:dyDescent="0.2">
      <c r="B112" s="442"/>
      <c r="C112" s="443"/>
      <c r="D112" s="157"/>
      <c r="E112" s="157"/>
      <c r="F112" s="157"/>
    </row>
    <row r="113" spans="2:6" ht="16.5" hidden="1" customHeight="1" x14ac:dyDescent="0.2">
      <c r="B113" s="442"/>
      <c r="C113" s="443"/>
      <c r="D113" s="157"/>
      <c r="E113" s="157"/>
      <c r="F113" s="157"/>
    </row>
    <row r="114" spans="2:6" ht="16.5" hidden="1" customHeight="1" x14ac:dyDescent="0.2">
      <c r="B114" s="442"/>
      <c r="C114" s="443"/>
      <c r="D114" s="157"/>
      <c r="E114" s="157"/>
      <c r="F114" s="157"/>
    </row>
    <row r="115" spans="2:6" ht="16.5" hidden="1" customHeight="1" x14ac:dyDescent="0.2">
      <c r="B115" s="442"/>
      <c r="C115" s="443"/>
      <c r="D115" s="157"/>
      <c r="E115" s="157"/>
      <c r="F115" s="157"/>
    </row>
    <row r="116" spans="2:6" ht="16.5" hidden="1" customHeight="1" x14ac:dyDescent="0.2">
      <c r="B116" s="442"/>
      <c r="C116" s="443"/>
      <c r="D116" s="157"/>
      <c r="E116" s="157"/>
      <c r="F116" s="157"/>
    </row>
    <row r="117" spans="2:6" ht="16.5" hidden="1" customHeight="1" x14ac:dyDescent="0.2">
      <c r="B117" s="442"/>
      <c r="C117" s="443"/>
      <c r="D117" s="157"/>
      <c r="E117" s="157"/>
      <c r="F117" s="157"/>
    </row>
    <row r="118" spans="2:6" ht="16.5" hidden="1" customHeight="1" x14ac:dyDescent="0.2">
      <c r="B118" s="442"/>
      <c r="C118" s="443"/>
      <c r="D118" s="157"/>
      <c r="E118" s="157"/>
      <c r="F118" s="157"/>
    </row>
    <row r="119" spans="2:6" ht="16.5" hidden="1" customHeight="1" x14ac:dyDescent="0.2">
      <c r="B119" s="442"/>
      <c r="C119" s="443"/>
      <c r="D119" s="157"/>
      <c r="E119" s="157"/>
      <c r="F119" s="157"/>
    </row>
    <row r="120" spans="2:6" ht="16.5" hidden="1" customHeight="1" x14ac:dyDescent="0.2">
      <c r="B120" s="442"/>
      <c r="C120" s="443"/>
      <c r="D120" s="157"/>
      <c r="E120" s="157"/>
      <c r="F120" s="157"/>
    </row>
    <row r="121" spans="2:6" ht="16.5" hidden="1" customHeight="1" x14ac:dyDescent="0.2">
      <c r="B121" s="442"/>
      <c r="C121" s="443"/>
      <c r="D121" s="157"/>
      <c r="E121" s="157"/>
      <c r="F121" s="157"/>
    </row>
    <row r="122" spans="2:6" ht="16.5" hidden="1" customHeight="1" x14ac:dyDescent="0.2">
      <c r="B122" s="442"/>
      <c r="C122" s="443"/>
      <c r="D122" s="157"/>
      <c r="E122" s="157"/>
      <c r="F122" s="157"/>
    </row>
    <row r="123" spans="2:6" ht="16.5" hidden="1" customHeight="1" x14ac:dyDescent="0.2">
      <c r="B123" s="442"/>
      <c r="C123" s="443"/>
      <c r="D123" s="157"/>
      <c r="E123" s="157"/>
      <c r="F123" s="157"/>
    </row>
    <row r="124" spans="2:6" ht="16.5" hidden="1" customHeight="1" x14ac:dyDescent="0.2">
      <c r="B124" s="442"/>
      <c r="C124" s="443"/>
      <c r="D124" s="157"/>
      <c r="E124" s="157"/>
      <c r="F124" s="157"/>
    </row>
    <row r="125" spans="2:6" ht="16.5" hidden="1" customHeight="1" x14ac:dyDescent="0.2">
      <c r="B125" s="442"/>
      <c r="C125" s="443"/>
      <c r="D125" s="157"/>
      <c r="E125" s="157"/>
      <c r="F125" s="157"/>
    </row>
    <row r="126" spans="2:6" ht="16.5" hidden="1" customHeight="1" x14ac:dyDescent="0.2">
      <c r="B126" s="442"/>
      <c r="C126" s="443"/>
      <c r="D126" s="157"/>
      <c r="E126" s="157"/>
      <c r="F126" s="157"/>
    </row>
    <row r="127" spans="2:6" ht="15" hidden="1" x14ac:dyDescent="0.2">
      <c r="B127" s="424"/>
      <c r="C127" s="157"/>
      <c r="D127" s="157"/>
      <c r="E127" s="157"/>
      <c r="F127" s="157"/>
    </row>
    <row r="128" spans="2:6" hidden="1" x14ac:dyDescent="0.2">
      <c r="B128" s="229"/>
      <c r="C128" s="157"/>
      <c r="D128" s="157"/>
      <c r="E128" s="157"/>
      <c r="F128" s="157"/>
    </row>
    <row r="129" spans="2:6" hidden="1" x14ac:dyDescent="0.2">
      <c r="B129" s="229"/>
      <c r="C129" s="157"/>
      <c r="D129" s="157"/>
      <c r="E129" s="157"/>
      <c r="F129" s="157"/>
    </row>
    <row r="130" spans="2:6" hidden="1" x14ac:dyDescent="0.2">
      <c r="B130" s="229"/>
      <c r="C130" s="157"/>
      <c r="D130" s="157"/>
      <c r="E130" s="157"/>
      <c r="F130" s="157"/>
    </row>
    <row r="131" spans="2:6" hidden="1" x14ac:dyDescent="0.2">
      <c r="B131" s="229"/>
      <c r="C131" s="157"/>
      <c r="D131" s="157"/>
      <c r="E131" s="157"/>
      <c r="F131" s="157"/>
    </row>
    <row r="132" spans="2:6" hidden="1" x14ac:dyDescent="0.2">
      <c r="B132" s="229"/>
      <c r="C132" s="157"/>
      <c r="D132" s="157"/>
      <c r="E132" s="157"/>
      <c r="F132" s="157"/>
    </row>
    <row r="133" spans="2:6" hidden="1" x14ac:dyDescent="0.2">
      <c r="B133" s="229"/>
      <c r="C133" s="300"/>
      <c r="D133" s="157"/>
      <c r="E133" s="157"/>
      <c r="F133" s="157"/>
    </row>
    <row r="134" spans="2:6" hidden="1" x14ac:dyDescent="0.2">
      <c r="B134" s="229"/>
      <c r="C134" s="300"/>
      <c r="D134" s="157"/>
      <c r="E134" s="157"/>
      <c r="F134" s="157"/>
    </row>
    <row r="135" spans="2:6" hidden="1" x14ac:dyDescent="0.2">
      <c r="B135" s="229"/>
      <c r="C135" s="300"/>
      <c r="D135" s="157"/>
      <c r="E135" s="157"/>
      <c r="F135" s="157"/>
    </row>
    <row r="136" spans="2:6" hidden="1" x14ac:dyDescent="0.2">
      <c r="B136" s="229"/>
      <c r="C136" s="300"/>
      <c r="D136" s="157"/>
      <c r="E136" s="157"/>
      <c r="F136" s="157"/>
    </row>
    <row r="137" spans="2:6" hidden="1" x14ac:dyDescent="0.2">
      <c r="B137" s="229"/>
      <c r="C137" s="300"/>
      <c r="D137" s="157"/>
      <c r="E137" s="157"/>
      <c r="F137" s="157"/>
    </row>
    <row r="138" spans="2:6" hidden="1" x14ac:dyDescent="0.2">
      <c r="B138" s="229"/>
      <c r="C138" s="300"/>
      <c r="D138" s="157"/>
      <c r="E138" s="157"/>
      <c r="F138" s="157"/>
    </row>
    <row r="139" spans="2:6" hidden="1" x14ac:dyDescent="0.2">
      <c r="B139" s="229"/>
      <c r="C139" s="300"/>
      <c r="D139" s="157"/>
      <c r="E139" s="157"/>
      <c r="F139" s="157"/>
    </row>
    <row r="140" spans="2:6" hidden="1" x14ac:dyDescent="0.2">
      <c r="B140" s="229"/>
      <c r="C140" s="300"/>
      <c r="D140" s="157"/>
      <c r="E140" s="157"/>
      <c r="F140" s="157"/>
    </row>
    <row r="141" spans="2:6" hidden="1" x14ac:dyDescent="0.2">
      <c r="B141" s="229"/>
      <c r="C141" s="300"/>
      <c r="D141" s="157"/>
      <c r="E141" s="157"/>
      <c r="F141" s="157"/>
    </row>
    <row r="142" spans="2:6" hidden="1" x14ac:dyDescent="0.2">
      <c r="B142" s="229"/>
      <c r="C142" s="300"/>
      <c r="D142" s="157"/>
      <c r="E142" s="157"/>
      <c r="F142" s="157"/>
    </row>
    <row r="143" spans="2:6" hidden="1" x14ac:dyDescent="0.2">
      <c r="B143" s="229"/>
      <c r="C143" s="300"/>
      <c r="D143" s="157"/>
      <c r="E143" s="157"/>
      <c r="F143" s="157"/>
    </row>
    <row r="144" spans="2:6" x14ac:dyDescent="0.2">
      <c r="B144" s="229"/>
      <c r="C144" s="300"/>
      <c r="D144" s="157"/>
      <c r="E144" s="157"/>
      <c r="F144" s="157"/>
    </row>
    <row r="145" spans="2:6" ht="16.5" customHeight="1" x14ac:dyDescent="0.25">
      <c r="B145" s="261" t="s">
        <v>275</v>
      </c>
      <c r="C145" s="300"/>
      <c r="D145" s="157"/>
      <c r="E145" s="157"/>
      <c r="F145" s="157"/>
    </row>
    <row r="146" spans="2:6" ht="16.5" hidden="1" customHeight="1" x14ac:dyDescent="0.25">
      <c r="B146" s="441" t="s">
        <v>611</v>
      </c>
      <c r="C146" s="443"/>
      <c r="D146" s="157"/>
      <c r="E146" s="157"/>
      <c r="F146" s="157"/>
    </row>
    <row r="147" spans="2:6" ht="16.5" hidden="1" customHeight="1" x14ac:dyDescent="0.25">
      <c r="B147" s="441" t="s">
        <v>612</v>
      </c>
      <c r="C147" s="443"/>
      <c r="D147" s="157"/>
      <c r="E147" s="157"/>
      <c r="F147" s="157"/>
    </row>
    <row r="148" spans="2:6" ht="16.5" hidden="1" customHeight="1" x14ac:dyDescent="0.25">
      <c r="B148" s="441" t="s">
        <v>645</v>
      </c>
      <c r="C148" s="443"/>
      <c r="D148" s="157"/>
      <c r="E148" s="157"/>
      <c r="F148" s="157"/>
    </row>
    <row r="149" spans="2:6" ht="16.5" hidden="1" customHeight="1" x14ac:dyDescent="0.25">
      <c r="B149" s="441" t="s">
        <v>639</v>
      </c>
      <c r="C149" s="443"/>
      <c r="D149" s="157"/>
      <c r="E149" s="157"/>
      <c r="F149" s="157"/>
    </row>
    <row r="150" spans="2:6" ht="16.5" hidden="1" customHeight="1" x14ac:dyDescent="0.25">
      <c r="B150" s="441" t="s">
        <v>646</v>
      </c>
      <c r="C150" s="157"/>
      <c r="D150" s="157"/>
      <c r="E150" s="157"/>
      <c r="F150" s="157"/>
    </row>
    <row r="151" spans="2:6" ht="16.5" hidden="1" customHeight="1" x14ac:dyDescent="0.25">
      <c r="B151" s="441" t="s">
        <v>640</v>
      </c>
      <c r="C151" s="157"/>
      <c r="D151" s="157"/>
      <c r="E151" s="157"/>
      <c r="F151" s="157"/>
    </row>
    <row r="152" spans="2:6" ht="16.5" hidden="1" customHeight="1" x14ac:dyDescent="0.25">
      <c r="B152" s="441" t="s">
        <v>458</v>
      </c>
      <c r="C152" s="157"/>
      <c r="D152" s="157"/>
      <c r="E152" s="157"/>
      <c r="F152" s="157"/>
    </row>
    <row r="153" spans="2:6" ht="18.75" hidden="1" customHeight="1" x14ac:dyDescent="0.25">
      <c r="B153" s="441" t="s">
        <v>641</v>
      </c>
      <c r="C153" s="157"/>
      <c r="D153" s="157"/>
      <c r="E153" s="157"/>
      <c r="F153" s="157"/>
    </row>
    <row r="154" spans="2:6" ht="17.25" customHeight="1" thickBot="1" x14ac:dyDescent="0.3">
      <c r="B154" s="441" t="s">
        <v>464</v>
      </c>
      <c r="C154" s="495">
        <f>SUM(C146:C153)</f>
        <v>0</v>
      </c>
      <c r="D154" s="157"/>
      <c r="E154" s="157"/>
      <c r="F154" s="157"/>
    </row>
    <row r="155" spans="2:6" ht="12" customHeight="1" thickTop="1" x14ac:dyDescent="0.2">
      <c r="C155" s="157"/>
      <c r="D155" s="157"/>
      <c r="E155" s="157"/>
      <c r="F155" s="157"/>
    </row>
    <row r="156" spans="2:6" ht="12" customHeight="1" x14ac:dyDescent="0.2">
      <c r="C156" s="157"/>
      <c r="D156" s="157"/>
      <c r="E156" s="157"/>
      <c r="F156" s="157"/>
    </row>
    <row r="157" spans="2:6" ht="12" customHeight="1" x14ac:dyDescent="0.2">
      <c r="C157" s="157"/>
      <c r="D157" s="157"/>
      <c r="E157" s="157"/>
      <c r="F157" s="157"/>
    </row>
    <row r="158" spans="2:6" ht="12" customHeight="1" x14ac:dyDescent="0.2">
      <c r="C158" s="157"/>
      <c r="D158" s="157"/>
      <c r="E158" s="157"/>
      <c r="F158" s="157"/>
    </row>
    <row r="159" spans="2:6" ht="12" customHeight="1" x14ac:dyDescent="0.2">
      <c r="C159" s="157"/>
      <c r="D159" s="157"/>
      <c r="E159" s="157"/>
      <c r="F159" s="157"/>
    </row>
    <row r="160" spans="2:6" ht="12" customHeight="1" x14ac:dyDescent="0.2">
      <c r="C160" s="157"/>
      <c r="D160" s="157"/>
      <c r="E160" s="157"/>
      <c r="F160" s="157"/>
    </row>
    <row r="161" spans="3:6" ht="12" customHeight="1" x14ac:dyDescent="0.2">
      <c r="C161" s="157"/>
      <c r="D161" s="157"/>
      <c r="E161" s="157"/>
      <c r="F161" s="157"/>
    </row>
    <row r="162" spans="3:6" ht="12" customHeight="1" x14ac:dyDescent="0.2">
      <c r="C162" s="157"/>
      <c r="D162" s="157"/>
      <c r="E162" s="157"/>
      <c r="F162" s="157"/>
    </row>
    <row r="163" spans="3:6" ht="12" customHeight="1" x14ac:dyDescent="0.2">
      <c r="C163" s="157"/>
      <c r="D163" s="157"/>
      <c r="E163" s="157"/>
      <c r="F163" s="157"/>
    </row>
    <row r="164" spans="3:6" ht="12" customHeight="1" x14ac:dyDescent="0.2">
      <c r="C164" s="157"/>
      <c r="D164" s="157"/>
      <c r="E164" s="157"/>
      <c r="F164" s="157"/>
    </row>
    <row r="165" spans="3:6" ht="12" customHeight="1" x14ac:dyDescent="0.2">
      <c r="C165" s="157"/>
      <c r="D165" s="157"/>
      <c r="E165" s="157"/>
      <c r="F165" s="157"/>
    </row>
    <row r="166" spans="3:6" ht="12" customHeight="1" x14ac:dyDescent="0.2">
      <c r="C166" s="157"/>
      <c r="D166" s="157"/>
      <c r="E166" s="157"/>
      <c r="F166" s="157"/>
    </row>
    <row r="167" spans="3:6" ht="12" customHeight="1" x14ac:dyDescent="0.2">
      <c r="C167" s="157"/>
      <c r="D167" s="157"/>
      <c r="E167" s="157"/>
      <c r="F167" s="157"/>
    </row>
    <row r="168" spans="3:6" ht="12" customHeight="1" x14ac:dyDescent="0.2">
      <c r="C168" s="157"/>
      <c r="D168" s="157"/>
      <c r="E168" s="157"/>
      <c r="F168" s="157"/>
    </row>
    <row r="169" spans="3:6" ht="12" customHeight="1" x14ac:dyDescent="0.2">
      <c r="C169" s="157"/>
      <c r="D169" s="157"/>
      <c r="E169" s="157"/>
      <c r="F169" s="157"/>
    </row>
    <row r="170" spans="3:6" ht="12" customHeight="1" x14ac:dyDescent="0.2">
      <c r="C170" s="157"/>
      <c r="D170" s="157"/>
      <c r="E170" s="157"/>
      <c r="F170" s="157"/>
    </row>
    <row r="171" spans="3:6" ht="12" customHeight="1" x14ac:dyDescent="0.2">
      <c r="C171" s="157"/>
      <c r="D171" s="157"/>
      <c r="E171" s="157"/>
      <c r="F171" s="157"/>
    </row>
    <row r="172" spans="3:6" ht="12" customHeight="1" x14ac:dyDescent="0.2">
      <c r="C172" s="157"/>
      <c r="D172" s="157"/>
      <c r="E172" s="157"/>
      <c r="F172" s="157"/>
    </row>
    <row r="173" spans="3:6" ht="12" customHeight="1" x14ac:dyDescent="0.2">
      <c r="C173" s="157"/>
      <c r="D173" s="157"/>
      <c r="E173" s="157"/>
      <c r="F173" s="157"/>
    </row>
    <row r="174" spans="3:6" ht="12" customHeight="1" x14ac:dyDescent="0.2">
      <c r="C174" s="157"/>
      <c r="D174" s="157"/>
      <c r="E174" s="157"/>
      <c r="F174" s="157"/>
    </row>
    <row r="175" spans="3:6" ht="12" customHeight="1" x14ac:dyDescent="0.2">
      <c r="C175" s="157"/>
      <c r="D175" s="157"/>
      <c r="E175" s="157"/>
      <c r="F175" s="157"/>
    </row>
    <row r="176" spans="3:6" ht="12" customHeight="1" x14ac:dyDescent="0.2">
      <c r="C176" s="157"/>
      <c r="D176" s="157"/>
      <c r="E176" s="157"/>
      <c r="F176" s="157"/>
    </row>
    <row r="177" spans="3:6" ht="12" customHeight="1" x14ac:dyDescent="0.2">
      <c r="C177" s="157"/>
      <c r="D177" s="157"/>
      <c r="E177" s="157"/>
      <c r="F177" s="157"/>
    </row>
    <row r="178" spans="3:6" ht="12" customHeight="1" x14ac:dyDescent="0.2">
      <c r="C178" s="157"/>
      <c r="D178" s="157"/>
      <c r="E178" s="157"/>
      <c r="F178" s="157"/>
    </row>
    <row r="179" spans="3:6" ht="12" customHeight="1" x14ac:dyDescent="0.2">
      <c r="C179" s="157"/>
      <c r="D179" s="157"/>
      <c r="E179" s="157"/>
      <c r="F179" s="157"/>
    </row>
    <row r="180" spans="3:6" ht="12" customHeight="1" x14ac:dyDescent="0.2">
      <c r="C180" s="157"/>
      <c r="D180" s="157"/>
      <c r="E180" s="157"/>
      <c r="F180" s="157"/>
    </row>
    <row r="181" spans="3:6" ht="12" customHeight="1" x14ac:dyDescent="0.2">
      <c r="C181" s="157"/>
      <c r="D181" s="157"/>
      <c r="E181" s="157"/>
      <c r="F181" s="157"/>
    </row>
    <row r="182" spans="3:6" ht="12" customHeight="1" x14ac:dyDescent="0.2">
      <c r="C182" s="157"/>
      <c r="D182" s="157"/>
      <c r="E182" s="157"/>
      <c r="F182" s="157"/>
    </row>
    <row r="183" spans="3:6" ht="12" customHeight="1" x14ac:dyDescent="0.2">
      <c r="C183" s="157"/>
      <c r="D183" s="157"/>
      <c r="E183" s="157"/>
      <c r="F183" s="157"/>
    </row>
    <row r="184" spans="3:6" ht="12" customHeight="1" x14ac:dyDescent="0.2">
      <c r="C184" s="157"/>
      <c r="D184" s="157"/>
      <c r="E184" s="157"/>
      <c r="F184" s="157"/>
    </row>
    <row r="185" spans="3:6" ht="12" customHeight="1" x14ac:dyDescent="0.2">
      <c r="C185" s="157"/>
      <c r="D185" s="157"/>
      <c r="E185" s="157"/>
      <c r="F185" s="157"/>
    </row>
    <row r="186" spans="3:6" ht="12" customHeight="1" x14ac:dyDescent="0.2">
      <c r="C186" s="157"/>
      <c r="D186" s="157"/>
      <c r="E186" s="157"/>
      <c r="F186" s="157"/>
    </row>
    <row r="187" spans="3:6" ht="12" customHeight="1" x14ac:dyDescent="0.2">
      <c r="C187" s="157"/>
      <c r="D187" s="157"/>
      <c r="E187" s="157"/>
      <c r="F187" s="157"/>
    </row>
    <row r="188" spans="3:6" ht="12" customHeight="1" x14ac:dyDescent="0.2">
      <c r="C188" s="157"/>
      <c r="D188" s="157"/>
      <c r="E188" s="157"/>
      <c r="F188" s="157"/>
    </row>
    <row r="189" spans="3:6" ht="12" customHeight="1" x14ac:dyDescent="0.2">
      <c r="C189" s="157"/>
      <c r="D189" s="157"/>
      <c r="E189" s="157"/>
      <c r="F189" s="157"/>
    </row>
    <row r="190" spans="3:6" ht="12" customHeight="1" x14ac:dyDescent="0.2">
      <c r="C190" s="157"/>
      <c r="D190" s="157"/>
      <c r="E190" s="157"/>
      <c r="F190" s="157"/>
    </row>
    <row r="191" spans="3:6" ht="12" customHeight="1" x14ac:dyDescent="0.2">
      <c r="C191" s="157"/>
      <c r="D191" s="157"/>
      <c r="E191" s="157"/>
      <c r="F191" s="157"/>
    </row>
    <row r="192" spans="3:6" ht="12" customHeight="1" x14ac:dyDescent="0.2">
      <c r="C192" s="157"/>
      <c r="D192" s="157"/>
      <c r="E192" s="157"/>
      <c r="F192" s="157"/>
    </row>
    <row r="193" spans="3:6" ht="12" customHeight="1" x14ac:dyDescent="0.2">
      <c r="C193" s="157"/>
      <c r="D193" s="157"/>
      <c r="E193" s="157"/>
      <c r="F193" s="157"/>
    </row>
    <row r="194" spans="3:6" ht="12" customHeight="1" x14ac:dyDescent="0.2">
      <c r="C194" s="157"/>
      <c r="D194" s="157"/>
      <c r="E194" s="157"/>
      <c r="F194" s="157"/>
    </row>
    <row r="195" spans="3:6" ht="12" customHeight="1" x14ac:dyDescent="0.2">
      <c r="C195" s="157"/>
      <c r="D195" s="157"/>
      <c r="E195" s="157"/>
      <c r="F195" s="157"/>
    </row>
    <row r="196" spans="3:6" ht="12" customHeight="1" x14ac:dyDescent="0.2">
      <c r="C196" s="157"/>
      <c r="D196" s="157"/>
      <c r="E196" s="157"/>
      <c r="F196" s="157"/>
    </row>
    <row r="197" spans="3:6" ht="12" customHeight="1" x14ac:dyDescent="0.2">
      <c r="C197" s="157"/>
      <c r="D197" s="157"/>
      <c r="E197" s="157"/>
      <c r="F197" s="157"/>
    </row>
    <row r="198" spans="3:6" ht="12" customHeight="1" x14ac:dyDescent="0.2">
      <c r="C198" s="157"/>
      <c r="D198" s="157"/>
      <c r="E198" s="157"/>
      <c r="F198" s="157"/>
    </row>
    <row r="199" spans="3:6" ht="12" customHeight="1" x14ac:dyDescent="0.2">
      <c r="C199" s="157"/>
      <c r="D199" s="157"/>
      <c r="E199" s="157"/>
      <c r="F199" s="157"/>
    </row>
    <row r="200" spans="3:6" ht="12" customHeight="1" x14ac:dyDescent="0.2">
      <c r="C200" s="157"/>
      <c r="D200" s="157"/>
      <c r="E200" s="157"/>
      <c r="F200" s="157"/>
    </row>
    <row r="201" spans="3:6" ht="12" customHeight="1" x14ac:dyDescent="0.2">
      <c r="C201" s="157"/>
      <c r="D201" s="157"/>
      <c r="E201" s="157"/>
      <c r="F201" s="157"/>
    </row>
    <row r="202" spans="3:6" ht="12" customHeight="1" x14ac:dyDescent="0.2">
      <c r="C202" s="157"/>
      <c r="D202" s="157"/>
      <c r="E202" s="157"/>
      <c r="F202" s="157"/>
    </row>
    <row r="203" spans="3:6" ht="12" customHeight="1" x14ac:dyDescent="0.2">
      <c r="C203" s="157"/>
      <c r="D203" s="157"/>
      <c r="E203" s="157"/>
      <c r="F203" s="157"/>
    </row>
    <row r="204" spans="3:6" ht="12" customHeight="1" x14ac:dyDescent="0.2">
      <c r="C204" s="157"/>
      <c r="D204" s="157"/>
      <c r="E204" s="157"/>
      <c r="F204" s="157"/>
    </row>
    <row r="205" spans="3:6" ht="12" customHeight="1" x14ac:dyDescent="0.2">
      <c r="C205" s="157"/>
      <c r="D205" s="157"/>
      <c r="E205" s="157"/>
      <c r="F205" s="157"/>
    </row>
    <row r="206" spans="3:6" ht="12" customHeight="1" x14ac:dyDescent="0.2">
      <c r="C206" s="157"/>
      <c r="D206" s="157"/>
      <c r="E206" s="157"/>
      <c r="F206" s="157"/>
    </row>
    <row r="207" spans="3:6" ht="12" customHeight="1" x14ac:dyDescent="0.2">
      <c r="C207" s="157"/>
      <c r="D207" s="157"/>
      <c r="E207" s="157"/>
      <c r="F207" s="157"/>
    </row>
    <row r="208" spans="3:6" ht="12" customHeight="1" x14ac:dyDescent="0.2">
      <c r="C208" s="157"/>
      <c r="D208" s="157"/>
      <c r="E208" s="157"/>
      <c r="F208" s="157"/>
    </row>
    <row r="209" spans="2:6" ht="12" customHeight="1" x14ac:dyDescent="0.2">
      <c r="C209" s="157"/>
      <c r="D209" s="157"/>
      <c r="E209" s="157"/>
      <c r="F209" s="157"/>
    </row>
    <row r="210" spans="2:6" ht="12" customHeight="1" x14ac:dyDescent="0.2">
      <c r="C210" s="157"/>
      <c r="D210" s="157"/>
      <c r="E210" s="157"/>
      <c r="F210" s="157"/>
    </row>
    <row r="211" spans="2:6" ht="12" customHeight="1" x14ac:dyDescent="0.2">
      <c r="C211" s="157"/>
      <c r="D211" s="157"/>
      <c r="E211" s="157"/>
      <c r="F211" s="157"/>
    </row>
    <row r="212" spans="2:6" ht="12" customHeight="1" x14ac:dyDescent="0.2">
      <c r="C212" s="157"/>
      <c r="D212" s="157"/>
      <c r="E212" s="157"/>
      <c r="F212" s="157"/>
    </row>
    <row r="213" spans="2:6" ht="12" customHeight="1" x14ac:dyDescent="0.2">
      <c r="C213" s="157"/>
      <c r="D213" s="157"/>
      <c r="E213" s="157"/>
      <c r="F213" s="157"/>
    </row>
    <row r="214" spans="2:6" ht="12" customHeight="1" x14ac:dyDescent="0.2">
      <c r="C214" s="157"/>
      <c r="D214" s="157"/>
      <c r="E214" s="157"/>
      <c r="F214" s="157"/>
    </row>
    <row r="215" spans="2:6" ht="12" customHeight="1" x14ac:dyDescent="0.2">
      <c r="C215" s="157"/>
      <c r="D215" s="157"/>
      <c r="E215" s="157"/>
      <c r="F215" s="157"/>
    </row>
    <row r="216" spans="2:6" ht="12" customHeight="1" x14ac:dyDescent="0.2">
      <c r="C216" s="157"/>
      <c r="D216" s="157"/>
      <c r="E216" s="157"/>
      <c r="F216" s="157"/>
    </row>
    <row r="217" spans="2:6" ht="14.25" customHeight="1" x14ac:dyDescent="0.2"/>
    <row r="218" spans="2:6" ht="15.75" hidden="1" x14ac:dyDescent="0.25">
      <c r="B218" s="261"/>
      <c r="C218" s="189"/>
    </row>
    <row r="219" spans="2:6" ht="15" hidden="1" x14ac:dyDescent="0.25">
      <c r="B219" s="262"/>
      <c r="C219" s="296"/>
    </row>
    <row r="220" spans="2:6" ht="15" hidden="1" x14ac:dyDescent="0.25">
      <c r="B220" s="262"/>
      <c r="C220" s="300"/>
    </row>
    <row r="221" spans="2:6" ht="15" hidden="1" x14ac:dyDescent="0.25">
      <c r="B221" s="262"/>
      <c r="C221" s="157"/>
    </row>
    <row r="222" spans="2:6" hidden="1" x14ac:dyDescent="0.2">
      <c r="B222" s="229"/>
    </row>
    <row r="223" spans="2:6" hidden="1" x14ac:dyDescent="0.2">
      <c r="B223" s="229"/>
    </row>
    <row r="224" spans="2:6" hidden="1" x14ac:dyDescent="0.2">
      <c r="B224" s="229"/>
    </row>
    <row r="225" spans="2:14" hidden="1" x14ac:dyDescent="0.2"/>
    <row r="226" spans="2:14" hidden="1" x14ac:dyDescent="0.2"/>
    <row r="227" spans="2:14" hidden="1" x14ac:dyDescent="0.2">
      <c r="C227" s="259">
        <v>41698</v>
      </c>
      <c r="D227" s="259">
        <v>41609</v>
      </c>
      <c r="E227" s="259">
        <v>41548</v>
      </c>
      <c r="F227" s="259">
        <v>41487</v>
      </c>
      <c r="G227" s="506">
        <v>41426</v>
      </c>
      <c r="H227" s="259">
        <v>41365</v>
      </c>
      <c r="I227" s="583">
        <v>41306</v>
      </c>
      <c r="J227" s="259">
        <v>41274</v>
      </c>
      <c r="K227" s="259">
        <v>41213</v>
      </c>
      <c r="L227" s="259">
        <v>41152</v>
      </c>
      <c r="M227" s="260">
        <v>41090</v>
      </c>
      <c r="N227" s="259">
        <v>41029</v>
      </c>
    </row>
    <row r="228" spans="2:14" hidden="1" x14ac:dyDescent="0.2">
      <c r="B228" s="45" t="s">
        <v>130</v>
      </c>
      <c r="C228" s="189">
        <f>C73</f>
        <v>169634.41</v>
      </c>
      <c r="D228" s="189">
        <f>105452.64+311868.06-305987</f>
        <v>111333.70000000001</v>
      </c>
      <c r="E228" s="189">
        <v>85798.300000000017</v>
      </c>
      <c r="F228" s="157">
        <f>53253.08+18642.89</f>
        <v>71895.97</v>
      </c>
      <c r="G228" s="506">
        <v>126315</v>
      </c>
      <c r="H228" s="157">
        <v>69404</v>
      </c>
      <c r="I228" s="583">
        <v>75744</v>
      </c>
      <c r="J228" s="157">
        <v>119840.47</v>
      </c>
      <c r="K228" s="157">
        <v>120024</v>
      </c>
      <c r="L228" s="157">
        <v>109142</v>
      </c>
      <c r="M228" s="258">
        <v>142216.66</v>
      </c>
      <c r="N228" s="157">
        <v>104785.62</v>
      </c>
    </row>
    <row r="229" spans="2:14" hidden="1" x14ac:dyDescent="0.2">
      <c r="B229" s="45" t="s">
        <v>131</v>
      </c>
      <c r="C229" s="189">
        <f>D73</f>
        <v>66768.13</v>
      </c>
      <c r="D229" s="189">
        <f>74767.18-13600.56</f>
        <v>61166.619999999995</v>
      </c>
      <c r="E229" s="189">
        <v>86248.31</v>
      </c>
      <c r="F229" s="157">
        <v>43187.16</v>
      </c>
      <c r="G229" s="506">
        <v>60049</v>
      </c>
      <c r="H229" s="157">
        <v>101941</v>
      </c>
      <c r="I229" s="583">
        <v>43152</v>
      </c>
      <c r="J229" s="157">
        <v>58938.2</v>
      </c>
      <c r="K229" s="157">
        <v>85767</v>
      </c>
      <c r="L229" s="157">
        <v>119436</v>
      </c>
      <c r="M229" s="258">
        <v>73223.850000000006</v>
      </c>
      <c r="N229" s="157">
        <v>86907.23</v>
      </c>
    </row>
    <row r="230" spans="2:14" hidden="1" x14ac:dyDescent="0.2">
      <c r="B230" s="45" t="s">
        <v>132</v>
      </c>
      <c r="C230" s="189">
        <f>E73</f>
        <v>14154.51</v>
      </c>
      <c r="D230" s="189">
        <f>66720.93-13675.33</f>
        <v>53045.599999999991</v>
      </c>
      <c r="E230" s="189">
        <v>32950.589999999997</v>
      </c>
      <c r="F230" s="157">
        <v>65970.55</v>
      </c>
      <c r="G230" s="506">
        <v>18719</v>
      </c>
      <c r="H230" s="157">
        <v>3668</v>
      </c>
      <c r="I230" s="583">
        <v>50430</v>
      </c>
      <c r="J230" s="157">
        <v>88408.17</v>
      </c>
      <c r="K230" s="157">
        <v>26680</v>
      </c>
      <c r="L230" s="157">
        <v>51922</v>
      </c>
      <c r="M230" s="258">
        <v>77261.37</v>
      </c>
      <c r="N230" s="157">
        <v>11021.67</v>
      </c>
    </row>
    <row r="231" spans="2:14" hidden="1" x14ac:dyDescent="0.2">
      <c r="B231" s="45" t="s">
        <v>133</v>
      </c>
      <c r="C231" s="189">
        <f>F73</f>
        <v>16134.02</v>
      </c>
      <c r="D231" s="189">
        <v>86322.43</v>
      </c>
      <c r="E231" s="189">
        <v>66109.450000000012</v>
      </c>
      <c r="F231" s="157">
        <v>56011.13</v>
      </c>
      <c r="G231" s="506">
        <v>1250</v>
      </c>
      <c r="H231" s="157">
        <v>0</v>
      </c>
      <c r="I231" s="583">
        <v>9959</v>
      </c>
      <c r="J231" s="157">
        <v>18374.45</v>
      </c>
      <c r="K231" s="157">
        <v>22103</v>
      </c>
      <c r="L231" s="157">
        <v>71168</v>
      </c>
      <c r="M231" s="258">
        <v>55167.87</v>
      </c>
      <c r="N231" s="157"/>
    </row>
    <row r="232" spans="2:14" hidden="1" x14ac:dyDescent="0.2">
      <c r="C232" s="189">
        <f>SUM(C228:C231)</f>
        <v>266691.07</v>
      </c>
      <c r="D232" s="189">
        <f>SUM(D228:D231)</f>
        <v>311868.34999999998</v>
      </c>
      <c r="E232" s="189">
        <v>271106.65000000002</v>
      </c>
      <c r="F232" s="157">
        <f>SUM(F228:F231)</f>
        <v>237064.81</v>
      </c>
      <c r="G232" s="506">
        <f t="shared" ref="G232:N232" si="5">SUM(G228:G231)</f>
        <v>206333</v>
      </c>
      <c r="H232" s="157">
        <f t="shared" si="5"/>
        <v>175013</v>
      </c>
      <c r="I232" s="583">
        <f t="shared" si="5"/>
        <v>179285</v>
      </c>
      <c r="J232" s="157">
        <f t="shared" si="5"/>
        <v>285561.28999999998</v>
      </c>
      <c r="K232" s="157">
        <f t="shared" si="5"/>
        <v>254574</v>
      </c>
      <c r="L232" s="157">
        <f t="shared" si="5"/>
        <v>351668</v>
      </c>
      <c r="M232" s="157">
        <f t="shared" si="5"/>
        <v>347869.75</v>
      </c>
      <c r="N232" s="157">
        <f t="shared" si="5"/>
        <v>202714.52</v>
      </c>
    </row>
    <row r="233" spans="2:14" hidden="1" x14ac:dyDescent="0.2">
      <c r="D233" s="157"/>
      <c r="E233" s="157"/>
      <c r="F233" s="157"/>
      <c r="H233" s="157"/>
      <c r="I233" s="583"/>
      <c r="J233" s="157"/>
      <c r="K233" s="157"/>
      <c r="L233" s="258"/>
    </row>
    <row r="234" spans="2:14" hidden="1" x14ac:dyDescent="0.2">
      <c r="C234" s="157"/>
      <c r="D234" s="157"/>
      <c r="E234" s="157"/>
      <c r="F234" s="157"/>
      <c r="H234" s="258"/>
      <c r="J234" s="258"/>
      <c r="K234" s="258"/>
    </row>
    <row r="235" spans="2:14" hidden="1" x14ac:dyDescent="0.2">
      <c r="C235" s="157"/>
      <c r="D235" s="157"/>
      <c r="E235" s="157"/>
      <c r="F235" s="157"/>
      <c r="H235" s="258"/>
      <c r="J235" s="258"/>
      <c r="K235" s="258"/>
    </row>
    <row r="236" spans="2:14" hidden="1" x14ac:dyDescent="0.2"/>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sheetData>
  <sortState xmlns:xlrd2="http://schemas.microsoft.com/office/spreadsheetml/2017/richdata2" ref="A82:J85">
    <sortCondition ref="A82:A85"/>
  </sortState>
  <mergeCells count="2">
    <mergeCell ref="A5:B5"/>
    <mergeCell ref="A56:B56"/>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7"/>
  <sheetViews>
    <sheetView zoomScale="70" zoomScaleNormal="70" workbookViewId="0"/>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hidden="1" customWidth="1"/>
    <col min="12" max="12" width="24" hidden="1"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47</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48</v>
      </c>
      <c r="B6" s="51"/>
      <c r="C6" s="51"/>
      <c r="D6" s="51"/>
      <c r="E6" s="51"/>
      <c r="F6" s="51"/>
      <c r="G6" s="199"/>
      <c r="H6" s="782" t="s">
        <v>49</v>
      </c>
      <c r="I6" s="782"/>
      <c r="J6" s="782"/>
      <c r="K6" s="199"/>
      <c r="L6" s="199"/>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20" t="s">
        <v>50</v>
      </c>
      <c r="C8" s="120"/>
      <c r="D8" s="120"/>
      <c r="E8" s="120"/>
      <c r="F8" s="120"/>
      <c r="G8" s="271"/>
      <c r="H8" s="231">
        <v>45291</v>
      </c>
      <c r="I8" s="231"/>
      <c r="J8" s="231">
        <v>44926</v>
      </c>
      <c r="L8" s="231">
        <f>H8-366+1</f>
        <v>44926</v>
      </c>
    </row>
    <row r="9" spans="1:61" s="55" customFormat="1" ht="6.75" customHeight="1" x14ac:dyDescent="0.2">
      <c r="A9" s="54"/>
      <c r="B9" s="54"/>
      <c r="C9" s="54"/>
      <c r="D9" s="54"/>
      <c r="E9" s="54"/>
      <c r="F9" s="54"/>
    </row>
    <row r="10" spans="1:61" s="55" customFormat="1" ht="20.25" x14ac:dyDescent="0.2">
      <c r="A10" s="54"/>
      <c r="B10" s="54"/>
      <c r="C10" s="54" t="s">
        <v>51</v>
      </c>
      <c r="D10" s="54"/>
      <c r="E10" s="54"/>
      <c r="F10" s="54"/>
    </row>
    <row r="11" spans="1:61" s="55" customFormat="1" ht="20.25" hidden="1" x14ac:dyDescent="0.2">
      <c r="A11" s="58"/>
      <c r="B11" s="58"/>
      <c r="C11" s="58"/>
      <c r="D11" s="58" t="s">
        <v>75</v>
      </c>
      <c r="E11" s="58"/>
      <c r="F11" s="58"/>
      <c r="G11" s="217"/>
      <c r="H11" s="217" t="s">
        <v>98</v>
      </c>
      <c r="I11" s="217"/>
      <c r="J11" s="217" t="s">
        <v>98</v>
      </c>
      <c r="L11" s="217" t="s">
        <v>98</v>
      </c>
    </row>
    <row r="12" spans="1:61" s="55" customFormat="1" ht="20.25" hidden="1" x14ac:dyDescent="0.2">
      <c r="A12" s="58"/>
      <c r="B12" s="58"/>
      <c r="C12" s="58"/>
      <c r="D12" s="58" t="s">
        <v>76</v>
      </c>
      <c r="E12" s="58"/>
      <c r="F12" s="58"/>
      <c r="G12" s="217"/>
      <c r="H12" s="217" t="s">
        <v>98</v>
      </c>
      <c r="I12" s="217"/>
      <c r="J12" s="217" t="s">
        <v>98</v>
      </c>
      <c r="L12" s="217" t="s">
        <v>98</v>
      </c>
    </row>
    <row r="13" spans="1:61" s="55" customFormat="1" ht="20.25" x14ac:dyDescent="0.2">
      <c r="A13" s="58"/>
      <c r="B13" s="58"/>
      <c r="C13" s="58"/>
      <c r="D13" s="58" t="s">
        <v>176</v>
      </c>
      <c r="E13" s="58"/>
      <c r="F13" s="58"/>
      <c r="G13" s="202"/>
      <c r="H13" s="202">
        <v>661674.81999999995</v>
      </c>
      <c r="I13" s="202"/>
      <c r="J13" s="202">
        <v>432400.88</v>
      </c>
      <c r="L13" s="202">
        <v>417070.82</v>
      </c>
    </row>
    <row r="14" spans="1:61" s="55" customFormat="1" ht="20.25" x14ac:dyDescent="0.2">
      <c r="A14" s="58"/>
      <c r="B14" s="58"/>
      <c r="C14" s="58"/>
      <c r="D14" s="58" t="s">
        <v>177</v>
      </c>
      <c r="E14" s="58"/>
      <c r="F14" s="58"/>
      <c r="G14" s="193"/>
      <c r="H14" s="193">
        <v>200.01</v>
      </c>
      <c r="I14" s="193"/>
      <c r="J14" s="193">
        <v>220.4</v>
      </c>
      <c r="L14" s="193">
        <v>1056.24</v>
      </c>
    </row>
    <row r="15" spans="1:61" s="55" customFormat="1" ht="20.25" x14ac:dyDescent="0.2">
      <c r="A15" s="58"/>
      <c r="B15" s="58"/>
      <c r="C15" s="59"/>
      <c r="D15" s="59" t="s">
        <v>77</v>
      </c>
      <c r="E15" s="59"/>
      <c r="F15" s="59"/>
      <c r="G15" s="193"/>
      <c r="H15" s="195">
        <v>200</v>
      </c>
      <c r="I15" s="193"/>
      <c r="J15" s="195">
        <v>200</v>
      </c>
      <c r="L15" s="195">
        <v>200</v>
      </c>
    </row>
    <row r="16" spans="1:61" s="55" customFormat="1" ht="20.25" x14ac:dyDescent="0.2">
      <c r="A16" s="54"/>
      <c r="B16" s="54"/>
      <c r="C16" s="54" t="s">
        <v>52</v>
      </c>
      <c r="D16" s="54"/>
      <c r="E16" s="54"/>
      <c r="F16" s="54"/>
      <c r="G16" s="196"/>
      <c r="H16" s="196">
        <f>SUM(H13:H15)</f>
        <v>662074.82999999996</v>
      </c>
      <c r="I16" s="196"/>
      <c r="J16" s="196">
        <f>SUM(J13:J15)</f>
        <v>432821.28</v>
      </c>
      <c r="L16" s="196">
        <f>ROUND(SUM(L10:L15),5)</f>
        <v>418327.06</v>
      </c>
    </row>
    <row r="17" spans="1:16" s="55" customFormat="1" ht="14.25" customHeight="1" x14ac:dyDescent="0.2">
      <c r="A17" s="54"/>
      <c r="B17" s="54"/>
      <c r="C17" s="54"/>
      <c r="D17" s="54"/>
      <c r="E17" s="54"/>
      <c r="F17" s="54"/>
      <c r="G17" s="193"/>
      <c r="H17" s="193"/>
      <c r="I17" s="193"/>
      <c r="J17" s="193"/>
      <c r="L17" s="193"/>
    </row>
    <row r="18" spans="1:16" s="55" customFormat="1" ht="20.25" x14ac:dyDescent="0.2">
      <c r="A18" s="54"/>
      <c r="B18" s="54"/>
      <c r="C18" s="54" t="s">
        <v>54</v>
      </c>
      <c r="D18" s="54"/>
      <c r="E18" s="54"/>
      <c r="F18" s="54"/>
      <c r="G18" s="193"/>
      <c r="H18" s="193"/>
      <c r="I18" s="193"/>
      <c r="J18" s="193"/>
      <c r="L18" s="193"/>
    </row>
    <row r="19" spans="1:16" s="55" customFormat="1" ht="20.25" x14ac:dyDescent="0.2">
      <c r="A19" s="58"/>
      <c r="B19" s="58"/>
      <c r="C19" s="58"/>
      <c r="D19" s="58" t="s">
        <v>147</v>
      </c>
      <c r="E19" s="58"/>
      <c r="F19" s="58"/>
      <c r="G19" s="230"/>
      <c r="H19" s="230">
        <f>'December''23 AR Aging '!G73</f>
        <v>266691.07</v>
      </c>
      <c r="I19" s="230"/>
      <c r="J19" s="230">
        <v>362006.45</v>
      </c>
      <c r="K19" s="204"/>
      <c r="L19" s="230">
        <v>264198.63</v>
      </c>
    </row>
    <row r="20" spans="1:16" s="55" customFormat="1" ht="20.25" x14ac:dyDescent="0.2">
      <c r="A20" s="58"/>
      <c r="B20" s="58"/>
      <c r="C20" s="58"/>
      <c r="D20" s="58" t="s">
        <v>159</v>
      </c>
      <c r="E20" s="58"/>
      <c r="F20" s="58"/>
      <c r="G20" s="230"/>
      <c r="H20" s="193">
        <v>0</v>
      </c>
      <c r="I20" s="193"/>
      <c r="J20" s="193"/>
      <c r="K20" s="204"/>
      <c r="L20" s="193"/>
    </row>
    <row r="21" spans="1:16" s="55" customFormat="1" ht="20.25" x14ac:dyDescent="0.2">
      <c r="A21" s="58"/>
      <c r="B21" s="58"/>
      <c r="C21" s="58"/>
      <c r="D21" s="58" t="s">
        <v>211</v>
      </c>
      <c r="E21" s="58"/>
      <c r="F21" s="58"/>
      <c r="G21" s="193"/>
      <c r="H21" s="193">
        <v>434275.6</v>
      </c>
      <c r="I21" s="193"/>
      <c r="J21" s="193">
        <v>385735.14</v>
      </c>
      <c r="K21" s="204"/>
      <c r="L21" s="193">
        <v>374993.63</v>
      </c>
      <c r="P21" s="204"/>
    </row>
    <row r="22" spans="1:16" s="55" customFormat="1" ht="20.25" x14ac:dyDescent="0.2">
      <c r="A22" s="58"/>
      <c r="B22" s="58"/>
      <c r="C22" s="59"/>
      <c r="D22" s="59" t="s">
        <v>78</v>
      </c>
      <c r="E22" s="59"/>
      <c r="F22" s="59"/>
      <c r="G22" s="193"/>
      <c r="H22" s="195">
        <f>5001.68+2000</f>
        <v>7001.68</v>
      </c>
      <c r="I22" s="193"/>
      <c r="J22" s="195">
        <v>5781.31</v>
      </c>
      <c r="K22" s="204"/>
      <c r="L22" s="195">
        <v>6715.32</v>
      </c>
    </row>
    <row r="23" spans="1:16" s="55" customFormat="1" ht="20.25" x14ac:dyDescent="0.2">
      <c r="A23" s="54"/>
      <c r="B23" s="54"/>
      <c r="C23" s="54" t="s">
        <v>55</v>
      </c>
      <c r="D23" s="54"/>
      <c r="E23" s="54"/>
      <c r="F23" s="54"/>
      <c r="G23" s="196"/>
      <c r="H23" s="196">
        <f>SUM(H19:H22)</f>
        <v>707968.35</v>
      </c>
      <c r="I23" s="196"/>
      <c r="J23" s="196">
        <f>SUM(J19:J22)</f>
        <v>753522.90000000014</v>
      </c>
      <c r="K23" s="204"/>
      <c r="L23" s="196">
        <f>SUM(L19:L22)</f>
        <v>645907.57999999996</v>
      </c>
    </row>
    <row r="24" spans="1:16" s="55" customFormat="1" ht="20.25" x14ac:dyDescent="0.2">
      <c r="A24" s="54"/>
      <c r="B24" s="54"/>
      <c r="C24" s="54"/>
      <c r="D24" s="54"/>
      <c r="E24" s="54"/>
      <c r="F24" s="54"/>
      <c r="G24" s="193"/>
      <c r="H24" s="193"/>
      <c r="I24" s="193"/>
      <c r="J24" s="193"/>
      <c r="L24" s="193"/>
    </row>
    <row r="25" spans="1:16" s="55" customFormat="1" ht="20.25" x14ac:dyDescent="0.2">
      <c r="A25" s="54"/>
      <c r="B25" s="60" t="s">
        <v>56</v>
      </c>
      <c r="C25" s="60"/>
      <c r="D25" s="60"/>
      <c r="E25" s="60"/>
      <c r="F25" s="60"/>
      <c r="G25" s="196"/>
      <c r="H25" s="584">
        <f>H16+H23</f>
        <v>1370043.18</v>
      </c>
      <c r="I25" s="196"/>
      <c r="J25" s="584">
        <f>J16+J23</f>
        <v>1186344.1800000002</v>
      </c>
      <c r="L25" s="584">
        <f>L16+L23</f>
        <v>1064234.6399999999</v>
      </c>
    </row>
    <row r="26" spans="1:16" s="55" customFormat="1" ht="20.25" x14ac:dyDescent="0.2">
      <c r="A26" s="54"/>
      <c r="B26" s="54"/>
      <c r="C26" s="54"/>
      <c r="D26" s="54"/>
      <c r="E26" s="54"/>
      <c r="F26" s="54"/>
      <c r="G26" s="196"/>
      <c r="H26" s="196"/>
      <c r="I26" s="196"/>
      <c r="J26" s="196"/>
      <c r="L26" s="196"/>
    </row>
    <row r="27" spans="1:16" ht="20.25" x14ac:dyDescent="0.3">
      <c r="A27" s="56"/>
      <c r="B27" s="57" t="s">
        <v>57</v>
      </c>
      <c r="C27" s="57"/>
      <c r="D27" s="57"/>
      <c r="E27" s="57"/>
      <c r="F27" s="57"/>
      <c r="G27" s="218"/>
      <c r="H27" s="197"/>
      <c r="I27" s="218"/>
      <c r="J27" s="197"/>
      <c r="L27" s="197"/>
      <c r="P27" s="555"/>
    </row>
    <row r="28" spans="1:16" s="55" customFormat="1" ht="20.25" hidden="1" x14ac:dyDescent="0.2">
      <c r="A28" s="58"/>
      <c r="B28" s="58"/>
      <c r="C28" s="58"/>
      <c r="D28" s="58" t="s">
        <v>79</v>
      </c>
      <c r="E28" s="58"/>
      <c r="F28" s="58"/>
      <c r="G28" s="193"/>
      <c r="H28" s="193">
        <v>221731.4</v>
      </c>
      <c r="I28" s="193"/>
      <c r="J28" s="193">
        <v>221731.4</v>
      </c>
      <c r="K28" s="204"/>
      <c r="L28" s="193">
        <v>192474.47</v>
      </c>
      <c r="P28" s="204"/>
    </row>
    <row r="29" spans="1:16" s="55" customFormat="1" ht="20.25" hidden="1" x14ac:dyDescent="0.2">
      <c r="A29" s="58"/>
      <c r="B29" s="58"/>
      <c r="C29" s="58"/>
      <c r="D29" s="58" t="s">
        <v>80</v>
      </c>
      <c r="E29" s="58"/>
      <c r="F29" s="58"/>
      <c r="G29" s="193"/>
      <c r="H29" s="193">
        <v>49562</v>
      </c>
      <c r="I29" s="193"/>
      <c r="J29" s="193">
        <v>49562</v>
      </c>
      <c r="K29" s="204"/>
      <c r="L29" s="193">
        <v>49562</v>
      </c>
    </row>
    <row r="30" spans="1:16" s="55" customFormat="1" ht="20.25" hidden="1" x14ac:dyDescent="0.2">
      <c r="A30" s="58"/>
      <c r="B30" s="58"/>
      <c r="C30" s="58"/>
      <c r="D30" s="58" t="s">
        <v>81</v>
      </c>
      <c r="E30" s="58"/>
      <c r="F30" s="58"/>
      <c r="G30" s="193"/>
      <c r="H30" s="193">
        <v>207734.77</v>
      </c>
      <c r="I30" s="193"/>
      <c r="J30" s="193">
        <v>207734.77</v>
      </c>
      <c r="K30" s="204"/>
      <c r="L30" s="193">
        <v>158464.06</v>
      </c>
    </row>
    <row r="31" spans="1:16" s="55" customFormat="1" ht="20.25" hidden="1" x14ac:dyDescent="0.2">
      <c r="A31" s="58"/>
      <c r="B31" s="58"/>
      <c r="C31" s="58"/>
      <c r="D31" s="58" t="s">
        <v>82</v>
      </c>
      <c r="E31" s="58"/>
      <c r="F31" s="58"/>
      <c r="G31" s="193"/>
      <c r="H31" s="193">
        <v>-324036.03999999998</v>
      </c>
      <c r="I31" s="193"/>
      <c r="J31" s="193">
        <v>-324036.03999999998</v>
      </c>
      <c r="K31" s="204"/>
      <c r="L31" s="193">
        <f>-279077.04</f>
        <v>-279077.03999999998</v>
      </c>
    </row>
    <row r="32" spans="1:16" s="55" customFormat="1" ht="20.25" x14ac:dyDescent="0.2">
      <c r="A32" s="54"/>
      <c r="B32" s="60" t="s">
        <v>325</v>
      </c>
      <c r="C32" s="60"/>
      <c r="D32" s="60"/>
      <c r="E32" s="60"/>
      <c r="F32" s="60"/>
      <c r="G32" s="196"/>
      <c r="H32" s="198">
        <v>201555.58</v>
      </c>
      <c r="I32" s="196"/>
      <c r="J32" s="198">
        <v>134320.57999999999</v>
      </c>
      <c r="L32" s="198">
        <v>122538.58</v>
      </c>
      <c r="P32" s="196"/>
    </row>
    <row r="33" spans="1:61" s="55" customFormat="1" ht="7.5" customHeight="1" x14ac:dyDescent="0.2">
      <c r="A33" s="54"/>
      <c r="B33" s="54"/>
      <c r="C33" s="54"/>
      <c r="D33" s="54"/>
      <c r="E33" s="54"/>
      <c r="F33" s="54"/>
      <c r="G33" s="196"/>
      <c r="H33" s="196" t="s">
        <v>541</v>
      </c>
      <c r="I33" s="196"/>
      <c r="J33" s="196"/>
      <c r="L33" s="196"/>
    </row>
    <row r="34" spans="1:61" s="55" customFormat="1" ht="12.75" customHeight="1" thickBot="1" x14ac:dyDescent="0.25">
      <c r="A34" s="54"/>
      <c r="B34" s="54"/>
      <c r="C34" s="54"/>
      <c r="D34" s="54"/>
      <c r="E34" s="54"/>
      <c r="F34" s="54"/>
      <c r="G34" s="193"/>
      <c r="H34" s="193"/>
      <c r="I34" s="193"/>
      <c r="J34" s="193"/>
      <c r="L34" s="193"/>
    </row>
    <row r="35" spans="1:61" s="63" customFormat="1" ht="27.75" thickTop="1" thickBot="1" x14ac:dyDescent="0.25">
      <c r="A35" s="61" t="s">
        <v>58</v>
      </c>
      <c r="B35" s="61"/>
      <c r="C35" s="61"/>
      <c r="D35" s="61"/>
      <c r="E35" s="61"/>
      <c r="F35" s="61"/>
      <c r="G35" s="220"/>
      <c r="H35" s="203">
        <f>H25+H32</f>
        <v>1571598.76</v>
      </c>
      <c r="I35" s="220"/>
      <c r="J35" s="203">
        <f>J25+J32</f>
        <v>1320664.7600000002</v>
      </c>
      <c r="K35" s="62"/>
      <c r="L35" s="203">
        <f>L25+L32</f>
        <v>1186773.22</v>
      </c>
      <c r="M35" s="62"/>
      <c r="N35" s="62"/>
      <c r="O35" s="62"/>
      <c r="P35" s="501"/>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61" s="64" customFormat="1" ht="33" customHeight="1" thickTop="1" thickBot="1" x14ac:dyDescent="0.25">
      <c r="A36" s="54"/>
      <c r="B36" s="54"/>
      <c r="C36" s="54"/>
      <c r="D36" s="54"/>
      <c r="E36" s="54"/>
      <c r="F36" s="54"/>
      <c r="G36" s="273"/>
      <c r="H36" s="196"/>
      <c r="I36" s="196"/>
      <c r="J36" s="196"/>
      <c r="L36" s="196"/>
      <c r="P36" s="323"/>
    </row>
    <row r="37" spans="1:61" s="53" customFormat="1" ht="27.75" thickTop="1" thickBot="1" x14ac:dyDescent="0.25">
      <c r="A37" s="51" t="s">
        <v>59</v>
      </c>
      <c r="B37" s="51"/>
      <c r="C37" s="51"/>
      <c r="D37" s="51"/>
      <c r="E37" s="51"/>
      <c r="F37" s="51"/>
      <c r="G37" s="272"/>
      <c r="H37" s="199"/>
      <c r="I37" s="199"/>
      <c r="J37" s="199"/>
      <c r="K37" s="52"/>
      <c r="L37" s="199"/>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s="55" customFormat="1" ht="12.75" customHeight="1" thickTop="1" x14ac:dyDescent="0.2">
      <c r="A38" s="54"/>
      <c r="B38" s="54"/>
      <c r="C38" s="54"/>
      <c r="D38" s="54"/>
      <c r="E38" s="54"/>
      <c r="F38" s="54"/>
      <c r="G38" s="193"/>
      <c r="H38" s="193"/>
      <c r="I38" s="193"/>
      <c r="J38" s="193"/>
      <c r="L38" s="193"/>
    </row>
    <row r="39" spans="1:61" s="55" customFormat="1" ht="19.5" customHeight="1" thickBot="1" x14ac:dyDescent="0.25">
      <c r="A39" s="54"/>
      <c r="B39" s="65" t="s">
        <v>60</v>
      </c>
      <c r="C39" s="66"/>
      <c r="D39" s="66"/>
      <c r="E39" s="66"/>
      <c r="F39" s="66"/>
      <c r="G39" s="200"/>
      <c r="H39" s="200"/>
      <c r="I39" s="200"/>
      <c r="J39" s="200"/>
      <c r="L39" s="200"/>
      <c r="P39" s="322"/>
    </row>
    <row r="40" spans="1:61" s="55" customFormat="1" ht="9" customHeight="1" x14ac:dyDescent="0.2">
      <c r="A40" s="54"/>
      <c r="B40" s="54"/>
      <c r="C40" s="54"/>
      <c r="D40" s="54"/>
      <c r="E40" s="54"/>
      <c r="F40" s="54"/>
      <c r="G40" s="193"/>
      <c r="H40" s="193"/>
      <c r="I40" s="193"/>
      <c r="J40" s="193"/>
      <c r="L40" s="193"/>
    </row>
    <row r="41" spans="1:61" ht="21" thickBot="1" x14ac:dyDescent="0.35">
      <c r="A41" s="56"/>
      <c r="B41" s="120" t="s">
        <v>61</v>
      </c>
      <c r="C41" s="121"/>
      <c r="D41" s="120"/>
      <c r="E41" s="120"/>
      <c r="F41" s="120"/>
      <c r="G41" s="218"/>
      <c r="H41" s="194"/>
      <c r="I41" s="218"/>
      <c r="J41" s="194"/>
      <c r="L41" s="194"/>
    </row>
    <row r="42" spans="1:61" s="55" customFormat="1" ht="20.25" x14ac:dyDescent="0.2">
      <c r="A42" s="58"/>
      <c r="B42" s="58"/>
      <c r="C42" s="58"/>
      <c r="D42" s="58" t="s">
        <v>148</v>
      </c>
      <c r="F42" s="58"/>
      <c r="G42" s="202"/>
      <c r="H42" s="202">
        <v>9820.6</v>
      </c>
      <c r="I42" s="202"/>
      <c r="J42" s="202">
        <v>21456.58</v>
      </c>
      <c r="K42" s="318"/>
      <c r="L42" s="202">
        <v>21231.67</v>
      </c>
      <c r="N42" s="318"/>
      <c r="P42" s="322"/>
    </row>
    <row r="43" spans="1:61" s="55" customFormat="1" ht="20.25" x14ac:dyDescent="0.2">
      <c r="A43" s="58"/>
      <c r="B43" s="58"/>
      <c r="C43" s="58"/>
      <c r="D43" s="58" t="s">
        <v>95</v>
      </c>
      <c r="F43" s="58"/>
      <c r="G43" s="193"/>
      <c r="H43" s="193">
        <v>1663.45</v>
      </c>
      <c r="I43" s="193"/>
      <c r="J43" s="193">
        <v>484.79</v>
      </c>
      <c r="L43" s="193">
        <v>268.33</v>
      </c>
    </row>
    <row r="44" spans="1:61" s="55" customFormat="1" ht="20.25" hidden="1" x14ac:dyDescent="0.2">
      <c r="A44" s="58"/>
      <c r="B44" s="58"/>
      <c r="C44" s="58"/>
      <c r="D44" s="58" t="s">
        <v>403</v>
      </c>
      <c r="F44" s="58"/>
      <c r="G44" s="193"/>
      <c r="H44" s="193">
        <v>0</v>
      </c>
      <c r="I44" s="193"/>
      <c r="J44" s="193"/>
      <c r="L44" s="193"/>
    </row>
    <row r="45" spans="1:61" s="55" customFormat="1" ht="20.25" x14ac:dyDescent="0.2">
      <c r="A45" s="58"/>
      <c r="B45" s="58"/>
      <c r="C45" s="58"/>
      <c r="D45" s="784" t="s">
        <v>465</v>
      </c>
      <c r="E45" s="784"/>
      <c r="F45" s="784"/>
      <c r="G45" s="193"/>
      <c r="H45" s="193">
        <f>86278.72+8669+1000</f>
        <v>95947.72</v>
      </c>
      <c r="I45" s="193"/>
      <c r="J45" s="193">
        <f>28111.59+8669</f>
        <v>36780.589999999997</v>
      </c>
      <c r="L45" s="193">
        <v>18604.990000000002</v>
      </c>
      <c r="P45" s="193"/>
    </row>
    <row r="46" spans="1:61" s="55" customFormat="1" ht="20.25" x14ac:dyDescent="0.2">
      <c r="A46" s="58"/>
      <c r="B46" s="58"/>
      <c r="C46" s="58"/>
      <c r="D46" s="58" t="s">
        <v>83</v>
      </c>
      <c r="F46" s="58"/>
      <c r="G46" s="193"/>
      <c r="H46" s="193">
        <v>26977.81</v>
      </c>
      <c r="I46" s="193"/>
      <c r="J46" s="193">
        <v>30370</v>
      </c>
      <c r="L46" s="193"/>
    </row>
    <row r="47" spans="1:61" s="55" customFormat="1" ht="20.25" hidden="1" x14ac:dyDescent="0.2">
      <c r="A47" s="58"/>
      <c r="B47" s="58"/>
      <c r="C47" s="58"/>
      <c r="D47" s="58" t="s">
        <v>155</v>
      </c>
      <c r="F47" s="58"/>
      <c r="G47" s="193"/>
      <c r="H47" s="193">
        <v>0</v>
      </c>
      <c r="I47" s="193"/>
      <c r="J47" s="193">
        <v>0</v>
      </c>
      <c r="L47" s="193">
        <v>0</v>
      </c>
    </row>
    <row r="48" spans="1:61" s="55" customFormat="1" ht="20.25" x14ac:dyDescent="0.2">
      <c r="A48" s="58"/>
      <c r="B48" s="58"/>
      <c r="C48" s="58"/>
      <c r="D48" s="59" t="s">
        <v>94</v>
      </c>
      <c r="E48" s="119"/>
      <c r="F48" s="59"/>
      <c r="G48" s="193"/>
      <c r="H48" s="193">
        <f>'December''23 Revenues &amp; Expenses'!L61</f>
        <v>322217.95999999996</v>
      </c>
      <c r="I48" s="193"/>
      <c r="J48" s="193">
        <v>181336.19</v>
      </c>
      <c r="K48" s="204"/>
      <c r="L48" s="193">
        <v>139087.85</v>
      </c>
      <c r="P48" s="204"/>
    </row>
    <row r="49" spans="1:17" s="55" customFormat="1" ht="20.25" x14ac:dyDescent="0.2">
      <c r="A49" s="58"/>
      <c r="B49" s="58"/>
      <c r="C49" s="60" t="s">
        <v>71</v>
      </c>
      <c r="D49" s="58"/>
      <c r="F49" s="58"/>
      <c r="G49" s="193"/>
      <c r="H49" s="201">
        <f>SUM(H42:H48)</f>
        <v>456627.54</v>
      </c>
      <c r="I49" s="193"/>
      <c r="J49" s="201">
        <f>SUM(J42:J48)</f>
        <v>270428.15000000002</v>
      </c>
      <c r="L49" s="201">
        <f>SUM(L42:L48)</f>
        <v>179192.84000000003</v>
      </c>
      <c r="P49" s="322"/>
    </row>
    <row r="50" spans="1:17" s="55" customFormat="1" ht="9.75" customHeight="1" x14ac:dyDescent="0.2">
      <c r="A50" s="58"/>
      <c r="B50" s="58"/>
      <c r="C50" s="58"/>
      <c r="D50" s="58"/>
      <c r="E50" s="58"/>
      <c r="F50" s="58"/>
      <c r="G50" s="193"/>
      <c r="H50" s="193"/>
      <c r="I50" s="193"/>
      <c r="J50" s="193"/>
      <c r="L50" s="193"/>
    </row>
    <row r="51" spans="1:17" s="55" customFormat="1" ht="20.25" x14ac:dyDescent="0.2">
      <c r="A51" s="58"/>
      <c r="B51" s="58"/>
      <c r="C51" s="67" t="s">
        <v>73</v>
      </c>
      <c r="D51" s="67"/>
      <c r="E51" s="119"/>
      <c r="F51" s="119"/>
      <c r="G51" s="193"/>
      <c r="H51" s="195"/>
      <c r="I51" s="193"/>
      <c r="J51" s="195"/>
      <c r="L51" s="195"/>
    </row>
    <row r="52" spans="1:17" s="55" customFormat="1" ht="20.25" x14ac:dyDescent="0.2">
      <c r="A52" s="58"/>
      <c r="B52" s="58"/>
      <c r="C52" s="58"/>
      <c r="D52" s="58" t="s">
        <v>86</v>
      </c>
      <c r="E52" s="58"/>
      <c r="F52" s="58"/>
      <c r="G52" s="193"/>
      <c r="H52" s="193">
        <f>36843.86+1930.12-H54-H55</f>
        <v>37749.699999999997</v>
      </c>
      <c r="I52" s="193"/>
      <c r="J52" s="193">
        <f>44806.79+3180.29-J54-J55</f>
        <v>45342.560000000005</v>
      </c>
      <c r="L52" s="193">
        <f>25703.32+3935.38-L54-L55</f>
        <v>27152.620000000003</v>
      </c>
    </row>
    <row r="53" spans="1:17" s="55" customFormat="1" ht="20.25" x14ac:dyDescent="0.2">
      <c r="A53" s="58"/>
      <c r="B53" s="58"/>
      <c r="C53" s="58"/>
      <c r="D53" s="58" t="s">
        <v>87</v>
      </c>
      <c r="E53" s="58"/>
      <c r="F53" s="58"/>
      <c r="G53" s="193"/>
      <c r="H53" s="193">
        <v>19374.5</v>
      </c>
      <c r="I53" s="193"/>
      <c r="J53" s="193">
        <v>23300.52</v>
      </c>
      <c r="L53" s="193">
        <v>31778.74</v>
      </c>
      <c r="Q53" s="204"/>
    </row>
    <row r="54" spans="1:17" s="55" customFormat="1" ht="20.25" x14ac:dyDescent="0.2">
      <c r="A54" s="58"/>
      <c r="B54" s="58"/>
      <c r="C54" s="58"/>
      <c r="D54" s="58" t="s">
        <v>88</v>
      </c>
      <c r="E54" s="58"/>
      <c r="F54" s="58"/>
      <c r="G54" s="193"/>
      <c r="H54" s="193">
        <v>880.16</v>
      </c>
      <c r="I54" s="193"/>
      <c r="J54" s="193">
        <v>2469.14</v>
      </c>
      <c r="L54" s="193">
        <v>2279.98</v>
      </c>
    </row>
    <row r="55" spans="1:17" s="55" customFormat="1" ht="20.25" x14ac:dyDescent="0.2">
      <c r="A55" s="58"/>
      <c r="B55" s="58"/>
      <c r="C55" s="58"/>
      <c r="D55" s="58" t="s">
        <v>89</v>
      </c>
      <c r="E55" s="58"/>
      <c r="F55" s="58"/>
      <c r="G55" s="193"/>
      <c r="H55" s="195">
        <v>144.12</v>
      </c>
      <c r="I55" s="193"/>
      <c r="J55" s="195">
        <v>175.38</v>
      </c>
      <c r="L55" s="195">
        <v>206.1</v>
      </c>
      <c r="Q55" s="204"/>
    </row>
    <row r="56" spans="1:17" s="55" customFormat="1" ht="20.25" x14ac:dyDescent="0.2">
      <c r="A56" s="58"/>
      <c r="B56" s="58"/>
      <c r="C56" s="54" t="s">
        <v>72</v>
      </c>
      <c r="D56" s="58"/>
      <c r="F56" s="58"/>
      <c r="G56" s="193"/>
      <c r="H56" s="193">
        <f>ROUND(SUM(H51:H55),5)</f>
        <v>58148.480000000003</v>
      </c>
      <c r="I56" s="193"/>
      <c r="J56" s="193">
        <f>SUM(J52:J55)</f>
        <v>71287.600000000006</v>
      </c>
      <c r="L56" s="193">
        <f>ROUND(SUM(L51:L55),5)</f>
        <v>61417.440000000002</v>
      </c>
    </row>
    <row r="57" spans="1:17" s="55" customFormat="1" ht="7.5" customHeight="1" x14ac:dyDescent="0.2">
      <c r="A57" s="58"/>
      <c r="B57" s="58"/>
      <c r="C57" s="59"/>
      <c r="D57" s="59"/>
      <c r="E57" s="59"/>
      <c r="F57" s="59"/>
      <c r="G57" s="193"/>
      <c r="H57" s="195"/>
      <c r="I57" s="193"/>
      <c r="J57" s="195"/>
      <c r="L57" s="195"/>
    </row>
    <row r="58" spans="1:17" s="55" customFormat="1" ht="20.25" x14ac:dyDescent="0.2">
      <c r="A58" s="54"/>
      <c r="B58" s="54"/>
      <c r="C58" s="54" t="s">
        <v>74</v>
      </c>
      <c r="D58" s="54"/>
      <c r="E58" s="54"/>
      <c r="F58" s="54"/>
      <c r="G58" s="196"/>
      <c r="H58" s="196">
        <f>H49+H56</f>
        <v>514776.01999999996</v>
      </c>
      <c r="I58" s="196"/>
      <c r="J58" s="196">
        <f>J49+J56</f>
        <v>341715.75</v>
      </c>
      <c r="K58" s="204"/>
      <c r="L58" s="196">
        <f>L49+L56</f>
        <v>240610.28000000003</v>
      </c>
      <c r="N58" s="285"/>
      <c r="P58" s="285"/>
    </row>
    <row r="59" spans="1:17" s="55" customFormat="1" ht="18.75" customHeight="1" x14ac:dyDescent="0.2">
      <c r="A59" s="54"/>
      <c r="B59" s="54"/>
      <c r="C59" s="54"/>
      <c r="D59" s="54"/>
      <c r="E59" s="54"/>
      <c r="F59" s="54"/>
      <c r="G59" s="196"/>
      <c r="H59" s="196"/>
      <c r="I59" s="196"/>
      <c r="L59" s="285"/>
    </row>
    <row r="60" spans="1:17" s="55" customFormat="1" ht="24" thickBot="1" x14ac:dyDescent="0.25">
      <c r="A60" s="54"/>
      <c r="B60" s="65" t="s">
        <v>62</v>
      </c>
      <c r="C60" s="66"/>
      <c r="D60" s="66"/>
      <c r="E60" s="66"/>
      <c r="F60" s="66"/>
      <c r="G60" s="193"/>
      <c r="H60" s="200"/>
      <c r="I60" s="193"/>
      <c r="J60" s="200"/>
      <c r="L60" s="200"/>
    </row>
    <row r="61" spans="1:17" s="55" customFormat="1" ht="20.25" x14ac:dyDescent="0.2">
      <c r="A61" s="58"/>
      <c r="B61" s="58"/>
      <c r="D61" s="58" t="s">
        <v>328</v>
      </c>
      <c r="E61" s="58"/>
      <c r="F61" s="58"/>
      <c r="G61" s="193"/>
      <c r="H61" s="193">
        <f>1055822.72-H62-H63+2000-1000</f>
        <v>902056.1</v>
      </c>
      <c r="I61" s="193"/>
      <c r="J61" s="193">
        <f>893975.11+35972.48+12500</f>
        <v>942447.59</v>
      </c>
      <c r="K61" s="204"/>
      <c r="L61" s="193">
        <f>893975.11+35972.48+12500</f>
        <v>942447.59</v>
      </c>
      <c r="P61" s="204"/>
    </row>
    <row r="62" spans="1:17" s="55" customFormat="1" ht="20.25" x14ac:dyDescent="0.2">
      <c r="A62" s="58"/>
      <c r="B62" s="58"/>
      <c r="D62" s="58" t="s">
        <v>329</v>
      </c>
      <c r="E62" s="58"/>
      <c r="F62" s="58"/>
      <c r="G62" s="193"/>
      <c r="H62" s="193">
        <f>'December''23 Revenues &amp; Expenses'!L83-0.5</f>
        <v>31334.960000000003</v>
      </c>
      <c r="I62" s="193"/>
      <c r="J62" s="193">
        <v>75893.41</v>
      </c>
      <c r="K62" s="204"/>
      <c r="L62" s="193">
        <v>38940.949999999997</v>
      </c>
      <c r="O62" s="204"/>
      <c r="P62" s="204"/>
    </row>
    <row r="63" spans="1:17" s="55" customFormat="1" ht="21" thickBot="1" x14ac:dyDescent="0.25">
      <c r="A63" s="54"/>
      <c r="B63" s="54"/>
      <c r="D63" s="58" t="s">
        <v>128</v>
      </c>
      <c r="E63" s="54"/>
      <c r="F63" s="66"/>
      <c r="G63" s="193"/>
      <c r="H63" s="200">
        <f>121431.66+2000</f>
        <v>123431.66</v>
      </c>
      <c r="I63" s="193"/>
      <c r="J63" s="200">
        <f>'December''23 State of Activities'!H58</f>
        <v>-39391.989999999758</v>
      </c>
      <c r="L63" s="200">
        <f>'December''23 State of Activities'!J58</f>
        <v>-32525.600000000093</v>
      </c>
      <c r="P63" s="322"/>
    </row>
    <row r="64" spans="1:17" s="55" customFormat="1" ht="23.25" x14ac:dyDescent="0.2">
      <c r="A64" s="54"/>
      <c r="B64" s="68" t="s">
        <v>63</v>
      </c>
      <c r="C64" s="69"/>
      <c r="D64" s="69"/>
      <c r="E64" s="69"/>
      <c r="F64" s="54"/>
      <c r="G64" s="196"/>
      <c r="H64" s="196">
        <f>ROUND(SUM(H60:H63),5)</f>
        <v>1056822.72</v>
      </c>
      <c r="I64" s="196"/>
      <c r="J64" s="196">
        <f>ROUND(SUM(J60:J63),5)</f>
        <v>978949.01</v>
      </c>
      <c r="L64" s="196">
        <f>ROUND(SUM(L60:L63),5)</f>
        <v>948862.94</v>
      </c>
      <c r="P64" s="322"/>
    </row>
    <row r="65" spans="1:12" s="55" customFormat="1" ht="12.75" customHeight="1" x14ac:dyDescent="0.2">
      <c r="A65" s="54"/>
      <c r="B65" s="54"/>
      <c r="C65" s="54"/>
      <c r="D65" s="54"/>
      <c r="E65" s="54"/>
      <c r="F65" s="54"/>
      <c r="G65" s="193"/>
      <c r="H65" s="195"/>
      <c r="I65" s="193"/>
      <c r="J65" s="195"/>
      <c r="L65" s="195"/>
    </row>
    <row r="66" spans="1:12" s="62" customFormat="1" ht="27" thickBot="1" x14ac:dyDescent="0.25">
      <c r="A66" s="61" t="s">
        <v>64</v>
      </c>
      <c r="B66" s="61"/>
      <c r="C66" s="61"/>
      <c r="D66" s="61"/>
      <c r="E66" s="61"/>
      <c r="F66" s="61"/>
      <c r="G66" s="220"/>
      <c r="H66" s="297">
        <f>SUM(H58+H64)</f>
        <v>1571598.74</v>
      </c>
      <c r="I66" s="220"/>
      <c r="J66" s="297">
        <f>SUM(J58+J64)</f>
        <v>1320664.76</v>
      </c>
      <c r="L66" s="297">
        <f>SUM(L58+L64)</f>
        <v>1189473.22</v>
      </c>
    </row>
    <row r="67" spans="1:12" ht="15" thickTop="1" x14ac:dyDescent="0.2">
      <c r="D67" s="286"/>
    </row>
    <row r="68" spans="1:12" hidden="1" x14ac:dyDescent="0.2">
      <c r="G68" s="206"/>
      <c r="H68" s="206"/>
      <c r="I68" s="206"/>
      <c r="J68" s="206"/>
      <c r="L68" s="206"/>
    </row>
    <row r="69" spans="1:12" ht="14.25" customHeight="1" x14ac:dyDescent="0.2">
      <c r="C69" s="846" t="s">
        <v>197</v>
      </c>
      <c r="D69" s="846"/>
      <c r="E69" s="846"/>
      <c r="F69" s="846"/>
      <c r="H69" s="353">
        <f>(H19+H16)/H58</f>
        <v>1.8042136073082813</v>
      </c>
      <c r="J69" s="353">
        <v>3.7805007540674778</v>
      </c>
      <c r="K69" s="204"/>
      <c r="L69" s="353">
        <f>(L19+L16)/L58</f>
        <v>2.8366439289293868</v>
      </c>
    </row>
    <row r="72" spans="1:12" x14ac:dyDescent="0.2">
      <c r="G72" s="190"/>
      <c r="H72" s="206"/>
      <c r="I72" s="190"/>
      <c r="J72" s="206"/>
      <c r="L72" s="206">
        <f>L66-L35</f>
        <v>2700</v>
      </c>
    </row>
    <row r="73" spans="1:12" x14ac:dyDescent="0.2">
      <c r="L73" s="487"/>
    </row>
    <row r="77" spans="1:12" x14ac:dyDescent="0.2">
      <c r="H77" s="190"/>
      <c r="J77" s="190"/>
    </row>
  </sheetData>
  <mergeCells count="3">
    <mergeCell ref="C69:F69"/>
    <mergeCell ref="H6:J6"/>
    <mergeCell ref="D45:F45"/>
  </mergeCells>
  <pageMargins left="0.7" right="0.45" top="0.25" bottom="0" header="0.3" footer="0"/>
  <pageSetup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zoomScale="70" zoomScaleNormal="70" workbookViewId="0">
      <selection activeCell="Q20" sqref="Q20"/>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90" bestFit="1" customWidth="1"/>
    <col min="8" max="8" width="24.25" customWidth="1"/>
    <col min="9" max="9" width="1.625" hidden="1" customWidth="1"/>
    <col min="10" max="10" width="23" hidden="1" customWidth="1"/>
    <col min="11" max="11" width="1.875" style="305" customWidth="1"/>
    <col min="12" max="12" width="17.25" customWidth="1"/>
    <col min="13" max="13" width="10.75" bestFit="1" customWidth="1"/>
    <col min="14" max="14" width="72.625" style="10" bestFit="1" customWidth="1"/>
    <col min="15" max="15" width="10.125" bestFit="1"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93</v>
      </c>
      <c r="B1" s="47"/>
      <c r="C1" s="48"/>
      <c r="D1" s="48"/>
      <c r="E1" s="48"/>
      <c r="F1" s="47"/>
      <c r="G1" s="191"/>
      <c r="H1" s="47"/>
      <c r="I1" s="47"/>
      <c r="J1" s="47"/>
      <c r="K1" s="301"/>
      <c r="L1" s="47"/>
      <c r="M1" s="47"/>
      <c r="N1" s="425"/>
      <c r="O1" s="47"/>
      <c r="P1" s="47"/>
      <c r="Q1" s="47"/>
      <c r="R1" s="47"/>
      <c r="S1" s="47"/>
      <c r="T1" s="47"/>
      <c r="U1" s="47"/>
      <c r="V1" s="47"/>
      <c r="W1" s="47"/>
      <c r="X1" s="47"/>
    </row>
    <row r="2" spans="1:46" ht="22.5" customHeight="1" x14ac:dyDescent="0.4">
      <c r="A2" s="46" t="s">
        <v>331</v>
      </c>
      <c r="B2" s="47"/>
      <c r="C2" s="48"/>
      <c r="D2" s="48"/>
      <c r="E2" s="48"/>
      <c r="F2" s="47"/>
      <c r="G2" s="191"/>
      <c r="H2" s="47"/>
      <c r="I2" s="47"/>
      <c r="J2" s="191"/>
      <c r="K2" s="301"/>
      <c r="L2" s="47"/>
      <c r="M2" s="47"/>
      <c r="N2" s="425"/>
      <c r="O2" s="47"/>
      <c r="P2" s="47"/>
      <c r="Q2" s="47"/>
      <c r="R2" s="47"/>
      <c r="S2" s="47"/>
      <c r="T2" s="47"/>
      <c r="U2" s="47"/>
      <c r="V2" s="47"/>
      <c r="W2" s="47"/>
      <c r="X2" s="47"/>
    </row>
    <row r="3" spans="1:46" ht="22.5" hidden="1" customHeight="1" x14ac:dyDescent="0.4">
      <c r="A3" s="46" t="s">
        <v>618</v>
      </c>
      <c r="B3" s="47"/>
      <c r="C3" s="48"/>
      <c r="D3" s="48"/>
      <c r="E3" s="48"/>
      <c r="F3" s="47"/>
      <c r="G3" s="191"/>
      <c r="H3" s="47"/>
      <c r="I3" s="47"/>
      <c r="J3" s="47"/>
      <c r="K3" s="301"/>
      <c r="L3" s="47"/>
      <c r="M3" s="47"/>
      <c r="N3" s="425"/>
      <c r="O3" s="47"/>
      <c r="P3" s="47"/>
      <c r="Q3" s="47"/>
      <c r="R3" s="47"/>
      <c r="S3" s="47"/>
      <c r="T3" s="47"/>
      <c r="U3" s="47"/>
      <c r="V3" s="47"/>
      <c r="W3" s="47"/>
      <c r="X3" s="47"/>
    </row>
    <row r="4" spans="1:46" ht="22.5" customHeight="1" x14ac:dyDescent="0.4">
      <c r="A4" s="46" t="s">
        <v>679</v>
      </c>
      <c r="B4" s="47"/>
      <c r="C4" s="48"/>
      <c r="D4" s="48"/>
      <c r="E4" s="48"/>
      <c r="F4" s="47"/>
      <c r="G4" s="191"/>
      <c r="H4" s="47"/>
      <c r="I4" s="47"/>
      <c r="J4" s="47"/>
      <c r="K4" s="301"/>
      <c r="L4" s="47"/>
      <c r="M4" s="47"/>
      <c r="N4" s="425"/>
      <c r="O4" s="47"/>
      <c r="P4" s="47"/>
      <c r="Q4" s="47"/>
      <c r="R4" s="47"/>
      <c r="S4" s="47"/>
      <c r="T4" s="47"/>
      <c r="U4" s="47"/>
      <c r="V4" s="47"/>
      <c r="W4" s="47"/>
      <c r="X4" s="47"/>
    </row>
    <row r="5" spans="1:46" s="50" customFormat="1" ht="5.25" customHeight="1" thickBot="1" x14ac:dyDescent="0.25">
      <c r="A5" s="49"/>
      <c r="B5" s="49"/>
      <c r="C5" s="49"/>
      <c r="D5" s="49"/>
      <c r="E5" s="49"/>
      <c r="F5" s="49"/>
      <c r="G5" s="192"/>
      <c r="K5" s="302"/>
      <c r="N5" s="426"/>
    </row>
    <row r="6" spans="1:46" s="53" customFormat="1" ht="24.75" customHeight="1" thickTop="1" thickBot="1" x14ac:dyDescent="0.25">
      <c r="A6" s="51" t="s">
        <v>107</v>
      </c>
      <c r="B6" s="51"/>
      <c r="C6" s="51"/>
      <c r="D6" s="51"/>
      <c r="E6" s="51"/>
      <c r="F6" s="51"/>
      <c r="G6" s="782" t="s">
        <v>49</v>
      </c>
      <c r="H6" s="782"/>
      <c r="I6" s="782"/>
      <c r="J6" s="782"/>
      <c r="K6" s="492"/>
      <c r="L6" s="333" t="s">
        <v>180</v>
      </c>
      <c r="M6" s="333" t="s">
        <v>192</v>
      </c>
      <c r="N6" s="492" t="s">
        <v>179</v>
      </c>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93"/>
      <c r="K7" s="304"/>
      <c r="N7" s="427"/>
    </row>
    <row r="8" spans="1:46" ht="21" thickBot="1" x14ac:dyDescent="0.35">
      <c r="A8" s="56"/>
      <c r="B8" s="120" t="s">
        <v>99</v>
      </c>
      <c r="C8" s="120"/>
      <c r="D8" s="120"/>
      <c r="E8" s="120"/>
      <c r="F8" s="120"/>
      <c r="G8" s="231">
        <f>'December''23 Financial Position'!H8</f>
        <v>45291</v>
      </c>
      <c r="H8" s="231">
        <v>44926</v>
      </c>
      <c r="I8" s="271"/>
      <c r="J8" s="231">
        <f>G8-365</f>
        <v>44926</v>
      </c>
      <c r="L8" s="847" t="s">
        <v>680</v>
      </c>
      <c r="M8" s="847"/>
      <c r="N8" s="648"/>
    </row>
    <row r="9" spans="1:46" s="55" customFormat="1" ht="20.25" x14ac:dyDescent="0.2">
      <c r="A9" s="54"/>
      <c r="B9" s="54"/>
      <c r="C9" s="58" t="s">
        <v>100</v>
      </c>
      <c r="D9" s="58"/>
      <c r="E9" s="58"/>
      <c r="F9" s="54"/>
      <c r="G9" s="202">
        <v>694721.7</v>
      </c>
      <c r="H9" s="202">
        <v>803443.93</v>
      </c>
      <c r="I9" s="202"/>
      <c r="J9" s="202">
        <v>665793.31000000006</v>
      </c>
      <c r="K9" s="304"/>
      <c r="L9" s="317">
        <f>G9-H9</f>
        <v>-108722.2300000001</v>
      </c>
      <c r="M9" s="354">
        <f>L9/H9</f>
        <v>-0.13532024568285692</v>
      </c>
      <c r="N9" s="428" t="s">
        <v>681</v>
      </c>
    </row>
    <row r="10" spans="1:46" s="55" customFormat="1" ht="20.25" x14ac:dyDescent="0.2">
      <c r="A10" s="54"/>
      <c r="B10" s="54"/>
      <c r="C10" s="58" t="s">
        <v>149</v>
      </c>
      <c r="D10" s="58"/>
      <c r="E10" s="58"/>
      <c r="F10" s="54"/>
      <c r="G10" s="193">
        <v>131228.84</v>
      </c>
      <c r="H10" s="193">
        <v>84477.91</v>
      </c>
      <c r="I10" s="193"/>
      <c r="J10" s="193">
        <v>71430.06</v>
      </c>
      <c r="K10" s="304"/>
      <c r="L10" s="225">
        <f>G10-H10</f>
        <v>46750.929999999993</v>
      </c>
      <c r="M10" s="354">
        <f>L10/H10</f>
        <v>0.55341011632508419</v>
      </c>
      <c r="N10" s="427"/>
    </row>
    <row r="11" spans="1:46" s="55" customFormat="1" ht="20.25" hidden="1" x14ac:dyDescent="0.2">
      <c r="A11" s="54"/>
      <c r="B11" s="54"/>
      <c r="C11" s="58" t="s">
        <v>461</v>
      </c>
      <c r="D11" s="58"/>
      <c r="E11" s="58"/>
      <c r="F11" s="54"/>
      <c r="G11" s="193">
        <v>0</v>
      </c>
      <c r="H11" s="193">
        <v>0</v>
      </c>
      <c r="I11" s="193"/>
      <c r="J11" s="193">
        <v>0</v>
      </c>
      <c r="K11" s="304"/>
      <c r="L11" s="225">
        <f>G11-H11</f>
        <v>0</v>
      </c>
      <c r="M11" s="354"/>
      <c r="N11" s="427"/>
    </row>
    <row r="12" spans="1:46" s="55" customFormat="1" ht="20.25" x14ac:dyDescent="0.2">
      <c r="A12" s="54"/>
      <c r="B12" s="54"/>
      <c r="C12" s="58" t="s">
        <v>178</v>
      </c>
      <c r="D12" s="58"/>
      <c r="E12" s="58"/>
      <c r="F12" s="54"/>
      <c r="G12" s="193">
        <v>43656.35</v>
      </c>
      <c r="H12" s="193">
        <v>37478.050000000003</v>
      </c>
      <c r="I12" s="193"/>
      <c r="J12" s="193">
        <f>26645.15+126.72</f>
        <v>26771.870000000003</v>
      </c>
      <c r="K12" s="304"/>
      <c r="L12" s="225">
        <f>G12-H12</f>
        <v>6178.2999999999956</v>
      </c>
      <c r="M12" s="354">
        <f>L12/H12</f>
        <v>0.16485115954538709</v>
      </c>
      <c r="N12" s="427"/>
    </row>
    <row r="13" spans="1:46" s="55" customFormat="1" ht="20.25" x14ac:dyDescent="0.2">
      <c r="A13" s="54"/>
      <c r="B13" s="54"/>
      <c r="C13" s="58" t="s">
        <v>542</v>
      </c>
      <c r="D13" s="58"/>
      <c r="E13" s="58"/>
      <c r="F13" s="54"/>
      <c r="G13" s="193">
        <v>5000</v>
      </c>
      <c r="H13" s="193">
        <f>15040+289.34</f>
        <v>15329.34</v>
      </c>
      <c r="I13" s="193"/>
      <c r="J13" s="193">
        <v>10200</v>
      </c>
      <c r="K13" s="304"/>
      <c r="L13" s="225">
        <f>G13-H13</f>
        <v>-10329.34</v>
      </c>
      <c r="M13" s="354"/>
      <c r="N13" s="427"/>
    </row>
    <row r="14" spans="1:46" s="55" customFormat="1" ht="20.25" x14ac:dyDescent="0.2">
      <c r="A14" s="54"/>
      <c r="B14" s="54"/>
      <c r="C14" s="58" t="s">
        <v>101</v>
      </c>
      <c r="D14" s="58"/>
      <c r="E14" s="58"/>
      <c r="F14" s="54"/>
      <c r="G14" s="193"/>
      <c r="H14" s="193"/>
      <c r="I14" s="193"/>
      <c r="J14" s="193"/>
      <c r="K14" s="304"/>
      <c r="L14" s="225"/>
      <c r="M14" s="354"/>
      <c r="N14" s="427"/>
    </row>
    <row r="15" spans="1:46" s="55" customFormat="1" ht="20.25" x14ac:dyDescent="0.2">
      <c r="A15" s="54"/>
      <c r="B15" s="54"/>
      <c r="D15" s="58" t="s">
        <v>138</v>
      </c>
      <c r="E15" s="58"/>
      <c r="F15" s="54"/>
      <c r="G15" s="193">
        <v>215682.38</v>
      </c>
      <c r="H15" s="193">
        <v>207422.59</v>
      </c>
      <c r="I15" s="193"/>
      <c r="J15" s="193">
        <v>170760.92</v>
      </c>
      <c r="K15" s="304"/>
      <c r="L15" s="225">
        <f t="shared" ref="L15:L28" si="0">G15-H15</f>
        <v>8259.7900000000081</v>
      </c>
      <c r="M15" s="354">
        <f t="shared" ref="M15:M29" si="1">L15/H15</f>
        <v>3.9821072526382048E-2</v>
      </c>
      <c r="N15" s="427"/>
    </row>
    <row r="16" spans="1:46" s="55" customFormat="1" ht="20.25" x14ac:dyDescent="0.2">
      <c r="A16" s="54"/>
      <c r="B16" s="54"/>
      <c r="D16" s="58" t="s">
        <v>158</v>
      </c>
      <c r="E16" s="58"/>
      <c r="F16" s="54"/>
      <c r="G16" s="193">
        <v>18000</v>
      </c>
      <c r="H16" s="193">
        <v>18000</v>
      </c>
      <c r="I16" s="193"/>
      <c r="J16" s="193">
        <f>G16</f>
        <v>18000</v>
      </c>
      <c r="K16" s="304"/>
      <c r="L16" s="225">
        <f t="shared" si="0"/>
        <v>0</v>
      </c>
      <c r="M16" s="354">
        <f t="shared" si="1"/>
        <v>0</v>
      </c>
      <c r="N16" s="427"/>
    </row>
    <row r="17" spans="1:17" s="55" customFormat="1" ht="20.25" x14ac:dyDescent="0.2">
      <c r="A17" s="54"/>
      <c r="B17" s="54"/>
      <c r="D17" s="58" t="s">
        <v>400</v>
      </c>
      <c r="E17" s="58"/>
      <c r="F17" s="54"/>
      <c r="G17" s="193">
        <v>29597.8</v>
      </c>
      <c r="H17" s="193">
        <v>267630.43</v>
      </c>
      <c r="I17" s="193"/>
      <c r="J17" s="193">
        <v>246012.55</v>
      </c>
      <c r="K17" s="304"/>
      <c r="L17" s="225">
        <f t="shared" si="0"/>
        <v>-238032.63</v>
      </c>
      <c r="M17" s="354">
        <f t="shared" si="1"/>
        <v>-0.88940794213871721</v>
      </c>
      <c r="N17" s="427" t="s">
        <v>560</v>
      </c>
    </row>
    <row r="18" spans="1:17" s="55" customFormat="1" ht="20.25" x14ac:dyDescent="0.2">
      <c r="A18" s="54"/>
      <c r="B18" s="54"/>
      <c r="C18" s="58" t="s">
        <v>102</v>
      </c>
      <c r="D18" s="58"/>
      <c r="E18" s="58"/>
      <c r="F18" s="54"/>
      <c r="G18" s="193">
        <f>'December''23 Revenues &amp; Expenses'!J72</f>
        <v>23822.38</v>
      </c>
      <c r="H18" s="193">
        <v>17485.37</v>
      </c>
      <c r="I18" s="193"/>
      <c r="J18" s="193">
        <f>14666.85-75</f>
        <v>14591.85</v>
      </c>
      <c r="K18" s="304"/>
      <c r="L18" s="225">
        <f t="shared" si="0"/>
        <v>6337.010000000002</v>
      </c>
      <c r="M18" s="354">
        <f t="shared" si="1"/>
        <v>0.36241783845580633</v>
      </c>
      <c r="N18" s="428"/>
      <c r="Q18" s="204"/>
    </row>
    <row r="19" spans="1:17" s="55" customFormat="1" ht="20.25" x14ac:dyDescent="0.2">
      <c r="A19" s="54"/>
      <c r="B19" s="54"/>
      <c r="C19" s="58" t="s">
        <v>593</v>
      </c>
      <c r="D19" s="58"/>
      <c r="E19" s="58"/>
      <c r="F19" s="54"/>
      <c r="G19" s="193">
        <f>21562.6+10000</f>
        <v>31562.6</v>
      </c>
      <c r="H19" s="193"/>
      <c r="I19" s="193"/>
      <c r="J19" s="193"/>
      <c r="K19" s="304"/>
      <c r="L19" s="225">
        <f t="shared" si="0"/>
        <v>31562.6</v>
      </c>
      <c r="M19" s="354"/>
      <c r="N19" s="428" t="s">
        <v>682</v>
      </c>
      <c r="Q19" s="204"/>
    </row>
    <row r="20" spans="1:17" s="55" customFormat="1" ht="20.25" x14ac:dyDescent="0.2">
      <c r="A20" s="54"/>
      <c r="B20" s="54"/>
      <c r="C20" s="58" t="s">
        <v>160</v>
      </c>
      <c r="D20" s="58"/>
      <c r="E20" s="58"/>
      <c r="F20" s="54"/>
      <c r="G20" s="193">
        <v>522.52</v>
      </c>
      <c r="H20" s="193">
        <v>125</v>
      </c>
      <c r="I20" s="193"/>
      <c r="J20" s="193">
        <v>75</v>
      </c>
      <c r="K20" s="304"/>
      <c r="L20" s="225">
        <f t="shared" si="0"/>
        <v>397.52</v>
      </c>
      <c r="M20" s="354">
        <f t="shared" si="1"/>
        <v>3.1801599999999999</v>
      </c>
      <c r="N20" s="428"/>
      <c r="Q20" s="204"/>
    </row>
    <row r="21" spans="1:17" s="55" customFormat="1" ht="20.25" x14ac:dyDescent="0.2">
      <c r="A21" s="54"/>
      <c r="B21" s="54"/>
      <c r="C21" s="58" t="s">
        <v>109</v>
      </c>
      <c r="D21" s="58"/>
      <c r="E21" s="58"/>
      <c r="F21" s="54"/>
      <c r="G21" s="193">
        <v>499.51</v>
      </c>
      <c r="H21" s="193">
        <v>433.36</v>
      </c>
      <c r="I21" s="193"/>
      <c r="J21" s="193">
        <v>347.37</v>
      </c>
      <c r="K21" s="304"/>
      <c r="L21" s="225">
        <f t="shared" si="0"/>
        <v>66.149999999999977</v>
      </c>
      <c r="M21" s="354">
        <f t="shared" si="1"/>
        <v>0.1526444526490677</v>
      </c>
      <c r="N21" s="427"/>
    </row>
    <row r="22" spans="1:17" s="55" customFormat="1" ht="20.25" x14ac:dyDescent="0.2">
      <c r="A22" s="54"/>
      <c r="B22" s="54"/>
      <c r="C22" s="58" t="s">
        <v>236</v>
      </c>
      <c r="D22" s="58"/>
      <c r="E22" s="58"/>
      <c r="F22" s="54"/>
      <c r="G22" s="193">
        <v>15382.11</v>
      </c>
      <c r="H22" s="193">
        <v>12684.73</v>
      </c>
      <c r="I22" s="193"/>
      <c r="J22" s="193">
        <v>-53.59</v>
      </c>
      <c r="K22" s="304"/>
      <c r="L22" s="225">
        <f t="shared" si="0"/>
        <v>2697.380000000001</v>
      </c>
      <c r="M22" s="354">
        <f t="shared" si="1"/>
        <v>0.2126478056687057</v>
      </c>
      <c r="N22" s="427"/>
      <c r="Q22" s="204"/>
    </row>
    <row r="23" spans="1:17" s="55" customFormat="1" ht="20.25" x14ac:dyDescent="0.2">
      <c r="A23" s="54"/>
      <c r="B23" s="54"/>
      <c r="C23" s="58" t="s">
        <v>301</v>
      </c>
      <c r="D23" s="58"/>
      <c r="E23" s="58"/>
      <c r="F23" s="54"/>
      <c r="G23" s="193">
        <v>33158.35</v>
      </c>
      <c r="H23" s="193">
        <v>-61396.13</v>
      </c>
      <c r="I23" s="193"/>
      <c r="J23" s="193">
        <v>-59399.32</v>
      </c>
      <c r="K23" s="304"/>
      <c r="L23" s="225">
        <f t="shared" si="0"/>
        <v>94554.48</v>
      </c>
      <c r="M23" s="354">
        <f t="shared" si="1"/>
        <v>-1.5400723140041563</v>
      </c>
      <c r="N23" s="427"/>
    </row>
    <row r="24" spans="1:17" s="55" customFormat="1" ht="20.25" x14ac:dyDescent="0.2">
      <c r="A24" s="54"/>
      <c r="B24" s="54"/>
      <c r="C24" s="58" t="s">
        <v>445</v>
      </c>
      <c r="D24" s="58"/>
      <c r="E24" s="58"/>
      <c r="F24" s="54"/>
      <c r="G24" s="193">
        <f>245618.21-10000</f>
        <v>235618.21</v>
      </c>
      <c r="H24" s="193">
        <v>168020.75</v>
      </c>
      <c r="I24" s="193"/>
      <c r="J24" s="193">
        <v>151935.09</v>
      </c>
      <c r="K24" s="304"/>
      <c r="L24" s="225">
        <f t="shared" si="0"/>
        <v>67597.459999999992</v>
      </c>
      <c r="M24" s="354">
        <f t="shared" si="1"/>
        <v>0.4023161425002566</v>
      </c>
      <c r="N24" s="427" t="s">
        <v>683</v>
      </c>
      <c r="Q24" s="204"/>
    </row>
    <row r="25" spans="1:17" s="55" customFormat="1" ht="20.25" x14ac:dyDescent="0.2">
      <c r="A25" s="54"/>
      <c r="B25" s="54"/>
      <c r="C25" s="58" t="s">
        <v>144</v>
      </c>
      <c r="D25" s="58"/>
      <c r="E25" s="58"/>
      <c r="F25" s="54"/>
      <c r="G25" s="193">
        <v>12401.76</v>
      </c>
      <c r="H25" s="193">
        <v>27117.68</v>
      </c>
      <c r="I25" s="193"/>
      <c r="J25" s="193">
        <v>21170.95</v>
      </c>
      <c r="K25" s="304"/>
      <c r="L25" s="225">
        <f t="shared" si="0"/>
        <v>-14715.92</v>
      </c>
      <c r="M25" s="354">
        <f t="shared" si="1"/>
        <v>-0.54266884187732878</v>
      </c>
      <c r="N25" s="503"/>
      <c r="Q25" s="204"/>
    </row>
    <row r="26" spans="1:17" s="55" customFormat="1" ht="21" thickBot="1" x14ac:dyDescent="0.25">
      <c r="A26" s="54"/>
      <c r="B26" s="54"/>
      <c r="C26" s="58" t="s">
        <v>108</v>
      </c>
      <c r="D26" s="58"/>
      <c r="E26" s="58"/>
      <c r="F26" s="54"/>
      <c r="G26" s="200">
        <v>52740</v>
      </c>
      <c r="H26" s="200">
        <v>52740</v>
      </c>
      <c r="I26" s="193"/>
      <c r="J26" s="200">
        <f>G26</f>
        <v>52740</v>
      </c>
      <c r="K26" s="304"/>
      <c r="L26" s="316">
        <f t="shared" si="0"/>
        <v>0</v>
      </c>
      <c r="M26" s="380">
        <f t="shared" si="1"/>
        <v>0</v>
      </c>
      <c r="N26" s="427"/>
    </row>
    <row r="27" spans="1:17" s="55" customFormat="1" ht="20.25" x14ac:dyDescent="0.2">
      <c r="A27" s="54"/>
      <c r="B27" s="54"/>
      <c r="C27" s="58"/>
      <c r="D27" s="54" t="s">
        <v>104</v>
      </c>
      <c r="E27" s="58"/>
      <c r="F27" s="54"/>
      <c r="G27" s="193">
        <f>SUM(G9:G26)</f>
        <v>1543594.5100000002</v>
      </c>
      <c r="H27" s="193">
        <f>SUM(H9:H26)</f>
        <v>1650993.0100000002</v>
      </c>
      <c r="I27" s="193"/>
      <c r="J27" s="193">
        <f>SUM(J9:J26)</f>
        <v>1390376.0600000003</v>
      </c>
      <c r="K27" s="304"/>
      <c r="L27" s="193">
        <f t="shared" si="0"/>
        <v>-107398.5</v>
      </c>
      <c r="M27" s="354">
        <f t="shared" si="1"/>
        <v>-6.5050850820985592E-2</v>
      </c>
      <c r="N27" s="427"/>
    </row>
    <row r="28" spans="1:17" s="55" customFormat="1" ht="21" thickBot="1" x14ac:dyDescent="0.25">
      <c r="A28" s="54"/>
      <c r="B28" s="54"/>
      <c r="C28" s="54" t="s">
        <v>105</v>
      </c>
      <c r="D28" s="58"/>
      <c r="E28" s="58"/>
      <c r="F28" s="54"/>
      <c r="G28" s="200">
        <v>134785.4</v>
      </c>
      <c r="H28" s="200">
        <v>99372.18</v>
      </c>
      <c r="I28" s="193"/>
      <c r="J28" s="200">
        <v>84174.64</v>
      </c>
      <c r="K28" s="304"/>
      <c r="L28" s="200">
        <f t="shared" si="0"/>
        <v>35413.22</v>
      </c>
      <c r="M28" s="380">
        <f t="shared" si="1"/>
        <v>0.35636955936762182</v>
      </c>
      <c r="N28" s="428"/>
      <c r="Q28" s="285"/>
    </row>
    <row r="29" spans="1:17" s="55" customFormat="1" ht="20.25" x14ac:dyDescent="0.2">
      <c r="A29" s="54"/>
      <c r="B29" s="54"/>
      <c r="C29" s="58"/>
      <c r="D29" s="54" t="s">
        <v>106</v>
      </c>
      <c r="E29" s="58"/>
      <c r="F29" s="54"/>
      <c r="G29" s="193">
        <f>SUM(G27:G28)</f>
        <v>1678379.9100000001</v>
      </c>
      <c r="H29" s="193">
        <f>SUM(H27:H28)</f>
        <v>1750365.1900000002</v>
      </c>
      <c r="I29" s="193"/>
      <c r="J29" s="193">
        <f>SUM(J27:J28)</f>
        <v>1474550.7000000002</v>
      </c>
      <c r="K29" s="204"/>
      <c r="L29" s="193">
        <f>SUM(L27:L28)</f>
        <v>-71985.279999999999</v>
      </c>
      <c r="M29" s="354">
        <f t="shared" si="1"/>
        <v>-4.1125863569076111E-2</v>
      </c>
      <c r="N29" s="428"/>
      <c r="O29" s="204"/>
      <c r="Q29" s="285"/>
    </row>
    <row r="30" spans="1:17" s="55" customFormat="1" ht="6" customHeight="1" x14ac:dyDescent="0.2">
      <c r="A30" s="54"/>
      <c r="B30" s="54"/>
      <c r="C30" s="58"/>
      <c r="D30" s="54"/>
      <c r="E30" s="58"/>
      <c r="F30" s="54"/>
      <c r="G30" s="193"/>
      <c r="H30" s="193"/>
      <c r="I30" s="193"/>
      <c r="J30" s="193"/>
      <c r="K30" s="304"/>
      <c r="L30" s="324"/>
      <c r="M30" s="413"/>
      <c r="N30" s="427"/>
    </row>
    <row r="31" spans="1:17" s="55" customFormat="1" ht="21" thickBot="1" x14ac:dyDescent="0.25">
      <c r="A31" s="54"/>
      <c r="B31" s="66" t="s">
        <v>110</v>
      </c>
      <c r="C31" s="66"/>
      <c r="D31" s="66"/>
      <c r="E31" s="66"/>
      <c r="F31" s="66"/>
      <c r="G31" s="200"/>
      <c r="H31" s="200"/>
      <c r="J31" s="200"/>
      <c r="K31" s="304"/>
      <c r="L31" s="324"/>
      <c r="M31" s="413"/>
      <c r="N31" s="428"/>
    </row>
    <row r="32" spans="1:17" s="55" customFormat="1" ht="20.25" x14ac:dyDescent="0.2">
      <c r="A32" s="54"/>
      <c r="B32" s="54"/>
      <c r="C32" s="58" t="s">
        <v>111</v>
      </c>
      <c r="D32" s="58"/>
      <c r="E32" s="58"/>
      <c r="F32" s="58"/>
      <c r="G32" s="193">
        <f>929629.17+4750</f>
        <v>934379.17</v>
      </c>
      <c r="H32" s="193">
        <v>1007778.19</v>
      </c>
      <c r="I32" s="225"/>
      <c r="J32" s="193">
        <v>828692.73</v>
      </c>
      <c r="K32" s="304"/>
      <c r="L32" s="225">
        <f t="shared" ref="L32:L54" si="2">G32-H32</f>
        <v>-73399.019999999902</v>
      </c>
      <c r="M32" s="354">
        <f t="shared" ref="M32:M43" si="3">L32/H32</f>
        <v>-7.283251486123142E-2</v>
      </c>
      <c r="N32" s="428" t="s">
        <v>684</v>
      </c>
    </row>
    <row r="33" spans="1:16" s="55" customFormat="1" ht="20.25" x14ac:dyDescent="0.2">
      <c r="A33" s="54"/>
      <c r="B33" s="54"/>
      <c r="C33" s="58" t="s">
        <v>112</v>
      </c>
      <c r="D33" s="58"/>
      <c r="E33" s="58"/>
      <c r="F33" s="58"/>
      <c r="G33" s="193">
        <v>185846.07</v>
      </c>
      <c r="H33" s="193">
        <v>220461.1</v>
      </c>
      <c r="I33" s="225"/>
      <c r="J33" s="193">
        <v>165931.93</v>
      </c>
      <c r="K33" s="304"/>
      <c r="L33" s="225">
        <f t="shared" si="2"/>
        <v>-34615.03</v>
      </c>
      <c r="M33" s="354">
        <f t="shared" si="3"/>
        <v>-0.15701196265463613</v>
      </c>
      <c r="N33" s="428" t="s">
        <v>685</v>
      </c>
    </row>
    <row r="34" spans="1:16" s="55" customFormat="1" ht="20.25" x14ac:dyDescent="0.2">
      <c r="A34" s="54"/>
      <c r="B34" s="54"/>
      <c r="C34" s="58" t="s">
        <v>113</v>
      </c>
      <c r="D34" s="58"/>
      <c r="E34" s="58"/>
      <c r="F34" s="58"/>
      <c r="G34" s="193">
        <f>150*12</f>
        <v>1800</v>
      </c>
      <c r="H34" s="193">
        <f>150*12</f>
        <v>1800</v>
      </c>
      <c r="I34" s="225"/>
      <c r="J34" s="193">
        <f>G34</f>
        <v>1800</v>
      </c>
      <c r="K34" s="304"/>
      <c r="L34" s="225">
        <f t="shared" si="2"/>
        <v>0</v>
      </c>
      <c r="M34" s="354">
        <f t="shared" si="3"/>
        <v>0</v>
      </c>
      <c r="N34" s="427"/>
    </row>
    <row r="35" spans="1:16" s="55" customFormat="1" ht="20.25" x14ac:dyDescent="0.2">
      <c r="A35" s="54"/>
      <c r="B35" s="54"/>
      <c r="C35" s="58" t="s">
        <v>103</v>
      </c>
      <c r="D35" s="58"/>
      <c r="E35" s="58"/>
      <c r="F35" s="58"/>
      <c r="G35" s="193">
        <f>G26</f>
        <v>52740</v>
      </c>
      <c r="H35" s="193">
        <f>H26</f>
        <v>52740</v>
      </c>
      <c r="I35" s="225"/>
      <c r="J35" s="193">
        <f>J26</f>
        <v>52740</v>
      </c>
      <c r="K35" s="304"/>
      <c r="L35" s="225">
        <f t="shared" si="2"/>
        <v>0</v>
      </c>
      <c r="M35" s="354">
        <f t="shared" si="3"/>
        <v>0</v>
      </c>
      <c r="N35" s="427"/>
    </row>
    <row r="36" spans="1:16" s="55" customFormat="1" ht="20.25" x14ac:dyDescent="0.2">
      <c r="A36" s="54"/>
      <c r="B36" s="54"/>
      <c r="C36" s="58" t="s">
        <v>114</v>
      </c>
      <c r="D36" s="58"/>
      <c r="E36" s="58"/>
      <c r="F36" s="58"/>
      <c r="G36" s="193">
        <v>19611.759999999998</v>
      </c>
      <c r="H36" s="193">
        <v>21455.64</v>
      </c>
      <c r="I36" s="225"/>
      <c r="J36" s="193">
        <v>17741.8</v>
      </c>
      <c r="K36" s="304"/>
      <c r="L36" s="225">
        <f t="shared" si="2"/>
        <v>-1843.880000000001</v>
      </c>
      <c r="M36" s="354">
        <f t="shared" si="3"/>
        <v>-8.5939174967514423E-2</v>
      </c>
      <c r="N36" s="427"/>
    </row>
    <row r="37" spans="1:16" s="55" customFormat="1" ht="20.25" x14ac:dyDescent="0.2">
      <c r="A37" s="54"/>
      <c r="B37" s="54"/>
      <c r="C37" s="58" t="s">
        <v>115</v>
      </c>
      <c r="D37" s="58"/>
      <c r="E37" s="58"/>
      <c r="F37" s="58"/>
      <c r="G37" s="193">
        <v>3399.22</v>
      </c>
      <c r="H37" s="193">
        <v>2520.5300000000002</v>
      </c>
      <c r="I37" s="225"/>
      <c r="J37" s="193">
        <v>2147.2399999999998</v>
      </c>
      <c r="K37" s="304"/>
      <c r="L37" s="225">
        <f t="shared" si="2"/>
        <v>878.6899999999996</v>
      </c>
      <c r="M37" s="354">
        <f t="shared" si="3"/>
        <v>0.34861318849607009</v>
      </c>
      <c r="N37" s="427"/>
    </row>
    <row r="38" spans="1:16" s="55" customFormat="1" ht="20.25" x14ac:dyDescent="0.2">
      <c r="A38" s="54"/>
      <c r="B38" s="54"/>
      <c r="C38" s="58" t="s">
        <v>116</v>
      </c>
      <c r="D38" s="58"/>
      <c r="E38" s="58"/>
      <c r="F38" s="58"/>
      <c r="G38" s="193">
        <v>5676.69</v>
      </c>
      <c r="H38" s="193">
        <v>3693.23</v>
      </c>
      <c r="I38" s="225"/>
      <c r="J38" s="193">
        <v>3096.53</v>
      </c>
      <c r="K38" s="304"/>
      <c r="L38" s="225">
        <f t="shared" si="2"/>
        <v>1983.4599999999996</v>
      </c>
      <c r="M38" s="354">
        <f t="shared" si="3"/>
        <v>0.53705293198636417</v>
      </c>
      <c r="N38" s="427"/>
    </row>
    <row r="39" spans="1:16" s="55" customFormat="1" ht="20.25" x14ac:dyDescent="0.2">
      <c r="A39" s="54"/>
      <c r="B39" s="54"/>
      <c r="C39" s="58" t="s">
        <v>117</v>
      </c>
      <c r="D39" s="58"/>
      <c r="E39" s="58"/>
      <c r="F39" s="58"/>
      <c r="G39" s="193">
        <v>7663.45</v>
      </c>
      <c r="H39" s="193">
        <v>9996.52</v>
      </c>
      <c r="I39" s="225"/>
      <c r="J39" s="193">
        <v>9398.2900000000009</v>
      </c>
      <c r="K39" s="304"/>
      <c r="L39" s="225">
        <f t="shared" si="2"/>
        <v>-2333.0700000000006</v>
      </c>
      <c r="M39" s="354">
        <f t="shared" si="3"/>
        <v>-0.23338821910024693</v>
      </c>
      <c r="N39" s="427"/>
    </row>
    <row r="40" spans="1:16" s="55" customFormat="1" ht="20.25" x14ac:dyDescent="0.2">
      <c r="A40" s="54"/>
      <c r="B40" s="54"/>
      <c r="C40" s="58" t="s">
        <v>118</v>
      </c>
      <c r="D40" s="58"/>
      <c r="E40" s="58"/>
      <c r="F40" s="58"/>
      <c r="G40" s="193">
        <f>32686.83+20164.03</f>
        <v>52850.86</v>
      </c>
      <c r="H40" s="193">
        <f>30529.33+14188.56</f>
        <v>44717.89</v>
      </c>
      <c r="I40" s="225"/>
      <c r="J40" s="193">
        <f>26116.56+12639.29</f>
        <v>38755.850000000006</v>
      </c>
      <c r="K40" s="304"/>
      <c r="L40" s="225">
        <f t="shared" si="2"/>
        <v>8132.9700000000012</v>
      </c>
      <c r="M40" s="354">
        <f t="shared" si="3"/>
        <v>0.18187284775735174</v>
      </c>
      <c r="N40" s="427"/>
    </row>
    <row r="41" spans="1:16" s="55" customFormat="1" ht="20.25" x14ac:dyDescent="0.2">
      <c r="A41" s="54"/>
      <c r="B41" s="54"/>
      <c r="C41" s="58" t="s">
        <v>119</v>
      </c>
      <c r="D41" s="58"/>
      <c r="E41" s="58"/>
      <c r="F41" s="58"/>
      <c r="G41" s="193">
        <v>5933.27</v>
      </c>
      <c r="H41" s="193">
        <v>4597.3500000000004</v>
      </c>
      <c r="I41" s="225"/>
      <c r="J41" s="193">
        <v>3460.86</v>
      </c>
      <c r="K41" s="304"/>
      <c r="L41" s="225">
        <f t="shared" si="2"/>
        <v>1335.92</v>
      </c>
      <c r="M41" s="354">
        <f t="shared" si="3"/>
        <v>0.29058479341359694</v>
      </c>
      <c r="N41" s="427"/>
    </row>
    <row r="42" spans="1:16" s="55" customFormat="1" ht="20.25" x14ac:dyDescent="0.2">
      <c r="A42" s="54"/>
      <c r="B42" s="54"/>
      <c r="C42" s="58" t="s">
        <v>120</v>
      </c>
      <c r="D42" s="58"/>
      <c r="E42" s="58"/>
      <c r="F42" s="58"/>
      <c r="G42" s="193">
        <v>1318.06</v>
      </c>
      <c r="H42" s="193">
        <v>1250.1300000000001</v>
      </c>
      <c r="I42" s="225"/>
      <c r="J42" s="193">
        <v>940.37</v>
      </c>
      <c r="K42" s="304"/>
      <c r="L42" s="225">
        <f t="shared" si="2"/>
        <v>67.929999999999836</v>
      </c>
      <c r="M42" s="354">
        <f t="shared" si="3"/>
        <v>5.4338348811723447E-2</v>
      </c>
      <c r="N42" s="427"/>
    </row>
    <row r="43" spans="1:16" s="55" customFormat="1" ht="20.25" x14ac:dyDescent="0.2">
      <c r="A43" s="54"/>
      <c r="B43" s="54"/>
      <c r="C43" s="58" t="s">
        <v>165</v>
      </c>
      <c r="D43" s="58"/>
      <c r="E43" s="58"/>
      <c r="F43" s="58"/>
      <c r="G43" s="193">
        <v>7675</v>
      </c>
      <c r="H43" s="193">
        <v>22675</v>
      </c>
      <c r="I43" s="225"/>
      <c r="J43" s="193">
        <v>13875</v>
      </c>
      <c r="K43" s="304"/>
      <c r="L43" s="225">
        <f t="shared" si="2"/>
        <v>-15000</v>
      </c>
      <c r="M43" s="354">
        <f t="shared" si="3"/>
        <v>-0.66152149944873206</v>
      </c>
      <c r="N43" s="427" t="s">
        <v>686</v>
      </c>
    </row>
    <row r="44" spans="1:16" s="55" customFormat="1" ht="20.25" x14ac:dyDescent="0.2">
      <c r="A44" s="54"/>
      <c r="B44" s="54"/>
      <c r="C44" s="784" t="s">
        <v>323</v>
      </c>
      <c r="D44" s="784"/>
      <c r="E44" s="784"/>
      <c r="F44" s="784"/>
      <c r="G44" s="193">
        <v>409.5</v>
      </c>
      <c r="H44" s="193">
        <v>0</v>
      </c>
      <c r="I44" s="225"/>
      <c r="J44" s="193">
        <v>0</v>
      </c>
      <c r="K44" s="304"/>
      <c r="L44" s="225">
        <f t="shared" si="2"/>
        <v>409.5</v>
      </c>
      <c r="M44" s="354">
        <v>1</v>
      </c>
      <c r="N44" s="427" t="s">
        <v>619</v>
      </c>
    </row>
    <row r="45" spans="1:16" s="55" customFormat="1" ht="20.25" x14ac:dyDescent="0.2">
      <c r="A45" s="58"/>
      <c r="B45" s="58"/>
      <c r="C45" s="58" t="s">
        <v>121</v>
      </c>
      <c r="D45" s="58"/>
      <c r="E45" s="58"/>
      <c r="F45" s="58"/>
      <c r="G45" s="193">
        <v>31243.57</v>
      </c>
      <c r="H45" s="193">
        <v>23073.200000000001</v>
      </c>
      <c r="I45" s="226"/>
      <c r="J45" s="193">
        <v>22503.22</v>
      </c>
      <c r="K45" s="304"/>
      <c r="L45" s="225">
        <f t="shared" si="2"/>
        <v>8170.369999999999</v>
      </c>
      <c r="M45" s="354">
        <f t="shared" ref="M45:M54" si="4">L45/H45</f>
        <v>0.35410649584799675</v>
      </c>
      <c r="N45" s="427" t="s">
        <v>687</v>
      </c>
    </row>
    <row r="46" spans="1:16" s="55" customFormat="1" ht="20.25" x14ac:dyDescent="0.2">
      <c r="A46" s="58"/>
      <c r="B46" s="58"/>
      <c r="C46" s="58" t="s">
        <v>122</v>
      </c>
      <c r="D46" s="58"/>
      <c r="E46" s="58"/>
      <c r="F46" s="58"/>
      <c r="G46" s="193">
        <f>25694.67-2000</f>
        <v>23694.67</v>
      </c>
      <c r="H46" s="193">
        <v>12215.08</v>
      </c>
      <c r="I46" s="193"/>
      <c r="J46" s="193">
        <v>10776.04</v>
      </c>
      <c r="K46" s="304"/>
      <c r="L46" s="225">
        <f t="shared" si="2"/>
        <v>11479.589999999998</v>
      </c>
      <c r="M46" s="354">
        <f t="shared" si="4"/>
        <v>0.93978835996162102</v>
      </c>
      <c r="N46" s="429"/>
    </row>
    <row r="47" spans="1:16" s="55" customFormat="1" ht="20.25" x14ac:dyDescent="0.2">
      <c r="A47" s="58"/>
      <c r="B47" s="58"/>
      <c r="C47" s="58" t="s">
        <v>129</v>
      </c>
      <c r="D47" s="58"/>
      <c r="E47" s="58"/>
      <c r="F47" s="58"/>
      <c r="G47" s="193">
        <f>210+92.65</f>
        <v>302.64999999999998</v>
      </c>
      <c r="H47" s="193">
        <f>1999.96</f>
        <v>1999.96</v>
      </c>
      <c r="I47" s="193"/>
      <c r="J47" s="193">
        <f>649.96+250</f>
        <v>899.96</v>
      </c>
      <c r="K47" s="304"/>
      <c r="L47" s="225">
        <f t="shared" si="2"/>
        <v>-1697.31</v>
      </c>
      <c r="M47" s="354">
        <f t="shared" si="4"/>
        <v>-0.84867197343946876</v>
      </c>
      <c r="P47" s="204"/>
    </row>
    <row r="48" spans="1:16" s="55" customFormat="1" ht="20.25" x14ac:dyDescent="0.2">
      <c r="A48" s="58"/>
      <c r="B48" s="58"/>
      <c r="C48" s="58" t="s">
        <v>123</v>
      </c>
      <c r="D48" s="58"/>
      <c r="E48" s="58"/>
      <c r="F48" s="58"/>
      <c r="G48" s="193">
        <f>6568.01+3012.83</f>
        <v>9580.84</v>
      </c>
      <c r="H48" s="193">
        <v>6581.01</v>
      </c>
      <c r="I48" s="193"/>
      <c r="J48" s="193">
        <f>6444.99</f>
        <v>6444.99</v>
      </c>
      <c r="K48" s="304"/>
      <c r="L48" s="225">
        <f t="shared" si="2"/>
        <v>2999.83</v>
      </c>
      <c r="M48" s="354">
        <f t="shared" si="4"/>
        <v>0.45583124778719375</v>
      </c>
      <c r="N48" s="427"/>
      <c r="P48" s="204"/>
    </row>
    <row r="49" spans="1:18" s="55" customFormat="1" ht="20.25" x14ac:dyDescent="0.2">
      <c r="A49" s="54"/>
      <c r="B49" s="54"/>
      <c r="C49" s="58" t="s">
        <v>198</v>
      </c>
      <c r="D49" s="58"/>
      <c r="E49" s="58"/>
      <c r="F49" s="58"/>
      <c r="G49" s="193">
        <v>7326.65</v>
      </c>
      <c r="H49" s="193">
        <v>8352.76</v>
      </c>
      <c r="I49" s="193"/>
      <c r="J49" s="193">
        <f>7461.15</f>
        <v>7461.15</v>
      </c>
      <c r="K49" s="304"/>
      <c r="L49" s="225">
        <f t="shared" si="2"/>
        <v>-1026.1100000000006</v>
      </c>
      <c r="M49" s="354">
        <f t="shared" si="4"/>
        <v>-0.12284681949439473</v>
      </c>
      <c r="N49" s="427"/>
    </row>
    <row r="50" spans="1:18" s="55" customFormat="1" ht="20.25" x14ac:dyDescent="0.2">
      <c r="A50" s="58"/>
      <c r="B50" s="58"/>
      <c r="C50" s="58" t="s">
        <v>466</v>
      </c>
      <c r="D50" s="58"/>
      <c r="E50" s="58"/>
      <c r="F50" s="58"/>
      <c r="G50" s="193">
        <v>35077</v>
      </c>
      <c r="H50" s="193">
        <v>39245</v>
      </c>
      <c r="I50" s="193"/>
      <c r="J50" s="193">
        <f>32126</f>
        <v>32126</v>
      </c>
      <c r="K50" s="304"/>
      <c r="L50" s="225">
        <f t="shared" si="2"/>
        <v>-4168</v>
      </c>
      <c r="M50" s="354">
        <f t="shared" si="4"/>
        <v>-0.10620461205249077</v>
      </c>
      <c r="N50" s="429"/>
    </row>
    <row r="51" spans="1:18" s="55" customFormat="1" ht="20.25" x14ac:dyDescent="0.2">
      <c r="A51" s="58"/>
      <c r="B51" s="58"/>
      <c r="C51" s="58" t="s">
        <v>125</v>
      </c>
      <c r="D51" s="58"/>
      <c r="E51" s="58"/>
      <c r="F51" s="58"/>
      <c r="G51" s="193">
        <f>2150+33774.13</f>
        <v>35924.129999999997</v>
      </c>
      <c r="H51" s="193">
        <f>11900+130658.19+3300+6607.12</f>
        <v>152465.31</v>
      </c>
      <c r="I51" s="193"/>
      <c r="J51" s="193">
        <f>9750+129570.21+3300+6607.12</f>
        <v>149227.33000000002</v>
      </c>
      <c r="K51" s="304"/>
      <c r="L51" s="225">
        <f t="shared" si="2"/>
        <v>-116541.18</v>
      </c>
      <c r="M51" s="354">
        <f t="shared" si="4"/>
        <v>-0.76437833629171115</v>
      </c>
      <c r="N51" s="427" t="s">
        <v>559</v>
      </c>
    </row>
    <row r="52" spans="1:18" s="55" customFormat="1" ht="20.25" x14ac:dyDescent="0.2">
      <c r="A52" s="58"/>
      <c r="B52" s="58"/>
      <c r="C52" s="58" t="s">
        <v>164</v>
      </c>
      <c r="D52" s="58"/>
      <c r="E52" s="58"/>
      <c r="F52" s="58"/>
      <c r="G52" s="193">
        <v>60853.16</v>
      </c>
      <c r="H52" s="193">
        <v>74987.45</v>
      </c>
      <c r="I52" s="193"/>
      <c r="J52" s="193">
        <v>62598.62</v>
      </c>
      <c r="K52" s="304"/>
      <c r="L52" s="225">
        <f t="shared" si="2"/>
        <v>-14134.289999999994</v>
      </c>
      <c r="M52" s="354">
        <f t="shared" si="4"/>
        <v>-0.18848874044923508</v>
      </c>
      <c r="N52" s="427"/>
    </row>
    <row r="53" spans="1:18" s="55" customFormat="1" ht="20.25" x14ac:dyDescent="0.2">
      <c r="A53" s="58"/>
      <c r="B53" s="58"/>
      <c r="C53" s="58" t="s">
        <v>126</v>
      </c>
      <c r="D53" s="58"/>
      <c r="E53" s="58"/>
      <c r="F53" s="58"/>
      <c r="G53" s="193">
        <f>52356.19+14824.15</f>
        <v>67180.34</v>
      </c>
      <c r="H53" s="193">
        <f>1237.48+74988.02</f>
        <v>76225.5</v>
      </c>
      <c r="I53" s="193"/>
      <c r="J53" s="193">
        <f>1237.48+74988.02</f>
        <v>76225.5</v>
      </c>
      <c r="K53" s="304"/>
      <c r="L53" s="225">
        <f t="shared" si="2"/>
        <v>-9045.1600000000035</v>
      </c>
      <c r="M53" s="354">
        <f t="shared" si="4"/>
        <v>-0.11866317702081329</v>
      </c>
      <c r="N53" s="427"/>
    </row>
    <row r="54" spans="1:18" s="55" customFormat="1" ht="21" thickBot="1" x14ac:dyDescent="0.25">
      <c r="A54" s="58"/>
      <c r="B54" s="58"/>
      <c r="C54" s="58" t="s">
        <v>467</v>
      </c>
      <c r="D54" s="58"/>
      <c r="E54" s="58"/>
      <c r="F54" s="58"/>
      <c r="G54" s="200">
        <f>4451+11.19+1000</f>
        <v>5462.19</v>
      </c>
      <c r="H54" s="200">
        <f>880.52+45.81</f>
        <v>926.32999999999993</v>
      </c>
      <c r="I54" s="193"/>
      <c r="J54" s="200">
        <v>232.89</v>
      </c>
      <c r="K54" s="304"/>
      <c r="L54" s="316">
        <f t="shared" si="2"/>
        <v>4535.8599999999997</v>
      </c>
      <c r="M54" s="380">
        <f t="shared" si="4"/>
        <v>4.8965919272829339</v>
      </c>
      <c r="N54" s="427"/>
    </row>
    <row r="55" spans="1:18" s="55" customFormat="1" ht="21" hidden="1" thickBot="1" x14ac:dyDescent="0.25">
      <c r="A55" s="58"/>
      <c r="B55" s="58"/>
      <c r="C55" s="58"/>
      <c r="D55" s="58"/>
      <c r="E55" s="58"/>
      <c r="F55" s="58"/>
      <c r="G55" s="200"/>
      <c r="H55" s="200"/>
      <c r="I55" s="193"/>
      <c r="J55" s="200"/>
      <c r="K55" s="304"/>
      <c r="L55" s="316"/>
      <c r="M55" s="380"/>
      <c r="N55" s="427"/>
    </row>
    <row r="56" spans="1:18" s="55" customFormat="1" ht="20.25" x14ac:dyDescent="0.2">
      <c r="A56" s="54"/>
      <c r="B56" s="54"/>
      <c r="C56" s="54"/>
      <c r="D56" s="54" t="s">
        <v>127</v>
      </c>
      <c r="E56" s="54"/>
      <c r="F56" s="54"/>
      <c r="G56" s="196">
        <f>SUM(G32:G54)</f>
        <v>1555948.2499999998</v>
      </c>
      <c r="H56" s="196">
        <f>SUM(H32:H54)</f>
        <v>1789757.18</v>
      </c>
      <c r="I56" s="193"/>
      <c r="J56" s="196">
        <f>SUM(J32:J54)</f>
        <v>1507076.3000000003</v>
      </c>
      <c r="K56" s="304"/>
      <c r="L56" s="193">
        <f>SUM(L32:L54)</f>
        <v>-233808.92999999991</v>
      </c>
      <c r="M56" s="354">
        <f>L56/H56</f>
        <v>-0.13063723538184097</v>
      </c>
      <c r="N56" s="430"/>
    </row>
    <row r="57" spans="1:18" s="55" customFormat="1" ht="10.5" customHeight="1" thickBot="1" x14ac:dyDescent="0.25">
      <c r="A57" s="54"/>
      <c r="B57" s="54"/>
      <c r="C57" s="54"/>
      <c r="D57" s="54"/>
      <c r="E57" s="54"/>
      <c r="F57" s="54"/>
      <c r="G57" s="200"/>
      <c r="H57" s="200"/>
      <c r="I57" s="193"/>
      <c r="J57" s="200"/>
      <c r="K57" s="304"/>
      <c r="L57" s="326"/>
      <c r="M57" s="414"/>
      <c r="N57" s="430"/>
    </row>
    <row r="58" spans="1:18" s="55" customFormat="1" ht="21" thickBot="1" x14ac:dyDescent="0.25">
      <c r="A58" s="54"/>
      <c r="B58" s="54"/>
      <c r="C58" s="54"/>
      <c r="D58" s="54" t="s">
        <v>128</v>
      </c>
      <c r="E58" s="54"/>
      <c r="F58" s="54"/>
      <c r="G58" s="200">
        <f>G29-G56</f>
        <v>122431.66000000038</v>
      </c>
      <c r="H58" s="200">
        <f>H29-H56</f>
        <v>-39391.989999999758</v>
      </c>
      <c r="I58" s="193"/>
      <c r="J58" s="200">
        <f>J29-J56</f>
        <v>-32525.600000000093</v>
      </c>
      <c r="K58" s="304"/>
      <c r="L58" s="200">
        <f>L29-L56</f>
        <v>161823.64999999991</v>
      </c>
      <c r="M58" s="408">
        <f>L58/H58</f>
        <v>-4.1080343998869031</v>
      </c>
      <c r="N58" s="430"/>
    </row>
    <row r="59" spans="1:18" s="55" customFormat="1" ht="11.25" customHeight="1" x14ac:dyDescent="0.2">
      <c r="A59" s="54"/>
      <c r="B59" s="54"/>
      <c r="C59" s="54"/>
      <c r="D59" s="54"/>
      <c r="E59" s="54"/>
      <c r="F59" s="54"/>
      <c r="G59" s="193"/>
      <c r="H59" s="193"/>
      <c r="I59" s="193"/>
      <c r="J59" s="193"/>
      <c r="K59" s="304"/>
      <c r="L59" s="324"/>
      <c r="M59" s="413"/>
      <c r="N59" s="427"/>
    </row>
    <row r="60" spans="1:18" s="55" customFormat="1" ht="21" thickBot="1" x14ac:dyDescent="0.25">
      <c r="A60" s="58"/>
      <c r="B60" s="66" t="s">
        <v>333</v>
      </c>
      <c r="C60" s="66"/>
      <c r="D60" s="66"/>
      <c r="E60" s="66"/>
      <c r="F60" s="66"/>
      <c r="G60" s="540"/>
      <c r="H60" s="540"/>
      <c r="I60" s="193"/>
      <c r="J60" s="200"/>
      <c r="K60" s="304"/>
      <c r="L60" s="324"/>
      <c r="M60" s="413"/>
      <c r="N60" s="427"/>
    </row>
    <row r="61" spans="1:18" s="55" customFormat="1" ht="20.25" x14ac:dyDescent="0.2">
      <c r="A61" s="58"/>
      <c r="B61" s="54"/>
      <c r="C61" s="54"/>
      <c r="D61" s="54" t="s">
        <v>140</v>
      </c>
      <c r="E61" s="54"/>
      <c r="F61" s="54"/>
      <c r="G61" s="193"/>
      <c r="H61" s="193"/>
      <c r="I61" s="193"/>
      <c r="J61" s="193"/>
      <c r="K61" s="304"/>
      <c r="L61" s="324"/>
      <c r="M61" s="413"/>
      <c r="N61" s="427"/>
    </row>
    <row r="62" spans="1:18" s="55" customFormat="1" ht="20.25" x14ac:dyDescent="0.2">
      <c r="A62" s="58"/>
      <c r="B62" s="54"/>
      <c r="C62" s="54"/>
      <c r="D62" s="54"/>
      <c r="E62" s="58" t="s">
        <v>141</v>
      </c>
      <c r="F62" s="54"/>
      <c r="G62" s="193">
        <v>52000</v>
      </c>
      <c r="H62" s="193">
        <f>52000+10400</f>
        <v>62400</v>
      </c>
      <c r="I62" s="193"/>
      <c r="J62" s="193">
        <v>62400</v>
      </c>
      <c r="K62" s="304"/>
      <c r="L62" s="225">
        <f>G62-H62</f>
        <v>-10400</v>
      </c>
      <c r="M62" s="354">
        <f>L62/H62</f>
        <v>-0.16666666666666666</v>
      </c>
      <c r="N62" s="427" t="s">
        <v>561</v>
      </c>
      <c r="R62" s="204"/>
    </row>
    <row r="63" spans="1:18" s="55" customFormat="1" ht="20.25" x14ac:dyDescent="0.2">
      <c r="A63" s="58"/>
      <c r="B63" s="54"/>
      <c r="C63" s="54"/>
      <c r="D63" s="54"/>
      <c r="E63" s="58" t="s">
        <v>168</v>
      </c>
      <c r="F63" s="54"/>
      <c r="G63" s="193">
        <v>21000</v>
      </c>
      <c r="H63" s="193">
        <f>20000</f>
        <v>20000</v>
      </c>
      <c r="I63" s="193"/>
      <c r="J63" s="193">
        <v>20000</v>
      </c>
      <c r="K63" s="304"/>
      <c r="L63" s="225">
        <f>G63-H63</f>
        <v>1000</v>
      </c>
      <c r="M63" s="354">
        <f>L63/H63</f>
        <v>0.05</v>
      </c>
      <c r="N63" s="427"/>
    </row>
    <row r="64" spans="1:18" s="55" customFormat="1" ht="20.25" x14ac:dyDescent="0.2">
      <c r="A64" s="58"/>
      <c r="B64" s="54"/>
      <c r="C64" s="54"/>
      <c r="D64" s="54"/>
      <c r="E64" s="58" t="s">
        <v>567</v>
      </c>
      <c r="F64" s="54"/>
      <c r="G64" s="193">
        <f>14285.75+7500+1500-13092</f>
        <v>10193.75</v>
      </c>
      <c r="H64" s="193">
        <v>50000</v>
      </c>
      <c r="I64" s="193"/>
      <c r="J64" s="193"/>
      <c r="K64" s="304"/>
      <c r="L64" s="225">
        <f>G64-H64</f>
        <v>-39806.25</v>
      </c>
      <c r="M64" s="354"/>
      <c r="N64" s="427"/>
    </row>
    <row r="65" spans="1:14" s="55" customFormat="1" ht="21" thickBot="1" x14ac:dyDescent="0.25">
      <c r="A65" s="58"/>
      <c r="B65" s="54"/>
      <c r="C65" s="54"/>
      <c r="D65" s="54"/>
      <c r="E65" s="58" t="s">
        <v>139</v>
      </c>
      <c r="F65" s="54"/>
      <c r="G65" s="195">
        <f>33.81+5000+2000</f>
        <v>7033.81</v>
      </c>
      <c r="H65" s="195">
        <f>29650-1</f>
        <v>29649</v>
      </c>
      <c r="I65" s="195"/>
      <c r="J65" s="195">
        <f>20000+7500-0.49</f>
        <v>27499.51</v>
      </c>
      <c r="K65" s="499"/>
      <c r="L65" s="316">
        <f>G65-H65</f>
        <v>-22615.19</v>
      </c>
      <c r="M65" s="411">
        <f>L65/H65</f>
        <v>-0.76276400553138379</v>
      </c>
      <c r="N65" s="427"/>
    </row>
    <row r="66" spans="1:14" s="55" customFormat="1" ht="21" thickBot="1" x14ac:dyDescent="0.25">
      <c r="A66" s="58"/>
      <c r="B66" s="54"/>
      <c r="C66" s="54"/>
      <c r="D66" s="54" t="s">
        <v>105</v>
      </c>
      <c r="E66" s="54"/>
      <c r="F66" s="54"/>
      <c r="G66" s="200">
        <f>-G28</f>
        <v>-134785.4</v>
      </c>
      <c r="H66" s="200">
        <f>-H28</f>
        <v>-99372.18</v>
      </c>
      <c r="I66" s="193"/>
      <c r="J66" s="200">
        <f>-J28</f>
        <v>-84174.64</v>
      </c>
      <c r="K66" s="304"/>
      <c r="L66" s="316">
        <f>G66-H66</f>
        <v>-35413.22</v>
      </c>
      <c r="M66" s="380">
        <f>L66/H66</f>
        <v>0.35636955936762182</v>
      </c>
      <c r="N66" s="427"/>
    </row>
    <row r="67" spans="1:14" s="55" customFormat="1" ht="21" thickBot="1" x14ac:dyDescent="0.25">
      <c r="A67" s="58"/>
      <c r="B67" s="54"/>
      <c r="C67" s="54"/>
      <c r="D67" s="54"/>
      <c r="E67" s="54" t="s">
        <v>332</v>
      </c>
      <c r="F67" s="54"/>
      <c r="G67" s="200">
        <f>SUM(G61:G66)</f>
        <v>-44557.84</v>
      </c>
      <c r="H67" s="200">
        <f>SUM(H61:H66)</f>
        <v>62676.820000000007</v>
      </c>
      <c r="I67" s="193"/>
      <c r="J67" s="200">
        <f>SUM(J61:J66)</f>
        <v>25724.869999999995</v>
      </c>
      <c r="K67" s="304"/>
      <c r="L67" s="200">
        <f>SUM(L62:L66)</f>
        <v>-107234.66</v>
      </c>
      <c r="M67" s="380">
        <f>L67/H67</f>
        <v>-1.7109141784793802</v>
      </c>
      <c r="N67" s="427"/>
    </row>
    <row r="68" spans="1:14" s="55" customFormat="1" ht="7.5" customHeight="1" x14ac:dyDescent="0.2">
      <c r="A68" s="54"/>
      <c r="B68" s="54"/>
      <c r="C68" s="54"/>
      <c r="D68" s="54"/>
      <c r="E68" s="54"/>
      <c r="F68" s="54"/>
      <c r="G68" s="223"/>
      <c r="H68" s="223"/>
      <c r="I68" s="223"/>
      <c r="J68" s="223"/>
      <c r="K68" s="304"/>
      <c r="L68" s="324"/>
      <c r="M68" s="324"/>
      <c r="N68" s="427"/>
    </row>
    <row r="69" spans="1:14" s="55" customFormat="1" ht="20.25" x14ac:dyDescent="0.2">
      <c r="A69" s="54"/>
      <c r="B69" s="54"/>
      <c r="C69" s="54"/>
      <c r="D69" s="54"/>
      <c r="E69" s="54" t="s">
        <v>85</v>
      </c>
      <c r="F69" s="54"/>
      <c r="G69" s="196">
        <f>G58+G67</f>
        <v>77873.820000000385</v>
      </c>
      <c r="H69" s="196">
        <f>H58+H67</f>
        <v>23284.830000000249</v>
      </c>
      <c r="I69" s="196"/>
      <c r="J69" s="196">
        <f>J58+J67</f>
        <v>-6800.7300000000978</v>
      </c>
      <c r="K69" s="304"/>
      <c r="L69" s="196">
        <f>L58+L67</f>
        <v>54588.989999999903</v>
      </c>
      <c r="M69" s="196"/>
      <c r="N69" s="427"/>
    </row>
    <row r="70" spans="1:14" s="55" customFormat="1" ht="8.25" customHeight="1" x14ac:dyDescent="0.2">
      <c r="A70" s="54"/>
      <c r="B70" s="54"/>
      <c r="C70" s="54"/>
      <c r="D70" s="54"/>
      <c r="E70" s="54"/>
      <c r="F70" s="54"/>
      <c r="G70" s="193"/>
      <c r="H70" s="193"/>
      <c r="I70" s="193"/>
      <c r="J70" s="193"/>
      <c r="K70" s="304"/>
      <c r="L70" s="324"/>
      <c r="M70" s="324"/>
      <c r="N70" s="427"/>
    </row>
    <row r="71" spans="1:14" s="62" customFormat="1" ht="26.25" x14ac:dyDescent="0.2">
      <c r="A71" s="219"/>
      <c r="B71" s="219"/>
      <c r="C71" s="54"/>
      <c r="D71" s="54" t="s">
        <v>143</v>
      </c>
      <c r="E71" s="54"/>
      <c r="F71" s="54"/>
      <c r="G71" s="196">
        <f>H72</f>
        <v>978949.01000000024</v>
      </c>
      <c r="H71" s="196">
        <f>955663.18+1</f>
        <v>955664.18</v>
      </c>
      <c r="I71" s="196"/>
      <c r="J71" s="196">
        <f>H71-0.4</f>
        <v>955663.78</v>
      </c>
      <c r="K71" s="306"/>
      <c r="L71" s="325"/>
      <c r="M71" s="325"/>
      <c r="N71" s="431"/>
    </row>
    <row r="72" spans="1:14" s="64" customFormat="1" ht="21" thickBot="1" x14ac:dyDescent="0.25">
      <c r="A72" s="54"/>
      <c r="B72" s="54"/>
      <c r="C72" s="54"/>
      <c r="E72" s="54" t="s">
        <v>142</v>
      </c>
      <c r="F72" s="54"/>
      <c r="G72" s="270">
        <f>G69+G71</f>
        <v>1056822.8300000005</v>
      </c>
      <c r="H72" s="270">
        <f>H69+H71</f>
        <v>978949.01000000024</v>
      </c>
      <c r="I72" s="223"/>
      <c r="J72" s="270">
        <f>J69+J71</f>
        <v>948863.04999999993</v>
      </c>
      <c r="K72" s="307"/>
      <c r="L72" s="223"/>
      <c r="M72" s="325"/>
      <c r="N72" s="431"/>
    </row>
    <row r="73" spans="1:14" s="52" customFormat="1" ht="6.75" customHeight="1" thickTop="1" x14ac:dyDescent="0.2">
      <c r="A73" s="219"/>
      <c r="B73" s="219"/>
      <c r="C73" s="54"/>
      <c r="D73" s="219"/>
      <c r="E73" s="219"/>
      <c r="F73" s="219"/>
      <c r="G73" s="221"/>
      <c r="H73" s="221"/>
      <c r="I73" s="193"/>
      <c r="J73" s="193"/>
      <c r="K73" s="303"/>
      <c r="L73" s="324"/>
      <c r="M73" s="324"/>
      <c r="N73" s="427"/>
    </row>
    <row r="74" spans="1:14" s="55" customFormat="1" ht="16.5" customHeight="1" x14ac:dyDescent="0.2">
      <c r="A74" s="54"/>
      <c r="B74" s="54"/>
      <c r="D74" s="286"/>
      <c r="E74" s="54"/>
      <c r="G74" s="193"/>
      <c r="H74" s="193"/>
      <c r="I74" s="193"/>
      <c r="J74" s="193"/>
      <c r="K74" s="304"/>
      <c r="L74" s="324"/>
      <c r="M74" s="324"/>
      <c r="N74" s="427"/>
    </row>
    <row r="75" spans="1:14" s="55" customFormat="1" ht="23.25" x14ac:dyDescent="0.2">
      <c r="A75" s="54"/>
      <c r="B75" s="222"/>
      <c r="C75" s="54"/>
      <c r="D75" s="54"/>
      <c r="E75" s="54"/>
      <c r="F75" s="54"/>
      <c r="G75" s="193"/>
      <c r="H75" s="193"/>
      <c r="I75" s="193"/>
      <c r="J75" s="193"/>
      <c r="K75" s="304"/>
      <c r="L75" s="324"/>
      <c r="M75" s="324"/>
      <c r="N75" s="427"/>
    </row>
    <row r="76" spans="1:14" s="55" customFormat="1" ht="20.25" x14ac:dyDescent="0.2">
      <c r="A76" s="54"/>
      <c r="B76" s="54"/>
      <c r="C76" s="54"/>
      <c r="D76" s="54"/>
      <c r="E76" s="54"/>
      <c r="F76" s="54"/>
      <c r="G76" s="193"/>
      <c r="H76" s="193"/>
      <c r="I76" s="193"/>
      <c r="J76" s="193"/>
      <c r="K76" s="304"/>
      <c r="L76" s="324"/>
      <c r="M76" s="324"/>
      <c r="N76" s="427"/>
    </row>
    <row r="77" spans="1:14" s="55" customFormat="1" ht="20.25" x14ac:dyDescent="0.2">
      <c r="A77" s="58"/>
      <c r="B77" s="58"/>
      <c r="C77" s="58"/>
      <c r="D77" s="58"/>
      <c r="F77" s="58"/>
      <c r="G77" s="202"/>
      <c r="H77" s="193"/>
      <c r="I77" s="193"/>
      <c r="J77" s="193"/>
      <c r="K77" s="304"/>
      <c r="L77" s="324"/>
      <c r="M77" s="324"/>
      <c r="N77" s="427"/>
    </row>
    <row r="78" spans="1:14" s="55" customFormat="1" ht="20.25" x14ac:dyDescent="0.2">
      <c r="A78" s="58"/>
      <c r="B78" s="58"/>
      <c r="C78" s="58"/>
      <c r="D78" s="58"/>
      <c r="F78" s="58"/>
      <c r="G78" s="193"/>
      <c r="H78" s="193"/>
      <c r="I78" s="193"/>
      <c r="J78" s="193"/>
      <c r="K78" s="304"/>
      <c r="L78" s="324"/>
      <c r="M78" s="324"/>
      <c r="N78" s="427"/>
    </row>
    <row r="79" spans="1:14" s="55" customFormat="1" ht="20.25" x14ac:dyDescent="0.2">
      <c r="A79" s="58"/>
      <c r="B79" s="58"/>
      <c r="C79" s="58"/>
      <c r="D79" s="58"/>
      <c r="F79" s="58"/>
      <c r="G79" s="193"/>
      <c r="H79" s="193"/>
      <c r="I79" s="193"/>
      <c r="J79" s="193"/>
      <c r="K79" s="304"/>
      <c r="L79" s="324"/>
      <c r="M79" s="324"/>
      <c r="N79" s="427"/>
    </row>
    <row r="80" spans="1:14" s="55" customFormat="1" ht="20.25" x14ac:dyDescent="0.2">
      <c r="A80" s="58"/>
      <c r="B80" s="58"/>
      <c r="C80" s="58"/>
      <c r="D80" s="58"/>
      <c r="F80" s="58"/>
      <c r="G80" s="193"/>
      <c r="H80" s="193"/>
      <c r="I80" s="193"/>
      <c r="J80" s="193"/>
      <c r="K80" s="304"/>
      <c r="L80" s="324"/>
      <c r="M80" s="324"/>
      <c r="N80" s="427"/>
    </row>
    <row r="81" spans="1:14" s="55" customFormat="1" ht="20.25" x14ac:dyDescent="0.2">
      <c r="A81" s="58"/>
      <c r="B81" s="58"/>
      <c r="C81" s="58"/>
      <c r="D81" s="58"/>
      <c r="F81" s="58"/>
      <c r="G81" s="193"/>
      <c r="H81" s="193"/>
      <c r="I81" s="193"/>
      <c r="J81" s="193"/>
      <c r="K81" s="304"/>
      <c r="L81" s="324"/>
      <c r="M81" s="324"/>
      <c r="N81" s="427"/>
    </row>
    <row r="82" spans="1:14" s="55" customFormat="1" ht="20.25" x14ac:dyDescent="0.2">
      <c r="A82" s="58"/>
      <c r="B82" s="58"/>
      <c r="C82" s="58"/>
      <c r="D82" s="58"/>
      <c r="F82" s="58"/>
      <c r="G82" s="193"/>
      <c r="H82" s="193"/>
      <c r="I82" s="193"/>
      <c r="J82" s="193"/>
      <c r="K82" s="304"/>
      <c r="L82" s="324"/>
      <c r="M82" s="324"/>
      <c r="N82" s="427"/>
    </row>
    <row r="83" spans="1:14" s="55" customFormat="1" ht="20.25" x14ac:dyDescent="0.2">
      <c r="A83" s="58"/>
      <c r="B83" s="58"/>
      <c r="C83" s="54"/>
      <c r="D83" s="58"/>
      <c r="F83" s="58"/>
      <c r="G83" s="193"/>
      <c r="H83" s="193"/>
      <c r="I83" s="193"/>
      <c r="J83" s="193"/>
      <c r="K83" s="304"/>
      <c r="L83" s="324"/>
      <c r="M83" s="324"/>
      <c r="N83" s="427"/>
    </row>
    <row r="84" spans="1:14" s="55" customFormat="1" ht="20.25" x14ac:dyDescent="0.2">
      <c r="A84" s="58"/>
      <c r="B84" s="58"/>
      <c r="C84" s="58"/>
      <c r="D84" s="58"/>
      <c r="E84" s="58"/>
      <c r="F84" s="58"/>
      <c r="G84" s="193"/>
      <c r="H84" s="193"/>
      <c r="I84" s="193"/>
      <c r="J84" s="193"/>
      <c r="K84" s="304"/>
      <c r="L84" s="324"/>
      <c r="M84" s="324"/>
      <c r="N84" s="427"/>
    </row>
    <row r="85" spans="1:14" s="55" customFormat="1" ht="20.25" x14ac:dyDescent="0.2">
      <c r="A85" s="58"/>
      <c r="B85" s="58"/>
      <c r="C85" s="54"/>
      <c r="D85" s="54"/>
      <c r="G85" s="193"/>
      <c r="H85" s="193"/>
      <c r="I85" s="193"/>
      <c r="J85" s="193"/>
      <c r="K85" s="304"/>
      <c r="L85" s="324"/>
      <c r="M85" s="324"/>
      <c r="N85" s="427"/>
    </row>
    <row r="86" spans="1:14" s="55" customFormat="1" ht="20.25" x14ac:dyDescent="0.2">
      <c r="A86" s="58"/>
      <c r="B86" s="58"/>
      <c r="C86" s="58"/>
      <c r="D86" s="58"/>
      <c r="E86" s="58"/>
      <c r="F86" s="58"/>
      <c r="G86" s="193"/>
      <c r="H86" s="193"/>
      <c r="I86" s="193"/>
      <c r="J86" s="193"/>
      <c r="K86" s="304"/>
      <c r="L86" s="324"/>
      <c r="M86" s="324"/>
      <c r="N86" s="427"/>
    </row>
    <row r="87" spans="1:14" s="55" customFormat="1" ht="20.25" x14ac:dyDescent="0.2">
      <c r="A87" s="58"/>
      <c r="B87" s="58"/>
      <c r="C87" s="58"/>
      <c r="D87" s="58"/>
      <c r="E87" s="58"/>
      <c r="F87" s="58"/>
      <c r="G87" s="193"/>
      <c r="H87" s="193"/>
      <c r="I87" s="193"/>
      <c r="J87" s="193"/>
      <c r="K87" s="304"/>
      <c r="L87" s="324"/>
      <c r="M87" s="324"/>
      <c r="N87" s="427"/>
    </row>
    <row r="88" spans="1:14" s="55" customFormat="1" ht="20.25" x14ac:dyDescent="0.2">
      <c r="A88" s="58"/>
      <c r="B88" s="58"/>
      <c r="C88" s="58"/>
      <c r="D88" s="58"/>
      <c r="E88" s="58"/>
      <c r="F88" s="58"/>
      <c r="G88" s="193"/>
      <c r="H88" s="193"/>
      <c r="I88" s="193"/>
      <c r="J88" s="193"/>
      <c r="K88" s="304"/>
      <c r="L88" s="324"/>
      <c r="M88" s="324"/>
      <c r="N88" s="427"/>
    </row>
    <row r="89" spans="1:14" s="55" customFormat="1" ht="20.25" x14ac:dyDescent="0.2">
      <c r="A89" s="58"/>
      <c r="B89" s="58"/>
      <c r="C89" s="58"/>
      <c r="D89" s="58"/>
      <c r="E89" s="58"/>
      <c r="F89" s="58"/>
      <c r="G89" s="193"/>
      <c r="H89" s="193"/>
      <c r="I89" s="193"/>
      <c r="J89" s="193"/>
      <c r="K89" s="304"/>
      <c r="L89" s="324"/>
      <c r="M89" s="324"/>
      <c r="N89" s="427"/>
    </row>
    <row r="90" spans="1:14" s="55" customFormat="1" ht="20.25" x14ac:dyDescent="0.2">
      <c r="A90" s="58"/>
      <c r="B90" s="58"/>
      <c r="C90" s="54"/>
      <c r="D90" s="58"/>
      <c r="F90" s="58"/>
      <c r="G90" s="193"/>
      <c r="H90" s="193"/>
      <c r="I90" s="193"/>
      <c r="J90" s="193"/>
      <c r="K90" s="304"/>
      <c r="L90" s="324"/>
      <c r="M90" s="324"/>
      <c r="N90" s="427"/>
    </row>
    <row r="91" spans="1:14" s="55" customFormat="1" ht="20.25" x14ac:dyDescent="0.2">
      <c r="A91" s="58"/>
      <c r="B91" s="58"/>
      <c r="C91" s="58"/>
      <c r="D91" s="58"/>
      <c r="E91" s="58"/>
      <c r="F91" s="58"/>
      <c r="G91" s="193"/>
      <c r="H91" s="193"/>
      <c r="I91" s="193"/>
      <c r="J91" s="193"/>
      <c r="K91" s="304"/>
      <c r="L91" s="324"/>
      <c r="M91" s="324"/>
      <c r="N91" s="427"/>
    </row>
    <row r="92" spans="1:14" s="55" customFormat="1" ht="20.25" x14ac:dyDescent="0.2">
      <c r="A92" s="54"/>
      <c r="B92" s="54"/>
      <c r="C92" s="54"/>
      <c r="D92" s="54"/>
      <c r="E92" s="54"/>
      <c r="F92" s="54"/>
      <c r="G92" s="196"/>
      <c r="H92" s="196"/>
      <c r="I92" s="196"/>
      <c r="J92" s="196"/>
      <c r="K92" s="304"/>
      <c r="N92" s="427"/>
    </row>
    <row r="93" spans="1:14" s="55" customFormat="1" ht="20.25" x14ac:dyDescent="0.2">
      <c r="A93" s="54"/>
      <c r="B93" s="54"/>
      <c r="C93" s="54"/>
      <c r="D93" s="54"/>
      <c r="E93" s="54"/>
      <c r="F93" s="54"/>
      <c r="G93" s="196"/>
      <c r="H93" s="196"/>
      <c r="I93" s="196"/>
      <c r="J93" s="196"/>
      <c r="K93" s="304"/>
      <c r="N93" s="427"/>
    </row>
    <row r="94" spans="1:14" s="55" customFormat="1" ht="23.25" x14ac:dyDescent="0.2">
      <c r="A94" s="54"/>
      <c r="B94" s="222"/>
      <c r="C94" s="54"/>
      <c r="D94" s="54"/>
      <c r="E94" s="54"/>
      <c r="F94" s="54"/>
      <c r="G94" s="193"/>
      <c r="H94" s="193"/>
      <c r="I94" s="193"/>
      <c r="J94" s="193"/>
      <c r="K94" s="304"/>
      <c r="N94" s="427"/>
    </row>
    <row r="95" spans="1:14" s="55" customFormat="1" ht="20.25" x14ac:dyDescent="0.2">
      <c r="A95" s="58"/>
      <c r="B95" s="58"/>
      <c r="D95" s="58"/>
      <c r="E95" s="58"/>
      <c r="F95" s="58"/>
      <c r="G95" s="193"/>
      <c r="H95" s="193"/>
      <c r="I95" s="193"/>
      <c r="J95" s="193"/>
      <c r="K95" s="304"/>
      <c r="N95" s="427"/>
    </row>
    <row r="96" spans="1:14" s="55" customFormat="1" ht="20.25" x14ac:dyDescent="0.2">
      <c r="A96" s="58"/>
      <c r="B96" s="58"/>
      <c r="D96" s="58"/>
      <c r="E96" s="58"/>
      <c r="F96" s="58"/>
      <c r="G96" s="193"/>
      <c r="H96" s="193"/>
      <c r="I96" s="193"/>
      <c r="J96" s="193"/>
      <c r="K96" s="304"/>
      <c r="N96" s="427"/>
    </row>
    <row r="97" spans="1:14" s="55" customFormat="1" ht="20.25" x14ac:dyDescent="0.2">
      <c r="A97" s="54"/>
      <c r="B97" s="54"/>
      <c r="D97" s="58"/>
      <c r="E97" s="54"/>
      <c r="F97" s="54"/>
      <c r="G97" s="193"/>
      <c r="H97" s="193"/>
      <c r="I97" s="193"/>
      <c r="J97" s="193"/>
      <c r="K97" s="304"/>
      <c r="N97" s="427"/>
    </row>
    <row r="98" spans="1:14" s="55" customFormat="1" ht="23.25" x14ac:dyDescent="0.2">
      <c r="A98" s="54"/>
      <c r="B98" s="222"/>
      <c r="C98" s="54"/>
      <c r="D98" s="54"/>
      <c r="E98" s="54"/>
      <c r="F98" s="54"/>
      <c r="G98" s="196"/>
      <c r="H98" s="196"/>
      <c r="I98" s="196"/>
      <c r="J98" s="196"/>
      <c r="K98" s="304"/>
      <c r="N98" s="427"/>
    </row>
    <row r="99" spans="1:14" s="55" customFormat="1" ht="20.25" x14ac:dyDescent="0.2">
      <c r="A99" s="54"/>
      <c r="B99" s="54"/>
      <c r="C99" s="54"/>
      <c r="D99" s="54"/>
      <c r="E99" s="54"/>
      <c r="F99" s="54"/>
      <c r="G99" s="193"/>
      <c r="H99" s="193"/>
      <c r="I99" s="193"/>
      <c r="J99" s="193"/>
      <c r="K99" s="304"/>
      <c r="N99" s="427"/>
    </row>
    <row r="100" spans="1:14" s="62" customFormat="1" ht="26.25" x14ac:dyDescent="0.2">
      <c r="A100" s="219"/>
      <c r="B100" s="219"/>
      <c r="C100" s="219"/>
      <c r="D100" s="219"/>
      <c r="E100" s="219"/>
      <c r="F100" s="219"/>
      <c r="G100" s="220"/>
      <c r="H100" s="196"/>
      <c r="I100" s="196"/>
      <c r="J100" s="196"/>
      <c r="K100" s="306"/>
      <c r="N100" s="431"/>
    </row>
    <row r="101" spans="1:14" ht="20.25" x14ac:dyDescent="0.3">
      <c r="H101" s="227"/>
      <c r="I101" s="227"/>
      <c r="J101" s="227"/>
    </row>
    <row r="102" spans="1:14" ht="20.25" x14ac:dyDescent="0.3">
      <c r="H102" s="227"/>
      <c r="I102" s="227"/>
      <c r="J102" s="227"/>
    </row>
    <row r="103" spans="1:14" ht="20.25" x14ac:dyDescent="0.3">
      <c r="H103" s="227"/>
      <c r="I103" s="227"/>
      <c r="J103" s="227"/>
    </row>
    <row r="104" spans="1:14" ht="20.25" x14ac:dyDescent="0.3">
      <c r="H104" s="224"/>
      <c r="I104" s="224"/>
      <c r="J104" s="224"/>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93</v>
      </c>
      <c r="B1" s="47"/>
      <c r="C1" s="48"/>
      <c r="D1" s="48"/>
      <c r="E1" s="48"/>
      <c r="F1" s="47"/>
      <c r="G1" s="47"/>
      <c r="H1" s="47"/>
      <c r="I1" s="47"/>
      <c r="J1" s="47"/>
      <c r="K1" s="47"/>
      <c r="L1" s="47"/>
    </row>
    <row r="2" spans="1:34" ht="22.5" customHeight="1" x14ac:dyDescent="0.4">
      <c r="A2" s="46" t="s">
        <v>600</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107</v>
      </c>
      <c r="B4" s="51"/>
      <c r="C4" s="51"/>
      <c r="D4" s="51"/>
      <c r="E4" s="51"/>
      <c r="F4" s="51"/>
      <c r="G4" s="327"/>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20" t="s">
        <v>603</v>
      </c>
      <c r="C6" s="120"/>
      <c r="D6" s="120"/>
      <c r="E6" s="120"/>
      <c r="F6" s="120"/>
      <c r="G6" s="231"/>
    </row>
    <row r="7" spans="1:34" ht="20.25" x14ac:dyDescent="0.3">
      <c r="A7" s="56"/>
      <c r="B7" s="56"/>
      <c r="C7" s="742" t="s">
        <v>608</v>
      </c>
      <c r="D7" s="56"/>
      <c r="E7" s="56"/>
      <c r="F7" s="56"/>
      <c r="G7" s="743">
        <v>28150</v>
      </c>
    </row>
    <row r="8" spans="1:34" ht="20.25" x14ac:dyDescent="0.3">
      <c r="A8" s="56"/>
      <c r="B8" s="56"/>
      <c r="C8" s="742" t="s">
        <v>20</v>
      </c>
      <c r="D8" s="56"/>
      <c r="E8" s="56"/>
      <c r="F8" s="56"/>
      <c r="G8" s="744">
        <v>700</v>
      </c>
    </row>
    <row r="9" spans="1:34" s="55" customFormat="1" ht="20.25" x14ac:dyDescent="0.2">
      <c r="A9" s="54"/>
      <c r="B9" s="54"/>
      <c r="C9" s="58" t="s">
        <v>601</v>
      </c>
      <c r="D9" s="58"/>
      <c r="E9" s="58"/>
      <c r="F9" s="54"/>
      <c r="G9" s="745">
        <v>350</v>
      </c>
    </row>
    <row r="10" spans="1:34" s="55" customFormat="1" ht="21" thickBot="1" x14ac:dyDescent="0.25">
      <c r="A10" s="54"/>
      <c r="B10" s="54"/>
      <c r="C10" s="58"/>
      <c r="D10" s="54" t="s">
        <v>602</v>
      </c>
      <c r="E10" s="58"/>
      <c r="F10" s="54"/>
      <c r="G10" s="746">
        <f>SUM(G7:G9)</f>
        <v>29200</v>
      </c>
    </row>
    <row r="11" spans="1:34" s="55" customFormat="1" ht="6" customHeight="1" x14ac:dyDescent="0.2">
      <c r="A11" s="54"/>
      <c r="B11" s="54"/>
      <c r="C11" s="58"/>
      <c r="D11" s="54"/>
      <c r="E11" s="58"/>
      <c r="F11" s="54"/>
      <c r="G11" s="747"/>
    </row>
    <row r="12" spans="1:34" s="55" customFormat="1" ht="21" thickBot="1" x14ac:dyDescent="0.25">
      <c r="A12" s="54"/>
      <c r="B12" s="66" t="s">
        <v>110</v>
      </c>
      <c r="C12" s="66"/>
      <c r="D12" s="66"/>
      <c r="E12" s="66"/>
      <c r="F12" s="66"/>
      <c r="G12" s="748"/>
    </row>
    <row r="13" spans="1:34" s="55" customFormat="1" ht="20.25" x14ac:dyDescent="0.2">
      <c r="A13" s="54"/>
      <c r="B13" s="54"/>
      <c r="C13" s="58" t="s">
        <v>115</v>
      </c>
      <c r="D13" s="58"/>
      <c r="E13" s="58"/>
      <c r="F13" s="58"/>
      <c r="G13" s="747">
        <v>358</v>
      </c>
    </row>
    <row r="14" spans="1:34" s="55" customFormat="1" ht="20.25" x14ac:dyDescent="0.2">
      <c r="A14" s="54"/>
      <c r="B14" s="54"/>
      <c r="C14" s="58" t="s">
        <v>585</v>
      </c>
      <c r="D14" s="58"/>
      <c r="E14" s="58"/>
      <c r="F14" s="58"/>
      <c r="G14" s="747">
        <f>138.88+23.62</f>
        <v>162.5</v>
      </c>
    </row>
    <row r="15" spans="1:34" s="55" customFormat="1" ht="20.25" x14ac:dyDescent="0.2">
      <c r="A15" s="54"/>
      <c r="B15" s="54"/>
      <c r="C15" s="58" t="s">
        <v>119</v>
      </c>
      <c r="D15" s="58"/>
      <c r="E15" s="58"/>
      <c r="F15" s="58"/>
      <c r="G15" s="747">
        <v>1038.6199999999999</v>
      </c>
    </row>
    <row r="16" spans="1:34" s="55" customFormat="1" ht="20.25" x14ac:dyDescent="0.2">
      <c r="A16" s="54"/>
      <c r="B16" s="54"/>
      <c r="C16" s="58" t="s">
        <v>604</v>
      </c>
      <c r="D16" s="58"/>
      <c r="E16" s="58"/>
      <c r="F16" s="58"/>
      <c r="G16" s="747">
        <v>50</v>
      </c>
    </row>
    <row r="17" spans="1:7" s="55" customFormat="1" ht="20.25" x14ac:dyDescent="0.2">
      <c r="A17" s="58"/>
      <c r="B17" s="58"/>
      <c r="C17" s="58" t="s">
        <v>605</v>
      </c>
      <c r="D17" s="58"/>
      <c r="E17" s="58"/>
      <c r="F17" s="58"/>
      <c r="G17" s="747">
        <f>2872.5</f>
        <v>2872.5</v>
      </c>
    </row>
    <row r="18" spans="1:7" s="55" customFormat="1" ht="20.25" x14ac:dyDescent="0.2">
      <c r="A18" s="58"/>
      <c r="B18" s="58"/>
      <c r="C18" s="58" t="s">
        <v>606</v>
      </c>
      <c r="D18" s="58"/>
      <c r="E18" s="58"/>
      <c r="F18" s="58"/>
      <c r="G18" s="747">
        <v>48</v>
      </c>
    </row>
    <row r="19" spans="1:7" s="55" customFormat="1" ht="20.25" x14ac:dyDescent="0.2">
      <c r="A19" s="58"/>
      <c r="B19" s="58"/>
      <c r="C19" s="58" t="s">
        <v>586</v>
      </c>
      <c r="D19" s="58"/>
      <c r="E19" s="58"/>
      <c r="F19" s="58"/>
      <c r="G19" s="747">
        <v>10125</v>
      </c>
    </row>
    <row r="20" spans="1:7" s="55" customFormat="1" ht="20.25" hidden="1" x14ac:dyDescent="0.2">
      <c r="A20" s="58"/>
      <c r="B20" s="58"/>
      <c r="C20" s="58"/>
      <c r="D20" s="58"/>
      <c r="E20" s="58"/>
      <c r="F20" s="58"/>
      <c r="G20" s="747"/>
    </row>
    <row r="21" spans="1:7" s="55" customFormat="1" ht="20.25" x14ac:dyDescent="0.2">
      <c r="A21" s="54"/>
      <c r="B21" s="54"/>
      <c r="C21" s="54"/>
      <c r="D21" s="54" t="s">
        <v>127</v>
      </c>
      <c r="E21" s="54"/>
      <c r="F21" s="54"/>
      <c r="G21" s="749">
        <f>SUM(G13:G19)</f>
        <v>14654.619999999999</v>
      </c>
    </row>
    <row r="22" spans="1:7" s="55" customFormat="1" ht="10.5" customHeight="1" x14ac:dyDescent="0.2">
      <c r="A22" s="54"/>
      <c r="B22" s="54"/>
      <c r="C22" s="54"/>
      <c r="D22" s="54"/>
      <c r="E22" s="54"/>
      <c r="F22" s="54"/>
      <c r="G22" s="193"/>
    </row>
    <row r="23" spans="1:7" s="55" customFormat="1" ht="20.25" x14ac:dyDescent="0.2">
      <c r="A23" s="54"/>
      <c r="B23" s="54"/>
      <c r="C23" s="54"/>
      <c r="D23" s="750" t="s">
        <v>607</v>
      </c>
      <c r="E23" s="750"/>
      <c r="F23" s="750"/>
      <c r="G23" s="201">
        <f>G10-G21</f>
        <v>14545.380000000001</v>
      </c>
    </row>
    <row r="24" spans="1:7" s="55" customFormat="1" ht="11.25" customHeight="1" x14ac:dyDescent="0.2">
      <c r="A24" s="54"/>
      <c r="B24" s="54"/>
      <c r="C24" s="54"/>
      <c r="D24" s="54"/>
      <c r="E24" s="54"/>
      <c r="F24" s="54"/>
      <c r="G24" s="193"/>
    </row>
    <row r="25" spans="1:7" s="52" customFormat="1" ht="6.75" customHeight="1" x14ac:dyDescent="0.2">
      <c r="A25" s="219"/>
      <c r="B25" s="219"/>
      <c r="C25" s="54"/>
      <c r="D25" s="219"/>
      <c r="E25" s="219"/>
      <c r="F25" s="219"/>
      <c r="G25" s="221"/>
    </row>
    <row r="26" spans="1:7" s="55" customFormat="1" ht="16.5" customHeight="1" x14ac:dyDescent="0.2">
      <c r="A26" s="54"/>
      <c r="B26" s="54"/>
      <c r="D26" s="286"/>
      <c r="E26" s="54"/>
      <c r="G26" s="193"/>
    </row>
    <row r="27" spans="1:7" s="55" customFormat="1" ht="23.25" x14ac:dyDescent="0.2">
      <c r="A27" s="54"/>
      <c r="B27" s="222"/>
      <c r="C27" s="54"/>
      <c r="D27" s="54"/>
      <c r="E27" s="54"/>
      <c r="F27" s="54"/>
      <c r="G27" s="193"/>
    </row>
    <row r="28" spans="1:7" s="55" customFormat="1" ht="20.25" x14ac:dyDescent="0.2">
      <c r="A28" s="54"/>
      <c r="B28" s="54"/>
      <c r="C28" s="54"/>
      <c r="D28" s="54"/>
      <c r="E28" s="54"/>
      <c r="F28" s="54"/>
      <c r="G28" s="193"/>
    </row>
    <row r="29" spans="1:7" s="55" customFormat="1" ht="20.25" x14ac:dyDescent="0.2">
      <c r="A29" s="58"/>
      <c r="B29" s="58"/>
      <c r="C29" s="58"/>
      <c r="D29" s="58"/>
      <c r="F29" s="58"/>
      <c r="G29" s="193"/>
    </row>
    <row r="30" spans="1:7" s="55" customFormat="1" ht="20.25" x14ac:dyDescent="0.2">
      <c r="A30" s="58"/>
      <c r="B30" s="58"/>
      <c r="C30" s="58"/>
      <c r="D30" s="58"/>
      <c r="F30" s="58"/>
      <c r="G30" s="193"/>
    </row>
    <row r="31" spans="1:7" s="55" customFormat="1" ht="20.25" x14ac:dyDescent="0.2">
      <c r="A31" s="58"/>
      <c r="B31" s="58"/>
      <c r="C31" s="58"/>
      <c r="D31" s="58"/>
      <c r="F31" s="58"/>
      <c r="G31" s="193"/>
    </row>
    <row r="32" spans="1:7" s="55" customFormat="1" ht="20.25" x14ac:dyDescent="0.2">
      <c r="A32" s="58"/>
      <c r="B32" s="58"/>
      <c r="C32" s="58"/>
      <c r="D32" s="58"/>
      <c r="F32" s="58"/>
      <c r="G32" s="193"/>
    </row>
    <row r="33" spans="1:7" s="55" customFormat="1" ht="20.25" x14ac:dyDescent="0.2">
      <c r="A33" s="58"/>
      <c r="B33" s="58"/>
      <c r="C33" s="58"/>
      <c r="D33" s="58"/>
      <c r="F33" s="58"/>
      <c r="G33" s="193"/>
    </row>
    <row r="34" spans="1:7" s="55" customFormat="1" ht="20.25" x14ac:dyDescent="0.2">
      <c r="A34" s="58"/>
      <c r="B34" s="58"/>
      <c r="C34" s="58"/>
      <c r="D34" s="58"/>
      <c r="F34" s="58"/>
      <c r="G34" s="193"/>
    </row>
    <row r="35" spans="1:7" s="55" customFormat="1" ht="20.25" x14ac:dyDescent="0.2">
      <c r="A35" s="58"/>
      <c r="B35" s="58"/>
      <c r="C35" s="54"/>
      <c r="D35" s="58"/>
      <c r="F35" s="58"/>
      <c r="G35" s="193"/>
    </row>
    <row r="36" spans="1:7" s="55" customFormat="1" ht="20.25" x14ac:dyDescent="0.2">
      <c r="A36" s="58"/>
      <c r="B36" s="58"/>
      <c r="C36" s="58"/>
      <c r="D36" s="58"/>
      <c r="E36" s="58"/>
      <c r="F36" s="58"/>
      <c r="G36" s="193"/>
    </row>
    <row r="37" spans="1:7" s="55" customFormat="1" ht="20.25" x14ac:dyDescent="0.2">
      <c r="A37" s="58"/>
      <c r="B37" s="58"/>
      <c r="C37" s="54"/>
      <c r="D37" s="54"/>
      <c r="G37" s="193"/>
    </row>
    <row r="38" spans="1:7" s="55" customFormat="1" ht="20.25" x14ac:dyDescent="0.2">
      <c r="A38" s="58"/>
      <c r="B38" s="58"/>
      <c r="C38" s="58"/>
      <c r="D38" s="58"/>
      <c r="E38" s="58"/>
      <c r="F38" s="58"/>
      <c r="G38" s="193"/>
    </row>
    <row r="39" spans="1:7" s="55" customFormat="1" ht="20.25" x14ac:dyDescent="0.2">
      <c r="A39" s="58"/>
      <c r="B39" s="58"/>
      <c r="C39" s="58"/>
      <c r="D39" s="58"/>
      <c r="E39" s="58"/>
      <c r="F39" s="58"/>
      <c r="G39" s="193"/>
    </row>
    <row r="40" spans="1:7" s="55" customFormat="1" ht="20.25" x14ac:dyDescent="0.2">
      <c r="A40" s="58"/>
      <c r="B40" s="58"/>
      <c r="C40" s="58"/>
      <c r="D40" s="58"/>
      <c r="E40" s="58"/>
      <c r="F40" s="58"/>
      <c r="G40" s="193"/>
    </row>
    <row r="41" spans="1:7" s="55" customFormat="1" ht="20.25" x14ac:dyDescent="0.2">
      <c r="A41" s="58"/>
      <c r="B41" s="58"/>
      <c r="C41" s="58"/>
      <c r="D41" s="58"/>
      <c r="E41" s="58"/>
      <c r="F41" s="58"/>
      <c r="G41" s="193"/>
    </row>
    <row r="42" spans="1:7" s="55" customFormat="1" ht="20.25" x14ac:dyDescent="0.2">
      <c r="A42" s="58"/>
      <c r="B42" s="58"/>
      <c r="C42" s="54"/>
      <c r="D42" s="58"/>
      <c r="F42" s="58"/>
      <c r="G42" s="193"/>
    </row>
    <row r="43" spans="1:7" s="55" customFormat="1" ht="20.25" x14ac:dyDescent="0.2">
      <c r="A43" s="58"/>
      <c r="B43" s="58"/>
      <c r="C43" s="58"/>
      <c r="D43" s="58"/>
      <c r="E43" s="58"/>
      <c r="F43" s="58"/>
      <c r="G43" s="193"/>
    </row>
    <row r="44" spans="1:7" s="55" customFormat="1" ht="20.25" x14ac:dyDescent="0.2">
      <c r="A44" s="54"/>
      <c r="B44" s="54"/>
      <c r="C44" s="54"/>
      <c r="D44" s="54"/>
      <c r="E44" s="54"/>
      <c r="F44" s="54"/>
      <c r="G44" s="196"/>
    </row>
    <row r="45" spans="1:7" s="55" customFormat="1" ht="20.25" x14ac:dyDescent="0.2">
      <c r="A45" s="54"/>
      <c r="B45" s="54"/>
      <c r="C45" s="54"/>
      <c r="D45" s="54"/>
      <c r="E45" s="54"/>
      <c r="F45" s="54"/>
      <c r="G45" s="196"/>
    </row>
    <row r="46" spans="1:7" s="55" customFormat="1" ht="23.25" x14ac:dyDescent="0.2">
      <c r="A46" s="54"/>
      <c r="B46" s="222"/>
      <c r="C46" s="54"/>
      <c r="D46" s="54"/>
      <c r="E46" s="54"/>
      <c r="F46" s="54"/>
      <c r="G46" s="193"/>
    </row>
    <row r="47" spans="1:7" s="55" customFormat="1" ht="20.25" x14ac:dyDescent="0.2">
      <c r="A47" s="58"/>
      <c r="B47" s="58"/>
      <c r="D47" s="58"/>
      <c r="E47" s="58"/>
      <c r="F47" s="58"/>
      <c r="G47" s="193"/>
    </row>
    <row r="48" spans="1:7" s="55" customFormat="1" ht="20.25" x14ac:dyDescent="0.2">
      <c r="A48" s="58"/>
      <c r="B48" s="58"/>
      <c r="D48" s="58"/>
      <c r="E48" s="58"/>
      <c r="F48" s="58"/>
      <c r="G48" s="193"/>
    </row>
    <row r="49" spans="1:7" s="55" customFormat="1" ht="20.25" x14ac:dyDescent="0.2">
      <c r="A49" s="54"/>
      <c r="B49" s="54"/>
      <c r="D49" s="58"/>
      <c r="E49" s="54"/>
      <c r="F49" s="54"/>
      <c r="G49" s="193"/>
    </row>
    <row r="50" spans="1:7" s="55" customFormat="1" ht="23.25" x14ac:dyDescent="0.2">
      <c r="A50" s="54"/>
      <c r="B50" s="222"/>
      <c r="C50" s="54"/>
      <c r="D50" s="54"/>
      <c r="E50" s="54"/>
      <c r="F50" s="54"/>
      <c r="G50" s="196"/>
    </row>
    <row r="51" spans="1:7" s="55" customFormat="1" ht="20.25" x14ac:dyDescent="0.2">
      <c r="A51" s="54"/>
      <c r="B51" s="54"/>
      <c r="C51" s="54"/>
      <c r="D51" s="54"/>
      <c r="E51" s="54"/>
      <c r="F51" s="54"/>
      <c r="G51" s="193"/>
    </row>
    <row r="52" spans="1:7" s="62" customFormat="1" ht="26.25" x14ac:dyDescent="0.2">
      <c r="A52" s="219"/>
      <c r="B52" s="219"/>
      <c r="C52" s="219"/>
      <c r="D52" s="219"/>
      <c r="E52" s="219"/>
      <c r="F52" s="219"/>
      <c r="G52" s="196"/>
    </row>
    <row r="53" spans="1:7" ht="20.25" x14ac:dyDescent="0.3">
      <c r="G53" s="227"/>
    </row>
    <row r="54" spans="1:7" ht="20.25" x14ac:dyDescent="0.3">
      <c r="G54" s="227"/>
    </row>
    <row r="55" spans="1:7" ht="20.25" x14ac:dyDescent="0.3">
      <c r="G55" s="227"/>
    </row>
    <row r="56" spans="1:7" ht="20.25" x14ac:dyDescent="0.3">
      <c r="G56" s="224"/>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zoomScale="75" zoomScaleNormal="75" workbookViewId="0"/>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hidden="1" customWidth="1"/>
    <col min="14" max="14" width="1.75" hidden="1" customWidth="1"/>
    <col min="15" max="15" width="15.25" bestFit="1" customWidth="1"/>
    <col min="16" max="16" width="10.625" customWidth="1"/>
    <col min="18" max="18" width="16.875" bestFit="1" customWidth="1"/>
    <col min="19" max="19" width="10"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hidden="1" customHeight="1" x14ac:dyDescent="0.4">
      <c r="A3" s="46" t="str">
        <f>'December''23 State of Activities'!A3</f>
        <v>Ten Months Ended October 31, 2023 and 2022</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'December''23 State of Activities'!A4</f>
        <v>For the Years Ended December 31, 2023 &amp; 2022</v>
      </c>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f>'December''23 State of Activities'!G8</f>
        <v>45291</v>
      </c>
      <c r="K8" s="544">
        <v>44926</v>
      </c>
      <c r="L8" s="271"/>
      <c r="M8" s="544">
        <f>'December''23 State of Activities'!J8</f>
        <v>44926</v>
      </c>
      <c r="O8" s="847" t="s">
        <v>617</v>
      </c>
      <c r="P8" s="847"/>
    </row>
    <row r="9" spans="1:61" s="55" customFormat="1" ht="20.25" x14ac:dyDescent="0.2">
      <c r="A9" s="54"/>
      <c r="B9" s="54"/>
      <c r="C9" s="58" t="s">
        <v>149</v>
      </c>
      <c r="D9" s="58"/>
      <c r="E9" s="58"/>
      <c r="F9" s="54"/>
      <c r="G9" s="193">
        <v>127719</v>
      </c>
      <c r="H9" s="193">
        <v>67566.5</v>
      </c>
      <c r="I9" s="193"/>
      <c r="J9" s="202">
        <f>'December''23 State of Activities'!G10</f>
        <v>131228.84</v>
      </c>
      <c r="K9" s="202">
        <f>'December''23 State of Activities'!H10</f>
        <v>84477.91</v>
      </c>
      <c r="L9" s="202"/>
      <c r="M9" s="202">
        <f>'December''23 State of Activities'!J10</f>
        <v>71430.06</v>
      </c>
      <c r="O9" s="317">
        <f>J9-K9</f>
        <v>46750.929999999993</v>
      </c>
      <c r="P9" s="334">
        <f>O9/K9</f>
        <v>0.55341011632508419</v>
      </c>
      <c r="R9" s="322"/>
    </row>
    <row r="10" spans="1:61" s="55" customFormat="1" ht="20.25" x14ac:dyDescent="0.2">
      <c r="A10" s="54"/>
      <c r="B10" s="54"/>
      <c r="C10" s="58" t="s">
        <v>213</v>
      </c>
      <c r="D10" s="58"/>
      <c r="E10" s="58"/>
      <c r="F10" s="54"/>
      <c r="G10" s="202">
        <v>875436</v>
      </c>
      <c r="H10" s="202">
        <v>372424.1</v>
      </c>
      <c r="I10" s="202"/>
      <c r="J10" s="193">
        <v>8019</v>
      </c>
      <c r="K10" s="193">
        <v>13805.8</v>
      </c>
      <c r="L10" s="202"/>
      <c r="M10" s="193">
        <v>12652</v>
      </c>
      <c r="O10" s="409">
        <f>J10-K10</f>
        <v>-5786.7999999999993</v>
      </c>
      <c r="P10" s="334">
        <f>O10/K10</f>
        <v>-0.41915716582885448</v>
      </c>
      <c r="R10" s="322"/>
    </row>
    <row r="11" spans="1:61" s="55" customFormat="1" ht="20.25" x14ac:dyDescent="0.2">
      <c r="A11" s="54"/>
      <c r="B11" s="54"/>
      <c r="C11" s="58" t="s">
        <v>388</v>
      </c>
      <c r="D11" s="58"/>
      <c r="E11" s="58"/>
      <c r="F11" s="54"/>
      <c r="G11" s="202"/>
      <c r="H11" s="202"/>
      <c r="I11" s="202"/>
      <c r="J11" s="193">
        <v>15310</v>
      </c>
      <c r="K11" s="193">
        <v>32978</v>
      </c>
      <c r="L11" s="202"/>
      <c r="M11" s="193">
        <v>44978</v>
      </c>
      <c r="O11" s="409">
        <f>J11-K11</f>
        <v>-17668</v>
      </c>
      <c r="P11" s="334"/>
      <c r="R11" s="322"/>
    </row>
    <row r="12" spans="1:61" s="55" customFormat="1" ht="20.25" x14ac:dyDescent="0.2">
      <c r="A12" s="54"/>
      <c r="B12" s="54"/>
      <c r="C12" s="58" t="s">
        <v>101</v>
      </c>
      <c r="D12" s="58"/>
      <c r="E12" s="58"/>
      <c r="F12" s="54"/>
      <c r="G12" s="193"/>
      <c r="H12" s="193"/>
      <c r="I12" s="193"/>
      <c r="J12" s="193"/>
      <c r="K12" s="193"/>
      <c r="L12" s="193"/>
      <c r="M12" s="193"/>
      <c r="O12" s="409"/>
      <c r="P12" s="344"/>
    </row>
    <row r="13" spans="1:61" s="55" customFormat="1" ht="20.25" x14ac:dyDescent="0.2">
      <c r="A13" s="54"/>
      <c r="B13" s="54"/>
      <c r="D13" s="58" t="s">
        <v>214</v>
      </c>
      <c r="E13" s="58"/>
      <c r="F13" s="54"/>
      <c r="G13" s="193">
        <v>94235.25</v>
      </c>
      <c r="H13" s="193">
        <v>37190.379999999997</v>
      </c>
      <c r="I13" s="193"/>
      <c r="J13" s="193">
        <f>'December''23 Revenues &amp; Expenses'!I23</f>
        <v>47500</v>
      </c>
      <c r="K13" s="193">
        <v>46000</v>
      </c>
      <c r="L13" s="193"/>
      <c r="M13" s="193">
        <v>38333</v>
      </c>
      <c r="O13" s="409">
        <f t="shared" ref="O13:O29" si="0">J13-K13</f>
        <v>1500</v>
      </c>
      <c r="P13" s="354">
        <f>O13/K13</f>
        <v>3.2608695652173912E-2</v>
      </c>
      <c r="R13" s="671"/>
      <c r="S13" s="386"/>
      <c r="T13" s="385"/>
      <c r="U13" s="385"/>
    </row>
    <row r="14" spans="1:61" s="55" customFormat="1" ht="20.25" x14ac:dyDescent="0.2">
      <c r="A14" s="54"/>
      <c r="B14" s="54"/>
      <c r="D14" s="58" t="s">
        <v>158</v>
      </c>
      <c r="E14" s="58"/>
      <c r="F14" s="54"/>
      <c r="G14" s="193"/>
      <c r="H14" s="193"/>
      <c r="I14" s="193"/>
      <c r="J14" s="193">
        <f>'December''23 Revenues &amp; Expenses'!I31</f>
        <v>18000</v>
      </c>
      <c r="K14" s="193">
        <v>18000</v>
      </c>
      <c r="L14" s="193"/>
      <c r="M14" s="193">
        <f>'December''23 State of Activities'!J16</f>
        <v>18000</v>
      </c>
      <c r="O14" s="409">
        <f t="shared" si="0"/>
        <v>0</v>
      </c>
      <c r="P14" s="354">
        <f>O14/K14</f>
        <v>0</v>
      </c>
      <c r="S14" s="318"/>
      <c r="T14" s="387"/>
      <c r="U14" s="58"/>
    </row>
    <row r="15" spans="1:61" s="55" customFormat="1" ht="20.25" x14ac:dyDescent="0.2">
      <c r="A15" s="54"/>
      <c r="B15" s="54"/>
      <c r="C15" s="58" t="s">
        <v>102</v>
      </c>
      <c r="D15" s="58"/>
      <c r="E15" s="58"/>
      <c r="F15" s="54"/>
      <c r="G15" s="193">
        <v>0</v>
      </c>
      <c r="H15" s="193">
        <v>3517</v>
      </c>
      <c r="I15" s="193"/>
      <c r="J15" s="193">
        <f>'December''23 State of Activities'!G18</f>
        <v>23822.38</v>
      </c>
      <c r="K15" s="193">
        <v>17485.37</v>
      </c>
      <c r="L15" s="193"/>
      <c r="M15" s="193">
        <f>'December''23 State of Activities'!J18</f>
        <v>14591.85</v>
      </c>
      <c r="O15" s="409">
        <f t="shared" si="0"/>
        <v>6337.010000000002</v>
      </c>
      <c r="P15" s="354">
        <f>O15/K15</f>
        <v>0.36241783845580633</v>
      </c>
      <c r="S15" s="318"/>
      <c r="T15" s="387"/>
      <c r="U15" s="304"/>
    </row>
    <row r="16" spans="1:61" s="55" customFormat="1" ht="20.25" x14ac:dyDescent="0.2">
      <c r="A16" s="54"/>
      <c r="B16" s="54"/>
      <c r="C16" s="58" t="s">
        <v>594</v>
      </c>
      <c r="D16" s="58"/>
      <c r="E16" s="58"/>
      <c r="F16" s="54"/>
      <c r="G16" s="193"/>
      <c r="H16" s="193"/>
      <c r="I16" s="193"/>
      <c r="J16" s="193">
        <f>26431.88-1000</f>
        <v>25431.88</v>
      </c>
      <c r="K16" s="193"/>
      <c r="L16" s="193"/>
      <c r="M16" s="193"/>
      <c r="O16" s="409">
        <f t="shared" si="0"/>
        <v>25431.88</v>
      </c>
      <c r="P16" s="354"/>
      <c r="S16" s="318"/>
      <c r="T16" s="387"/>
      <c r="U16" s="304"/>
    </row>
    <row r="17" spans="1:21" s="55" customFormat="1" ht="20.25" x14ac:dyDescent="0.2">
      <c r="A17" s="54"/>
      <c r="B17" s="54"/>
      <c r="C17" s="58" t="s">
        <v>215</v>
      </c>
      <c r="D17" s="58"/>
      <c r="E17" s="58"/>
      <c r="F17" s="54"/>
      <c r="G17" s="193">
        <v>31459</v>
      </c>
      <c r="H17" s="193">
        <v>13920.35</v>
      </c>
      <c r="I17" s="193"/>
      <c r="J17" s="193">
        <f>'December''23 Revenues &amp; Expenses'!H48</f>
        <v>27500</v>
      </c>
      <c r="K17" s="193">
        <v>27500</v>
      </c>
      <c r="L17" s="193"/>
      <c r="M17" s="193">
        <v>21597</v>
      </c>
      <c r="O17" s="409">
        <f t="shared" si="0"/>
        <v>0</v>
      </c>
      <c r="P17" s="354">
        <f>O17/K17</f>
        <v>0</v>
      </c>
      <c r="S17" s="318"/>
      <c r="T17" s="387"/>
      <c r="U17" s="304"/>
    </row>
    <row r="18" spans="1:21" s="55" customFormat="1" ht="20.25" x14ac:dyDescent="0.2">
      <c r="A18" s="54"/>
      <c r="B18" s="54"/>
      <c r="C18" s="58" t="s">
        <v>378</v>
      </c>
      <c r="D18" s="58"/>
      <c r="E18" s="58"/>
      <c r="F18" s="54"/>
      <c r="G18" s="193"/>
      <c r="H18" s="193"/>
      <c r="I18" s="193"/>
      <c r="J18" s="193">
        <v>23872.21</v>
      </c>
      <c r="K18" s="193">
        <v>3339.95</v>
      </c>
      <c r="L18" s="193"/>
      <c r="M18" s="193">
        <v>6380</v>
      </c>
      <c r="O18" s="409">
        <f t="shared" si="0"/>
        <v>20532.259999999998</v>
      </c>
      <c r="P18" s="334">
        <f>O18/K18</f>
        <v>6.1474752616057122</v>
      </c>
      <c r="S18" s="318"/>
      <c r="T18" s="387"/>
      <c r="U18" s="304"/>
    </row>
    <row r="19" spans="1:21" s="55" customFormat="1" ht="20.25" x14ac:dyDescent="0.2">
      <c r="A19" s="54"/>
      <c r="B19" s="54"/>
      <c r="C19" s="58" t="s">
        <v>390</v>
      </c>
      <c r="D19" s="58"/>
      <c r="E19" s="58"/>
      <c r="F19" s="54"/>
      <c r="G19" s="193"/>
      <c r="H19" s="193"/>
      <c r="I19" s="193"/>
      <c r="J19" s="193">
        <v>50000</v>
      </c>
      <c r="K19" s="193">
        <v>0</v>
      </c>
      <c r="L19" s="193"/>
      <c r="M19" s="193">
        <v>0</v>
      </c>
      <c r="O19" s="409">
        <f t="shared" si="0"/>
        <v>50000</v>
      </c>
      <c r="P19" s="334"/>
      <c r="S19" s="318"/>
      <c r="T19" s="387"/>
      <c r="U19" s="304"/>
    </row>
    <row r="20" spans="1:21" s="55" customFormat="1" ht="20.25" x14ac:dyDescent="0.2">
      <c r="A20" s="54"/>
      <c r="B20" s="54"/>
      <c r="C20" s="58" t="s">
        <v>568</v>
      </c>
      <c r="D20" s="58"/>
      <c r="E20" s="58"/>
      <c r="F20" s="54"/>
      <c r="G20" s="193"/>
      <c r="H20" s="193"/>
      <c r="I20" s="193"/>
      <c r="J20" s="193">
        <v>50000</v>
      </c>
      <c r="K20" s="193">
        <v>0</v>
      </c>
      <c r="L20" s="193"/>
      <c r="M20" s="193"/>
      <c r="O20" s="409">
        <f t="shared" si="0"/>
        <v>50000</v>
      </c>
      <c r="P20" s="354"/>
      <c r="S20" s="318"/>
      <c r="T20" s="387"/>
      <c r="U20" s="304"/>
    </row>
    <row r="21" spans="1:21" s="55" customFormat="1" ht="20.25" hidden="1" x14ac:dyDescent="0.2">
      <c r="A21" s="54"/>
      <c r="B21" s="54"/>
      <c r="C21" s="58" t="s">
        <v>406</v>
      </c>
      <c r="D21" s="58"/>
      <c r="E21" s="58"/>
      <c r="F21" s="54"/>
      <c r="G21" s="193"/>
      <c r="H21" s="193"/>
      <c r="I21" s="193"/>
      <c r="J21" s="193">
        <v>0</v>
      </c>
      <c r="K21" s="193">
        <v>0</v>
      </c>
      <c r="L21" s="193"/>
      <c r="M21" s="193"/>
      <c r="O21" s="409">
        <f t="shared" si="0"/>
        <v>0</v>
      </c>
      <c r="P21" s="354"/>
      <c r="S21" s="318"/>
      <c r="T21" s="387"/>
      <c r="U21" s="304"/>
    </row>
    <row r="22" spans="1:21" s="55" customFormat="1" ht="20.25" x14ac:dyDescent="0.2">
      <c r="A22" s="54"/>
      <c r="B22" s="54"/>
      <c r="C22" s="58" t="s">
        <v>334</v>
      </c>
      <c r="D22" s="58"/>
      <c r="E22" s="58"/>
      <c r="F22" s="54"/>
      <c r="G22" s="193"/>
      <c r="H22" s="193"/>
      <c r="I22" s="193"/>
      <c r="J22" s="193">
        <v>150</v>
      </c>
      <c r="K22" s="193"/>
      <c r="L22" s="193"/>
      <c r="M22" s="193">
        <v>30</v>
      </c>
      <c r="O22" s="409">
        <f t="shared" si="0"/>
        <v>150</v>
      </c>
      <c r="P22" s="354"/>
      <c r="S22" s="318"/>
      <c r="T22" s="387"/>
      <c r="U22" s="304"/>
    </row>
    <row r="23" spans="1:21" s="55" customFormat="1" ht="20.25" customHeight="1" x14ac:dyDescent="0.2">
      <c r="A23" s="54"/>
      <c r="B23" s="54"/>
      <c r="C23" s="784" t="s">
        <v>569</v>
      </c>
      <c r="D23" s="784"/>
      <c r="E23" s="784"/>
      <c r="F23" s="784"/>
      <c r="G23" s="193"/>
      <c r="H23" s="193"/>
      <c r="I23" s="193"/>
      <c r="J23" s="193">
        <v>939.66</v>
      </c>
      <c r="K23" s="193">
        <v>0</v>
      </c>
      <c r="L23" s="193"/>
      <c r="M23" s="193">
        <f>K23</f>
        <v>0</v>
      </c>
      <c r="O23" s="409">
        <f t="shared" si="0"/>
        <v>939.66</v>
      </c>
      <c r="P23" s="354"/>
      <c r="S23" s="318"/>
      <c r="T23" s="387"/>
      <c r="U23" s="304"/>
    </row>
    <row r="24" spans="1:21" s="55" customFormat="1" ht="20.25" x14ac:dyDescent="0.2">
      <c r="A24" s="54"/>
      <c r="B24" s="54"/>
      <c r="C24" s="58" t="s">
        <v>343</v>
      </c>
      <c r="D24" s="58"/>
      <c r="E24" s="58"/>
      <c r="F24" s="54"/>
      <c r="G24" s="193">
        <v>1125</v>
      </c>
      <c r="H24" s="193">
        <v>6050</v>
      </c>
      <c r="I24" s="193"/>
      <c r="J24" s="193">
        <v>0</v>
      </c>
      <c r="K24" s="193">
        <v>0</v>
      </c>
      <c r="L24" s="193"/>
      <c r="M24" s="193">
        <v>0</v>
      </c>
      <c r="O24" s="409">
        <f t="shared" si="0"/>
        <v>0</v>
      </c>
      <c r="P24" s="354"/>
    </row>
    <row r="25" spans="1:21" s="55" customFormat="1" ht="21" thickBot="1" x14ac:dyDescent="0.25">
      <c r="A25" s="54"/>
      <c r="B25" s="54"/>
      <c r="C25" s="58" t="s">
        <v>216</v>
      </c>
      <c r="D25" s="58"/>
      <c r="E25" s="58"/>
      <c r="F25" s="54"/>
      <c r="G25" s="200">
        <v>31250</v>
      </c>
      <c r="H25" s="200">
        <v>15624.98</v>
      </c>
      <c r="I25" s="193"/>
      <c r="J25" s="200">
        <f>'December''23 State of Activities'!G26*0.2</f>
        <v>10548</v>
      </c>
      <c r="K25" s="200">
        <f>'[3]December''21 State of Activities'!H26*0.2</f>
        <v>10548</v>
      </c>
      <c r="L25" s="193"/>
      <c r="M25" s="200">
        <f>'December''23 State of Activities'!J26*0.2</f>
        <v>10548</v>
      </c>
      <c r="O25" s="316">
        <f t="shared" si="0"/>
        <v>0</v>
      </c>
      <c r="P25" s="335">
        <v>0</v>
      </c>
    </row>
    <row r="26" spans="1:21" s="55" customFormat="1" ht="20.25" x14ac:dyDescent="0.2">
      <c r="A26" s="54"/>
      <c r="B26" s="54"/>
      <c r="C26" s="58"/>
      <c r="D26" s="54" t="s">
        <v>104</v>
      </c>
      <c r="E26" s="58"/>
      <c r="F26" s="54"/>
      <c r="G26" s="193">
        <v>1161224.25</v>
      </c>
      <c r="H26" s="193">
        <v>516293.30999999994</v>
      </c>
      <c r="I26" s="193"/>
      <c r="J26" s="193">
        <f>SUM(J9:J25)</f>
        <v>432321.97</v>
      </c>
      <c r="K26" s="193">
        <f>SUM(K9:K25)</f>
        <v>254135.03000000003</v>
      </c>
      <c r="L26" s="193"/>
      <c r="M26" s="193">
        <f>SUM(M9:M25)</f>
        <v>238539.91</v>
      </c>
      <c r="O26" s="225">
        <f t="shared" si="0"/>
        <v>178186.93999999994</v>
      </c>
      <c r="P26" s="354">
        <f>O26/K26</f>
        <v>0.70115064420674289</v>
      </c>
    </row>
    <row r="27" spans="1:21" s="55" customFormat="1" ht="21" thickBot="1" x14ac:dyDescent="0.25">
      <c r="A27" s="54"/>
      <c r="B27" s="54"/>
      <c r="C27" s="54" t="s">
        <v>217</v>
      </c>
      <c r="D27" s="58"/>
      <c r="E27" s="58"/>
      <c r="F27" s="54"/>
      <c r="G27" s="200">
        <v>150176</v>
      </c>
      <c r="H27" s="200">
        <v>47700.27</v>
      </c>
      <c r="I27" s="193"/>
      <c r="J27" s="193">
        <v>21000</v>
      </c>
      <c r="K27" s="193">
        <v>20000</v>
      </c>
      <c r="L27" s="193"/>
      <c r="M27" s="193">
        <v>16667</v>
      </c>
      <c r="O27" s="409">
        <f t="shared" si="0"/>
        <v>1000</v>
      </c>
      <c r="P27" s="334">
        <f>O27/K27</f>
        <v>0.05</v>
      </c>
    </row>
    <row r="28" spans="1:21" s="55" customFormat="1" ht="21" thickBot="1" x14ac:dyDescent="0.25">
      <c r="A28" s="54"/>
      <c r="B28" s="54"/>
      <c r="C28" s="54" t="s">
        <v>218</v>
      </c>
      <c r="D28" s="58"/>
      <c r="E28" s="58"/>
      <c r="F28" s="54"/>
      <c r="G28" s="193"/>
      <c r="H28" s="193"/>
      <c r="I28" s="193"/>
      <c r="J28" s="200">
        <v>33955.519999999997</v>
      </c>
      <c r="K28" s="200">
        <v>43041.19</v>
      </c>
      <c r="L28" s="193"/>
      <c r="M28" s="200">
        <v>36117</v>
      </c>
      <c r="O28" s="316">
        <f t="shared" si="0"/>
        <v>-9085.6700000000055</v>
      </c>
      <c r="P28" s="380">
        <f>O28/K28</f>
        <v>-0.21109244423771753</v>
      </c>
    </row>
    <row r="29" spans="1:21" s="55" customFormat="1" ht="20.25" x14ac:dyDescent="0.2">
      <c r="A29" s="54"/>
      <c r="B29" s="54"/>
      <c r="C29" s="58"/>
      <c r="D29" s="54" t="s">
        <v>106</v>
      </c>
      <c r="E29" s="58"/>
      <c r="F29" s="54"/>
      <c r="G29" s="193">
        <v>1311400.25</v>
      </c>
      <c r="H29" s="193">
        <v>563993.57999999996</v>
      </c>
      <c r="I29" s="193"/>
      <c r="J29" s="193">
        <f>SUM(J26:J28)</f>
        <v>487277.49</v>
      </c>
      <c r="K29" s="193">
        <f>SUM(K26:K28)</f>
        <v>317176.22000000003</v>
      </c>
      <c r="L29" s="193"/>
      <c r="M29" s="193">
        <f>SUM(M26:M28)</f>
        <v>291323.91000000003</v>
      </c>
      <c r="O29" s="225">
        <f t="shared" si="0"/>
        <v>170101.26999999996</v>
      </c>
      <c r="P29" s="354">
        <f>O29/K29</f>
        <v>0.5362989381738642</v>
      </c>
    </row>
    <row r="30" spans="1:21" s="55" customFormat="1" ht="20.25" x14ac:dyDescent="0.2">
      <c r="A30" s="54"/>
      <c r="B30" s="54"/>
      <c r="C30" s="58"/>
      <c r="D30" s="54"/>
      <c r="E30" s="58"/>
      <c r="F30" s="54"/>
      <c r="G30" s="193"/>
      <c r="H30" s="193"/>
      <c r="I30" s="193"/>
      <c r="J30" s="193"/>
      <c r="K30" s="481"/>
      <c r="L30" s="193"/>
      <c r="M30" s="193"/>
    </row>
    <row r="31" spans="1:21" s="55" customFormat="1" ht="21" thickBot="1" x14ac:dyDescent="0.25">
      <c r="A31" s="54"/>
      <c r="B31" s="66" t="s">
        <v>110</v>
      </c>
      <c r="C31" s="66"/>
      <c r="D31" s="66"/>
      <c r="E31" s="66"/>
      <c r="F31" s="66"/>
      <c r="G31" s="200"/>
      <c r="J31" s="193"/>
    </row>
    <row r="32" spans="1:21" s="55" customFormat="1" ht="20.25" x14ac:dyDescent="0.2">
      <c r="A32" s="54"/>
      <c r="B32" s="54"/>
      <c r="C32" s="58" t="s">
        <v>219</v>
      </c>
      <c r="D32" s="58"/>
      <c r="E32" s="58"/>
      <c r="F32" s="58"/>
      <c r="G32" s="193">
        <v>733747.79999999993</v>
      </c>
      <c r="H32" s="225">
        <v>361976</v>
      </c>
      <c r="I32" s="225"/>
      <c r="J32" s="193"/>
      <c r="K32" s="225"/>
      <c r="L32" s="225"/>
      <c r="M32" s="225"/>
    </row>
    <row r="33" spans="1:18" s="55" customFormat="1" ht="20.25" x14ac:dyDescent="0.2">
      <c r="A33" s="54"/>
      <c r="B33" s="54"/>
      <c r="C33" s="58"/>
      <c r="D33" s="784" t="s">
        <v>220</v>
      </c>
      <c r="E33" s="784"/>
      <c r="F33" s="784"/>
      <c r="G33" s="193"/>
      <c r="H33" s="225"/>
      <c r="I33" s="225"/>
      <c r="J33" s="193">
        <v>227733.03</v>
      </c>
      <c r="K33" s="193">
        <v>205058.36</v>
      </c>
      <c r="L33" s="225"/>
      <c r="M33" s="193">
        <v>171195.18</v>
      </c>
      <c r="O33" s="225">
        <f>J33-K33</f>
        <v>22674.670000000013</v>
      </c>
      <c r="P33" s="354">
        <f>O33/K33</f>
        <v>0.11057666705224803</v>
      </c>
    </row>
    <row r="34" spans="1:18" s="55" customFormat="1" ht="20.25" x14ac:dyDescent="0.2">
      <c r="A34" s="54"/>
      <c r="B34" s="54"/>
      <c r="C34" s="58"/>
      <c r="D34" s="784" t="s">
        <v>221</v>
      </c>
      <c r="E34" s="784"/>
      <c r="F34" s="784"/>
      <c r="G34" s="193"/>
      <c r="H34" s="225"/>
      <c r="I34" s="225"/>
      <c r="J34" s="193">
        <f>49366.82+33409.92</f>
        <v>82776.739999999991</v>
      </c>
      <c r="K34" s="193">
        <v>78235.89</v>
      </c>
      <c r="L34" s="225"/>
      <c r="M34" s="193">
        <f>40900.42+24090.76</f>
        <v>64991.179999999993</v>
      </c>
      <c r="O34" s="225">
        <f>J34-K34</f>
        <v>4540.8499999999913</v>
      </c>
      <c r="P34" s="354">
        <f>O34/K34</f>
        <v>5.8040497781772421E-2</v>
      </c>
      <c r="R34" s="204"/>
    </row>
    <row r="35" spans="1:18" s="55" customFormat="1" ht="20.25" x14ac:dyDescent="0.2">
      <c r="A35" s="54"/>
      <c r="B35" s="54"/>
      <c r="C35" s="58"/>
      <c r="D35" s="784" t="s">
        <v>112</v>
      </c>
      <c r="E35" s="784"/>
      <c r="F35" s="784"/>
      <c r="G35" s="193"/>
      <c r="H35" s="225"/>
      <c r="I35" s="225"/>
      <c r="J35" s="193">
        <v>55442.07</v>
      </c>
      <c r="K35" s="193">
        <f>K33*0.213+K34*0.14</f>
        <v>54630.455279999995</v>
      </c>
      <c r="L35" s="225"/>
      <c r="M35" s="193">
        <f>M33*0.213+M34*0.14</f>
        <v>45563.338539999997</v>
      </c>
      <c r="O35" s="225">
        <f>J35-K35</f>
        <v>811.61472000000504</v>
      </c>
      <c r="P35" s="354">
        <f>O35/K35</f>
        <v>1.4856451696040215E-2</v>
      </c>
    </row>
    <row r="36" spans="1:18" s="55" customFormat="1" ht="20.25" x14ac:dyDescent="0.2">
      <c r="A36" s="54"/>
      <c r="B36" s="54"/>
      <c r="C36" s="58" t="s">
        <v>277</v>
      </c>
      <c r="D36" s="58"/>
      <c r="E36" s="58"/>
      <c r="F36" s="58"/>
      <c r="G36" s="193">
        <v>44745.18</v>
      </c>
      <c r="H36" s="193">
        <v>20974.21</v>
      </c>
      <c r="I36" s="193"/>
      <c r="J36" s="613"/>
      <c r="K36" s="613"/>
      <c r="L36" s="613"/>
      <c r="M36" s="613"/>
      <c r="O36" s="658"/>
      <c r="P36" s="354"/>
    </row>
    <row r="37" spans="1:18" s="55" customFormat="1" ht="20.25" x14ac:dyDescent="0.2">
      <c r="A37" s="54"/>
      <c r="B37" s="54"/>
      <c r="C37" s="58"/>
      <c r="D37" s="784" t="s">
        <v>222</v>
      </c>
      <c r="E37" s="784"/>
      <c r="F37" s="784"/>
      <c r="G37" s="193"/>
      <c r="H37" s="193"/>
      <c r="I37" s="193"/>
      <c r="J37" s="193">
        <v>31525.11</v>
      </c>
      <c r="K37" s="193">
        <v>37936.65</v>
      </c>
      <c r="L37" s="193"/>
      <c r="M37" s="193">
        <v>32697.66</v>
      </c>
      <c r="O37" s="225">
        <f t="shared" ref="O37:O55" si="1">J37-K37</f>
        <v>-6411.5400000000009</v>
      </c>
      <c r="P37" s="354">
        <f t="shared" ref="P37:P44" si="2">O37/K37</f>
        <v>-0.1690064884485056</v>
      </c>
    </row>
    <row r="38" spans="1:18" s="55" customFormat="1" ht="20.25" x14ac:dyDescent="0.2">
      <c r="A38" s="54"/>
      <c r="B38" s="54"/>
      <c r="C38" s="58"/>
      <c r="D38" s="784" t="s">
        <v>223</v>
      </c>
      <c r="E38" s="784"/>
      <c r="F38" s="784"/>
      <c r="G38" s="193"/>
      <c r="H38" s="193"/>
      <c r="I38" s="193"/>
      <c r="J38" s="193">
        <v>13289.95</v>
      </c>
      <c r="K38" s="193">
        <v>25355.23</v>
      </c>
      <c r="L38" s="193"/>
      <c r="M38" s="193">
        <v>20419.62</v>
      </c>
      <c r="O38" s="225">
        <f t="shared" si="1"/>
        <v>-12065.279999999999</v>
      </c>
      <c r="P38" s="354">
        <f t="shared" si="2"/>
        <v>-0.47584975565198973</v>
      </c>
    </row>
    <row r="39" spans="1:18" s="55" customFormat="1" ht="20.25" x14ac:dyDescent="0.2">
      <c r="A39" s="54"/>
      <c r="B39" s="54"/>
      <c r="C39" s="58"/>
      <c r="D39" s="784" t="s">
        <v>303</v>
      </c>
      <c r="E39" s="784"/>
      <c r="F39" s="784"/>
      <c r="G39" s="193"/>
      <c r="H39" s="193"/>
      <c r="I39" s="193"/>
      <c r="J39" s="193">
        <v>15327.6</v>
      </c>
      <c r="K39" s="193">
        <v>10951.57</v>
      </c>
      <c r="L39" s="193"/>
      <c r="M39" s="193">
        <v>9009.34</v>
      </c>
      <c r="O39" s="225">
        <f t="shared" si="1"/>
        <v>4376.0300000000007</v>
      </c>
      <c r="P39" s="354">
        <f t="shared" si="2"/>
        <v>0.39958015152165405</v>
      </c>
    </row>
    <row r="40" spans="1:18" s="55" customFormat="1" ht="20.25" x14ac:dyDescent="0.2">
      <c r="A40" s="54"/>
      <c r="B40" s="54"/>
      <c r="C40" s="58"/>
      <c r="D40" s="784" t="s">
        <v>224</v>
      </c>
      <c r="E40" s="784"/>
      <c r="F40" s="784"/>
      <c r="G40" s="193"/>
      <c r="H40" s="193"/>
      <c r="I40" s="193"/>
      <c r="J40" s="193">
        <v>710.5</v>
      </c>
      <c r="K40" s="193">
        <v>744</v>
      </c>
      <c r="L40" s="193"/>
      <c r="M40" s="193">
        <v>472</v>
      </c>
      <c r="O40" s="225">
        <f t="shared" si="1"/>
        <v>-33.5</v>
      </c>
      <c r="P40" s="354">
        <f t="shared" si="2"/>
        <v>-4.5026881720430109E-2</v>
      </c>
    </row>
    <row r="41" spans="1:18" s="55" customFormat="1" ht="20.25" x14ac:dyDescent="0.2">
      <c r="A41" s="54"/>
      <c r="B41" s="54"/>
      <c r="C41" s="58" t="s">
        <v>468</v>
      </c>
      <c r="D41" s="58"/>
      <c r="E41" s="58"/>
      <c r="F41" s="58"/>
      <c r="G41" s="193">
        <v>27200</v>
      </c>
      <c r="H41" s="193">
        <v>11327</v>
      </c>
      <c r="I41" s="193"/>
      <c r="J41" s="193">
        <f>1902+26395</f>
        <v>28297</v>
      </c>
      <c r="K41" s="193">
        <v>31133</v>
      </c>
      <c r="L41" s="193"/>
      <c r="M41" s="193">
        <f>1586+24634</f>
        <v>26220</v>
      </c>
      <c r="O41" s="225">
        <f t="shared" si="1"/>
        <v>-2836</v>
      </c>
      <c r="P41" s="354">
        <f t="shared" si="2"/>
        <v>-9.1093052388141207E-2</v>
      </c>
      <c r="R41" s="204"/>
    </row>
    <row r="42" spans="1:18" s="55" customFormat="1" ht="20.25" x14ac:dyDescent="0.2">
      <c r="A42" s="54"/>
      <c r="B42" s="54"/>
      <c r="C42" s="58" t="s">
        <v>103</v>
      </c>
      <c r="D42" s="58"/>
      <c r="E42" s="58"/>
      <c r="F42" s="58"/>
      <c r="G42" s="193">
        <v>150176</v>
      </c>
      <c r="H42" s="225">
        <v>47700.27</v>
      </c>
      <c r="I42" s="225"/>
      <c r="J42" s="193">
        <f>J25</f>
        <v>10548</v>
      </c>
      <c r="K42" s="193">
        <f>K25</f>
        <v>10548</v>
      </c>
      <c r="L42" s="225"/>
      <c r="M42" s="193">
        <f>M25</f>
        <v>10548</v>
      </c>
      <c r="O42" s="225">
        <f t="shared" si="1"/>
        <v>0</v>
      </c>
      <c r="P42" s="354">
        <f t="shared" si="2"/>
        <v>0</v>
      </c>
    </row>
    <row r="43" spans="1:18" s="55" customFormat="1" ht="20.25" x14ac:dyDescent="0.2">
      <c r="A43" s="54"/>
      <c r="B43" s="54"/>
      <c r="C43" s="58" t="s">
        <v>312</v>
      </c>
      <c r="D43" s="58"/>
      <c r="E43" s="58"/>
      <c r="F43" s="58"/>
      <c r="G43" s="193"/>
      <c r="H43" s="225"/>
      <c r="I43" s="225"/>
      <c r="J43" s="193">
        <v>4527.62</v>
      </c>
      <c r="K43" s="193">
        <v>4738.88</v>
      </c>
      <c r="L43" s="225"/>
      <c r="M43" s="193">
        <v>3948.9</v>
      </c>
      <c r="O43" s="225">
        <f t="shared" si="1"/>
        <v>-211.26000000000022</v>
      </c>
      <c r="P43" s="354">
        <f t="shared" si="2"/>
        <v>-4.4580153960429511E-2</v>
      </c>
    </row>
    <row r="44" spans="1:18" s="55" customFormat="1" ht="20.25" x14ac:dyDescent="0.2">
      <c r="A44" s="54"/>
      <c r="B44" s="54"/>
      <c r="C44" s="58" t="s">
        <v>543</v>
      </c>
      <c r="D44" s="58"/>
      <c r="E44" s="58"/>
      <c r="F44" s="58"/>
      <c r="G44" s="193"/>
      <c r="H44" s="225"/>
      <c r="I44" s="225"/>
      <c r="J44" s="193">
        <v>1937.6</v>
      </c>
      <c r="K44" s="193">
        <v>447</v>
      </c>
      <c r="L44" s="225"/>
      <c r="M44" s="193"/>
      <c r="O44" s="225">
        <f t="shared" si="1"/>
        <v>1490.6</v>
      </c>
      <c r="P44" s="354">
        <f t="shared" si="2"/>
        <v>3.3346756152125279</v>
      </c>
    </row>
    <row r="45" spans="1:18" s="55" customFormat="1" ht="20.25" x14ac:dyDescent="0.2">
      <c r="A45" s="54"/>
      <c r="B45" s="54"/>
      <c r="C45" s="58" t="s">
        <v>226</v>
      </c>
      <c r="D45" s="58"/>
      <c r="E45" s="58"/>
      <c r="F45" s="58"/>
      <c r="G45" s="193"/>
      <c r="H45" s="225"/>
      <c r="I45" s="225"/>
      <c r="J45" s="193">
        <f>140+673</f>
        <v>813</v>
      </c>
      <c r="K45" s="193">
        <v>2293</v>
      </c>
      <c r="L45" s="225"/>
      <c r="M45" s="193">
        <v>1314</v>
      </c>
      <c r="O45" s="225">
        <f t="shared" si="1"/>
        <v>-1480</v>
      </c>
      <c r="P45" s="354">
        <f>O45/K45</f>
        <v>-0.64544265154819014</v>
      </c>
    </row>
    <row r="46" spans="1:18" s="55" customFormat="1" ht="20.25" x14ac:dyDescent="0.2">
      <c r="A46" s="54"/>
      <c r="B46" s="54"/>
      <c r="C46" s="58" t="s">
        <v>381</v>
      </c>
      <c r="D46" s="58"/>
      <c r="E46" s="58"/>
      <c r="F46" s="58"/>
      <c r="G46" s="193">
        <v>10993.12</v>
      </c>
      <c r="H46" s="225">
        <v>4904.57</v>
      </c>
      <c r="I46" s="225"/>
      <c r="J46" s="193">
        <v>8336.2099999999991</v>
      </c>
      <c r="K46" s="193">
        <v>8658.77</v>
      </c>
      <c r="L46" s="225"/>
      <c r="M46" s="193">
        <v>7185</v>
      </c>
      <c r="O46" s="225">
        <f t="shared" si="1"/>
        <v>-322.56000000000131</v>
      </c>
      <c r="P46" s="354">
        <f>O46/K46</f>
        <v>-3.7252404209835957E-2</v>
      </c>
    </row>
    <row r="47" spans="1:18" s="55" customFormat="1" ht="20.25" x14ac:dyDescent="0.2">
      <c r="A47" s="54"/>
      <c r="B47" s="54"/>
      <c r="C47" s="58" t="s">
        <v>227</v>
      </c>
      <c r="D47" s="58"/>
      <c r="E47" s="58"/>
      <c r="F47" s="58"/>
      <c r="G47" s="193">
        <v>10250.949999999999</v>
      </c>
      <c r="H47" s="225">
        <v>3982.99</v>
      </c>
      <c r="I47" s="225"/>
      <c r="J47" s="193">
        <f>759.4+755.78</f>
        <v>1515.1799999999998</v>
      </c>
      <c r="K47" s="193">
        <v>1733.64</v>
      </c>
      <c r="L47" s="225"/>
      <c r="M47" s="193">
        <v>1689</v>
      </c>
      <c r="O47" s="225">
        <f t="shared" si="1"/>
        <v>-218.46000000000026</v>
      </c>
      <c r="P47" s="354">
        <f>O47/K47</f>
        <v>-0.12601232089707221</v>
      </c>
    </row>
    <row r="48" spans="1:18" s="55" customFormat="1" ht="20.25" x14ac:dyDescent="0.2">
      <c r="A48" s="54"/>
      <c r="B48" s="54"/>
      <c r="C48" s="58" t="s">
        <v>121</v>
      </c>
      <c r="D48" s="58"/>
      <c r="E48" s="58"/>
      <c r="F48" s="58"/>
      <c r="G48" s="193">
        <v>4412.53</v>
      </c>
      <c r="H48" s="226">
        <v>5667</v>
      </c>
      <c r="I48" s="226"/>
      <c r="J48" s="193">
        <v>6269.68</v>
      </c>
      <c r="K48" s="193">
        <v>5036.8900000000003</v>
      </c>
      <c r="L48" s="226"/>
      <c r="M48" s="193">
        <v>5037</v>
      </c>
      <c r="O48" s="225">
        <f t="shared" si="1"/>
        <v>1232.79</v>
      </c>
      <c r="P48" s="354">
        <f>O48/K48</f>
        <v>0.24475221813460288</v>
      </c>
    </row>
    <row r="49" spans="1:18" s="55" customFormat="1" ht="20.25" x14ac:dyDescent="0.2">
      <c r="A49" s="54"/>
      <c r="B49" s="54"/>
      <c r="C49" s="58" t="s">
        <v>119</v>
      </c>
      <c r="D49" s="58"/>
      <c r="E49" s="58"/>
      <c r="F49" s="58"/>
      <c r="G49" s="193">
        <v>7901</v>
      </c>
      <c r="H49" s="225">
        <v>4149.6000000000004</v>
      </c>
      <c r="I49" s="225"/>
      <c r="J49" s="193">
        <v>667.73</v>
      </c>
      <c r="K49" s="193">
        <v>658.61</v>
      </c>
      <c r="L49" s="225"/>
      <c r="M49" s="193">
        <v>446</v>
      </c>
      <c r="O49" s="225">
        <f t="shared" si="1"/>
        <v>9.1200000000000045</v>
      </c>
      <c r="P49" s="354">
        <f>O49/K49</f>
        <v>1.3847345166335167E-2</v>
      </c>
    </row>
    <row r="50" spans="1:18" s="55" customFormat="1" ht="20.25" hidden="1" x14ac:dyDescent="0.2">
      <c r="A50" s="54"/>
      <c r="B50" s="54"/>
      <c r="C50" s="58" t="s">
        <v>228</v>
      </c>
      <c r="D50" s="58"/>
      <c r="E50" s="58"/>
      <c r="F50" s="58"/>
      <c r="G50" s="193"/>
      <c r="H50" s="225"/>
      <c r="I50" s="225"/>
      <c r="J50" s="193"/>
      <c r="K50" s="193"/>
      <c r="L50" s="225"/>
      <c r="M50" s="193">
        <v>257.51</v>
      </c>
      <c r="O50" s="225">
        <f t="shared" si="1"/>
        <v>0</v>
      </c>
      <c r="P50" s="354"/>
    </row>
    <row r="51" spans="1:18" s="55" customFormat="1" ht="20.25" x14ac:dyDescent="0.2">
      <c r="A51" s="58"/>
      <c r="B51" s="58"/>
      <c r="C51" s="58" t="s">
        <v>115</v>
      </c>
      <c r="D51" s="58"/>
      <c r="E51" s="58"/>
      <c r="F51" s="58"/>
      <c r="G51" s="193">
        <v>5428.37</v>
      </c>
      <c r="H51" s="225">
        <v>2024.52</v>
      </c>
      <c r="I51" s="225"/>
      <c r="J51" s="193">
        <v>374.36</v>
      </c>
      <c r="K51" s="193">
        <v>277.69</v>
      </c>
      <c r="L51" s="225"/>
      <c r="M51" s="193">
        <v>258</v>
      </c>
      <c r="O51" s="225">
        <f t="shared" si="1"/>
        <v>96.670000000000016</v>
      </c>
      <c r="P51" s="354">
        <f>O51/K51</f>
        <v>0.34812200655407116</v>
      </c>
    </row>
    <row r="52" spans="1:18" s="55" customFormat="1" ht="20.25" x14ac:dyDescent="0.2">
      <c r="A52" s="58"/>
      <c r="B52" s="58"/>
      <c r="C52" s="58" t="s">
        <v>32</v>
      </c>
      <c r="D52" s="58"/>
      <c r="E52" s="58"/>
      <c r="F52" s="58"/>
      <c r="G52" s="193"/>
      <c r="H52" s="225"/>
      <c r="I52" s="225"/>
      <c r="J52" s="193">
        <f>'December''23 State of Activities'!G54</f>
        <v>5462.19</v>
      </c>
      <c r="K52" s="193">
        <f>'December''23 State of Activities'!H54</f>
        <v>926.32999999999993</v>
      </c>
      <c r="L52" s="225"/>
      <c r="M52" s="193">
        <v>125</v>
      </c>
      <c r="O52" s="225">
        <f t="shared" si="1"/>
        <v>4535.8599999999997</v>
      </c>
      <c r="P52" s="354">
        <f>O52/K52</f>
        <v>4.8965919272829339</v>
      </c>
    </row>
    <row r="53" spans="1:18" s="55" customFormat="1" ht="20.25" x14ac:dyDescent="0.2">
      <c r="A53" s="58"/>
      <c r="B53" s="58"/>
      <c r="C53" s="58" t="s">
        <v>229</v>
      </c>
      <c r="D53" s="58"/>
      <c r="E53" s="58"/>
      <c r="F53" s="58"/>
      <c r="G53" s="193">
        <v>83462.91</v>
      </c>
      <c r="H53" s="193">
        <v>18995.71</v>
      </c>
      <c r="I53" s="193"/>
      <c r="J53" s="195">
        <f>17.65*2+79.5+114.85+409.5+320.68+105</f>
        <v>1064.83</v>
      </c>
      <c r="K53" s="195">
        <v>1269.29</v>
      </c>
      <c r="L53" s="193"/>
      <c r="M53" s="195">
        <v>429</v>
      </c>
      <c r="O53" s="412">
        <f t="shared" si="1"/>
        <v>-204.46000000000004</v>
      </c>
      <c r="P53" s="411">
        <f>O53/K53</f>
        <v>-0.16108217980130626</v>
      </c>
    </row>
    <row r="54" spans="1:18" s="55" customFormat="1" ht="21" thickBot="1" x14ac:dyDescent="0.25">
      <c r="A54" s="54"/>
      <c r="B54" s="54"/>
      <c r="C54" s="54"/>
      <c r="D54" s="54" t="s">
        <v>127</v>
      </c>
      <c r="E54" s="54"/>
      <c r="F54" s="54"/>
      <c r="G54" s="200">
        <v>1078317.8599999999</v>
      </c>
      <c r="H54" s="200">
        <v>481701.87000000005</v>
      </c>
      <c r="I54" s="193"/>
      <c r="J54" s="382">
        <f>SUM(J33:J53)</f>
        <v>496618.39999999997</v>
      </c>
      <c r="K54" s="382">
        <f>SUM(K33:K53)</f>
        <v>480633.25528000004</v>
      </c>
      <c r="L54" s="193"/>
      <c r="M54" s="382">
        <f>SUM(M33:M53)</f>
        <v>401805.72854000004</v>
      </c>
      <c r="O54" s="382">
        <f t="shared" si="1"/>
        <v>15985.144719999924</v>
      </c>
      <c r="P54" s="380">
        <f>O54/K54</f>
        <v>3.3258507488599681E-2</v>
      </c>
      <c r="R54" s="285"/>
    </row>
    <row r="55" spans="1:18" s="55" customFormat="1" ht="21" thickBot="1" x14ac:dyDescent="0.25">
      <c r="A55" s="54"/>
      <c r="B55" s="54"/>
      <c r="C55" s="54"/>
      <c r="D55" s="54" t="s">
        <v>128</v>
      </c>
      <c r="E55" s="54"/>
      <c r="F55" s="54"/>
      <c r="G55" s="200">
        <v>233082.39000000013</v>
      </c>
      <c r="H55" s="200">
        <v>82291.709999999905</v>
      </c>
      <c r="I55" s="193"/>
      <c r="J55" s="383">
        <f>J29-J54</f>
        <v>-9340.9099999999744</v>
      </c>
      <c r="K55" s="383">
        <f>K29-K54</f>
        <v>-163457.03528000001</v>
      </c>
      <c r="L55" s="193"/>
      <c r="M55" s="383">
        <f>M29-M54</f>
        <v>-110481.81854000001</v>
      </c>
      <c r="O55" s="316">
        <f t="shared" si="1"/>
        <v>154116.12528000004</v>
      </c>
      <c r="P55" s="380">
        <f>O55/K55</f>
        <v>-0.94285403510470445</v>
      </c>
    </row>
    <row r="56" spans="1:18" s="55" customFormat="1" ht="20.25" x14ac:dyDescent="0.2">
      <c r="A56" s="54"/>
      <c r="B56" s="54"/>
      <c r="C56" s="54"/>
      <c r="D56" s="54"/>
      <c r="E56" s="54"/>
      <c r="F56" s="54"/>
      <c r="G56" s="193"/>
      <c r="H56" s="193"/>
      <c r="I56" s="193"/>
      <c r="J56" s="193"/>
      <c r="K56" s="193"/>
      <c r="L56" s="193"/>
      <c r="M56" s="193"/>
    </row>
    <row r="57" spans="1:18" s="52" customFormat="1" ht="26.25" x14ac:dyDescent="0.2">
      <c r="A57" s="219"/>
      <c r="B57" s="219"/>
      <c r="C57" s="58" t="s">
        <v>570</v>
      </c>
      <c r="E57" s="58"/>
      <c r="F57" s="58"/>
      <c r="G57" s="221"/>
      <c r="H57" s="193"/>
      <c r="I57" s="193"/>
      <c r="J57" s="193">
        <f>-2917.89-2917.89-2917.89-2917.89-2917.89-14627.89-2920.87-2917.89-4843.01-936.98+J52-2917.89-2917.89</f>
        <v>-41209.68</v>
      </c>
      <c r="K57" s="193">
        <f>-799.68-398.79-398.79-398.79-1180.24+K53</f>
        <v>-1907</v>
      </c>
      <c r="L57" s="193"/>
      <c r="M57" s="193">
        <f>-799.68-398.79-398.79+M53</f>
        <v>-1168.26</v>
      </c>
      <c r="O57" s="225">
        <f>J57-K57</f>
        <v>-39302.68</v>
      </c>
      <c r="P57" s="334"/>
    </row>
    <row r="58" spans="1:18" s="55" customFormat="1" ht="20.25" x14ac:dyDescent="0.2">
      <c r="A58" s="54"/>
      <c r="B58" s="54"/>
      <c r="C58" s="58" t="s">
        <v>449</v>
      </c>
      <c r="E58" s="54"/>
      <c r="G58" s="193"/>
      <c r="H58" s="193"/>
      <c r="I58" s="193"/>
      <c r="J58" s="193">
        <f>J41</f>
        <v>28297</v>
      </c>
      <c r="K58" s="193">
        <f>K41</f>
        <v>31133</v>
      </c>
      <c r="L58" s="193"/>
      <c r="M58" s="193">
        <f>M41</f>
        <v>26220</v>
      </c>
      <c r="O58" s="225">
        <f>J58-K58</f>
        <v>-2836</v>
      </c>
      <c r="P58" s="334">
        <v>3.5414486921529216E-2</v>
      </c>
    </row>
    <row r="59" spans="1:18" s="55" customFormat="1" ht="24" thickBot="1" x14ac:dyDescent="0.25">
      <c r="A59" s="54"/>
      <c r="B59" s="222"/>
      <c r="C59" s="54"/>
      <c r="D59" s="787" t="s">
        <v>231</v>
      </c>
      <c r="E59" s="787"/>
      <c r="F59" s="787"/>
      <c r="G59" s="193"/>
      <c r="H59" s="193"/>
      <c r="I59" s="193"/>
      <c r="J59" s="384">
        <f>J55+J57+J58</f>
        <v>-22253.589999999975</v>
      </c>
      <c r="K59" s="384">
        <f>K55+K57+K58</f>
        <v>-134231.03528000001</v>
      </c>
      <c r="L59" s="202"/>
      <c r="M59" s="384">
        <f>M55+M57+M58</f>
        <v>-85430.078540000002</v>
      </c>
      <c r="N59" s="318"/>
      <c r="O59" s="381">
        <f>J59-K59</f>
        <v>111977.44528000004</v>
      </c>
      <c r="P59" s="407">
        <v>2.1062768618503362E-2</v>
      </c>
    </row>
    <row r="60" spans="1:18" s="55" customFormat="1" ht="42" customHeight="1" thickTop="1" x14ac:dyDescent="0.2">
      <c r="A60" s="54"/>
      <c r="B60" s="54"/>
      <c r="C60" s="54"/>
      <c r="D60" s="54"/>
      <c r="E60" s="54"/>
      <c r="F60" s="54"/>
      <c r="G60" s="193"/>
      <c r="H60" s="193"/>
      <c r="I60" s="193"/>
      <c r="J60" s="193"/>
      <c r="K60" s="193"/>
      <c r="L60" s="193"/>
      <c r="M60" s="193"/>
    </row>
    <row r="61" spans="1:18" s="55" customFormat="1" ht="20.25" x14ac:dyDescent="0.2">
      <c r="A61" s="58"/>
      <c r="B61" s="58"/>
      <c r="C61" s="58"/>
      <c r="D61" s="58"/>
      <c r="F61" s="58" t="s">
        <v>308</v>
      </c>
      <c r="G61" s="202"/>
      <c r="H61" s="193"/>
      <c r="I61" s="193"/>
      <c r="J61" s="193">
        <v>249119</v>
      </c>
      <c r="K61" s="193">
        <v>227490</v>
      </c>
      <c r="L61" s="193"/>
      <c r="M61" s="193">
        <v>191866</v>
      </c>
      <c r="O61" s="204"/>
    </row>
    <row r="62" spans="1:18" s="55" customFormat="1" ht="21" thickBot="1" x14ac:dyDescent="0.25">
      <c r="A62" s="58"/>
      <c r="B62" s="58"/>
      <c r="C62" s="58"/>
      <c r="D62" s="58"/>
      <c r="F62" s="58" t="s">
        <v>313</v>
      </c>
      <c r="G62" s="193"/>
      <c r="H62" s="193"/>
      <c r="I62" s="193"/>
      <c r="J62" s="493">
        <f>(J54-J41-J42)/J61</f>
        <v>1.8375691938390888</v>
      </c>
      <c r="K62" s="493">
        <f>(K54-K41-K42)/K61</f>
        <v>1.9295452779462836</v>
      </c>
      <c r="L62" s="494"/>
      <c r="M62" s="493">
        <f>(M54-M41-M42)/M61</f>
        <v>1.902566002001397</v>
      </c>
    </row>
    <row r="63" spans="1:18" s="55" customFormat="1" ht="20.25" x14ac:dyDescent="0.2">
      <c r="A63" s="58"/>
      <c r="B63" s="58"/>
      <c r="C63" s="58"/>
      <c r="D63" s="58"/>
      <c r="F63" s="58"/>
      <c r="G63" s="193"/>
      <c r="H63" s="193"/>
      <c r="I63" s="193"/>
      <c r="J63" s="193"/>
      <c r="K63" s="193"/>
      <c r="L63" s="193"/>
      <c r="M63" s="193"/>
    </row>
    <row r="64" spans="1:18" s="55" customFormat="1" ht="20.25" x14ac:dyDescent="0.2">
      <c r="A64" s="58"/>
      <c r="B64" s="58"/>
      <c r="C64" s="58"/>
      <c r="D64" s="58"/>
      <c r="F64" s="58" t="s">
        <v>309</v>
      </c>
      <c r="G64" s="193"/>
      <c r="H64" s="193"/>
      <c r="I64" s="193"/>
      <c r="J64" s="193">
        <v>13026</v>
      </c>
      <c r="K64" s="193">
        <v>11449</v>
      </c>
      <c r="L64" s="193"/>
      <c r="M64" s="193">
        <v>9688</v>
      </c>
      <c r="P64" s="204"/>
    </row>
    <row r="65" spans="1:13" s="55" customFormat="1" ht="21" thickBot="1" x14ac:dyDescent="0.25">
      <c r="A65" s="58"/>
      <c r="B65" s="58"/>
      <c r="C65" s="58"/>
      <c r="D65" s="58"/>
      <c r="F65" s="58" t="s">
        <v>370</v>
      </c>
      <c r="G65" s="193"/>
      <c r="H65" s="193"/>
      <c r="I65" s="193"/>
      <c r="J65" s="493">
        <f>(J54-J41-J42)/J64</f>
        <v>35.143052356824811</v>
      </c>
      <c r="K65" s="493">
        <f>(K54-K41-K42)/K64</f>
        <v>38.33978996244214</v>
      </c>
      <c r="L65" s="193"/>
      <c r="M65" s="493">
        <f>(M54-M41-M42)/M64</f>
        <v>37.679369172171761</v>
      </c>
    </row>
    <row r="66" spans="1:13" s="55" customFormat="1" ht="20.25" x14ac:dyDescent="0.2">
      <c r="A66" s="58"/>
      <c r="B66" s="58"/>
      <c r="C66" s="58"/>
      <c r="D66" s="58"/>
      <c r="F66" s="58"/>
      <c r="G66" s="193"/>
      <c r="H66" s="193"/>
      <c r="I66" s="193"/>
      <c r="J66" s="193"/>
      <c r="K66" s="193"/>
      <c r="L66" s="193"/>
      <c r="M66" s="193"/>
    </row>
    <row r="67" spans="1:13" s="55" customFormat="1" ht="20.25" x14ac:dyDescent="0.2">
      <c r="A67" s="58"/>
      <c r="B67" s="58"/>
      <c r="C67" s="54"/>
      <c r="D67" s="58"/>
      <c r="F67" s="58" t="s">
        <v>310</v>
      </c>
      <c r="G67" s="193"/>
      <c r="H67" s="193"/>
      <c r="I67" s="193"/>
      <c r="J67" s="193">
        <v>4221</v>
      </c>
      <c r="K67" s="193">
        <v>2840</v>
      </c>
      <c r="L67" s="193"/>
      <c r="M67" s="193">
        <v>2390</v>
      </c>
    </row>
    <row r="68" spans="1:13" s="55" customFormat="1" ht="21" thickBot="1" x14ac:dyDescent="0.25">
      <c r="A68" s="58"/>
      <c r="B68" s="58"/>
      <c r="C68" s="58"/>
      <c r="D68" s="58"/>
      <c r="E68" s="58"/>
      <c r="F68" s="58" t="s">
        <v>371</v>
      </c>
      <c r="G68" s="193"/>
      <c r="H68" s="193"/>
      <c r="I68" s="193"/>
      <c r="J68" s="493">
        <f>J9/J67</f>
        <v>31.089514333096421</v>
      </c>
      <c r="K68" s="493">
        <f>K9/K67</f>
        <v>29.745742957746479</v>
      </c>
      <c r="L68" s="193"/>
      <c r="M68" s="493">
        <f>M9/M67</f>
        <v>29.887054393305437</v>
      </c>
    </row>
    <row r="69" spans="1:13" s="55" customFormat="1" ht="20.25" x14ac:dyDescent="0.2">
      <c r="A69" s="58"/>
      <c r="B69" s="58"/>
      <c r="C69" s="54"/>
      <c r="D69" s="54"/>
      <c r="G69" s="193"/>
      <c r="H69" s="193"/>
      <c r="I69" s="193"/>
      <c r="J69" s="193"/>
      <c r="K69" s="193"/>
      <c r="L69" s="193"/>
      <c r="M69" s="193"/>
    </row>
    <row r="70" spans="1:13" s="55" customFormat="1" ht="20.25" x14ac:dyDescent="0.2">
      <c r="A70" s="58"/>
      <c r="B70" s="58"/>
      <c r="C70" s="58"/>
      <c r="D70" s="58"/>
      <c r="E70" s="58"/>
      <c r="F70" s="58"/>
      <c r="G70" s="193"/>
      <c r="H70" s="193"/>
      <c r="I70" s="193"/>
      <c r="J70" s="193"/>
      <c r="K70" s="193"/>
      <c r="L70" s="193"/>
      <c r="M70" s="193"/>
    </row>
    <row r="71" spans="1:13" s="55" customFormat="1" ht="20.25" x14ac:dyDescent="0.2">
      <c r="A71" s="58"/>
      <c r="B71" s="58"/>
      <c r="C71" s="58"/>
      <c r="D71" s="58"/>
      <c r="E71" s="58"/>
      <c r="F71" s="58"/>
      <c r="G71" s="193"/>
      <c r="H71" s="193"/>
      <c r="I71" s="193"/>
      <c r="J71" s="193"/>
      <c r="K71" s="193"/>
      <c r="L71" s="193"/>
      <c r="M71" s="193"/>
    </row>
    <row r="72" spans="1:13" s="55" customFormat="1" ht="20.25" x14ac:dyDescent="0.2">
      <c r="A72" s="58"/>
      <c r="B72" s="58"/>
      <c r="C72" s="54"/>
      <c r="D72" s="58"/>
      <c r="F72" s="58"/>
      <c r="G72" s="193"/>
      <c r="H72" s="193"/>
      <c r="I72" s="193"/>
      <c r="J72" s="193"/>
      <c r="K72" s="193"/>
      <c r="L72" s="193"/>
      <c r="M72" s="193"/>
    </row>
    <row r="73" spans="1:13" s="55" customFormat="1" ht="20.25" x14ac:dyDescent="0.2">
      <c r="A73" s="58"/>
      <c r="B73" s="58"/>
      <c r="C73" s="58"/>
      <c r="D73" s="58"/>
      <c r="E73" s="58"/>
      <c r="F73" s="58"/>
      <c r="G73" s="193"/>
      <c r="H73" s="193"/>
      <c r="I73" s="193"/>
      <c r="J73" s="193"/>
      <c r="K73" s="193"/>
      <c r="L73" s="193"/>
      <c r="M73" s="193"/>
    </row>
    <row r="74" spans="1:13" s="55" customFormat="1" ht="20.25" x14ac:dyDescent="0.2">
      <c r="A74" s="54"/>
      <c r="B74" s="54"/>
      <c r="C74" s="54"/>
      <c r="D74" s="54"/>
      <c r="E74" s="54"/>
      <c r="F74" s="54"/>
      <c r="G74" s="196"/>
      <c r="H74" s="196"/>
      <c r="I74" s="196"/>
      <c r="J74" s="196"/>
      <c r="K74" s="196"/>
      <c r="L74" s="196"/>
      <c r="M74" s="196"/>
    </row>
    <row r="75" spans="1:13" s="55" customFormat="1" ht="20.25" x14ac:dyDescent="0.2">
      <c r="A75" s="54"/>
      <c r="B75" s="54"/>
      <c r="C75" s="54"/>
      <c r="D75" s="54"/>
      <c r="E75" s="54"/>
      <c r="F75" s="54"/>
      <c r="G75" s="196"/>
      <c r="H75" s="196"/>
      <c r="I75" s="196"/>
      <c r="J75" s="196"/>
      <c r="K75" s="196"/>
      <c r="L75" s="196"/>
      <c r="M75" s="196"/>
    </row>
    <row r="76" spans="1:13" s="55" customFormat="1" ht="23.25" x14ac:dyDescent="0.2">
      <c r="A76" s="54"/>
      <c r="B76" s="222"/>
      <c r="C76" s="54"/>
      <c r="D76" s="54"/>
      <c r="E76" s="54"/>
      <c r="F76" s="54"/>
      <c r="G76" s="193"/>
      <c r="H76" s="193"/>
      <c r="I76" s="193"/>
      <c r="J76" s="193"/>
      <c r="K76" s="193"/>
      <c r="L76" s="193"/>
      <c r="M76" s="193"/>
    </row>
    <row r="77" spans="1:13" s="55" customFormat="1" ht="20.25" x14ac:dyDescent="0.2">
      <c r="A77" s="58"/>
      <c r="B77" s="58"/>
      <c r="D77" s="58"/>
      <c r="E77" s="58"/>
      <c r="F77" s="58"/>
      <c r="G77" s="193"/>
      <c r="H77" s="193"/>
      <c r="I77" s="193"/>
      <c r="J77" s="193"/>
      <c r="K77" s="193"/>
      <c r="L77" s="193"/>
      <c r="M77" s="193"/>
    </row>
    <row r="78" spans="1:13" s="55" customFormat="1" ht="20.25" x14ac:dyDescent="0.2">
      <c r="A78" s="58"/>
      <c r="B78" s="58"/>
      <c r="D78" s="58"/>
      <c r="E78" s="58"/>
      <c r="F78" s="58"/>
      <c r="G78" s="193"/>
      <c r="H78" s="193"/>
      <c r="I78" s="193"/>
      <c r="J78" s="193"/>
      <c r="K78" s="193"/>
      <c r="L78" s="193"/>
      <c r="M78" s="193"/>
    </row>
    <row r="79" spans="1:13" s="55" customFormat="1" ht="20.25" x14ac:dyDescent="0.2">
      <c r="A79" s="54"/>
      <c r="B79" s="54"/>
      <c r="D79" s="58"/>
      <c r="E79" s="54"/>
      <c r="F79" s="54"/>
      <c r="G79" s="193"/>
      <c r="H79" s="193"/>
      <c r="I79" s="193"/>
      <c r="J79" s="193"/>
      <c r="K79" s="193"/>
      <c r="L79" s="193"/>
      <c r="M79" s="193"/>
    </row>
    <row r="80" spans="1:13" s="55" customFormat="1" ht="23.25" x14ac:dyDescent="0.2">
      <c r="A80" s="54"/>
      <c r="B80" s="222"/>
      <c r="C80" s="54"/>
      <c r="D80" s="54"/>
      <c r="E80" s="54"/>
      <c r="F80" s="54"/>
      <c r="G80" s="196"/>
      <c r="H80" s="196"/>
      <c r="I80" s="196"/>
      <c r="J80" s="196"/>
      <c r="K80" s="196"/>
      <c r="L80" s="196"/>
      <c r="M80" s="196"/>
    </row>
    <row r="81" spans="1:13" s="55" customFormat="1" ht="20.25" x14ac:dyDescent="0.2">
      <c r="A81" s="54"/>
      <c r="B81" s="54"/>
      <c r="C81" s="54"/>
      <c r="D81" s="54"/>
      <c r="E81" s="54"/>
      <c r="F81" s="54"/>
      <c r="G81" s="193"/>
      <c r="H81" s="193"/>
      <c r="I81" s="193"/>
      <c r="J81" s="193"/>
      <c r="K81" s="193"/>
      <c r="L81" s="193"/>
      <c r="M81" s="193"/>
    </row>
    <row r="82" spans="1:13" s="62" customFormat="1" ht="26.25" x14ac:dyDescent="0.2">
      <c r="A82" s="219"/>
      <c r="B82" s="219"/>
      <c r="C82" s="219"/>
      <c r="D82" s="219"/>
      <c r="E82" s="219"/>
      <c r="F82" s="219"/>
      <c r="G82" s="220"/>
      <c r="H82" s="196"/>
      <c r="I82" s="196"/>
      <c r="J82" s="196"/>
      <c r="K82" s="196"/>
      <c r="L82" s="196"/>
      <c r="M82" s="196"/>
    </row>
    <row r="83" spans="1:13" ht="20.25" x14ac:dyDescent="0.3">
      <c r="H83" s="227"/>
      <c r="I83" s="227"/>
      <c r="J83" s="227"/>
      <c r="K83" s="227"/>
      <c r="L83" s="227"/>
      <c r="M83" s="227"/>
    </row>
    <row r="84" spans="1:13" ht="20.25" x14ac:dyDescent="0.3">
      <c r="H84" s="227"/>
      <c r="I84" s="227"/>
      <c r="J84" s="227"/>
      <c r="K84" s="227"/>
      <c r="L84" s="227"/>
      <c r="M84" s="227"/>
    </row>
    <row r="85" spans="1:13" ht="20.25" x14ac:dyDescent="0.3">
      <c r="H85" s="227"/>
      <c r="I85" s="227"/>
      <c r="J85" s="227"/>
      <c r="K85" s="227"/>
      <c r="L85" s="227"/>
      <c r="M85" s="227"/>
    </row>
    <row r="86" spans="1:13" ht="20.25" x14ac:dyDescent="0.3">
      <c r="H86" s="224"/>
      <c r="I86" s="224"/>
      <c r="J86" s="224"/>
      <c r="K86" s="224"/>
      <c r="L86" s="224"/>
      <c r="M86" s="224"/>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576</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577</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92"/>
    </row>
    <row r="6" spans="1:60" s="53" customFormat="1" ht="24.75" customHeight="1" thickTop="1" thickBot="1" x14ac:dyDescent="0.25">
      <c r="A6" s="51" t="s">
        <v>107</v>
      </c>
      <c r="B6" s="51"/>
      <c r="C6" s="51"/>
      <c r="D6" s="51"/>
      <c r="E6" s="51"/>
      <c r="F6" s="51"/>
      <c r="G6" s="327"/>
      <c r="H6" s="199" t="s">
        <v>49</v>
      </c>
      <c r="I6" s="199"/>
      <c r="J6" s="782" t="s">
        <v>581</v>
      </c>
      <c r="K6" s="782"/>
      <c r="L6" s="782"/>
      <c r="M6" s="782"/>
      <c r="N6" s="52"/>
      <c r="O6" s="33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93"/>
      <c r="J7" s="738" t="s">
        <v>571</v>
      </c>
      <c r="K7" s="738" t="s">
        <v>572</v>
      </c>
      <c r="M7" s="738" t="s">
        <v>578</v>
      </c>
    </row>
    <row r="8" spans="1:60" s="55" customFormat="1" ht="21" customHeight="1" x14ac:dyDescent="0.3">
      <c r="A8" s="54"/>
      <c r="B8" s="54"/>
      <c r="C8" s="54"/>
      <c r="D8" s="54"/>
      <c r="E8" s="54"/>
      <c r="F8" s="54"/>
      <c r="G8" s="193"/>
      <c r="J8" s="738" t="s">
        <v>573</v>
      </c>
      <c r="K8" s="738" t="s">
        <v>573</v>
      </c>
      <c r="M8" s="738" t="s">
        <v>579</v>
      </c>
      <c r="O8" s="224" t="s">
        <v>582</v>
      </c>
    </row>
    <row r="9" spans="1:60" ht="21" thickBot="1" x14ac:dyDescent="0.35">
      <c r="A9" s="56"/>
      <c r="B9" s="120" t="s">
        <v>99</v>
      </c>
      <c r="C9" s="120"/>
      <c r="D9" s="120"/>
      <c r="E9" s="120"/>
      <c r="F9" s="120"/>
      <c r="G9" s="231">
        <v>41090</v>
      </c>
      <c r="H9" s="231">
        <v>41274</v>
      </c>
      <c r="I9" s="271"/>
      <c r="J9" s="231" t="s">
        <v>574</v>
      </c>
      <c r="K9" s="544" t="s">
        <v>575</v>
      </c>
      <c r="L9" s="271"/>
      <c r="M9" s="544" t="s">
        <v>580</v>
      </c>
      <c r="O9" s="544" t="s">
        <v>580</v>
      </c>
    </row>
    <row r="10" spans="1:60" s="55" customFormat="1" ht="20.25" x14ac:dyDescent="0.2">
      <c r="A10" s="54"/>
      <c r="B10" s="54"/>
      <c r="C10" s="58" t="s">
        <v>149</v>
      </c>
      <c r="D10" s="58"/>
      <c r="E10" s="58"/>
      <c r="F10" s="54"/>
      <c r="G10" s="193">
        <v>127719</v>
      </c>
      <c r="H10" s="193">
        <v>67566.5</v>
      </c>
      <c r="I10" s="193"/>
      <c r="J10" s="202">
        <f>'December''23 State of Activities'!G10</f>
        <v>131228.84</v>
      </c>
      <c r="K10" s="202">
        <v>54000</v>
      </c>
      <c r="L10" s="202"/>
      <c r="M10" s="737">
        <f>J10+K10</f>
        <v>185228.84</v>
      </c>
      <c r="O10" s="317">
        <v>92000</v>
      </c>
      <c r="Q10" s="322"/>
    </row>
    <row r="11" spans="1:60" s="55" customFormat="1" ht="20.25" x14ac:dyDescent="0.2">
      <c r="A11" s="54"/>
      <c r="B11" s="54"/>
      <c r="C11" s="58" t="s">
        <v>213</v>
      </c>
      <c r="D11" s="58"/>
      <c r="E11" s="58"/>
      <c r="F11" s="54"/>
      <c r="G11" s="202">
        <v>875436</v>
      </c>
      <c r="H11" s="202">
        <v>372424.1</v>
      </c>
      <c r="I11" s="202"/>
      <c r="J11" s="193">
        <v>2148</v>
      </c>
      <c r="K11" s="193">
        <f>4300-J11</f>
        <v>2152</v>
      </c>
      <c r="L11" s="202"/>
      <c r="M11" s="193">
        <f>J11+K11</f>
        <v>4300</v>
      </c>
      <c r="O11" s="409">
        <v>4000</v>
      </c>
      <c r="Q11" s="322"/>
    </row>
    <row r="12" spans="1:60" s="55" customFormat="1" ht="20.25" x14ac:dyDescent="0.2">
      <c r="A12" s="54"/>
      <c r="B12" s="54"/>
      <c r="C12" s="58" t="s">
        <v>101</v>
      </c>
      <c r="D12" s="58"/>
      <c r="E12" s="58"/>
      <c r="F12" s="54"/>
      <c r="G12" s="193"/>
      <c r="H12" s="193"/>
      <c r="I12" s="193"/>
      <c r="J12" s="193"/>
      <c r="K12" s="193"/>
      <c r="L12" s="193"/>
      <c r="M12" s="193"/>
      <c r="O12" s="409"/>
    </row>
    <row r="13" spans="1:60" s="55" customFormat="1" ht="20.25" x14ac:dyDescent="0.2">
      <c r="A13" s="54"/>
      <c r="B13" s="54"/>
      <c r="D13" s="58" t="s">
        <v>214</v>
      </c>
      <c r="E13" s="58"/>
      <c r="F13" s="54"/>
      <c r="G13" s="193">
        <v>94235.25</v>
      </c>
      <c r="H13" s="193">
        <v>37190.379999999997</v>
      </c>
      <c r="I13" s="193"/>
      <c r="J13" s="193">
        <f>'December''23 Revenues &amp; Expenses'!I23</f>
        <v>47500</v>
      </c>
      <c r="K13" s="193">
        <f>J13</f>
        <v>47500</v>
      </c>
      <c r="L13" s="193"/>
      <c r="M13" s="193">
        <f t="shared" ref="M13:M23" si="0">J13+K13</f>
        <v>95000</v>
      </c>
      <c r="O13" s="409">
        <v>47500</v>
      </c>
      <c r="Q13" s="671"/>
      <c r="R13" s="386"/>
      <c r="S13" s="385"/>
      <c r="T13" s="385"/>
    </row>
    <row r="14" spans="1:60" s="55" customFormat="1" ht="20.25" x14ac:dyDescent="0.2">
      <c r="A14" s="54"/>
      <c r="B14" s="54"/>
      <c r="D14" s="58" t="s">
        <v>158</v>
      </c>
      <c r="E14" s="58"/>
      <c r="F14" s="54"/>
      <c r="G14" s="193"/>
      <c r="H14" s="193"/>
      <c r="I14" s="193"/>
      <c r="J14" s="193">
        <f>'December''23 Revenues &amp; Expenses'!I32</f>
        <v>0</v>
      </c>
      <c r="K14" s="193">
        <f>J14</f>
        <v>0</v>
      </c>
      <c r="L14" s="193"/>
      <c r="M14" s="193">
        <f t="shared" si="0"/>
        <v>0</v>
      </c>
      <c r="O14" s="409">
        <v>18000</v>
      </c>
      <c r="R14" s="318"/>
      <c r="S14" s="387"/>
      <c r="T14" s="58"/>
    </row>
    <row r="15" spans="1:60" s="55" customFormat="1" ht="20.25" x14ac:dyDescent="0.2">
      <c r="A15" s="54"/>
      <c r="B15" s="54"/>
      <c r="C15" s="58" t="s">
        <v>102</v>
      </c>
      <c r="D15" s="58"/>
      <c r="E15" s="58"/>
      <c r="F15" s="54"/>
      <c r="G15" s="193">
        <v>0</v>
      </c>
      <c r="H15" s="193">
        <v>3517</v>
      </c>
      <c r="I15" s="193"/>
      <c r="J15" s="193">
        <f>'December''23 State of Activities'!G18</f>
        <v>23822.38</v>
      </c>
      <c r="K15" s="193">
        <v>10000</v>
      </c>
      <c r="L15" s="193"/>
      <c r="M15" s="193">
        <f t="shared" si="0"/>
        <v>33822.380000000005</v>
      </c>
      <c r="O15" s="409">
        <v>20000</v>
      </c>
      <c r="R15" s="318"/>
      <c r="S15" s="387"/>
      <c r="T15" s="304"/>
    </row>
    <row r="16" spans="1:60" s="55" customFormat="1" ht="20.25" x14ac:dyDescent="0.2">
      <c r="A16" s="54"/>
      <c r="B16" s="54"/>
      <c r="C16" s="58" t="s">
        <v>583</v>
      </c>
      <c r="D16" s="58"/>
      <c r="E16" s="58"/>
      <c r="F16" s="54"/>
      <c r="G16" s="193"/>
      <c r="H16" s="193"/>
      <c r="I16" s="193"/>
      <c r="J16" s="193"/>
      <c r="K16" s="193">
        <v>15000</v>
      </c>
      <c r="L16" s="193"/>
      <c r="M16" s="670">
        <f t="shared" si="0"/>
        <v>15000</v>
      </c>
      <c r="O16" s="409"/>
      <c r="R16" s="318"/>
      <c r="S16" s="387"/>
      <c r="T16" s="304"/>
    </row>
    <row r="17" spans="1:20" s="55" customFormat="1" ht="20.25" x14ac:dyDescent="0.2">
      <c r="A17" s="54"/>
      <c r="B17" s="54"/>
      <c r="C17" s="58" t="s">
        <v>215</v>
      </c>
      <c r="D17" s="58"/>
      <c r="E17" s="58"/>
      <c r="F17" s="54"/>
      <c r="G17" s="193">
        <v>31459</v>
      </c>
      <c r="H17" s="193">
        <v>13920.35</v>
      </c>
      <c r="I17" s="193"/>
      <c r="J17" s="193">
        <f>'December''23 Revenues &amp; Expenses'!H48</f>
        <v>27500</v>
      </c>
      <c r="K17" s="193">
        <f>27500-J17</f>
        <v>0</v>
      </c>
      <c r="L17" s="193"/>
      <c r="M17" s="193">
        <f t="shared" si="0"/>
        <v>27500</v>
      </c>
      <c r="O17" s="409">
        <v>27500</v>
      </c>
      <c r="R17" s="318"/>
      <c r="S17" s="387"/>
      <c r="T17" s="304"/>
    </row>
    <row r="18" spans="1:20" s="55" customFormat="1" ht="20.25" x14ac:dyDescent="0.2">
      <c r="A18" s="54"/>
      <c r="B18" s="54"/>
      <c r="C18" s="58" t="s">
        <v>378</v>
      </c>
      <c r="D18" s="58"/>
      <c r="E18" s="58"/>
      <c r="F18" s="54"/>
      <c r="G18" s="193"/>
      <c r="H18" s="193"/>
      <c r="I18" s="193"/>
      <c r="J18" s="193">
        <v>11255.53</v>
      </c>
      <c r="K18" s="193">
        <v>12500</v>
      </c>
      <c r="L18" s="193"/>
      <c r="M18" s="193">
        <f t="shared" si="0"/>
        <v>23755.53</v>
      </c>
      <c r="O18" s="409">
        <v>25000</v>
      </c>
      <c r="R18" s="318"/>
      <c r="S18" s="387"/>
      <c r="T18" s="304"/>
    </row>
    <row r="19" spans="1:20" s="55" customFormat="1" ht="20.25" x14ac:dyDescent="0.2">
      <c r="A19" s="54"/>
      <c r="B19" s="54"/>
      <c r="C19" s="58" t="s">
        <v>390</v>
      </c>
      <c r="D19" s="58"/>
      <c r="E19" s="58"/>
      <c r="F19" s="54"/>
      <c r="G19" s="193"/>
      <c r="H19" s="193"/>
      <c r="I19" s="193"/>
      <c r="J19" s="193">
        <f>4166.67*6</f>
        <v>25000.02</v>
      </c>
      <c r="K19" s="193">
        <f>J19</f>
        <v>25000.02</v>
      </c>
      <c r="L19" s="193"/>
      <c r="M19" s="193">
        <f t="shared" si="0"/>
        <v>50000.04</v>
      </c>
      <c r="O19" s="409">
        <v>50000</v>
      </c>
      <c r="R19" s="318"/>
      <c r="S19" s="387"/>
      <c r="T19" s="304"/>
    </row>
    <row r="20" spans="1:20" s="55" customFormat="1" ht="20.25" x14ac:dyDescent="0.2">
      <c r="A20" s="54"/>
      <c r="B20" s="54"/>
      <c r="C20" s="58" t="s">
        <v>568</v>
      </c>
      <c r="D20" s="58"/>
      <c r="E20" s="58"/>
      <c r="F20" s="54"/>
      <c r="G20" s="193"/>
      <c r="H20" s="193"/>
      <c r="I20" s="193"/>
      <c r="J20" s="193">
        <f>7142.85*1</f>
        <v>7142.85</v>
      </c>
      <c r="K20" s="193">
        <f>50000-J20</f>
        <v>42857.15</v>
      </c>
      <c r="L20" s="193"/>
      <c r="M20" s="670">
        <f t="shared" si="0"/>
        <v>50000</v>
      </c>
      <c r="O20" s="409">
        <v>0</v>
      </c>
      <c r="R20" s="318"/>
      <c r="S20" s="387"/>
      <c r="T20" s="304"/>
    </row>
    <row r="21" spans="1:20" s="55" customFormat="1" ht="20.25" hidden="1" x14ac:dyDescent="0.2">
      <c r="A21" s="54"/>
      <c r="B21" s="54"/>
      <c r="C21" s="58" t="s">
        <v>406</v>
      </c>
      <c r="D21" s="58"/>
      <c r="E21" s="58"/>
      <c r="F21" s="54"/>
      <c r="G21" s="193"/>
      <c r="H21" s="193"/>
      <c r="I21" s="193"/>
      <c r="J21" s="193">
        <v>0</v>
      </c>
      <c r="K21" s="193">
        <v>0</v>
      </c>
      <c r="L21" s="193"/>
      <c r="M21" s="193">
        <f t="shared" si="0"/>
        <v>0</v>
      </c>
      <c r="O21" s="409"/>
      <c r="R21" s="318"/>
      <c r="S21" s="387"/>
      <c r="T21" s="304"/>
    </row>
    <row r="22" spans="1:20" s="55" customFormat="1" ht="20.25" x14ac:dyDescent="0.2">
      <c r="A22" s="54"/>
      <c r="B22" s="54"/>
      <c r="C22" s="58" t="s">
        <v>334</v>
      </c>
      <c r="D22" s="58"/>
      <c r="E22" s="58"/>
      <c r="F22" s="54"/>
      <c r="G22" s="193"/>
      <c r="H22" s="193"/>
      <c r="I22" s="193"/>
      <c r="J22" s="193">
        <v>90</v>
      </c>
      <c r="K22" s="193">
        <v>90</v>
      </c>
      <c r="L22" s="193"/>
      <c r="M22" s="193">
        <f t="shared" si="0"/>
        <v>180</v>
      </c>
      <c r="O22" s="409">
        <v>0</v>
      </c>
      <c r="R22" s="318"/>
      <c r="S22" s="387"/>
      <c r="T22" s="304"/>
    </row>
    <row r="23" spans="1:20" s="55" customFormat="1" ht="20.25" customHeight="1" x14ac:dyDescent="0.2">
      <c r="A23" s="54"/>
      <c r="B23" s="54"/>
      <c r="C23" s="784" t="s">
        <v>569</v>
      </c>
      <c r="D23" s="784"/>
      <c r="E23" s="784"/>
      <c r="F23" s="784"/>
      <c r="G23" s="193"/>
      <c r="H23" s="193"/>
      <c r="I23" s="193"/>
      <c r="J23" s="193">
        <v>529.88</v>
      </c>
      <c r="K23" s="193">
        <v>0</v>
      </c>
      <c r="L23" s="193"/>
      <c r="M23" s="193">
        <f t="shared" si="0"/>
        <v>529.88</v>
      </c>
      <c r="O23" s="409">
        <v>0</v>
      </c>
      <c r="R23" s="318"/>
      <c r="S23" s="387"/>
      <c r="T23" s="304"/>
    </row>
    <row r="24" spans="1:20" s="55" customFormat="1" ht="21" thickBot="1" x14ac:dyDescent="0.25">
      <c r="A24" s="54"/>
      <c r="B24" s="54"/>
      <c r="C24" s="58" t="s">
        <v>216</v>
      </c>
      <c r="D24" s="58"/>
      <c r="E24" s="58"/>
      <c r="F24" s="54"/>
      <c r="G24" s="200">
        <v>31250</v>
      </c>
      <c r="H24" s="200">
        <v>15624.98</v>
      </c>
      <c r="I24" s="193"/>
      <c r="J24" s="200">
        <f>'December''23 State of Activities'!G26*0.2</f>
        <v>10548</v>
      </c>
      <c r="K24" s="200">
        <f>J24</f>
        <v>10548</v>
      </c>
      <c r="L24" s="193"/>
      <c r="M24" s="200">
        <f>J24+K24</f>
        <v>21096</v>
      </c>
      <c r="O24" s="316">
        <f>M24</f>
        <v>21096</v>
      </c>
    </row>
    <row r="25" spans="1:20" s="55" customFormat="1" ht="20.25" x14ac:dyDescent="0.2">
      <c r="A25" s="54"/>
      <c r="B25" s="54"/>
      <c r="C25" s="58"/>
      <c r="D25" s="54" t="s">
        <v>104</v>
      </c>
      <c r="E25" s="58"/>
      <c r="F25" s="54"/>
      <c r="G25" s="193">
        <v>1161224.25</v>
      </c>
      <c r="H25" s="193">
        <v>516293.30999999994</v>
      </c>
      <c r="I25" s="193"/>
      <c r="J25" s="193">
        <f>SUM(J10:J24)</f>
        <v>286765.5</v>
      </c>
      <c r="K25" s="193">
        <f>SUM(K10:K24)</f>
        <v>219647.16999999998</v>
      </c>
      <c r="L25" s="193"/>
      <c r="M25" s="193">
        <f>SUM(M10:M24)</f>
        <v>506412.67</v>
      </c>
      <c r="O25" s="193">
        <f>SUM(O10:O24)</f>
        <v>305096</v>
      </c>
    </row>
    <row r="26" spans="1:20" s="55" customFormat="1" ht="21" thickBot="1" x14ac:dyDescent="0.25">
      <c r="A26" s="54"/>
      <c r="B26" s="54"/>
      <c r="C26" s="54" t="s">
        <v>217</v>
      </c>
      <c r="D26" s="58"/>
      <c r="E26" s="58"/>
      <c r="F26" s="54"/>
      <c r="G26" s="200">
        <v>150176</v>
      </c>
      <c r="H26" s="200">
        <v>47700.27</v>
      </c>
      <c r="I26" s="193"/>
      <c r="J26" s="193">
        <f>21000/12*6</f>
        <v>10500</v>
      </c>
      <c r="K26" s="193">
        <f>J26</f>
        <v>10500</v>
      </c>
      <c r="L26" s="193"/>
      <c r="M26" s="193">
        <f>J26+K26</f>
        <v>21000</v>
      </c>
      <c r="O26" s="409">
        <v>20000</v>
      </c>
    </row>
    <row r="27" spans="1:20" s="55" customFormat="1" ht="21" thickBot="1" x14ac:dyDescent="0.25">
      <c r="A27" s="54"/>
      <c r="B27" s="54"/>
      <c r="C27" s="54" t="s">
        <v>218</v>
      </c>
      <c r="D27" s="58"/>
      <c r="E27" s="58"/>
      <c r="F27" s="54"/>
      <c r="G27" s="193"/>
      <c r="H27" s="193"/>
      <c r="I27" s="193"/>
      <c r="J27" s="200">
        <v>15097.54</v>
      </c>
      <c r="K27" s="200">
        <v>14500</v>
      </c>
      <c r="L27" s="193"/>
      <c r="M27" s="200">
        <f>J27+K27</f>
        <v>29597.54</v>
      </c>
      <c r="O27" s="316">
        <v>26568</v>
      </c>
    </row>
    <row r="28" spans="1:20" s="55" customFormat="1" ht="20.25" x14ac:dyDescent="0.2">
      <c r="A28" s="54"/>
      <c r="B28" s="54"/>
      <c r="C28" s="58"/>
      <c r="D28" s="54" t="s">
        <v>106</v>
      </c>
      <c r="E28" s="58"/>
      <c r="F28" s="54"/>
      <c r="G28" s="193">
        <v>1311400.25</v>
      </c>
      <c r="H28" s="193">
        <v>563993.57999999996</v>
      </c>
      <c r="I28" s="193"/>
      <c r="J28" s="193">
        <f>SUM(J25:J27)</f>
        <v>312363.03999999998</v>
      </c>
      <c r="K28" s="193">
        <f>SUM(K25:K27)</f>
        <v>244647.16999999998</v>
      </c>
      <c r="L28" s="193"/>
      <c r="M28" s="193">
        <f>SUM(M25:M27)</f>
        <v>557010.21</v>
      </c>
      <c r="O28" s="193">
        <f>SUM(O25:O27)</f>
        <v>351664</v>
      </c>
    </row>
    <row r="29" spans="1:20" s="55" customFormat="1" ht="20.25" x14ac:dyDescent="0.2">
      <c r="A29" s="54"/>
      <c r="B29" s="54"/>
      <c r="C29" s="58"/>
      <c r="D29" s="54"/>
      <c r="E29" s="58"/>
      <c r="F29" s="54"/>
      <c r="G29" s="193"/>
      <c r="H29" s="193"/>
      <c r="I29" s="193"/>
      <c r="J29" s="193"/>
      <c r="K29" s="481"/>
      <c r="L29" s="193"/>
      <c r="M29" s="193"/>
    </row>
    <row r="30" spans="1:20" s="55" customFormat="1" ht="21" thickBot="1" x14ac:dyDescent="0.25">
      <c r="A30" s="54"/>
      <c r="B30" s="66" t="s">
        <v>110</v>
      </c>
      <c r="C30" s="66"/>
      <c r="D30" s="66"/>
      <c r="E30" s="66"/>
      <c r="F30" s="66"/>
      <c r="G30" s="200"/>
      <c r="J30" s="193"/>
    </row>
    <row r="31" spans="1:20" s="55" customFormat="1" ht="20.25" x14ac:dyDescent="0.2">
      <c r="A31" s="54"/>
      <c r="B31" s="54"/>
      <c r="C31" s="58" t="s">
        <v>219</v>
      </c>
      <c r="D31" s="58"/>
      <c r="E31" s="58"/>
      <c r="F31" s="58"/>
      <c r="G31" s="193">
        <v>733747.79999999993</v>
      </c>
      <c r="H31" s="225">
        <v>361976</v>
      </c>
      <c r="I31" s="225"/>
      <c r="J31" s="193"/>
      <c r="K31" s="225"/>
      <c r="L31" s="225"/>
      <c r="M31" s="225"/>
    </row>
    <row r="32" spans="1:20" s="55" customFormat="1" ht="20.25" x14ac:dyDescent="0.2">
      <c r="A32" s="54"/>
      <c r="B32" s="54"/>
      <c r="C32" s="58"/>
      <c r="D32" s="784" t="s">
        <v>220</v>
      </c>
      <c r="E32" s="784"/>
      <c r="F32" s="784"/>
      <c r="G32" s="193"/>
      <c r="H32" s="225"/>
      <c r="I32" s="225"/>
      <c r="J32" s="193">
        <v>116661.22</v>
      </c>
      <c r="K32" s="193">
        <f>119814</f>
        <v>119814</v>
      </c>
      <c r="L32" s="225"/>
      <c r="M32" s="193">
        <f t="shared" ref="M32:M51" si="1">J32+K32</f>
        <v>236475.22</v>
      </c>
      <c r="O32" s="225">
        <v>242550</v>
      </c>
    </row>
    <row r="33" spans="1:17" s="55" customFormat="1" ht="20.25" x14ac:dyDescent="0.2">
      <c r="A33" s="54"/>
      <c r="B33" s="54"/>
      <c r="C33" s="58"/>
      <c r="D33" s="784" t="s">
        <v>221</v>
      </c>
      <c r="E33" s="784"/>
      <c r="F33" s="784"/>
      <c r="G33" s="193"/>
      <c r="H33" s="225"/>
      <c r="I33" s="225"/>
      <c r="J33" s="193">
        <f>24422.9+14066.9</f>
        <v>38489.800000000003</v>
      </c>
      <c r="K33" s="193">
        <f>6240+24352+13838.5</f>
        <v>44430.5</v>
      </c>
      <c r="L33" s="225"/>
      <c r="M33" s="193">
        <f t="shared" si="1"/>
        <v>82920.3</v>
      </c>
      <c r="O33" s="225">
        <v>88858</v>
      </c>
      <c r="Q33" s="204"/>
    </row>
    <row r="34" spans="1:17" s="55" customFormat="1" ht="20.25" x14ac:dyDescent="0.2">
      <c r="A34" s="54"/>
      <c r="B34" s="54"/>
      <c r="C34" s="58"/>
      <c r="D34" s="784" t="s">
        <v>112</v>
      </c>
      <c r="E34" s="784"/>
      <c r="F34" s="784"/>
      <c r="G34" s="193"/>
      <c r="H34" s="225"/>
      <c r="I34" s="225"/>
      <c r="J34" s="193">
        <f>J32*0.213+J33*0.14</f>
        <v>30237.41186</v>
      </c>
      <c r="K34" s="193">
        <f>23009.3+1310.4+4521.77+2750.44+400</f>
        <v>31991.91</v>
      </c>
      <c r="L34" s="225"/>
      <c r="M34" s="193">
        <f t="shared" si="1"/>
        <v>62229.321859999996</v>
      </c>
      <c r="O34" s="225">
        <v>60758</v>
      </c>
    </row>
    <row r="35" spans="1:17" s="55" customFormat="1" ht="20.25" x14ac:dyDescent="0.2">
      <c r="A35" s="54"/>
      <c r="B35" s="54"/>
      <c r="C35" s="58" t="s">
        <v>277</v>
      </c>
      <c r="D35" s="58"/>
      <c r="E35" s="58"/>
      <c r="F35" s="58"/>
      <c r="G35" s="193">
        <v>44745.18</v>
      </c>
      <c r="H35" s="193">
        <v>20974.21</v>
      </c>
      <c r="I35" s="193"/>
      <c r="J35" s="613"/>
      <c r="K35" s="613"/>
      <c r="L35" s="613"/>
      <c r="M35" s="193">
        <f t="shared" si="1"/>
        <v>0</v>
      </c>
      <c r="O35" s="658"/>
    </row>
    <row r="36" spans="1:17" s="55" customFormat="1" ht="20.25" x14ac:dyDescent="0.2">
      <c r="A36" s="54"/>
      <c r="B36" s="54"/>
      <c r="C36" s="58"/>
      <c r="D36" s="784" t="s">
        <v>222</v>
      </c>
      <c r="E36" s="784"/>
      <c r="F36" s="784"/>
      <c r="G36" s="193"/>
      <c r="H36" s="193"/>
      <c r="I36" s="193"/>
      <c r="J36" s="193">
        <v>16535.79</v>
      </c>
      <c r="K36" s="193">
        <v>18600</v>
      </c>
      <c r="L36" s="193"/>
      <c r="M36" s="193">
        <f t="shared" si="1"/>
        <v>35135.79</v>
      </c>
      <c r="O36" s="225">
        <v>38000</v>
      </c>
    </row>
    <row r="37" spans="1:17" s="55" customFormat="1" ht="20.25" x14ac:dyDescent="0.2">
      <c r="A37" s="54"/>
      <c r="B37" s="54"/>
      <c r="C37" s="58"/>
      <c r="D37" s="784" t="s">
        <v>223</v>
      </c>
      <c r="E37" s="784"/>
      <c r="F37" s="784"/>
      <c r="G37" s="193"/>
      <c r="H37" s="193"/>
      <c r="I37" s="193"/>
      <c r="J37" s="193">
        <v>7701.43</v>
      </c>
      <c r="K37" s="193">
        <v>5590</v>
      </c>
      <c r="L37" s="193"/>
      <c r="M37" s="193">
        <f t="shared" si="1"/>
        <v>13291.43</v>
      </c>
      <c r="O37" s="225">
        <v>26000</v>
      </c>
    </row>
    <row r="38" spans="1:17" s="55" customFormat="1" ht="20.25" x14ac:dyDescent="0.2">
      <c r="A38" s="54"/>
      <c r="B38" s="54"/>
      <c r="C38" s="58"/>
      <c r="D38" s="784" t="s">
        <v>303</v>
      </c>
      <c r="E38" s="784"/>
      <c r="F38" s="784"/>
      <c r="G38" s="193"/>
      <c r="H38" s="193"/>
      <c r="I38" s="193"/>
      <c r="J38" s="193">
        <v>7462.62</v>
      </c>
      <c r="K38" s="193">
        <v>5500</v>
      </c>
      <c r="L38" s="193"/>
      <c r="M38" s="193">
        <f t="shared" si="1"/>
        <v>12962.619999999999</v>
      </c>
      <c r="O38" s="225">
        <v>7500</v>
      </c>
    </row>
    <row r="39" spans="1:17" s="55" customFormat="1" ht="20.25" x14ac:dyDescent="0.2">
      <c r="A39" s="54"/>
      <c r="B39" s="54"/>
      <c r="C39" s="58"/>
      <c r="D39" s="784" t="s">
        <v>224</v>
      </c>
      <c r="E39" s="784"/>
      <c r="F39" s="784"/>
      <c r="G39" s="193"/>
      <c r="H39" s="193"/>
      <c r="I39" s="193"/>
      <c r="J39" s="193">
        <v>557.5</v>
      </c>
      <c r="K39" s="193">
        <v>100</v>
      </c>
      <c r="L39" s="193"/>
      <c r="M39" s="193">
        <f t="shared" si="1"/>
        <v>657.5</v>
      </c>
      <c r="O39" s="225">
        <v>275</v>
      </c>
    </row>
    <row r="40" spans="1:17" s="55" customFormat="1" ht="20.25" x14ac:dyDescent="0.2">
      <c r="A40" s="54"/>
      <c r="B40" s="54"/>
      <c r="C40" s="58" t="s">
        <v>468</v>
      </c>
      <c r="D40" s="58"/>
      <c r="E40" s="58"/>
      <c r="F40" s="58"/>
      <c r="G40" s="193">
        <v>27200</v>
      </c>
      <c r="H40" s="193">
        <v>11327</v>
      </c>
      <c r="I40" s="193"/>
      <c r="J40" s="193">
        <v>13648.5</v>
      </c>
      <c r="K40" s="193">
        <f>J40</f>
        <v>13648.5</v>
      </c>
      <c r="L40" s="193"/>
      <c r="M40" s="193">
        <f t="shared" si="1"/>
        <v>27297</v>
      </c>
      <c r="O40" s="225">
        <v>19430</v>
      </c>
      <c r="Q40" s="204"/>
    </row>
    <row r="41" spans="1:17" s="55" customFormat="1" ht="20.25" x14ac:dyDescent="0.2">
      <c r="A41" s="54"/>
      <c r="B41" s="54"/>
      <c r="C41" s="58" t="s">
        <v>103</v>
      </c>
      <c r="D41" s="58"/>
      <c r="E41" s="58"/>
      <c r="F41" s="58"/>
      <c r="G41" s="193">
        <v>150176</v>
      </c>
      <c r="H41" s="225">
        <v>47700.27</v>
      </c>
      <c r="I41" s="225"/>
      <c r="J41" s="193">
        <f>J24</f>
        <v>10548</v>
      </c>
      <c r="K41" s="193">
        <f>J41</f>
        <v>10548</v>
      </c>
      <c r="L41" s="225"/>
      <c r="M41" s="193">
        <f t="shared" si="1"/>
        <v>21096</v>
      </c>
      <c r="O41" s="225">
        <f>M41</f>
        <v>21096</v>
      </c>
    </row>
    <row r="42" spans="1:17" s="55" customFormat="1" ht="20.25" x14ac:dyDescent="0.2">
      <c r="A42" s="54"/>
      <c r="B42" s="54"/>
      <c r="C42" s="58" t="s">
        <v>312</v>
      </c>
      <c r="D42" s="58"/>
      <c r="E42" s="58"/>
      <c r="F42" s="58"/>
      <c r="G42" s="193"/>
      <c r="H42" s="225"/>
      <c r="I42" s="225"/>
      <c r="J42" s="193">
        <f>3319.32-J43</f>
        <v>2358.92</v>
      </c>
      <c r="K42" s="193">
        <f>350*6</f>
        <v>2100</v>
      </c>
      <c r="L42" s="225"/>
      <c r="M42" s="193">
        <f t="shared" si="1"/>
        <v>4458.92</v>
      </c>
      <c r="O42" s="225">
        <f>5020-O43</f>
        <v>3232</v>
      </c>
      <c r="P42" s="204"/>
    </row>
    <row r="43" spans="1:17" s="55" customFormat="1" ht="20.25" x14ac:dyDescent="0.2">
      <c r="A43" s="54"/>
      <c r="B43" s="54"/>
      <c r="C43" s="58" t="s">
        <v>543</v>
      </c>
      <c r="D43" s="58"/>
      <c r="E43" s="58"/>
      <c r="F43" s="58"/>
      <c r="G43" s="193"/>
      <c r="H43" s="225"/>
      <c r="I43" s="225"/>
      <c r="J43" s="193">
        <f>149*5+215.4</f>
        <v>960.4</v>
      </c>
      <c r="K43" s="193">
        <f>149*6</f>
        <v>894</v>
      </c>
      <c r="L43" s="225"/>
      <c r="M43" s="193">
        <f t="shared" si="1"/>
        <v>1854.4</v>
      </c>
      <c r="O43" s="225">
        <f>149*12</f>
        <v>1788</v>
      </c>
    </row>
    <row r="44" spans="1:17" s="55" customFormat="1" ht="20.25" x14ac:dyDescent="0.2">
      <c r="A44" s="54"/>
      <c r="B44" s="54"/>
      <c r="C44" s="58" t="s">
        <v>226</v>
      </c>
      <c r="D44" s="58"/>
      <c r="E44" s="58"/>
      <c r="F44" s="58"/>
      <c r="G44" s="193"/>
      <c r="H44" s="225"/>
      <c r="I44" s="225"/>
      <c r="J44" s="193">
        <f>140+673</f>
        <v>813</v>
      </c>
      <c r="K44" s="193">
        <v>0</v>
      </c>
      <c r="L44" s="225"/>
      <c r="M44" s="193">
        <f t="shared" si="1"/>
        <v>813</v>
      </c>
      <c r="O44" s="225">
        <v>1525</v>
      </c>
    </row>
    <row r="45" spans="1:17" s="55" customFormat="1" ht="20.25" x14ac:dyDescent="0.2">
      <c r="A45" s="54"/>
      <c r="B45" s="54"/>
      <c r="C45" s="58" t="s">
        <v>381</v>
      </c>
      <c r="D45" s="58"/>
      <c r="E45" s="58"/>
      <c r="F45" s="58"/>
      <c r="G45" s="193">
        <v>10993.12</v>
      </c>
      <c r="H45" s="225">
        <v>4904.57</v>
      </c>
      <c r="I45" s="225"/>
      <c r="J45" s="193">
        <v>4125.41</v>
      </c>
      <c r="K45" s="193">
        <f>J45</f>
        <v>4125.41</v>
      </c>
      <c r="L45" s="225"/>
      <c r="M45" s="193">
        <f t="shared" si="1"/>
        <v>8250.82</v>
      </c>
      <c r="O45" s="225">
        <v>8600</v>
      </c>
    </row>
    <row r="46" spans="1:17" s="55" customFormat="1" ht="20.25" x14ac:dyDescent="0.2">
      <c r="A46" s="54"/>
      <c r="B46" s="54"/>
      <c r="C46" s="58" t="s">
        <v>227</v>
      </c>
      <c r="D46" s="58"/>
      <c r="E46" s="58"/>
      <c r="F46" s="58"/>
      <c r="G46" s="193">
        <v>10250.949999999999</v>
      </c>
      <c r="H46" s="225">
        <v>3982.99</v>
      </c>
      <c r="I46" s="225"/>
      <c r="J46" s="193">
        <f>759.4+448.66</f>
        <v>1208.06</v>
      </c>
      <c r="K46" s="193">
        <v>1000</v>
      </c>
      <c r="L46" s="225"/>
      <c r="M46" s="193">
        <f t="shared" si="1"/>
        <v>2208.06</v>
      </c>
      <c r="O46" s="225">
        <v>2110</v>
      </c>
    </row>
    <row r="47" spans="1:17" s="55" customFormat="1" ht="20.25" x14ac:dyDescent="0.2">
      <c r="A47" s="54"/>
      <c r="B47" s="54"/>
      <c r="C47" s="58" t="s">
        <v>121</v>
      </c>
      <c r="D47" s="58"/>
      <c r="E47" s="58"/>
      <c r="F47" s="58"/>
      <c r="G47" s="193">
        <v>4412.53</v>
      </c>
      <c r="H47" s="226">
        <v>5667</v>
      </c>
      <c r="I47" s="226"/>
      <c r="J47" s="193">
        <v>2955.81</v>
      </c>
      <c r="K47" s="193">
        <f>J47+900</f>
        <v>3855.81</v>
      </c>
      <c r="L47" s="226"/>
      <c r="M47" s="193">
        <f t="shared" si="1"/>
        <v>6811.62</v>
      </c>
      <c r="O47" s="225">
        <v>4061</v>
      </c>
    </row>
    <row r="48" spans="1:17" s="55" customFormat="1" ht="20.25" x14ac:dyDescent="0.2">
      <c r="A48" s="54"/>
      <c r="B48" s="54"/>
      <c r="C48" s="58" t="s">
        <v>119</v>
      </c>
      <c r="D48" s="58"/>
      <c r="E48" s="58"/>
      <c r="F48" s="58"/>
      <c r="G48" s="193">
        <v>7901</v>
      </c>
      <c r="H48" s="225">
        <v>4149.6000000000004</v>
      </c>
      <c r="I48" s="225"/>
      <c r="J48" s="193">
        <v>220.65</v>
      </c>
      <c r="K48" s="193">
        <v>250</v>
      </c>
      <c r="L48" s="225"/>
      <c r="M48" s="193">
        <f t="shared" si="1"/>
        <v>470.65</v>
      </c>
      <c r="O48" s="225">
        <v>530</v>
      </c>
    </row>
    <row r="49" spans="1:17" s="55" customFormat="1" ht="20.25" hidden="1" x14ac:dyDescent="0.2">
      <c r="A49" s="54"/>
      <c r="B49" s="54"/>
      <c r="C49" s="58" t="s">
        <v>228</v>
      </c>
      <c r="D49" s="58"/>
      <c r="E49" s="58"/>
      <c r="F49" s="58"/>
      <c r="G49" s="193"/>
      <c r="H49" s="225"/>
      <c r="I49" s="225"/>
      <c r="J49" s="193"/>
      <c r="K49" s="193"/>
      <c r="L49" s="225"/>
      <c r="M49" s="193">
        <f t="shared" si="1"/>
        <v>0</v>
      </c>
      <c r="O49" s="225"/>
    </row>
    <row r="50" spans="1:17" s="55" customFormat="1" ht="20.25" x14ac:dyDescent="0.2">
      <c r="A50" s="58"/>
      <c r="B50" s="58"/>
      <c r="C50" s="58" t="s">
        <v>115</v>
      </c>
      <c r="D50" s="58"/>
      <c r="E50" s="58"/>
      <c r="F50" s="58"/>
      <c r="G50" s="193">
        <v>5428.37</v>
      </c>
      <c r="H50" s="225">
        <v>2024.52</v>
      </c>
      <c r="I50" s="225"/>
      <c r="J50" s="193">
        <v>254</v>
      </c>
      <c r="K50" s="193">
        <f>J50</f>
        <v>254</v>
      </c>
      <c r="L50" s="225"/>
      <c r="M50" s="193">
        <f t="shared" si="1"/>
        <v>508</v>
      </c>
      <c r="O50" s="225">
        <v>340</v>
      </c>
    </row>
    <row r="51" spans="1:17" s="55" customFormat="1" ht="20.25" x14ac:dyDescent="0.2">
      <c r="A51" s="58"/>
      <c r="B51" s="58"/>
      <c r="C51" s="58" t="s">
        <v>32</v>
      </c>
      <c r="D51" s="58"/>
      <c r="E51" s="58"/>
      <c r="F51" s="58"/>
      <c r="G51" s="193"/>
      <c r="H51" s="225"/>
      <c r="I51" s="225"/>
      <c r="J51" s="193">
        <f>'December''23 State of Activities'!G54</f>
        <v>5462.19</v>
      </c>
      <c r="K51" s="193">
        <f>624.49*6</f>
        <v>3746.94</v>
      </c>
      <c r="L51" s="225"/>
      <c r="M51" s="193">
        <f t="shared" si="1"/>
        <v>9209.1299999999992</v>
      </c>
      <c r="O51" s="225">
        <v>5933</v>
      </c>
    </row>
    <row r="52" spans="1:17" s="55" customFormat="1" ht="20.25" x14ac:dyDescent="0.2">
      <c r="A52" s="58"/>
      <c r="B52" s="58"/>
      <c r="C52" s="58" t="s">
        <v>229</v>
      </c>
      <c r="D52" s="58"/>
      <c r="E52" s="58"/>
      <c r="F52" s="58"/>
      <c r="G52" s="193">
        <v>83462.91</v>
      </c>
      <c r="H52" s="193">
        <v>18995.71</v>
      </c>
      <c r="I52" s="193"/>
      <c r="J52" s="195">
        <f>30.2+105</f>
        <v>135.19999999999999</v>
      </c>
      <c r="K52" s="195">
        <v>1000</v>
      </c>
      <c r="L52" s="193"/>
      <c r="M52" s="195">
        <f>J52+K52</f>
        <v>1135.2</v>
      </c>
      <c r="O52" s="412">
        <v>33</v>
      </c>
    </row>
    <row r="53" spans="1:17" s="55" customFormat="1" ht="21" thickBot="1" x14ac:dyDescent="0.25">
      <c r="A53" s="54"/>
      <c r="B53" s="54"/>
      <c r="C53" s="54"/>
      <c r="D53" s="54" t="s">
        <v>127</v>
      </c>
      <c r="E53" s="54"/>
      <c r="F53" s="54"/>
      <c r="G53" s="200">
        <v>1078317.8599999999</v>
      </c>
      <c r="H53" s="200">
        <v>481701.87000000005</v>
      </c>
      <c r="I53" s="193"/>
      <c r="J53" s="382">
        <f>SUM(J32:J52)</f>
        <v>260335.91186000002</v>
      </c>
      <c r="K53" s="382">
        <f>SUM(K32:K52)</f>
        <v>267449.07</v>
      </c>
      <c r="L53" s="193"/>
      <c r="M53" s="382">
        <f>SUM(M32:M52)</f>
        <v>527784.98185999994</v>
      </c>
      <c r="O53" s="382">
        <f>SUM(O32:O52)</f>
        <v>532619</v>
      </c>
      <c r="Q53" s="285"/>
    </row>
    <row r="54" spans="1:17" s="55" customFormat="1" ht="21" thickBot="1" x14ac:dyDescent="0.25">
      <c r="A54" s="54"/>
      <c r="B54" s="54"/>
      <c r="C54" s="54"/>
      <c r="D54" s="54" t="s">
        <v>128</v>
      </c>
      <c r="E54" s="54"/>
      <c r="F54" s="54"/>
      <c r="G54" s="200">
        <v>233082.39000000013</v>
      </c>
      <c r="H54" s="200">
        <v>82291.709999999905</v>
      </c>
      <c r="I54" s="193"/>
      <c r="J54" s="383">
        <f>J28-J53</f>
        <v>52027.128139999957</v>
      </c>
      <c r="K54" s="383">
        <f>K28-K53</f>
        <v>-22801.900000000023</v>
      </c>
      <c r="L54" s="193"/>
      <c r="M54" s="740">
        <f>M28-M53</f>
        <v>29225.228140000021</v>
      </c>
      <c r="O54" s="740">
        <f>O28-O53</f>
        <v>-180955</v>
      </c>
    </row>
    <row r="55" spans="1:17" s="55" customFormat="1" ht="20.25" x14ac:dyDescent="0.2">
      <c r="A55" s="54"/>
      <c r="B55" s="54"/>
      <c r="C55" s="54"/>
      <c r="D55" s="54"/>
      <c r="E55" s="54"/>
      <c r="F55" s="54"/>
      <c r="G55" s="193"/>
      <c r="H55" s="193"/>
      <c r="I55" s="193"/>
      <c r="J55" s="193"/>
      <c r="K55" s="193"/>
      <c r="L55" s="193"/>
      <c r="M55" s="193"/>
    </row>
    <row r="56" spans="1:17" s="52" customFormat="1" ht="26.25" x14ac:dyDescent="0.2">
      <c r="A56" s="219"/>
      <c r="B56" s="219"/>
      <c r="C56" s="58" t="s">
        <v>570</v>
      </c>
      <c r="E56" s="58"/>
      <c r="F56" s="58"/>
      <c r="G56" s="221"/>
      <c r="H56" s="193"/>
      <c r="I56" s="193"/>
      <c r="J56" s="193">
        <f>-28362.53+J51</f>
        <v>-22900.34</v>
      </c>
      <c r="K56" s="739">
        <f>(2917*-6)+K51</f>
        <v>-13755.06</v>
      </c>
      <c r="L56" s="193"/>
      <c r="M56" s="193">
        <f>J56+K56</f>
        <v>-36655.4</v>
      </c>
      <c r="O56" s="225">
        <f>-21875</f>
        <v>-21875</v>
      </c>
    </row>
    <row r="57" spans="1:17" s="55" customFormat="1" ht="20.25" x14ac:dyDescent="0.2">
      <c r="A57" s="54"/>
      <c r="B57" s="54"/>
      <c r="C57" s="58" t="s">
        <v>449</v>
      </c>
      <c r="E57" s="54"/>
      <c r="G57" s="193"/>
      <c r="H57" s="193"/>
      <c r="I57" s="193"/>
      <c r="J57" s="193">
        <f>J40</f>
        <v>13648.5</v>
      </c>
      <c r="K57" s="193">
        <f>K40</f>
        <v>13648.5</v>
      </c>
      <c r="L57" s="193"/>
      <c r="M57" s="193">
        <f>M40</f>
        <v>27297</v>
      </c>
      <c r="O57" s="225">
        <f>O40</f>
        <v>19430</v>
      </c>
    </row>
    <row r="58" spans="1:17" s="55" customFormat="1" ht="24" thickBot="1" x14ac:dyDescent="0.25">
      <c r="A58" s="54"/>
      <c r="B58" s="222"/>
      <c r="C58" s="54"/>
      <c r="D58" s="787" t="s">
        <v>231</v>
      </c>
      <c r="E58" s="787"/>
      <c r="F58" s="787"/>
      <c r="G58" s="193"/>
      <c r="H58" s="193"/>
      <c r="I58" s="193"/>
      <c r="J58" s="384">
        <f>J54+J56+J57</f>
        <v>42775.288139999961</v>
      </c>
      <c r="K58" s="384">
        <f>K54+K56+K57</f>
        <v>-22908.460000000021</v>
      </c>
      <c r="L58" s="202"/>
      <c r="M58" s="384">
        <f>M54+M56+M57</f>
        <v>19866.82814000002</v>
      </c>
      <c r="N58" s="318"/>
      <c r="O58" s="384">
        <f>O54+O56+O57</f>
        <v>-183400</v>
      </c>
    </row>
    <row r="59" spans="1:17" s="55" customFormat="1" ht="42" customHeight="1" thickTop="1" x14ac:dyDescent="0.2">
      <c r="A59" s="54"/>
      <c r="B59" s="54"/>
      <c r="C59" s="54"/>
      <c r="D59" s="54"/>
      <c r="E59" s="54"/>
      <c r="F59" s="54"/>
      <c r="G59" s="193"/>
      <c r="H59" s="193"/>
      <c r="I59" s="193"/>
      <c r="J59" s="193"/>
      <c r="K59" s="193"/>
      <c r="L59" s="193"/>
      <c r="M59" s="193"/>
    </row>
    <row r="60" spans="1:17" s="55" customFormat="1" ht="20.25" x14ac:dyDescent="0.2">
      <c r="A60" s="58"/>
      <c r="B60" s="58"/>
      <c r="C60" s="58" t="s">
        <v>584</v>
      </c>
      <c r="D60" s="58"/>
      <c r="E60" s="58"/>
      <c r="F60" s="58"/>
      <c r="G60" s="193"/>
      <c r="H60" s="193"/>
      <c r="I60" s="193"/>
      <c r="J60" s="193"/>
      <c r="K60" s="193"/>
      <c r="L60" s="193"/>
      <c r="M60" s="193"/>
    </row>
    <row r="61" spans="1:17" s="55" customFormat="1" ht="20.25" x14ac:dyDescent="0.3">
      <c r="A61" s="58"/>
      <c r="B61" s="58"/>
      <c r="C61" s="685" t="s">
        <v>480</v>
      </c>
      <c r="D61" s="45"/>
      <c r="E61" s="45"/>
      <c r="F61" s="609"/>
      <c r="G61" s="227"/>
      <c r="H61" s="227"/>
      <c r="I61" s="684"/>
      <c r="J61" s="193"/>
      <c r="K61" s="193"/>
      <c r="L61" s="193"/>
      <c r="M61" s="193"/>
    </row>
    <row r="62" spans="1:17" s="55" customFormat="1" ht="20.25" customHeight="1" x14ac:dyDescent="0.2">
      <c r="A62" s="58"/>
      <c r="B62" s="58"/>
      <c r="C62" s="785" t="s">
        <v>481</v>
      </c>
      <c r="D62" s="785"/>
      <c r="E62" s="785"/>
      <c r="F62" s="785"/>
      <c r="G62" s="785"/>
      <c r="H62" s="785"/>
      <c r="I62" s="785"/>
      <c r="J62" s="785"/>
      <c r="K62" s="785"/>
      <c r="L62" s="785"/>
      <c r="M62" s="785"/>
      <c r="N62" s="785"/>
      <c r="O62" s="785"/>
    </row>
    <row r="63" spans="1:17" s="55" customFormat="1" ht="29.25" customHeight="1" x14ac:dyDescent="0.2">
      <c r="A63" s="58"/>
      <c r="B63" s="58"/>
      <c r="C63" s="786" t="s">
        <v>524</v>
      </c>
      <c r="D63" s="786"/>
      <c r="E63" s="786"/>
      <c r="F63" s="786"/>
      <c r="G63" s="786"/>
      <c r="H63" s="786"/>
      <c r="I63" s="786"/>
      <c r="J63" s="786"/>
      <c r="K63" s="786"/>
      <c r="L63" s="786"/>
      <c r="M63" s="786"/>
      <c r="N63" s="786"/>
      <c r="O63" s="786"/>
    </row>
    <row r="64" spans="1:17" s="55" customFormat="1" ht="20.25" x14ac:dyDescent="0.25">
      <c r="A64" s="54"/>
      <c r="B64" s="54"/>
      <c r="C64" s="442" t="s">
        <v>482</v>
      </c>
      <c r="D64" s="45"/>
      <c r="E64" s="45"/>
      <c r="F64" s="609"/>
      <c r="G64" s="684"/>
      <c r="H64" s="684"/>
      <c r="I64" s="684"/>
      <c r="J64" s="196"/>
      <c r="K64" s="196"/>
      <c r="L64" s="196"/>
      <c r="M64" s="196"/>
    </row>
    <row r="65" spans="1:15" s="55" customFormat="1" ht="20.25" x14ac:dyDescent="0.25">
      <c r="A65" s="54"/>
      <c r="B65" s="54"/>
      <c r="C65" s="442" t="s">
        <v>522</v>
      </c>
      <c r="D65" s="45"/>
      <c r="E65" s="45"/>
      <c r="F65" s="609"/>
      <c r="G65" s="684"/>
      <c r="H65" s="684"/>
      <c r="I65" s="684"/>
      <c r="J65" s="196"/>
      <c r="K65" s="196"/>
      <c r="L65" s="196"/>
      <c r="M65" s="196"/>
    </row>
    <row r="66" spans="1:15" s="55" customFormat="1" ht="23.25" customHeight="1" x14ac:dyDescent="0.2">
      <c r="A66" s="54"/>
      <c r="B66" s="222"/>
      <c r="C66" s="785" t="s">
        <v>523</v>
      </c>
      <c r="D66" s="785"/>
      <c r="E66" s="785"/>
      <c r="F66" s="785"/>
      <c r="G66" s="785"/>
      <c r="H66" s="785"/>
      <c r="I66" s="785"/>
      <c r="J66" s="785"/>
      <c r="K66" s="785"/>
      <c r="L66" s="785"/>
      <c r="M66" s="785"/>
      <c r="N66" s="785"/>
      <c r="O66" s="785"/>
    </row>
    <row r="67" spans="1:15" s="55" customFormat="1" ht="20.25" x14ac:dyDescent="0.25">
      <c r="A67" s="58"/>
      <c r="B67" s="58"/>
      <c r="C67" s="229" t="s">
        <v>513</v>
      </c>
      <c r="D67" s="45"/>
      <c r="E67" s="45"/>
      <c r="F67" s="609"/>
      <c r="G67" s="684"/>
      <c r="H67" s="684"/>
      <c r="I67" s="684"/>
      <c r="J67" s="193"/>
      <c r="K67" s="193"/>
      <c r="L67" s="193"/>
      <c r="M67" s="193"/>
    </row>
    <row r="68" spans="1:15" s="55" customFormat="1" ht="20.25" x14ac:dyDescent="0.25">
      <c r="A68" s="58"/>
      <c r="B68" s="58"/>
      <c r="C68" s="229">
        <v>1</v>
      </c>
      <c r="D68" s="229" t="s">
        <v>514</v>
      </c>
      <c r="E68" s="45"/>
      <c r="F68" s="609"/>
      <c r="G68" s="684"/>
      <c r="H68" s="684"/>
      <c r="I68" s="684"/>
      <c r="J68" s="193"/>
      <c r="K68" s="193"/>
      <c r="L68" s="193"/>
      <c r="M68" s="193"/>
    </row>
    <row r="69" spans="1:15" s="55" customFormat="1" ht="20.25" x14ac:dyDescent="0.25">
      <c r="A69" s="54"/>
      <c r="B69" s="54"/>
      <c r="C69" s="229">
        <v>2</v>
      </c>
      <c r="D69" s="229" t="s">
        <v>520</v>
      </c>
      <c r="E69" s="45"/>
      <c r="F69" s="609"/>
      <c r="G69"/>
      <c r="H69"/>
      <c r="I69"/>
      <c r="J69" s="193"/>
      <c r="K69" s="193"/>
      <c r="L69" s="193"/>
      <c r="M69" s="193"/>
    </row>
    <row r="70" spans="1:15" s="55" customFormat="1" ht="23.25" x14ac:dyDescent="0.25">
      <c r="A70" s="54"/>
      <c r="B70" s="222"/>
      <c r="C70" s="229">
        <v>3</v>
      </c>
      <c r="D70" s="229" t="s">
        <v>521</v>
      </c>
      <c r="E70" s="45"/>
      <c r="F70" s="609"/>
      <c r="G70"/>
      <c r="H70"/>
      <c r="I70"/>
      <c r="J70" s="196"/>
      <c r="K70" s="196"/>
      <c r="L70" s="196"/>
      <c r="M70" s="196"/>
    </row>
    <row r="71" spans="1:15" s="55" customFormat="1" ht="20.25" x14ac:dyDescent="0.25">
      <c r="A71" s="54"/>
      <c r="B71" s="54"/>
      <c r="C71" s="229">
        <v>4</v>
      </c>
      <c r="D71" s="229" t="s">
        <v>516</v>
      </c>
      <c r="E71" s="45"/>
      <c r="F71" s="609"/>
      <c r="G71"/>
      <c r="H71"/>
      <c r="I71"/>
      <c r="J71" s="193"/>
      <c r="K71" s="193"/>
      <c r="L71" s="193"/>
      <c r="M71" s="193"/>
    </row>
    <row r="72" spans="1:15" s="62" customFormat="1" ht="26.25" x14ac:dyDescent="0.25">
      <c r="A72" s="219"/>
      <c r="B72" s="219"/>
      <c r="C72" s="229" t="s">
        <v>515</v>
      </c>
      <c r="D72" s="229"/>
      <c r="E72" s="45"/>
      <c r="F72" s="609"/>
      <c r="G72"/>
      <c r="H72"/>
      <c r="I72"/>
      <c r="J72" s="196"/>
      <c r="K72" s="196"/>
      <c r="L72" s="196"/>
      <c r="M72" s="196"/>
    </row>
    <row r="73" spans="1:15" ht="20.25" x14ac:dyDescent="0.3">
      <c r="C73" s="229" t="s">
        <v>518</v>
      </c>
      <c r="D73" s="229"/>
      <c r="F73" s="609"/>
      <c r="G73"/>
      <c r="J73" s="227"/>
      <c r="K73" s="227"/>
      <c r="L73" s="227"/>
      <c r="M73" s="227"/>
    </row>
    <row r="74" spans="1:15" ht="20.25" x14ac:dyDescent="0.3">
      <c r="C74" s="229">
        <v>1</v>
      </c>
      <c r="D74" s="229" t="s">
        <v>517</v>
      </c>
      <c r="F74" s="88"/>
      <c r="G74"/>
      <c r="J74" s="227"/>
      <c r="K74" s="227"/>
      <c r="L74" s="227"/>
      <c r="M74" s="227"/>
    </row>
    <row r="75" spans="1:15" ht="20.25" x14ac:dyDescent="0.3">
      <c r="C75" s="229">
        <v>2</v>
      </c>
      <c r="D75" s="229" t="s">
        <v>519</v>
      </c>
      <c r="F75" s="88"/>
      <c r="G75"/>
      <c r="J75" s="227"/>
      <c r="K75" s="227"/>
      <c r="L75" s="227"/>
      <c r="M75" s="227"/>
    </row>
    <row r="76" spans="1:15" ht="20.25" x14ac:dyDescent="0.3">
      <c r="C76" s="229" t="s">
        <v>515</v>
      </c>
      <c r="D76" s="229"/>
      <c r="G76"/>
      <c r="J76" s="224"/>
      <c r="K76" s="224"/>
      <c r="L76" s="224"/>
      <c r="M76" s="224"/>
    </row>
    <row r="77" spans="1:15" x14ac:dyDescent="0.2">
      <c r="C77" s="229" t="s">
        <v>531</v>
      </c>
      <c r="D77" s="229"/>
      <c r="G77"/>
    </row>
    <row r="78" spans="1:15" x14ac:dyDescent="0.2">
      <c r="C78" s="229" t="s">
        <v>532</v>
      </c>
      <c r="D78" s="229"/>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93</v>
      </c>
      <c r="B1" s="47"/>
      <c r="C1" s="48"/>
      <c r="D1" s="48"/>
      <c r="E1" s="48"/>
      <c r="F1" s="47"/>
      <c r="G1" s="47"/>
      <c r="H1" s="47"/>
      <c r="I1" s="47"/>
      <c r="J1" s="47"/>
      <c r="K1" s="47"/>
    </row>
    <row r="2" spans="1:11" ht="26.25" x14ac:dyDescent="0.4">
      <c r="A2" s="46" t="s">
        <v>212</v>
      </c>
      <c r="B2" s="47"/>
      <c r="C2" s="48"/>
      <c r="D2" s="48"/>
      <c r="E2" s="48"/>
      <c r="F2" s="47"/>
      <c r="G2" s="47"/>
      <c r="H2" s="47"/>
      <c r="I2" s="47"/>
      <c r="J2" s="47"/>
      <c r="K2" s="47"/>
    </row>
    <row r="3" spans="1:11" ht="26.25" x14ac:dyDescent="0.4">
      <c r="A3" s="46" t="s">
        <v>483</v>
      </c>
      <c r="B3" s="47"/>
      <c r="C3" s="48"/>
      <c r="D3" s="48"/>
      <c r="E3" s="48"/>
      <c r="F3" s="47"/>
      <c r="G3" s="47"/>
      <c r="H3" s="47"/>
      <c r="I3" s="47"/>
      <c r="J3" s="47"/>
      <c r="K3" s="47"/>
    </row>
    <row r="4" spans="1:11" ht="21" thickBot="1" x14ac:dyDescent="0.25">
      <c r="A4" s="49"/>
      <c r="B4" s="49"/>
      <c r="C4" s="49"/>
      <c r="D4" s="49"/>
      <c r="E4" s="49"/>
      <c r="F4" s="49"/>
      <c r="G4" s="49"/>
      <c r="H4" s="49"/>
      <c r="I4" s="49"/>
      <c r="J4" s="50"/>
      <c r="K4" s="269"/>
    </row>
    <row r="5" spans="1:11" ht="27.75" thickTop="1" thickBot="1" x14ac:dyDescent="0.25">
      <c r="A5" s="51" t="s">
        <v>107</v>
      </c>
      <c r="B5" s="51"/>
      <c r="C5" s="51"/>
      <c r="D5" s="51"/>
      <c r="E5" s="51"/>
      <c r="F5" s="51"/>
      <c r="G5" s="51"/>
      <c r="H5" s="51"/>
      <c r="I5" s="51"/>
      <c r="J5" s="327"/>
      <c r="K5" s="690"/>
    </row>
    <row r="6" spans="1:11" ht="21" thickTop="1" x14ac:dyDescent="0.2">
      <c r="A6" s="54"/>
      <c r="B6" s="54"/>
      <c r="C6" s="54"/>
      <c r="D6" s="54"/>
      <c r="E6" s="54"/>
      <c r="F6" s="54"/>
      <c r="G6" s="54"/>
      <c r="H6" s="54"/>
      <c r="I6" s="54"/>
      <c r="J6" s="55"/>
      <c r="K6" s="55"/>
    </row>
    <row r="7" spans="1:11" ht="21" thickBot="1" x14ac:dyDescent="0.35">
      <c r="A7" s="56"/>
      <c r="B7" s="120" t="s">
        <v>99</v>
      </c>
      <c r="C7" s="120"/>
      <c r="D7" s="120"/>
      <c r="E7" s="120"/>
      <c r="F7" s="120"/>
      <c r="G7" s="544">
        <v>43465</v>
      </c>
      <c r="H7" s="544">
        <v>43830</v>
      </c>
      <c r="I7" s="544">
        <v>44196</v>
      </c>
      <c r="J7" s="544">
        <v>44561</v>
      </c>
      <c r="K7" s="544">
        <v>44926</v>
      </c>
    </row>
    <row r="8" spans="1:11" ht="20.25" x14ac:dyDescent="0.2">
      <c r="A8" s="54"/>
      <c r="B8" s="54"/>
      <c r="C8" s="58" t="s">
        <v>149</v>
      </c>
      <c r="D8" s="58"/>
      <c r="E8" s="58"/>
      <c r="F8" s="54"/>
      <c r="G8" s="202">
        <f>153461+3123</f>
        <v>156584</v>
      </c>
      <c r="H8" s="202">
        <v>158721</v>
      </c>
      <c r="I8" s="202">
        <f>68070.06</f>
        <v>68070.06</v>
      </c>
      <c r="J8" s="202">
        <v>85646.89</v>
      </c>
      <c r="K8" s="202">
        <v>84478</v>
      </c>
    </row>
    <row r="9" spans="1:11" ht="20.25" x14ac:dyDescent="0.2">
      <c r="A9" s="54"/>
      <c r="B9" s="54"/>
      <c r="C9" s="58" t="s">
        <v>213</v>
      </c>
      <c r="D9" s="58"/>
      <c r="E9" s="58"/>
      <c r="F9" s="54"/>
      <c r="G9" s="193">
        <v>20332</v>
      </c>
      <c r="H9" s="193">
        <v>12278.42</v>
      </c>
      <c r="I9" s="193">
        <v>16169.1</v>
      </c>
      <c r="J9" s="193">
        <v>34505.879999999997</v>
      </c>
      <c r="K9" s="193">
        <v>13806</v>
      </c>
    </row>
    <row r="10" spans="1:11" ht="20.25" x14ac:dyDescent="0.2">
      <c r="A10" s="54"/>
      <c r="B10" s="54"/>
      <c r="C10" s="58" t="s">
        <v>388</v>
      </c>
      <c r="D10" s="58"/>
      <c r="E10" s="58"/>
      <c r="F10" s="54"/>
      <c r="G10" s="193"/>
      <c r="H10" s="193">
        <v>10616</v>
      </c>
      <c r="I10" s="193">
        <v>3260</v>
      </c>
      <c r="J10" s="193">
        <v>0</v>
      </c>
      <c r="K10" s="193">
        <v>32978</v>
      </c>
    </row>
    <row r="11" spans="1:11" ht="20.25" x14ac:dyDescent="0.2">
      <c r="A11" s="54"/>
      <c r="B11" s="54"/>
      <c r="C11" s="58" t="s">
        <v>101</v>
      </c>
      <c r="D11" s="58"/>
      <c r="E11" s="58"/>
      <c r="F11" s="54"/>
      <c r="G11" s="193"/>
      <c r="H11" s="193"/>
      <c r="I11" s="193"/>
      <c r="J11" s="193"/>
      <c r="K11" s="193"/>
    </row>
    <row r="12" spans="1:11" ht="20.25" x14ac:dyDescent="0.2">
      <c r="A12" s="54"/>
      <c r="B12" s="54"/>
      <c r="C12" s="55"/>
      <c r="D12" s="58" t="s">
        <v>214</v>
      </c>
      <c r="E12" s="58"/>
      <c r="F12" s="54"/>
      <c r="G12" s="193">
        <v>42500</v>
      </c>
      <c r="H12" s="193">
        <v>44499.96</v>
      </c>
      <c r="I12" s="193">
        <f>3750*12</f>
        <v>45000</v>
      </c>
      <c r="J12" s="193">
        <v>45500</v>
      </c>
      <c r="K12" s="193">
        <v>46000</v>
      </c>
    </row>
    <row r="13" spans="1:11" ht="20.25" x14ac:dyDescent="0.2">
      <c r="A13" s="54"/>
      <c r="B13" s="54"/>
      <c r="C13" s="55"/>
      <c r="D13" s="58" t="s">
        <v>158</v>
      </c>
      <c r="E13" s="58"/>
      <c r="F13" s="54"/>
      <c r="G13" s="193">
        <v>9000</v>
      </c>
      <c r="H13" s="193">
        <v>13000</v>
      </c>
      <c r="I13" s="193">
        <v>18000</v>
      </c>
      <c r="J13" s="193">
        <v>18000</v>
      </c>
      <c r="K13" s="193">
        <v>18000</v>
      </c>
    </row>
    <row r="14" spans="1:11" ht="20.25" x14ac:dyDescent="0.2">
      <c r="A14" s="54"/>
      <c r="B14" s="54"/>
      <c r="C14" s="58" t="s">
        <v>102</v>
      </c>
      <c r="D14" s="58"/>
      <c r="E14" s="58"/>
      <c r="F14" s="54"/>
      <c r="G14" s="193">
        <v>12796</v>
      </c>
      <c r="H14" s="193">
        <v>13071.46</v>
      </c>
      <c r="I14" s="193">
        <v>12695.06</v>
      </c>
      <c r="J14" s="193">
        <v>17445.740000000002</v>
      </c>
      <c r="K14" s="193">
        <v>17485</v>
      </c>
    </row>
    <row r="15" spans="1:11" ht="20.25" x14ac:dyDescent="0.2">
      <c r="A15" s="54"/>
      <c r="B15" s="54"/>
      <c r="C15" s="58" t="s">
        <v>484</v>
      </c>
      <c r="D15" s="58"/>
      <c r="E15" s="58"/>
      <c r="F15" s="54"/>
      <c r="G15" s="193">
        <f>25000</f>
        <v>25000</v>
      </c>
      <c r="H15" s="193">
        <v>71886</v>
      </c>
      <c r="I15" s="193">
        <v>77911.459999999992</v>
      </c>
      <c r="J15" s="193">
        <v>80378.48</v>
      </c>
      <c r="K15" s="193">
        <f>27500+3340</f>
        <v>30840</v>
      </c>
    </row>
    <row r="16" spans="1:11" ht="20.25" x14ac:dyDescent="0.2">
      <c r="A16" s="54"/>
      <c r="B16" s="54"/>
      <c r="C16" s="58" t="s">
        <v>349</v>
      </c>
      <c r="D16" s="58"/>
      <c r="E16" s="58"/>
      <c r="F16" s="54"/>
      <c r="G16" s="193">
        <f>659</f>
        <v>659</v>
      </c>
      <c r="H16" s="193">
        <v>7946</v>
      </c>
      <c r="I16" s="193">
        <v>255.74</v>
      </c>
      <c r="J16" s="193">
        <v>3312.47</v>
      </c>
      <c r="K16" s="193"/>
    </row>
    <row r="17" spans="1:11" ht="21" thickBot="1" x14ac:dyDescent="0.25">
      <c r="A17" s="54"/>
      <c r="B17" s="54"/>
      <c r="C17" s="58" t="s">
        <v>216</v>
      </c>
      <c r="D17" s="58"/>
      <c r="E17" s="58"/>
      <c r="F17" s="54"/>
      <c r="G17" s="200">
        <v>9315</v>
      </c>
      <c r="H17" s="200">
        <v>9315</v>
      </c>
      <c r="I17" s="200">
        <v>9315</v>
      </c>
      <c r="J17" s="200">
        <v>10548</v>
      </c>
      <c r="K17" s="200">
        <v>10548</v>
      </c>
    </row>
    <row r="18" spans="1:11" ht="20.25" x14ac:dyDescent="0.2">
      <c r="A18" s="54"/>
      <c r="B18" s="54"/>
      <c r="C18" s="58"/>
      <c r="D18" s="54" t="s">
        <v>104</v>
      </c>
      <c r="E18" s="58"/>
      <c r="F18" s="54"/>
      <c r="G18" s="193">
        <f>SUM(G8:G17)</f>
        <v>276186</v>
      </c>
      <c r="H18" s="193">
        <f>SUM(H8:H17)</f>
        <v>341333.83999999997</v>
      </c>
      <c r="I18" s="193">
        <f>SUM(I8:I17)</f>
        <v>250676.41999999998</v>
      </c>
      <c r="J18" s="193">
        <f>SUM(J8:J17)</f>
        <v>295337.45999999996</v>
      </c>
      <c r="K18" s="193">
        <f>SUM(K8:K17)</f>
        <v>254135</v>
      </c>
    </row>
    <row r="19" spans="1:11" ht="20.25" x14ac:dyDescent="0.2">
      <c r="A19" s="54"/>
      <c r="B19" s="54"/>
      <c r="C19" s="54" t="s">
        <v>217</v>
      </c>
      <c r="D19" s="58"/>
      <c r="E19" s="58"/>
      <c r="F19" s="54"/>
      <c r="G19" s="193">
        <v>19000</v>
      </c>
      <c r="H19" s="193">
        <v>19000</v>
      </c>
      <c r="I19" s="193">
        <v>19000</v>
      </c>
      <c r="J19" s="193">
        <v>18500</v>
      </c>
      <c r="K19" s="193">
        <f>13333/8*12</f>
        <v>19999.5</v>
      </c>
    </row>
    <row r="20" spans="1:11" ht="21" thickBot="1" x14ac:dyDescent="0.25">
      <c r="A20" s="54"/>
      <c r="B20" s="54"/>
      <c r="C20" s="54" t="s">
        <v>218</v>
      </c>
      <c r="D20" s="58"/>
      <c r="E20" s="58"/>
      <c r="F20" s="54"/>
      <c r="G20" s="200">
        <v>37641</v>
      </c>
      <c r="H20" s="200">
        <v>37834</v>
      </c>
      <c r="I20" s="200">
        <v>34669.31</v>
      </c>
      <c r="J20" s="200">
        <v>26400.720000000001</v>
      </c>
      <c r="K20" s="200">
        <v>43041</v>
      </c>
    </row>
    <row r="21" spans="1:11" ht="20.25" x14ac:dyDescent="0.2">
      <c r="A21" s="54"/>
      <c r="B21" s="54"/>
      <c r="C21" s="58"/>
      <c r="D21" s="54" t="s">
        <v>106</v>
      </c>
      <c r="E21" s="58"/>
      <c r="F21" s="54"/>
      <c r="G21" s="193">
        <f>SUM(G18:G20)</f>
        <v>332827</v>
      </c>
      <c r="H21" s="193">
        <f>SUM(H18:H20)</f>
        <v>398167.83999999997</v>
      </c>
      <c r="I21" s="193">
        <f>SUM(I18:I20)</f>
        <v>304345.73</v>
      </c>
      <c r="J21" s="193">
        <f>SUM(J18:J20)</f>
        <v>340238.17999999993</v>
      </c>
      <c r="K21" s="193">
        <f>SUM(K18:K20)</f>
        <v>317175.5</v>
      </c>
    </row>
    <row r="22" spans="1:11" ht="20.25" x14ac:dyDescent="0.2">
      <c r="A22" s="54"/>
      <c r="B22" s="54"/>
      <c r="C22" s="58"/>
      <c r="D22" s="54"/>
      <c r="E22" s="58"/>
      <c r="F22" s="54" t="s">
        <v>485</v>
      </c>
      <c r="G22" s="193"/>
      <c r="H22" s="193">
        <v>-46886</v>
      </c>
      <c r="I22" s="193"/>
      <c r="J22" s="193"/>
      <c r="K22" s="193"/>
    </row>
    <row r="23" spans="1:11" ht="20.25" x14ac:dyDescent="0.2">
      <c r="A23" s="54"/>
      <c r="B23" s="54"/>
      <c r="C23" s="58"/>
      <c r="D23" s="54" t="s">
        <v>486</v>
      </c>
      <c r="E23" s="58"/>
      <c r="F23" s="54"/>
      <c r="G23" s="193"/>
      <c r="H23" s="193">
        <f>SUM(H21:H22)</f>
        <v>351281.83999999997</v>
      </c>
      <c r="I23" s="193"/>
      <c r="J23" s="193"/>
      <c r="K23" s="193"/>
    </row>
    <row r="24" spans="1:11" ht="20.25" x14ac:dyDescent="0.2">
      <c r="A24" s="54"/>
      <c r="B24" s="54"/>
      <c r="C24" s="58"/>
      <c r="D24" s="54"/>
      <c r="E24" s="58"/>
      <c r="F24" s="54"/>
      <c r="G24" s="54"/>
      <c r="H24" s="54"/>
      <c r="I24" s="54"/>
      <c r="J24" s="481"/>
      <c r="K24" s="481"/>
    </row>
    <row r="25" spans="1:11" ht="21" thickBot="1" x14ac:dyDescent="0.25">
      <c r="A25" s="54"/>
      <c r="B25" s="66" t="s">
        <v>110</v>
      </c>
      <c r="C25" s="66"/>
      <c r="D25" s="66"/>
      <c r="E25" s="66"/>
      <c r="F25" s="66"/>
      <c r="G25" s="54"/>
      <c r="H25" s="54"/>
      <c r="I25" s="54"/>
      <c r="J25" s="55"/>
      <c r="K25" s="55"/>
    </row>
    <row r="26" spans="1:11" ht="20.25" x14ac:dyDescent="0.2">
      <c r="A26" s="54"/>
      <c r="B26" s="54"/>
      <c r="C26" s="58" t="s">
        <v>219</v>
      </c>
      <c r="D26" s="58"/>
      <c r="E26" s="58"/>
      <c r="F26" s="58"/>
      <c r="G26" s="58"/>
      <c r="H26" s="58"/>
      <c r="I26" s="58"/>
      <c r="J26" s="225"/>
      <c r="K26" s="225"/>
    </row>
    <row r="27" spans="1:11" ht="20.25" x14ac:dyDescent="0.2">
      <c r="A27" s="54"/>
      <c r="B27" s="54"/>
      <c r="C27" s="58"/>
      <c r="D27" s="784" t="s">
        <v>220</v>
      </c>
      <c r="E27" s="784"/>
      <c r="F27" s="784"/>
      <c r="G27" s="193">
        <v>146508</v>
      </c>
      <c r="H27" s="193">
        <v>162253.75</v>
      </c>
      <c r="I27" s="193">
        <v>133830.65</v>
      </c>
      <c r="J27" s="193">
        <v>155035.70000000001</v>
      </c>
      <c r="K27" s="193">
        <v>205058</v>
      </c>
    </row>
    <row r="28" spans="1:11" ht="20.25" x14ac:dyDescent="0.2">
      <c r="A28" s="54"/>
      <c r="B28" s="54"/>
      <c r="C28" s="58"/>
      <c r="D28" s="784" t="s">
        <v>221</v>
      </c>
      <c r="E28" s="784"/>
      <c r="F28" s="784"/>
      <c r="G28" s="193">
        <v>59928</v>
      </c>
      <c r="H28" s="193">
        <f>37966.12+23862.63+605.03+106.59</f>
        <v>62540.369999999995</v>
      </c>
      <c r="I28" s="193">
        <f>44061.17+21220.39</f>
        <v>65281.56</v>
      </c>
      <c r="J28" s="193">
        <f>43631.85+27917.65</f>
        <v>71549.5</v>
      </c>
      <c r="K28" s="193">
        <v>78236</v>
      </c>
    </row>
    <row r="29" spans="1:11" ht="20.25" x14ac:dyDescent="0.2">
      <c r="A29" s="54"/>
      <c r="B29" s="54"/>
      <c r="C29" s="58"/>
      <c r="D29" s="784" t="s">
        <v>112</v>
      </c>
      <c r="E29" s="784"/>
      <c r="F29" s="784"/>
      <c r="G29" s="193">
        <v>39636</v>
      </c>
      <c r="H29" s="193">
        <v>42279.58</v>
      </c>
      <c r="I29" s="193">
        <v>36601</v>
      </c>
      <c r="J29" s="193">
        <f>J27*0.213+J28*0.14</f>
        <v>43039.534100000004</v>
      </c>
      <c r="K29" s="193">
        <f>K27*0.213+K28*0.14</f>
        <v>54630.394</v>
      </c>
    </row>
    <row r="30" spans="1:11" ht="20.25" x14ac:dyDescent="0.2">
      <c r="A30" s="54"/>
      <c r="B30" s="54"/>
      <c r="C30" s="58" t="s">
        <v>277</v>
      </c>
      <c r="D30" s="58"/>
      <c r="E30" s="58"/>
      <c r="F30" s="58"/>
      <c r="G30" s="613"/>
      <c r="H30" s="613"/>
      <c r="I30" s="613"/>
      <c r="J30" s="613"/>
      <c r="K30" s="613"/>
    </row>
    <row r="31" spans="1:11" ht="20.25" x14ac:dyDescent="0.2">
      <c r="A31" s="54"/>
      <c r="B31" s="54"/>
      <c r="C31" s="58"/>
      <c r="D31" s="784" t="s">
        <v>222</v>
      </c>
      <c r="E31" s="784"/>
      <c r="F31" s="784"/>
      <c r="G31" s="193">
        <v>27184</v>
      </c>
      <c r="H31" s="193">
        <v>25472.83</v>
      </c>
      <c r="I31" s="193">
        <v>15135.29</v>
      </c>
      <c r="J31" s="193">
        <v>25112.19</v>
      </c>
      <c r="K31" s="193">
        <v>37937</v>
      </c>
    </row>
    <row r="32" spans="1:11" ht="20.25" x14ac:dyDescent="0.2">
      <c r="A32" s="54"/>
      <c r="B32" s="54"/>
      <c r="C32" s="58"/>
      <c r="D32" s="784" t="s">
        <v>223</v>
      </c>
      <c r="E32" s="784"/>
      <c r="F32" s="784"/>
      <c r="G32" s="193">
        <v>15511</v>
      </c>
      <c r="H32" s="193">
        <v>17989.87</v>
      </c>
      <c r="I32" s="193">
        <v>22636.98</v>
      </c>
      <c r="J32" s="193">
        <v>23957.25</v>
      </c>
      <c r="K32" s="193">
        <v>25355</v>
      </c>
    </row>
    <row r="33" spans="1:11" ht="20.25" x14ac:dyDescent="0.2">
      <c r="A33" s="54"/>
      <c r="B33" s="54"/>
      <c r="C33" s="58"/>
      <c r="D33" s="784" t="s">
        <v>303</v>
      </c>
      <c r="E33" s="784"/>
      <c r="F33" s="784"/>
      <c r="G33" s="193">
        <v>12450</v>
      </c>
      <c r="H33" s="193">
        <v>16090.9</v>
      </c>
      <c r="I33" s="193">
        <v>11030.88</v>
      </c>
      <c r="J33" s="193">
        <v>19504.66</v>
      </c>
      <c r="K33" s="193">
        <v>10952</v>
      </c>
    </row>
    <row r="34" spans="1:11" ht="20.25" x14ac:dyDescent="0.2">
      <c r="A34" s="54"/>
      <c r="B34" s="54"/>
      <c r="C34" s="58"/>
      <c r="D34" s="784" t="s">
        <v>224</v>
      </c>
      <c r="E34" s="784"/>
      <c r="F34" s="784"/>
      <c r="G34" s="193">
        <v>377</v>
      </c>
      <c r="H34" s="193">
        <v>1427.75</v>
      </c>
      <c r="I34" s="193">
        <v>397</v>
      </c>
      <c r="J34" s="193">
        <v>663</v>
      </c>
      <c r="K34" s="193">
        <v>744</v>
      </c>
    </row>
    <row r="35" spans="1:11" ht="20.25" x14ac:dyDescent="0.2">
      <c r="A35" s="54"/>
      <c r="B35" s="54"/>
      <c r="C35" s="58" t="s">
        <v>468</v>
      </c>
      <c r="D35" s="58"/>
      <c r="E35" s="58"/>
      <c r="F35" s="58"/>
      <c r="G35" s="193">
        <v>25080</v>
      </c>
      <c r="H35" s="193">
        <f>22438.68+1591</f>
        <v>24029.68</v>
      </c>
      <c r="I35" s="193">
        <f>29909+1860</f>
        <v>31769</v>
      </c>
      <c r="J35" s="193">
        <f>1903+28481</f>
        <v>30384</v>
      </c>
      <c r="K35" s="193">
        <v>31133</v>
      </c>
    </row>
    <row r="36" spans="1:11" ht="20.25" x14ac:dyDescent="0.2">
      <c r="A36" s="54"/>
      <c r="B36" s="54"/>
      <c r="C36" s="58" t="s">
        <v>103</v>
      </c>
      <c r="D36" s="58"/>
      <c r="E36" s="58"/>
      <c r="F36" s="58"/>
      <c r="G36" s="193">
        <f>G17</f>
        <v>9315</v>
      </c>
      <c r="H36" s="193">
        <f>H17</f>
        <v>9315</v>
      </c>
      <c r="I36" s="193">
        <f>I17</f>
        <v>9315</v>
      </c>
      <c r="J36" s="193">
        <f>J17</f>
        <v>10548</v>
      </c>
      <c r="K36" s="193">
        <f>K17</f>
        <v>10548</v>
      </c>
    </row>
    <row r="37" spans="1:11" ht="20.25" x14ac:dyDescent="0.2">
      <c r="A37" s="54"/>
      <c r="B37" s="54"/>
      <c r="C37" s="58" t="s">
        <v>562</v>
      </c>
      <c r="D37" s="58"/>
      <c r="E37" s="58"/>
      <c r="F37" s="58"/>
      <c r="G37" s="193">
        <v>4075</v>
      </c>
      <c r="H37" s="193">
        <v>4497</v>
      </c>
      <c r="I37" s="193">
        <v>4682.25</v>
      </c>
      <c r="J37" s="193">
        <v>4231.88</v>
      </c>
      <c r="K37" s="193">
        <f>3948.9+400+400+447</f>
        <v>5195.8999999999996</v>
      </c>
    </row>
    <row r="38" spans="1:11" ht="20.25" x14ac:dyDescent="0.2">
      <c r="A38" s="54"/>
      <c r="B38" s="54"/>
      <c r="C38" s="58" t="s">
        <v>226</v>
      </c>
      <c r="D38" s="58"/>
      <c r="E38" s="58"/>
      <c r="F38" s="58"/>
      <c r="G38" s="193">
        <v>1496</v>
      </c>
      <c r="H38" s="193">
        <f>75+874</f>
        <v>949</v>
      </c>
      <c r="I38" s="193">
        <v>982</v>
      </c>
      <c r="J38" s="193">
        <f>99+937</f>
        <v>1036</v>
      </c>
      <c r="K38" s="193">
        <v>2293</v>
      </c>
    </row>
    <row r="39" spans="1:11" ht="20.25" x14ac:dyDescent="0.2">
      <c r="A39" s="54"/>
      <c r="B39" s="54"/>
      <c r="C39" s="58" t="s">
        <v>381</v>
      </c>
      <c r="D39" s="58"/>
      <c r="E39" s="58"/>
      <c r="F39" s="58"/>
      <c r="G39" s="193">
        <v>3430</v>
      </c>
      <c r="H39" s="193">
        <v>4436.1400000000003</v>
      </c>
      <c r="I39" s="193">
        <v>7774.44</v>
      </c>
      <c r="J39" s="193">
        <f>7884.62+184.74</f>
        <v>8069.36</v>
      </c>
      <c r="K39" s="193">
        <v>8659</v>
      </c>
    </row>
    <row r="40" spans="1:11" ht="20.25" x14ac:dyDescent="0.2">
      <c r="A40" s="54"/>
      <c r="B40" s="54"/>
      <c r="C40" s="58" t="s">
        <v>227</v>
      </c>
      <c r="D40" s="58"/>
      <c r="E40" s="58"/>
      <c r="F40" s="58"/>
      <c r="G40" s="193">
        <v>459</v>
      </c>
      <c r="H40" s="193">
        <f>223.01+568.51</f>
        <v>791.52</v>
      </c>
      <c r="I40" s="193">
        <v>636.94000000000005</v>
      </c>
      <c r="J40" s="193">
        <f>958.23+28.31+10.3+36.4+4907.37</f>
        <v>5940.61</v>
      </c>
      <c r="K40" s="193">
        <v>1734</v>
      </c>
    </row>
    <row r="41" spans="1:11" ht="20.25" x14ac:dyDescent="0.2">
      <c r="A41" s="54"/>
      <c r="B41" s="54"/>
      <c r="C41" s="58" t="s">
        <v>121</v>
      </c>
      <c r="D41" s="58"/>
      <c r="E41" s="58"/>
      <c r="F41" s="58"/>
      <c r="G41" s="193">
        <v>1041</v>
      </c>
      <c r="H41" s="193">
        <v>1826.56</v>
      </c>
      <c r="I41" s="193">
        <v>2528.2399999999998</v>
      </c>
      <c r="J41" s="193">
        <v>3426.72</v>
      </c>
      <c r="K41" s="193">
        <v>5037</v>
      </c>
    </row>
    <row r="42" spans="1:11" ht="20.25" x14ac:dyDescent="0.2">
      <c r="A42" s="54"/>
      <c r="B42" s="54"/>
      <c r="C42" s="58" t="s">
        <v>119</v>
      </c>
      <c r="D42" s="58"/>
      <c r="E42" s="58"/>
      <c r="F42" s="58"/>
      <c r="G42" s="193">
        <v>436</v>
      </c>
      <c r="H42" s="193">
        <v>396.82</v>
      </c>
      <c r="I42" s="193">
        <v>385.18</v>
      </c>
      <c r="J42" s="193">
        <v>420.52</v>
      </c>
      <c r="K42" s="193">
        <v>659</v>
      </c>
    </row>
    <row r="43" spans="1:11" ht="20.25" x14ac:dyDescent="0.2">
      <c r="A43" s="54"/>
      <c r="B43" s="54"/>
      <c r="C43" s="58" t="s">
        <v>228</v>
      </c>
      <c r="D43" s="58"/>
      <c r="E43" s="58"/>
      <c r="F43" s="58"/>
      <c r="G43" s="193"/>
      <c r="H43" s="193"/>
      <c r="I43" s="193"/>
      <c r="J43" s="193"/>
      <c r="K43" s="193"/>
    </row>
    <row r="44" spans="1:11" ht="20.25" x14ac:dyDescent="0.2">
      <c r="A44" s="58"/>
      <c r="B44" s="58"/>
      <c r="C44" s="58" t="s">
        <v>115</v>
      </c>
      <c r="D44" s="58"/>
      <c r="E44" s="58"/>
      <c r="F44" s="58"/>
      <c r="G44" s="193">
        <v>205</v>
      </c>
      <c r="H44" s="193">
        <v>422.62</v>
      </c>
      <c r="I44" s="193">
        <v>265.58</v>
      </c>
      <c r="J44" s="193">
        <v>225.92</v>
      </c>
      <c r="K44" s="193">
        <v>278</v>
      </c>
    </row>
    <row r="45" spans="1:11" ht="20.25" x14ac:dyDescent="0.2">
      <c r="A45" s="58"/>
      <c r="B45" s="58"/>
      <c r="C45" s="58" t="s">
        <v>229</v>
      </c>
      <c r="D45" s="58"/>
      <c r="E45" s="58"/>
      <c r="F45" s="58"/>
      <c r="G45" s="195">
        <v>542</v>
      </c>
      <c r="H45" s="195">
        <f>248.22+18.56+28.25+5</f>
        <v>300.02999999999997</v>
      </c>
      <c r="I45" s="195">
        <v>938.98</v>
      </c>
      <c r="J45" s="195">
        <f>292.24+4514.12-J37+84.23</f>
        <v>658.70999999999958</v>
      </c>
      <c r="K45" s="195">
        <f>586+1269-304+292-0.5</f>
        <v>1842.5</v>
      </c>
    </row>
    <row r="46" spans="1:11" ht="21" thickBot="1" x14ac:dyDescent="0.25">
      <c r="A46" s="54"/>
      <c r="B46" s="54"/>
      <c r="C46" s="54"/>
      <c r="D46" s="54" t="s">
        <v>127</v>
      </c>
      <c r="E46" s="54"/>
      <c r="F46" s="54"/>
      <c r="G46" s="382">
        <f>SUM(G27:G45)</f>
        <v>347673</v>
      </c>
      <c r="H46" s="382">
        <f>SUM(H27:H45)</f>
        <v>375019.4200000001</v>
      </c>
      <c r="I46" s="382">
        <f>SUM(I27:I45)</f>
        <v>344190.97</v>
      </c>
      <c r="J46" s="382">
        <f>SUM(J27:J45)</f>
        <v>403803.55409999995</v>
      </c>
      <c r="K46" s="382">
        <f>SUM(K27:K45)</f>
        <v>480291.79399999999</v>
      </c>
    </row>
    <row r="47" spans="1:11" ht="21" thickBot="1" x14ac:dyDescent="0.25">
      <c r="A47" s="54"/>
      <c r="B47" s="54"/>
      <c r="C47" s="54"/>
      <c r="D47" s="54" t="s">
        <v>128</v>
      </c>
      <c r="E47" s="54"/>
      <c r="F47" s="54"/>
      <c r="G47" s="383">
        <f>G21-G46</f>
        <v>-14846</v>
      </c>
      <c r="H47" s="383">
        <f>H21-H46</f>
        <v>23148.419999999867</v>
      </c>
      <c r="I47" s="383">
        <f>I21-I46</f>
        <v>-39845.239999999991</v>
      </c>
      <c r="J47" s="383">
        <f>J21-J46</f>
        <v>-63565.374100000015</v>
      </c>
      <c r="K47" s="383">
        <f>K21-K46</f>
        <v>-163116.29399999999</v>
      </c>
    </row>
    <row r="48" spans="1:11" ht="20.25" x14ac:dyDescent="0.2">
      <c r="A48" s="54"/>
      <c r="B48" s="54"/>
      <c r="C48" s="54"/>
      <c r="D48" s="54"/>
      <c r="E48" s="54"/>
      <c r="F48" s="54"/>
      <c r="G48" s="54"/>
      <c r="H48" s="54"/>
      <c r="I48" s="193"/>
      <c r="J48" s="193"/>
      <c r="K48" s="193"/>
    </row>
    <row r="49" spans="1:11" ht="26.25" x14ac:dyDescent="0.2">
      <c r="A49" s="219"/>
      <c r="B49" s="219"/>
      <c r="C49" s="58" t="s">
        <v>264</v>
      </c>
      <c r="D49" s="52"/>
      <c r="E49" s="58"/>
      <c r="F49" s="58"/>
      <c r="G49" s="695"/>
      <c r="H49" s="695">
        <f>-69500</f>
        <v>-69500</v>
      </c>
      <c r="I49" s="58"/>
      <c r="J49" s="193"/>
      <c r="K49" s="193"/>
    </row>
    <row r="50" spans="1:11" ht="20.25" x14ac:dyDescent="0.2">
      <c r="A50" s="54"/>
      <c r="B50" s="54"/>
      <c r="C50" s="58" t="s">
        <v>449</v>
      </c>
      <c r="D50" s="55"/>
      <c r="E50" s="54"/>
      <c r="F50" s="55"/>
      <c r="G50" s="193">
        <f>G35</f>
        <v>25080</v>
      </c>
      <c r="H50" s="193">
        <f>H35</f>
        <v>24029.68</v>
      </c>
      <c r="I50" s="193">
        <f>I35</f>
        <v>31769</v>
      </c>
      <c r="J50" s="193">
        <f>J35</f>
        <v>30384</v>
      </c>
      <c r="K50" s="193">
        <f>K35</f>
        <v>31133</v>
      </c>
    </row>
    <row r="51" spans="1:11" ht="24" thickBot="1" x14ac:dyDescent="0.25">
      <c r="A51" s="54"/>
      <c r="B51" s="222"/>
      <c r="C51" s="54"/>
      <c r="D51" s="787" t="s">
        <v>231</v>
      </c>
      <c r="E51" s="787"/>
      <c r="F51" s="787"/>
      <c r="G51" s="384">
        <f>G47+G49+G50</f>
        <v>10234</v>
      </c>
      <c r="H51" s="384">
        <f>H47+H49+H50</f>
        <v>-22321.900000000132</v>
      </c>
      <c r="I51" s="384">
        <f>I47+I49+I50</f>
        <v>-8076.2399999999907</v>
      </c>
      <c r="J51" s="384">
        <f>J47+J49+J50</f>
        <v>-33181.374100000015</v>
      </c>
      <c r="K51" s="384">
        <f>K47+K49+K50</f>
        <v>-131983.29399999999</v>
      </c>
    </row>
    <row r="52" spans="1:11" ht="21" thickTop="1" x14ac:dyDescent="0.2">
      <c r="A52" s="54"/>
      <c r="B52" s="54"/>
      <c r="C52" s="54"/>
      <c r="D52" s="54"/>
      <c r="E52" s="54"/>
      <c r="F52" s="54"/>
      <c r="G52" s="54"/>
      <c r="H52" s="54"/>
      <c r="I52" s="54"/>
      <c r="J52" s="193"/>
      <c r="K52" s="193"/>
    </row>
    <row r="53" spans="1:11" ht="20.25" x14ac:dyDescent="0.2">
      <c r="A53" s="58"/>
      <c r="B53" s="58"/>
      <c r="C53" s="58"/>
      <c r="D53" s="58"/>
      <c r="E53" s="55"/>
      <c r="F53" s="58" t="s">
        <v>308</v>
      </c>
      <c r="G53" s="193">
        <v>225930</v>
      </c>
      <c r="H53" s="193">
        <v>227723</v>
      </c>
      <c r="I53" s="193">
        <v>178666</v>
      </c>
      <c r="J53" s="193">
        <v>206080</v>
      </c>
      <c r="K53" s="193">
        <v>227490</v>
      </c>
    </row>
    <row r="54" spans="1:11" ht="21" thickBot="1" x14ac:dyDescent="0.25">
      <c r="A54" s="58"/>
      <c r="B54" s="58"/>
      <c r="C54" s="58"/>
      <c r="D54" s="58"/>
      <c r="E54" s="55"/>
      <c r="F54" s="58" t="s">
        <v>313</v>
      </c>
      <c r="G54" s="493">
        <f>(G46-G35-G36)/G53</f>
        <v>1.386615323330235</v>
      </c>
      <c r="H54" s="493">
        <f>(H46-H35-H36)/H53</f>
        <v>1.5003962709080774</v>
      </c>
      <c r="I54" s="493">
        <f>(I46-I35-I36)/I53</f>
        <v>1.6965005653006167</v>
      </c>
      <c r="J54" s="493">
        <f>(J46-J35-J36)/J53</f>
        <v>1.7608285816187885</v>
      </c>
      <c r="K54" s="493">
        <f>(K46-K35-K36)/K53</f>
        <v>1.9280442832651985</v>
      </c>
    </row>
    <row r="55" spans="1:11" ht="20.25" x14ac:dyDescent="0.2">
      <c r="A55" s="58"/>
      <c r="B55" s="58"/>
      <c r="C55" s="58"/>
      <c r="D55" s="58"/>
      <c r="E55" s="55"/>
      <c r="F55" s="58"/>
      <c r="G55" s="58"/>
      <c r="H55" s="193"/>
      <c r="I55" s="193"/>
      <c r="J55" s="193"/>
      <c r="K55" s="193"/>
    </row>
    <row r="56" spans="1:11" ht="20.25" x14ac:dyDescent="0.2">
      <c r="A56" s="58"/>
      <c r="B56" s="58"/>
      <c r="C56" s="58"/>
      <c r="D56" s="58"/>
      <c r="E56" s="55"/>
      <c r="F56" s="58" t="s">
        <v>309</v>
      </c>
      <c r="G56" s="193">
        <v>15755</v>
      </c>
      <c r="H56" s="193">
        <v>16457</v>
      </c>
      <c r="I56" s="193">
        <v>10151</v>
      </c>
      <c r="J56" s="193">
        <v>10428</v>
      </c>
      <c r="K56" s="193">
        <v>11449</v>
      </c>
    </row>
    <row r="57" spans="1:11" ht="21" thickBot="1" x14ac:dyDescent="0.25">
      <c r="A57" s="58"/>
      <c r="B57" s="58"/>
      <c r="C57" s="58"/>
      <c r="D57" s="58"/>
      <c r="E57" s="55"/>
      <c r="F57" s="58" t="s">
        <v>370</v>
      </c>
      <c r="G57" s="493">
        <f>(G46-G35-G36)/G56</f>
        <v>19.884354173278325</v>
      </c>
      <c r="H57" s="493">
        <f>(H46-H35-H36)/H56</f>
        <v>20.761666160296535</v>
      </c>
      <c r="I57" s="493">
        <f>(I46-I35-I36)/I56</f>
        <v>29.859813811447147</v>
      </c>
      <c r="J57" s="493">
        <f>(J46-J35-J36)/J56</f>
        <v>34.797809177215186</v>
      </c>
      <c r="K57" s="493">
        <f>(K46-K35-K36)/K56</f>
        <v>38.309965411826362</v>
      </c>
    </row>
    <row r="58" spans="1:11" ht="20.25" x14ac:dyDescent="0.2">
      <c r="A58" s="58"/>
      <c r="B58" s="58"/>
      <c r="C58" s="58"/>
      <c r="D58" s="58"/>
      <c r="E58" s="55"/>
      <c r="F58" s="58"/>
      <c r="G58" s="58"/>
      <c r="H58" s="193"/>
      <c r="I58" s="193"/>
      <c r="J58" s="193"/>
      <c r="K58" s="193"/>
    </row>
    <row r="59" spans="1:11" ht="20.25" hidden="1" x14ac:dyDescent="0.2">
      <c r="A59" s="58"/>
      <c r="B59" s="58"/>
      <c r="C59" s="54"/>
      <c r="D59" s="58"/>
      <c r="E59" s="55"/>
      <c r="F59" s="58" t="s">
        <v>310</v>
      </c>
      <c r="G59" s="58"/>
      <c r="H59" s="193">
        <v>2102</v>
      </c>
      <c r="I59" s="193">
        <v>2696</v>
      </c>
      <c r="J59" s="193">
        <v>2714</v>
      </c>
      <c r="K59" s="193">
        <v>2714</v>
      </c>
    </row>
    <row r="60" spans="1:11" ht="21" hidden="1" thickBot="1" x14ac:dyDescent="0.25">
      <c r="A60" s="58"/>
      <c r="B60" s="58"/>
      <c r="C60" s="58"/>
      <c r="D60" s="58"/>
      <c r="E60" s="58"/>
      <c r="F60" s="58" t="s">
        <v>371</v>
      </c>
      <c r="G60" s="58"/>
      <c r="H60" s="493">
        <f>H9/H59</f>
        <v>5.8413035204567079</v>
      </c>
      <c r="I60" s="493">
        <f>I8/I59</f>
        <v>25.248538575667656</v>
      </c>
      <c r="J60" s="493">
        <f>J8/J59</f>
        <v>31.557439204126752</v>
      </c>
      <c r="K60" s="493">
        <f>K8/K59</f>
        <v>31.12675018422992</v>
      </c>
    </row>
    <row r="61" spans="1:11" ht="20.25" hidden="1" x14ac:dyDescent="0.2">
      <c r="A61" s="58"/>
      <c r="B61" s="58"/>
      <c r="C61" s="54"/>
      <c r="D61" s="54"/>
      <c r="E61" s="55"/>
      <c r="F61" s="55"/>
      <c r="G61" s="55"/>
      <c r="H61" s="55"/>
      <c r="I61" s="193"/>
      <c r="J61" s="193"/>
      <c r="K61" s="193"/>
    </row>
    <row r="62" spans="1:11" ht="20.25" hidden="1" x14ac:dyDescent="0.2">
      <c r="A62" s="58"/>
      <c r="B62" s="58"/>
      <c r="C62" s="58"/>
      <c r="D62" s="58"/>
      <c r="E62" s="58"/>
      <c r="F62" s="58" t="s">
        <v>488</v>
      </c>
      <c r="G62" s="58"/>
      <c r="H62" s="193">
        <v>195138</v>
      </c>
      <c r="I62" s="193">
        <v>104281</v>
      </c>
      <c r="J62" s="193">
        <v>114885</v>
      </c>
      <c r="K62" s="193">
        <v>134000</v>
      </c>
    </row>
    <row r="63" spans="1:11" ht="21" hidden="1" thickBot="1" x14ac:dyDescent="0.25">
      <c r="A63" s="58"/>
      <c r="B63" s="58"/>
      <c r="C63" s="58"/>
      <c r="D63" s="58"/>
      <c r="E63" s="58"/>
      <c r="F63" s="58" t="s">
        <v>313</v>
      </c>
      <c r="G63" s="58"/>
      <c r="H63" s="493">
        <f>(H46-H35-H36)/H62</f>
        <v>1.7509390277649668</v>
      </c>
      <c r="I63" s="493">
        <f>(I46-I35-I36)/I62</f>
        <v>2.9066365876813607</v>
      </c>
      <c r="J63" s="493">
        <f>(J46-J35-J36)/J62</f>
        <v>3.1585633816425118</v>
      </c>
      <c r="K63" s="493">
        <f>(K46-K35-K36)/K62</f>
        <v>3.2732148805970147</v>
      </c>
    </row>
    <row r="64" spans="1:11" ht="20.25" hidden="1" x14ac:dyDescent="0.2">
      <c r="A64" s="58"/>
      <c r="B64" s="58"/>
      <c r="C64" s="54"/>
      <c r="D64" s="58"/>
      <c r="E64" s="55"/>
      <c r="F64" s="58"/>
      <c r="G64" s="58"/>
      <c r="H64" s="58"/>
      <c r="I64" s="193"/>
      <c r="J64" s="193"/>
      <c r="K64" s="193"/>
    </row>
    <row r="65" spans="1:11" ht="20.25" hidden="1" x14ac:dyDescent="0.2">
      <c r="A65" s="58"/>
      <c r="B65" s="58"/>
      <c r="C65" s="54"/>
      <c r="D65" s="58"/>
      <c r="E65" s="55"/>
      <c r="F65" s="58" t="s">
        <v>488</v>
      </c>
      <c r="G65" s="58"/>
      <c r="H65" s="193">
        <v>195138</v>
      </c>
      <c r="I65" s="193">
        <v>104281</v>
      </c>
      <c r="J65" s="193">
        <v>114885</v>
      </c>
      <c r="K65" s="193">
        <f>K62</f>
        <v>134000</v>
      </c>
    </row>
    <row r="66" spans="1:11" ht="20.25" hidden="1" x14ac:dyDescent="0.2">
      <c r="A66" s="58"/>
      <c r="B66" s="58"/>
      <c r="C66" s="54"/>
      <c r="D66" s="58"/>
      <c r="E66" s="55"/>
      <c r="F66" s="58" t="s">
        <v>309</v>
      </c>
      <c r="G66" s="58"/>
      <c r="H66" s="193">
        <v>16457</v>
      </c>
      <c r="I66" s="193">
        <v>10151</v>
      </c>
      <c r="J66" s="193">
        <v>10428</v>
      </c>
      <c r="K66" s="193">
        <f>K56</f>
        <v>11449</v>
      </c>
    </row>
    <row r="67" spans="1:11" ht="21" hidden="1" thickBot="1" x14ac:dyDescent="0.25">
      <c r="A67" s="58"/>
      <c r="B67" s="58"/>
      <c r="C67" s="58"/>
      <c r="D67" s="58"/>
      <c r="E67" s="58"/>
      <c r="F67" s="58" t="s">
        <v>489</v>
      </c>
      <c r="G67" s="58"/>
      <c r="H67" s="696">
        <f>H65/H66</f>
        <v>11.857446679224646</v>
      </c>
      <c r="I67" s="696">
        <f>I65/I66</f>
        <v>10.272978031721014</v>
      </c>
      <c r="J67" s="696">
        <f>J65/J66</f>
        <v>11.016973532796317</v>
      </c>
      <c r="K67" s="696">
        <f>K65/K66</f>
        <v>11.704078958861036</v>
      </c>
    </row>
    <row r="68" spans="1:11" ht="20.25" hidden="1" x14ac:dyDescent="0.2">
      <c r="A68" s="54"/>
      <c r="B68" s="54"/>
      <c r="C68" s="54"/>
      <c r="D68" s="54"/>
      <c r="E68" s="54"/>
      <c r="F68" s="54"/>
      <c r="G68" s="54"/>
      <c r="H68" s="54"/>
      <c r="I68" s="196"/>
      <c r="J68" s="196"/>
      <c r="K68" s="196"/>
    </row>
    <row r="69" spans="1:11" ht="20.25" hidden="1" x14ac:dyDescent="0.2">
      <c r="A69" s="54"/>
      <c r="B69" s="54"/>
      <c r="C69" s="54"/>
      <c r="D69" s="54"/>
      <c r="E69" s="54"/>
      <c r="F69" s="58" t="s">
        <v>490</v>
      </c>
      <c r="G69" s="58"/>
      <c r="H69" s="193">
        <v>227723</v>
      </c>
      <c r="I69" s="193">
        <v>178666</v>
      </c>
      <c r="J69" s="193">
        <v>206080</v>
      </c>
      <c r="K69" s="193">
        <f>K53</f>
        <v>227490</v>
      </c>
    </row>
    <row r="70" spans="1:11" ht="20.25" hidden="1" x14ac:dyDescent="0.2">
      <c r="A70" s="54"/>
      <c r="B70" s="54"/>
      <c r="C70" s="54"/>
      <c r="D70" s="54"/>
      <c r="E70" s="54"/>
      <c r="F70" s="58" t="s">
        <v>309</v>
      </c>
      <c r="G70" s="58"/>
      <c r="H70" s="193">
        <v>16457</v>
      </c>
      <c r="I70" s="193">
        <v>10151</v>
      </c>
      <c r="J70" s="193">
        <v>10428</v>
      </c>
      <c r="K70" s="193">
        <f>K56</f>
        <v>11449</v>
      </c>
    </row>
    <row r="71" spans="1:11" ht="21" hidden="1" thickBot="1" x14ac:dyDescent="0.25">
      <c r="A71" s="54"/>
      <c r="B71" s="54"/>
      <c r="C71" s="54"/>
      <c r="D71" s="54"/>
      <c r="E71" s="54"/>
      <c r="F71" s="58" t="s">
        <v>491</v>
      </c>
      <c r="G71" s="58"/>
      <c r="H71" s="696">
        <f>H69/H70</f>
        <v>13.837455186242936</v>
      </c>
      <c r="I71" s="696">
        <f>I69/I70</f>
        <v>17.600827504679341</v>
      </c>
      <c r="J71" s="696">
        <f>J69/J70</f>
        <v>19.762178749520523</v>
      </c>
      <c r="K71" s="696">
        <f>K69/K70</f>
        <v>19.869857629487292</v>
      </c>
    </row>
    <row r="72" spans="1:11" ht="20.25" hidden="1" x14ac:dyDescent="0.2">
      <c r="A72" s="54"/>
      <c r="B72" s="54"/>
      <c r="C72" s="54"/>
      <c r="D72" s="54"/>
      <c r="E72" s="54"/>
      <c r="F72" s="58"/>
      <c r="G72" s="58"/>
      <c r="H72" s="697"/>
      <c r="I72" s="697"/>
      <c r="J72" s="697"/>
      <c r="K72" s="697"/>
    </row>
    <row r="73" spans="1:11" ht="20.25" hidden="1" x14ac:dyDescent="0.2">
      <c r="A73" s="54"/>
      <c r="B73" s="54"/>
      <c r="C73" s="54"/>
      <c r="D73" s="54"/>
      <c r="E73" s="54"/>
      <c r="F73" s="698" t="s">
        <v>492</v>
      </c>
      <c r="G73" s="698"/>
      <c r="H73" s="54"/>
      <c r="I73" s="54"/>
      <c r="J73" s="196"/>
      <c r="K73" s="196"/>
    </row>
    <row r="74" spans="1:11" ht="20.25" hidden="1" x14ac:dyDescent="0.2">
      <c r="A74" s="54"/>
      <c r="B74" s="54"/>
      <c r="C74" s="54"/>
      <c r="D74" s="54"/>
      <c r="E74" s="54"/>
      <c r="F74" s="54" t="s">
        <v>493</v>
      </c>
      <c r="G74" s="54"/>
      <c r="H74" s="699">
        <f t="shared" ref="H74:J74" si="0">H27+(H27*0.21)+H31+H33</f>
        <v>237890.76749999999</v>
      </c>
      <c r="I74" s="699">
        <f t="shared" si="0"/>
        <v>188101.25649999999</v>
      </c>
      <c r="J74" s="699">
        <f t="shared" si="0"/>
        <v>232210.04700000002</v>
      </c>
      <c r="K74" s="699">
        <f>K27+(K27*0.2)+K31+K33</f>
        <v>294958.59999999998</v>
      </c>
    </row>
    <row r="75" spans="1:11" ht="23.25" hidden="1" x14ac:dyDescent="0.2">
      <c r="A75" s="54"/>
      <c r="B75" s="222"/>
      <c r="C75" s="54"/>
      <c r="D75" s="54"/>
      <c r="E75" s="54"/>
      <c r="F75" s="54" t="s">
        <v>494</v>
      </c>
      <c r="G75" s="54"/>
      <c r="H75" s="196">
        <f>H46-H74-H76</f>
        <v>103783.97250000012</v>
      </c>
      <c r="I75" s="196">
        <f>I46-I74-I76</f>
        <v>115005.71349999998</v>
      </c>
      <c r="J75" s="196">
        <f>J46-J74-J76</f>
        <v>130661.50709999993</v>
      </c>
      <c r="K75" s="196">
        <f>K46-K74-K76</f>
        <v>143652.19400000002</v>
      </c>
    </row>
    <row r="76" spans="1:11" ht="20.25" hidden="1" x14ac:dyDescent="0.2">
      <c r="A76" s="58"/>
      <c r="B76" s="58"/>
      <c r="C76" s="55"/>
      <c r="D76" s="58"/>
      <c r="E76" s="58"/>
      <c r="F76" s="54" t="s">
        <v>495</v>
      </c>
      <c r="G76" s="54"/>
      <c r="H76" s="196">
        <f>H35+H36</f>
        <v>33344.68</v>
      </c>
      <c r="I76" s="196">
        <f>I35+I36</f>
        <v>41084</v>
      </c>
      <c r="J76" s="196">
        <f>J35+J36</f>
        <v>40932</v>
      </c>
      <c r="K76" s="196">
        <f>K35+K36</f>
        <v>41681</v>
      </c>
    </row>
    <row r="77" spans="1:11" ht="21" hidden="1" thickBot="1" x14ac:dyDescent="0.25">
      <c r="A77" s="58"/>
      <c r="B77" s="58"/>
      <c r="C77" s="55"/>
      <c r="D77" s="58"/>
      <c r="E77" s="58"/>
      <c r="F77" s="54" t="s">
        <v>496</v>
      </c>
      <c r="G77" s="54"/>
      <c r="H77" s="701">
        <f>SUM(H74:H76)</f>
        <v>375019.4200000001</v>
      </c>
      <c r="I77" s="701">
        <f>SUM(I74:I76)</f>
        <v>344190.97</v>
      </c>
      <c r="J77" s="701">
        <f>SUM(J74:J76)</f>
        <v>403803.55409999995</v>
      </c>
      <c r="K77" s="701">
        <f>SUM(K74:K76)</f>
        <v>480291.79399999999</v>
      </c>
    </row>
    <row r="78" spans="1:11" ht="21" hidden="1" thickTop="1" x14ac:dyDescent="0.2">
      <c r="A78" s="58"/>
      <c r="B78" s="58"/>
      <c r="C78" s="55"/>
      <c r="D78" s="58"/>
      <c r="E78" s="58"/>
      <c r="F78" s="54" t="s">
        <v>497</v>
      </c>
      <c r="G78" s="54"/>
      <c r="H78" s="702">
        <v>195138</v>
      </c>
      <c r="I78" s="702">
        <v>104281</v>
      </c>
      <c r="J78" s="703">
        <f>J62</f>
        <v>114885</v>
      </c>
      <c r="K78" s="703">
        <f>K62</f>
        <v>134000</v>
      </c>
    </row>
    <row r="79" spans="1:11" ht="20.25" hidden="1" x14ac:dyDescent="0.2">
      <c r="A79" s="58"/>
      <c r="B79" s="58"/>
      <c r="C79" s="55"/>
      <c r="D79" s="58"/>
      <c r="E79" s="58"/>
      <c r="F79" s="54" t="s">
        <v>498</v>
      </c>
      <c r="G79" s="54"/>
      <c r="H79" s="704">
        <f>H74/H78</f>
        <v>1.2190899132921316</v>
      </c>
      <c r="I79" s="704">
        <f>I74/I78</f>
        <v>1.8037922200592629</v>
      </c>
      <c r="J79" s="704">
        <f>J74/J78</f>
        <v>2.0212390390390391</v>
      </c>
      <c r="K79" s="704">
        <f>K74/K78</f>
        <v>2.201183582089552</v>
      </c>
    </row>
    <row r="80" spans="1:11" ht="20.25" hidden="1" x14ac:dyDescent="0.2">
      <c r="A80" s="58"/>
      <c r="B80" s="58"/>
      <c r="C80" s="55"/>
      <c r="D80" s="58"/>
      <c r="E80" s="58"/>
      <c r="F80" s="54" t="s">
        <v>499</v>
      </c>
      <c r="G80" s="54"/>
      <c r="H80" s="704">
        <f>H75/H56</f>
        <v>6.3063725162544886</v>
      </c>
      <c r="I80" s="704">
        <f>I75/I56</f>
        <v>11.329495960989064</v>
      </c>
      <c r="J80" s="704">
        <f>J75/J56</f>
        <v>12.529872180667427</v>
      </c>
      <c r="K80" s="704">
        <f>K75/K56</f>
        <v>12.54713896410167</v>
      </c>
    </row>
    <row r="81" spans="1:11" ht="20.25" hidden="1" x14ac:dyDescent="0.2">
      <c r="A81" s="58"/>
      <c r="B81" s="58"/>
      <c r="C81" s="55"/>
      <c r="D81" s="58"/>
      <c r="E81" s="58"/>
      <c r="F81" s="54"/>
      <c r="G81" s="54"/>
      <c r="H81" s="54"/>
      <c r="I81" s="704"/>
      <c r="J81" s="704"/>
      <c r="K81" s="704"/>
    </row>
    <row r="82" spans="1:11" ht="20.25" hidden="1" x14ac:dyDescent="0.2">
      <c r="A82" s="58"/>
      <c r="B82" s="58"/>
      <c r="C82" s="55"/>
      <c r="D82" s="58"/>
      <c r="E82" s="58"/>
      <c r="F82" s="55"/>
      <c r="G82" s="55"/>
      <c r="H82" s="58"/>
      <c r="I82" s="58"/>
      <c r="J82" s="193"/>
      <c r="K82" s="193"/>
    </row>
    <row r="83" spans="1:11" ht="20.25" hidden="1" x14ac:dyDescent="0.2">
      <c r="A83" s="54"/>
      <c r="B83" s="54"/>
      <c r="C83" s="55"/>
      <c r="D83" s="58"/>
      <c r="E83" s="54"/>
      <c r="F83" s="54" t="s">
        <v>493</v>
      </c>
      <c r="G83" s="54"/>
      <c r="H83" s="196">
        <f>H23-H84-H85</f>
        <v>238182.86749999985</v>
      </c>
      <c r="I83" s="196">
        <f>I21-I84-I85</f>
        <v>180025.0165</v>
      </c>
      <c r="J83" s="196">
        <f>J21-J84-J85</f>
        <v>199028.67290000001</v>
      </c>
      <c r="K83" s="196">
        <f>K21-K84-K85</f>
        <v>162975.30599999998</v>
      </c>
    </row>
    <row r="84" spans="1:11" ht="23.25" hidden="1" x14ac:dyDescent="0.2">
      <c r="A84" s="54"/>
      <c r="B84" s="222"/>
      <c r="C84" s="54"/>
      <c r="D84" s="54"/>
      <c r="E84" s="54"/>
      <c r="F84" s="54" t="s">
        <v>494</v>
      </c>
      <c r="G84" s="54"/>
      <c r="H84" s="702">
        <f>H75</f>
        <v>103783.97250000012</v>
      </c>
      <c r="I84" s="702">
        <f>I75</f>
        <v>115005.71349999998</v>
      </c>
      <c r="J84" s="196">
        <f>J75</f>
        <v>130661.50709999993</v>
      </c>
      <c r="K84" s="196">
        <f>K75</f>
        <v>143652.19400000002</v>
      </c>
    </row>
    <row r="85" spans="1:11" ht="20.25" hidden="1" x14ac:dyDescent="0.2">
      <c r="A85" s="54"/>
      <c r="B85" s="54"/>
      <c r="C85" s="54"/>
      <c r="D85" s="54"/>
      <c r="E85" s="54"/>
      <c r="F85" s="54" t="s">
        <v>500</v>
      </c>
      <c r="G85" s="54"/>
      <c r="H85" s="702">
        <f>H17</f>
        <v>9315</v>
      </c>
      <c r="I85" s="702">
        <f>I17</f>
        <v>9315</v>
      </c>
      <c r="J85" s="196">
        <f>J36</f>
        <v>10548</v>
      </c>
      <c r="K85" s="196">
        <f>K36</f>
        <v>10548</v>
      </c>
    </row>
    <row r="86" spans="1:11" ht="27" hidden="1" thickBot="1" x14ac:dyDescent="0.25">
      <c r="A86" s="219"/>
      <c r="B86" s="219"/>
      <c r="C86" s="219"/>
      <c r="D86" s="219"/>
      <c r="E86" s="219"/>
      <c r="F86" s="54" t="s">
        <v>501</v>
      </c>
      <c r="G86" s="54"/>
      <c r="H86" s="606">
        <f>SUM(H83:H85)</f>
        <v>351281.83999999997</v>
      </c>
      <c r="I86" s="606">
        <f>SUM(I83:I85)</f>
        <v>304345.73</v>
      </c>
      <c r="J86" s="606">
        <f>SUM(J83:J85)</f>
        <v>340238.17999999993</v>
      </c>
      <c r="K86" s="606">
        <f>SUM(K83:K85)</f>
        <v>317175.5</v>
      </c>
    </row>
    <row r="87" spans="1:11" ht="27" hidden="1" thickTop="1" x14ac:dyDescent="0.2">
      <c r="A87" s="219"/>
      <c r="B87" s="219"/>
      <c r="C87" s="219"/>
      <c r="D87" s="219"/>
      <c r="E87" s="219"/>
      <c r="F87" s="54" t="s">
        <v>502</v>
      </c>
      <c r="G87" s="54"/>
      <c r="H87" s="196">
        <f>H66</f>
        <v>16457</v>
      </c>
      <c r="I87" s="196">
        <f>I66</f>
        <v>10151</v>
      </c>
      <c r="J87" s="196">
        <f>J56</f>
        <v>10428</v>
      </c>
      <c r="K87" s="196">
        <v>11740</v>
      </c>
    </row>
    <row r="88" spans="1:11" ht="20.25" hidden="1" x14ac:dyDescent="0.3">
      <c r="A88" s="45"/>
      <c r="B88" s="45"/>
      <c r="C88" s="45"/>
      <c r="D88" s="45"/>
      <c r="E88" s="45"/>
      <c r="F88" s="54" t="s">
        <v>503</v>
      </c>
      <c r="G88" s="54"/>
      <c r="H88" s="708">
        <f>H83/H79/H67</f>
        <v>16477.207130148494</v>
      </c>
      <c r="I88" s="708">
        <f>I83/I79/I67</f>
        <v>9715.1607410527849</v>
      </c>
      <c r="J88" s="708">
        <f>J83/J79/J67</f>
        <v>8937.9035395535666</v>
      </c>
      <c r="K88" s="708">
        <f>K83/K79/K67</f>
        <v>6325.9870313799975</v>
      </c>
    </row>
    <row r="89" spans="1:11" ht="20.25" hidden="1" x14ac:dyDescent="0.3">
      <c r="A89" s="45"/>
      <c r="B89" s="45"/>
      <c r="C89" s="45"/>
      <c r="D89" s="45"/>
      <c r="E89" s="45"/>
      <c r="F89" s="54" t="s">
        <v>504</v>
      </c>
      <c r="G89" s="54"/>
      <c r="H89" s="709">
        <f>H88-H87</f>
        <v>20.207130148493889</v>
      </c>
      <c r="I89" s="709">
        <f>I88-I87</f>
        <v>-435.83925894721506</v>
      </c>
      <c r="J89" s="709">
        <f>J88-J87</f>
        <v>-1490.0964604464334</v>
      </c>
      <c r="K89" s="709">
        <f>K88-K87</f>
        <v>-5414.0129686200025</v>
      </c>
    </row>
    <row r="90" spans="1:11" ht="20.25" hidden="1" x14ac:dyDescent="0.3">
      <c r="A90" s="45"/>
      <c r="B90" s="45"/>
      <c r="C90" s="45"/>
      <c r="D90" s="45"/>
      <c r="E90" s="45"/>
      <c r="F90" s="54" t="s">
        <v>498</v>
      </c>
      <c r="G90" s="54"/>
      <c r="H90" s="710">
        <f>H83/(H88*H67)</f>
        <v>1.2190899132921318</v>
      </c>
      <c r="I90" s="710">
        <f>I83/(I88*I67)</f>
        <v>1.8037922200592629</v>
      </c>
      <c r="J90" s="710">
        <f>J83/(J88*J67)</f>
        <v>2.0212390390390391</v>
      </c>
      <c r="K90" s="710">
        <f>K83/(K88*K67)</f>
        <v>2.201183582089552</v>
      </c>
    </row>
    <row r="91" spans="1:11" ht="20.25" hidden="1" x14ac:dyDescent="0.3">
      <c r="A91" s="45"/>
      <c r="B91" s="45"/>
      <c r="C91" s="45"/>
      <c r="D91" s="45"/>
      <c r="E91" s="45"/>
      <c r="F91" s="54" t="s">
        <v>499</v>
      </c>
      <c r="G91" s="54"/>
      <c r="H91" s="710">
        <f>H84/H88</f>
        <v>6.2986385787495296</v>
      </c>
      <c r="I91" s="710">
        <f>I84/I88</f>
        <v>11.837757147344673</v>
      </c>
      <c r="J91" s="710">
        <f>J84/J88</f>
        <v>14.618809267942297</v>
      </c>
      <c r="K91" s="710">
        <f>K84/K88</f>
        <v>22.708265648888418</v>
      </c>
    </row>
    <row r="92" spans="1:11" ht="20.25" hidden="1" x14ac:dyDescent="0.3">
      <c r="A92" s="45"/>
      <c r="B92" s="45"/>
      <c r="C92" s="45"/>
      <c r="D92" s="45"/>
      <c r="E92" s="45"/>
      <c r="F92" s="54"/>
      <c r="G92" s="54"/>
      <c r="H92" s="54"/>
      <c r="I92" s="710"/>
      <c r="J92" s="710"/>
      <c r="K92" s="710"/>
    </row>
    <row r="93" spans="1:11" ht="20.25" hidden="1" x14ac:dyDescent="0.3">
      <c r="A93" s="45"/>
      <c r="B93" s="45"/>
      <c r="C93" s="45"/>
      <c r="D93" s="45"/>
      <c r="E93" s="45"/>
      <c r="F93" s="45"/>
      <c r="G93" s="45"/>
      <c r="H93" s="45"/>
      <c r="I93" s="45"/>
      <c r="J93" s="227"/>
      <c r="K93" s="227"/>
    </row>
    <row r="94" spans="1:11" ht="20.25" hidden="1" x14ac:dyDescent="0.3">
      <c r="A94" s="45"/>
      <c r="B94" s="45"/>
      <c r="C94" s="45"/>
      <c r="D94" s="45"/>
      <c r="E94" s="45"/>
      <c r="F94" s="45"/>
      <c r="G94" s="45"/>
      <c r="H94" s="45"/>
      <c r="I94" s="45"/>
      <c r="J94" s="227"/>
      <c r="K94" s="227"/>
    </row>
    <row r="95" spans="1:11" ht="20.25" hidden="1" x14ac:dyDescent="0.3">
      <c r="A95" s="45"/>
      <c r="B95" s="45"/>
      <c r="C95" s="45"/>
      <c r="D95" s="45"/>
      <c r="E95" s="45"/>
      <c r="F95" s="698" t="s">
        <v>505</v>
      </c>
      <c r="G95" s="698"/>
      <c r="H95" s="45"/>
      <c r="I95" s="45"/>
      <c r="J95" s="227"/>
      <c r="K95" s="227"/>
    </row>
    <row r="96" spans="1:11" ht="20.25" hidden="1" x14ac:dyDescent="0.2">
      <c r="A96" s="45"/>
      <c r="B96" s="45"/>
      <c r="C96" s="45"/>
      <c r="D96" s="45"/>
      <c r="E96" s="45"/>
      <c r="F96" s="54" t="s">
        <v>493</v>
      </c>
      <c r="G96" s="54"/>
      <c r="H96" s="699">
        <f t="shared" ref="H96:J98" si="1">H74</f>
        <v>237890.76749999999</v>
      </c>
      <c r="I96" s="699">
        <f t="shared" si="1"/>
        <v>188101.25649999999</v>
      </c>
      <c r="J96" s="699">
        <f t="shared" si="1"/>
        <v>232210.04700000002</v>
      </c>
      <c r="K96" s="699">
        <f>K74</f>
        <v>294958.59999999998</v>
      </c>
    </row>
    <row r="97" spans="1:11" ht="20.25" hidden="1" x14ac:dyDescent="0.2">
      <c r="A97" s="45"/>
      <c r="B97" s="45"/>
      <c r="C97" s="45"/>
      <c r="D97" s="45"/>
      <c r="E97" s="45"/>
      <c r="F97" s="54" t="s">
        <v>494</v>
      </c>
      <c r="G97" s="54"/>
      <c r="H97" s="196">
        <f t="shared" si="1"/>
        <v>103783.97250000012</v>
      </c>
      <c r="I97" s="196">
        <f t="shared" si="1"/>
        <v>115005.71349999998</v>
      </c>
      <c r="J97" s="196">
        <f t="shared" si="1"/>
        <v>130661.50709999993</v>
      </c>
      <c r="K97" s="196">
        <f>K75</f>
        <v>143652.19400000002</v>
      </c>
    </row>
    <row r="98" spans="1:11" ht="20.25" hidden="1" x14ac:dyDescent="0.2">
      <c r="A98" s="45"/>
      <c r="B98" s="45"/>
      <c r="C98" s="45"/>
      <c r="D98" s="45"/>
      <c r="E98" s="45"/>
      <c r="F98" s="54" t="s">
        <v>495</v>
      </c>
      <c r="G98" s="54"/>
      <c r="H98" s="196">
        <f t="shared" si="1"/>
        <v>33344.68</v>
      </c>
      <c r="I98" s="196">
        <f t="shared" si="1"/>
        <v>41084</v>
      </c>
      <c r="J98" s="196">
        <f t="shared" si="1"/>
        <v>40932</v>
      </c>
      <c r="K98" s="196">
        <f>K76</f>
        <v>41681</v>
      </c>
    </row>
    <row r="99" spans="1:11" ht="21" hidden="1" thickBot="1" x14ac:dyDescent="0.25">
      <c r="A99" s="45"/>
      <c r="B99" s="45"/>
      <c r="C99" s="45"/>
      <c r="D99" s="45"/>
      <c r="E99" s="45"/>
      <c r="F99" s="54" t="s">
        <v>496</v>
      </c>
      <c r="G99" s="54"/>
      <c r="H99" s="701">
        <f>SUM(H96:H98)</f>
        <v>375019.4200000001</v>
      </c>
      <c r="I99" s="701">
        <f>SUM(I96:I98)</f>
        <v>344190.97</v>
      </c>
      <c r="J99" s="701">
        <f>SUM(J96:J98)</f>
        <v>403803.55409999995</v>
      </c>
      <c r="K99" s="701">
        <f>SUM(K96:K98)</f>
        <v>480291.79399999999</v>
      </c>
    </row>
    <row r="100" spans="1:11" ht="21" hidden="1" thickTop="1" x14ac:dyDescent="0.2">
      <c r="A100" s="45"/>
      <c r="B100" s="45"/>
      <c r="C100" s="45"/>
      <c r="D100" s="45"/>
      <c r="E100" s="45"/>
      <c r="F100" s="54" t="s">
        <v>506</v>
      </c>
      <c r="G100" s="54"/>
      <c r="H100" s="196">
        <f>H53</f>
        <v>227723</v>
      </c>
      <c r="I100" s="196">
        <f t="shared" ref="I100:K100" si="2">I53</f>
        <v>178666</v>
      </c>
      <c r="J100" s="196">
        <f t="shared" si="2"/>
        <v>206080</v>
      </c>
      <c r="K100" s="196">
        <f t="shared" si="2"/>
        <v>227490</v>
      </c>
    </row>
    <row r="101" spans="1:11" ht="20.25" hidden="1" x14ac:dyDescent="0.2">
      <c r="A101" s="45"/>
      <c r="B101" s="45"/>
      <c r="C101" s="45"/>
      <c r="D101" s="45"/>
      <c r="E101" s="45"/>
      <c r="F101" s="54" t="s">
        <v>507</v>
      </c>
      <c r="G101" s="54"/>
      <c r="H101" s="704">
        <f>H96/H100</f>
        <v>1.0446497169807178</v>
      </c>
      <c r="I101" s="704">
        <f>I96/I100</f>
        <v>1.0528094685054794</v>
      </c>
      <c r="J101" s="704">
        <f>J96/J100</f>
        <v>1.1267956473214287</v>
      </c>
      <c r="K101" s="704">
        <f>K96/K100</f>
        <v>1.2965783111345552</v>
      </c>
    </row>
    <row r="102" spans="1:11" ht="20.25" hidden="1" x14ac:dyDescent="0.2">
      <c r="A102" s="45"/>
      <c r="B102" s="45"/>
      <c r="C102" s="45"/>
      <c r="D102" s="45"/>
      <c r="E102" s="45"/>
      <c r="F102" s="54" t="s">
        <v>499</v>
      </c>
      <c r="G102" s="54"/>
      <c r="H102" s="704">
        <f t="shared" ref="H102:K102" si="3">H97/H56</f>
        <v>6.3063725162544886</v>
      </c>
      <c r="I102" s="704">
        <f t="shared" si="3"/>
        <v>11.329495960989064</v>
      </c>
      <c r="J102" s="704">
        <f t="shared" si="3"/>
        <v>12.529872180667427</v>
      </c>
      <c r="K102" s="704">
        <f t="shared" si="3"/>
        <v>12.54713896410167</v>
      </c>
    </row>
    <row r="103" spans="1:11" ht="20.25" hidden="1" x14ac:dyDescent="0.3">
      <c r="A103" s="45"/>
      <c r="B103" s="45"/>
      <c r="C103" s="45"/>
      <c r="D103" s="45"/>
      <c r="E103" s="45"/>
      <c r="F103" s="45"/>
      <c r="G103" s="45"/>
      <c r="H103" s="227"/>
      <c r="I103" s="227"/>
      <c r="J103" s="227"/>
      <c r="K103" s="227"/>
    </row>
    <row r="104" spans="1:11" ht="20.25" hidden="1" x14ac:dyDescent="0.2">
      <c r="A104" s="45"/>
      <c r="B104" s="45"/>
      <c r="C104" s="45"/>
      <c r="D104" s="45"/>
      <c r="E104" s="45"/>
      <c r="F104" s="45"/>
      <c r="G104" s="45"/>
      <c r="H104" s="193"/>
      <c r="I104" s="193"/>
      <c r="J104" s="193"/>
      <c r="K104" s="193"/>
    </row>
    <row r="105" spans="1:11" ht="20.25" hidden="1" x14ac:dyDescent="0.2">
      <c r="A105" s="45"/>
      <c r="B105" s="45"/>
      <c r="C105" s="45"/>
      <c r="D105" s="45"/>
      <c r="E105" s="45"/>
      <c r="F105" s="54" t="s">
        <v>493</v>
      </c>
      <c r="G105" s="54"/>
      <c r="H105" s="196">
        <f>H23-H106-H107</f>
        <v>238182.86749999985</v>
      </c>
      <c r="I105" s="196">
        <f>I21-I106-I107</f>
        <v>180025.0165</v>
      </c>
      <c r="J105" s="196">
        <f>J21-J106-J107</f>
        <v>199028.67290000001</v>
      </c>
      <c r="K105" s="196">
        <f>K21-K106-K107</f>
        <v>162975.30599999998</v>
      </c>
    </row>
    <row r="106" spans="1:11" ht="20.25" hidden="1" x14ac:dyDescent="0.2">
      <c r="A106" s="45"/>
      <c r="B106" s="45"/>
      <c r="C106" s="45"/>
      <c r="D106" s="45"/>
      <c r="E106" s="45"/>
      <c r="F106" s="54" t="s">
        <v>494</v>
      </c>
      <c r="G106" s="54"/>
      <c r="H106" s="196">
        <f t="shared" ref="H106:I106" si="4">H97</f>
        <v>103783.97250000012</v>
      </c>
      <c r="I106" s="196">
        <f t="shared" si="4"/>
        <v>115005.71349999998</v>
      </c>
      <c r="J106" s="196">
        <f>J97</f>
        <v>130661.50709999993</v>
      </c>
      <c r="K106" s="196">
        <f t="shared" ref="K106" si="5">K97</f>
        <v>143652.19400000002</v>
      </c>
    </row>
    <row r="107" spans="1:11" ht="20.25" hidden="1" x14ac:dyDescent="0.2">
      <c r="A107" s="45"/>
      <c r="B107" s="45"/>
      <c r="C107" s="45"/>
      <c r="D107" s="45"/>
      <c r="E107" s="45"/>
      <c r="F107" s="54" t="s">
        <v>103</v>
      </c>
      <c r="G107" s="54"/>
      <c r="H107" s="196">
        <f>H36</f>
        <v>9315</v>
      </c>
      <c r="I107" s="196">
        <f>I36</f>
        <v>9315</v>
      </c>
      <c r="J107" s="196">
        <f>J36</f>
        <v>10548</v>
      </c>
      <c r="K107" s="196">
        <f>K36</f>
        <v>10548</v>
      </c>
    </row>
    <row r="108" spans="1:11" ht="21" hidden="1" thickBot="1" x14ac:dyDescent="0.25">
      <c r="A108" s="45"/>
      <c r="B108" s="45"/>
      <c r="C108" s="45"/>
      <c r="D108" s="45"/>
      <c r="E108" s="45"/>
      <c r="F108" s="54" t="s">
        <v>501</v>
      </c>
      <c r="G108" s="54"/>
      <c r="H108" s="606">
        <f>SUM(H105:H107)</f>
        <v>351281.83999999997</v>
      </c>
      <c r="I108" s="606">
        <f>SUM(I105:I107)</f>
        <v>304345.73</v>
      </c>
      <c r="J108" s="606">
        <f>SUM(J105:J107)</f>
        <v>340238.17999999993</v>
      </c>
      <c r="K108" s="606">
        <f>SUM(K105:K107)</f>
        <v>317175.5</v>
      </c>
    </row>
    <row r="109" spans="1:11" ht="21" hidden="1" thickTop="1" x14ac:dyDescent="0.2">
      <c r="A109" s="45"/>
      <c r="B109" s="45"/>
      <c r="C109" s="45"/>
      <c r="D109" s="45"/>
      <c r="E109" s="45"/>
      <c r="F109" s="54" t="s">
        <v>502</v>
      </c>
      <c r="G109" s="54"/>
      <c r="H109" s="196">
        <f>H87</f>
        <v>16457</v>
      </c>
      <c r="I109" s="196">
        <f>I87</f>
        <v>10151</v>
      </c>
      <c r="J109" s="196">
        <f>J87</f>
        <v>10428</v>
      </c>
      <c r="K109" s="196">
        <f>K87</f>
        <v>11740</v>
      </c>
    </row>
    <row r="110" spans="1:11" ht="20.25" hidden="1" x14ac:dyDescent="0.3">
      <c r="A110" s="45"/>
      <c r="B110" s="45"/>
      <c r="C110" s="45"/>
      <c r="D110" s="45"/>
      <c r="E110" s="45"/>
      <c r="F110" s="54" t="s">
        <v>503</v>
      </c>
      <c r="G110" s="54"/>
      <c r="H110" s="708">
        <f t="shared" ref="H110:K110" si="6">H105/H101/H71</f>
        <v>16477.207130148494</v>
      </c>
      <c r="I110" s="708">
        <f t="shared" si="6"/>
        <v>9715.1607410527868</v>
      </c>
      <c r="J110" s="708">
        <f t="shared" si="6"/>
        <v>8937.9035395535648</v>
      </c>
      <c r="K110" s="708">
        <f t="shared" si="6"/>
        <v>6325.9870313799966</v>
      </c>
    </row>
    <row r="111" spans="1:11" ht="20.25" hidden="1" x14ac:dyDescent="0.3">
      <c r="A111" s="45"/>
      <c r="B111" s="45"/>
      <c r="C111" s="45"/>
      <c r="D111" s="45"/>
      <c r="E111" s="45"/>
      <c r="F111" s="54" t="s">
        <v>504</v>
      </c>
      <c r="G111" s="54"/>
      <c r="H111" s="709">
        <f>H110-H109</f>
        <v>20.207130148493889</v>
      </c>
      <c r="I111" s="709">
        <f>I110-I109</f>
        <v>-435.83925894721324</v>
      </c>
      <c r="J111" s="709">
        <f>J110-J109</f>
        <v>-1490.0964604464352</v>
      </c>
      <c r="K111" s="709">
        <f>K110-K109</f>
        <v>-5414.0129686200034</v>
      </c>
    </row>
    <row r="112" spans="1:11" ht="20.25" hidden="1" x14ac:dyDescent="0.3">
      <c r="A112" s="45"/>
      <c r="B112" s="45"/>
      <c r="C112" s="45"/>
      <c r="D112" s="45"/>
      <c r="E112" s="45"/>
      <c r="F112" s="54" t="s">
        <v>507</v>
      </c>
      <c r="G112" s="54"/>
      <c r="H112" s="710">
        <f>H105/(H110*H71)</f>
        <v>1.0446497169807178</v>
      </c>
      <c r="I112" s="710">
        <f t="shared" ref="I112:K112" si="7">I105/(I110*I71)</f>
        <v>1.0528094685054794</v>
      </c>
      <c r="J112" s="710">
        <f t="shared" si="7"/>
        <v>1.1267956473214289</v>
      </c>
      <c r="K112" s="710">
        <f t="shared" si="7"/>
        <v>1.2965783111345552</v>
      </c>
    </row>
    <row r="113" spans="1:11" ht="20.25" hidden="1" x14ac:dyDescent="0.3">
      <c r="A113" s="45"/>
      <c r="B113" s="45"/>
      <c r="C113" s="45"/>
      <c r="D113" s="45"/>
      <c r="E113" s="45"/>
      <c r="F113" s="54" t="s">
        <v>508</v>
      </c>
      <c r="G113" s="54"/>
      <c r="H113" s="710">
        <f>H106/H110</f>
        <v>6.2986385787495296</v>
      </c>
      <c r="I113" s="710">
        <f>I106/I110</f>
        <v>11.837757147344671</v>
      </c>
      <c r="J113" s="710">
        <f>J106/J110</f>
        <v>14.618809267942298</v>
      </c>
      <c r="K113" s="710">
        <f>K106/K110</f>
        <v>22.708265648888421</v>
      </c>
    </row>
    <row r="114" spans="1:11" ht="20.25" hidden="1" x14ac:dyDescent="0.2">
      <c r="A114" s="45"/>
      <c r="B114" s="45"/>
      <c r="C114" s="45"/>
      <c r="D114" s="45"/>
      <c r="E114" s="45"/>
      <c r="F114" s="54" t="s">
        <v>509</v>
      </c>
      <c r="G114" s="193">
        <f>G27+G31+G33+G27*0.21</f>
        <v>216908.68</v>
      </c>
      <c r="H114" s="193">
        <f t="shared" ref="H114:K114" si="8">H27+H31+H33+H27*0.21</f>
        <v>237890.76750000002</v>
      </c>
      <c r="I114" s="193">
        <f t="shared" si="8"/>
        <v>188101.25650000002</v>
      </c>
      <c r="J114" s="193">
        <f t="shared" si="8"/>
        <v>232210.04700000002</v>
      </c>
      <c r="K114" s="193">
        <f t="shared" si="8"/>
        <v>297009.18</v>
      </c>
    </row>
    <row r="115" spans="1:11" ht="20.25" hidden="1" x14ac:dyDescent="0.2">
      <c r="A115" s="45"/>
      <c r="B115" s="45"/>
      <c r="C115" s="45"/>
      <c r="D115" s="45"/>
      <c r="E115" s="45"/>
      <c r="F115" s="54" t="s">
        <v>494</v>
      </c>
      <c r="G115" s="193">
        <f>G46-G114-G116</f>
        <v>105684.32</v>
      </c>
      <c r="H115" s="193">
        <f t="shared" ref="H115:K115" si="9">H46-H114-H116</f>
        <v>113098.97250000009</v>
      </c>
      <c r="I115" s="193">
        <f t="shared" si="9"/>
        <v>124320.71349999995</v>
      </c>
      <c r="J115" s="193">
        <f t="shared" si="9"/>
        <v>141209.50709999993</v>
      </c>
      <c r="K115" s="193">
        <f t="shared" si="9"/>
        <v>152149.614</v>
      </c>
    </row>
    <row r="116" spans="1:11" ht="20.25" hidden="1" x14ac:dyDescent="0.2">
      <c r="A116" s="45"/>
      <c r="B116" s="45"/>
      <c r="C116" s="45"/>
      <c r="D116" s="45"/>
      <c r="E116" s="45"/>
      <c r="F116" s="54" t="s">
        <v>124</v>
      </c>
      <c r="G116" s="193">
        <f>G35</f>
        <v>25080</v>
      </c>
      <c r="H116" s="193">
        <f t="shared" ref="H116:K116" si="10">H35</f>
        <v>24029.68</v>
      </c>
      <c r="I116" s="193">
        <f t="shared" si="10"/>
        <v>31769</v>
      </c>
      <c r="J116" s="193">
        <f t="shared" si="10"/>
        <v>30384</v>
      </c>
      <c r="K116" s="193">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85"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'December''23 State of Activities'!A3</f>
        <v>Ten Months Ended October 31, 2023 and 2022</v>
      </c>
      <c r="B3" s="47"/>
      <c r="C3" s="48"/>
      <c r="D3" s="48"/>
      <c r="E3" s="48"/>
      <c r="F3" s="47"/>
      <c r="G3" s="191"/>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'December''23 State of Activities'!A4</f>
        <v>For the Years Ended December 31, 2023 &amp; 2022</v>
      </c>
      <c r="B4" s="47"/>
      <c r="C4" s="48"/>
      <c r="D4" s="48"/>
      <c r="E4" s="48"/>
      <c r="F4" s="47"/>
      <c r="G4" s="191"/>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c r="R5" s="586"/>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87"/>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c r="R7" s="587"/>
    </row>
    <row r="8" spans="1:61" ht="21" thickBot="1" x14ac:dyDescent="0.35">
      <c r="A8" s="56"/>
      <c r="B8" s="120" t="s">
        <v>99</v>
      </c>
      <c r="C8" s="120"/>
      <c r="D8" s="120"/>
      <c r="E8" s="120"/>
      <c r="F8" s="120"/>
      <c r="G8" s="231">
        <v>41090</v>
      </c>
      <c r="H8" s="231">
        <v>41274</v>
      </c>
      <c r="I8" s="271"/>
      <c r="J8" s="231">
        <f>'December''23 State of Activities'!G8</f>
        <v>45291</v>
      </c>
      <c r="K8" s="544">
        <f>'December''23 State of Activities'!H8</f>
        <v>44926</v>
      </c>
      <c r="L8" s="271"/>
      <c r="M8" s="544">
        <f>'December''23 State of Activities'!J8</f>
        <v>44926</v>
      </c>
      <c r="O8" s="847" t="s">
        <v>389</v>
      </c>
      <c r="P8" s="847"/>
    </row>
    <row r="9" spans="1:61" s="55" customFormat="1" x14ac:dyDescent="0.2">
      <c r="A9" s="54"/>
      <c r="B9" s="54"/>
      <c r="C9" s="58" t="s">
        <v>149</v>
      </c>
      <c r="D9" s="58"/>
      <c r="E9" s="58"/>
      <c r="F9" s="54"/>
      <c r="G9" s="193">
        <v>127719</v>
      </c>
      <c r="H9" s="193">
        <v>67566.5</v>
      </c>
      <c r="I9" s="193"/>
      <c r="J9" s="202">
        <v>41504.339999999997</v>
      </c>
      <c r="K9" s="202">
        <v>158721</v>
      </c>
      <c r="L9" s="202"/>
      <c r="M9" s="202">
        <v>78675.460000000006</v>
      </c>
      <c r="O9" s="317">
        <f>J9-M9</f>
        <v>-37171.12000000001</v>
      </c>
      <c r="P9" s="334">
        <f>O9/M9</f>
        <v>-0.47246142571012623</v>
      </c>
      <c r="R9" s="587"/>
    </row>
    <row r="10" spans="1:61" s="55" customFormat="1" x14ac:dyDescent="0.2">
      <c r="A10" s="54"/>
      <c r="B10" s="54"/>
      <c r="C10" s="58" t="s">
        <v>213</v>
      </c>
      <c r="D10" s="58"/>
      <c r="E10" s="58"/>
      <c r="F10" s="54"/>
      <c r="G10" s="202">
        <v>875436</v>
      </c>
      <c r="H10" s="202">
        <v>372424.1</v>
      </c>
      <c r="I10" s="202"/>
      <c r="J10" s="193"/>
      <c r="K10" s="193">
        <v>12278.42</v>
      </c>
      <c r="L10" s="202"/>
      <c r="M10" s="193"/>
      <c r="O10" s="409">
        <f>J10-M10</f>
        <v>0</v>
      </c>
      <c r="P10" s="354" t="e">
        <f>O10/M10</f>
        <v>#DIV/0!</v>
      </c>
      <c r="R10" s="587"/>
    </row>
    <row r="11" spans="1:61" s="55" customFormat="1" x14ac:dyDescent="0.2">
      <c r="A11" s="54"/>
      <c r="B11" s="54"/>
      <c r="C11" s="58" t="s">
        <v>388</v>
      </c>
      <c r="D11" s="58"/>
      <c r="E11" s="58"/>
      <c r="F11" s="54"/>
      <c r="G11" s="202"/>
      <c r="H11" s="202"/>
      <c r="I11" s="202"/>
      <c r="J11" s="193">
        <f>'December''23 Revenues &amp; Expenses'!I8-K11-5010</f>
        <v>-316</v>
      </c>
      <c r="K11" s="193">
        <v>10616</v>
      </c>
      <c r="L11" s="202"/>
      <c r="M11" s="193"/>
      <c r="O11" s="409">
        <f>J11-M11</f>
        <v>-316</v>
      </c>
      <c r="P11" s="354"/>
      <c r="R11" s="587"/>
    </row>
    <row r="12" spans="1:61" s="55" customFormat="1" x14ac:dyDescent="0.2">
      <c r="A12" s="54"/>
      <c r="B12" s="54"/>
      <c r="C12" s="58" t="s">
        <v>101</v>
      </c>
      <c r="D12" s="58"/>
      <c r="E12" s="58"/>
      <c r="F12" s="54"/>
      <c r="G12" s="193"/>
      <c r="H12" s="193"/>
      <c r="I12" s="193"/>
      <c r="J12" s="193"/>
      <c r="K12" s="193"/>
      <c r="L12" s="193"/>
      <c r="M12" s="193"/>
      <c r="O12" s="409"/>
      <c r="P12" s="344"/>
      <c r="R12" s="587"/>
    </row>
    <row r="13" spans="1:61" s="55" customFormat="1" x14ac:dyDescent="0.2">
      <c r="A13" s="54"/>
      <c r="B13" s="54"/>
      <c r="D13" s="58" t="s">
        <v>214</v>
      </c>
      <c r="E13" s="58"/>
      <c r="F13" s="54"/>
      <c r="G13" s="193">
        <v>94235.25</v>
      </c>
      <c r="H13" s="193">
        <v>37190.379999999997</v>
      </c>
      <c r="I13" s="193"/>
      <c r="J13" s="193">
        <f>3750*6</f>
        <v>22500</v>
      </c>
      <c r="K13" s="193">
        <f>3708.33*12</f>
        <v>44499.96</v>
      </c>
      <c r="L13" s="193"/>
      <c r="M13" s="193">
        <f>3708.33*4</f>
        <v>14833.32</v>
      </c>
      <c r="O13" s="409">
        <f t="shared" ref="O13:O18" si="0">J13-M13</f>
        <v>7666.68</v>
      </c>
      <c r="P13" s="354">
        <f>O13/M13</f>
        <v>0.51685529604970437</v>
      </c>
      <c r="R13" s="193"/>
      <c r="S13" s="386"/>
      <c r="T13" s="385"/>
      <c r="U13" s="385"/>
    </row>
    <row r="14" spans="1:61" s="55" customFormat="1" x14ac:dyDescent="0.2">
      <c r="A14" s="54"/>
      <c r="B14" s="54"/>
      <c r="D14" s="58" t="s">
        <v>158</v>
      </c>
      <c r="E14" s="58"/>
      <c r="F14" s="54"/>
      <c r="G14" s="193"/>
      <c r="H14" s="193"/>
      <c r="I14" s="193"/>
      <c r="J14" s="193">
        <f>'December''23 State of Activities'!G16</f>
        <v>18000</v>
      </c>
      <c r="K14" s="193">
        <v>13000</v>
      </c>
      <c r="L14" s="193"/>
      <c r="M14" s="193">
        <v>4333.33</v>
      </c>
      <c r="O14" s="409">
        <f t="shared" si="0"/>
        <v>13666.67</v>
      </c>
      <c r="P14" s="354">
        <f>O14/M14</f>
        <v>3.1538493491148838</v>
      </c>
      <c r="R14" s="587">
        <v>7500</v>
      </c>
      <c r="S14" s="318"/>
      <c r="T14" s="387"/>
      <c r="U14" s="304"/>
    </row>
    <row r="15" spans="1:61" s="55" customFormat="1" x14ac:dyDescent="0.2">
      <c r="A15" s="54"/>
      <c r="B15" s="54"/>
      <c r="C15" s="58" t="s">
        <v>102</v>
      </c>
      <c r="D15" s="58"/>
      <c r="E15" s="58"/>
      <c r="F15" s="54"/>
      <c r="G15" s="193">
        <v>0</v>
      </c>
      <c r="H15" s="193">
        <v>3517</v>
      </c>
      <c r="I15" s="193"/>
      <c r="J15" s="193">
        <f>'December''23 State of Activities'!G18</f>
        <v>23822.38</v>
      </c>
      <c r="K15" s="193">
        <f>'December''23 State of Activities'!H18</f>
        <v>17485.37</v>
      </c>
      <c r="L15" s="193"/>
      <c r="M15" s="193">
        <f>'December''23 State of Activities'!J18</f>
        <v>14591.85</v>
      </c>
      <c r="O15" s="409">
        <f t="shared" si="0"/>
        <v>9230.5300000000007</v>
      </c>
      <c r="P15" s="354">
        <f>O15/M15</f>
        <v>0.63258120114995697</v>
      </c>
      <c r="R15" s="587"/>
      <c r="S15" s="318"/>
      <c r="T15" s="387"/>
      <c r="U15" s="304"/>
    </row>
    <row r="16" spans="1:61" s="55" customFormat="1" x14ac:dyDescent="0.2">
      <c r="A16" s="54"/>
      <c r="B16" s="54"/>
      <c r="C16" s="58" t="s">
        <v>215</v>
      </c>
      <c r="D16" s="58"/>
      <c r="E16" s="58"/>
      <c r="F16" s="54"/>
      <c r="G16" s="193">
        <v>31459</v>
      </c>
      <c r="H16" s="193">
        <v>13920.35</v>
      </c>
      <c r="I16" s="193"/>
      <c r="J16" s="193">
        <f>'December''23 Revenues &amp; Expenses'!H44</f>
        <v>0</v>
      </c>
      <c r="K16" s="193">
        <v>25000</v>
      </c>
      <c r="L16" s="193"/>
      <c r="M16" s="193">
        <v>8153.81</v>
      </c>
      <c r="O16" s="409">
        <f t="shared" si="0"/>
        <v>-8153.81</v>
      </c>
      <c r="P16" s="354">
        <f>O16/M16</f>
        <v>-1</v>
      </c>
      <c r="R16" s="587">
        <v>11805.12</v>
      </c>
      <c r="S16" s="318"/>
      <c r="T16" s="387"/>
      <c r="U16" s="304"/>
    </row>
    <row r="17" spans="1:21" s="55" customFormat="1" x14ac:dyDescent="0.2">
      <c r="A17" s="54"/>
      <c r="B17" s="54"/>
      <c r="C17" s="58" t="s">
        <v>378</v>
      </c>
      <c r="D17" s="58"/>
      <c r="E17" s="58"/>
      <c r="F17" s="54"/>
      <c r="G17" s="193"/>
      <c r="H17" s="193"/>
      <c r="I17" s="193"/>
      <c r="J17" s="193"/>
      <c r="K17" s="193">
        <v>22918.98</v>
      </c>
      <c r="L17" s="193"/>
      <c r="M17" s="193"/>
      <c r="O17" s="409">
        <f t="shared" si="0"/>
        <v>0</v>
      </c>
      <c r="P17" s="354"/>
      <c r="R17" s="587"/>
      <c r="S17" s="318"/>
      <c r="T17" s="387"/>
      <c r="U17" s="304"/>
    </row>
    <row r="18" spans="1:21" s="55" customFormat="1" x14ac:dyDescent="0.2">
      <c r="A18" s="54"/>
      <c r="B18" s="54"/>
      <c r="C18" s="58" t="s">
        <v>390</v>
      </c>
      <c r="D18" s="58"/>
      <c r="E18" s="58"/>
      <c r="F18" s="54"/>
      <c r="G18" s="193"/>
      <c r="H18" s="193"/>
      <c r="I18" s="193"/>
      <c r="J18" s="193">
        <f>'December''23 Revenues &amp; Expenses'!H60</f>
        <v>0</v>
      </c>
      <c r="K18" s="193">
        <v>23967.15</v>
      </c>
      <c r="L18" s="193"/>
      <c r="M18" s="193"/>
      <c r="O18" s="409">
        <f t="shared" si="0"/>
        <v>0</v>
      </c>
      <c r="P18" s="354"/>
      <c r="R18" s="587"/>
      <c r="S18" s="318"/>
      <c r="T18" s="387"/>
      <c r="U18" s="304"/>
    </row>
    <row r="19" spans="1:21" s="55" customFormat="1" x14ac:dyDescent="0.2">
      <c r="A19" s="54"/>
      <c r="B19" s="54"/>
      <c r="C19" s="58" t="s">
        <v>334</v>
      </c>
      <c r="D19" s="58"/>
      <c r="E19" s="58"/>
      <c r="F19" s="54"/>
      <c r="G19" s="193"/>
      <c r="H19" s="193"/>
      <c r="I19" s="193"/>
      <c r="J19" s="193">
        <f>'December''23 State of Activities'!G11</f>
        <v>0</v>
      </c>
      <c r="K19" s="193">
        <v>1968.5</v>
      </c>
      <c r="L19" s="193"/>
      <c r="M19" s="193">
        <f>2100.03-1250</f>
        <v>850.0300000000002</v>
      </c>
      <c r="O19" s="409">
        <f t="shared" ref="O19:O20" si="1">J19-M19</f>
        <v>-850.0300000000002</v>
      </c>
      <c r="P19" s="354"/>
      <c r="R19" s="587">
        <f>186.59-R20</f>
        <v>162.31</v>
      </c>
      <c r="S19" s="318"/>
      <c r="T19" s="387"/>
      <c r="U19" s="304"/>
    </row>
    <row r="20" spans="1:21" s="55" customFormat="1" x14ac:dyDescent="0.2">
      <c r="A20" s="54"/>
      <c r="B20" s="54"/>
      <c r="C20" s="784" t="s">
        <v>337</v>
      </c>
      <c r="D20" s="784"/>
      <c r="E20" s="784"/>
      <c r="F20" s="784"/>
      <c r="G20" s="193"/>
      <c r="H20" s="193"/>
      <c r="I20" s="193"/>
      <c r="J20" s="193">
        <v>0</v>
      </c>
      <c r="K20" s="193">
        <v>1127.23</v>
      </c>
      <c r="L20" s="193"/>
      <c r="M20" s="193">
        <v>177.19</v>
      </c>
      <c r="O20" s="409">
        <f t="shared" si="1"/>
        <v>-177.19</v>
      </c>
      <c r="P20" s="354"/>
      <c r="R20" s="587">
        <v>24.28</v>
      </c>
      <c r="S20" s="318"/>
      <c r="T20" s="387"/>
      <c r="U20" s="304"/>
    </row>
    <row r="21" spans="1:21" s="55" customFormat="1" x14ac:dyDescent="0.2">
      <c r="A21" s="54"/>
      <c r="B21" s="54"/>
      <c r="C21" s="58" t="s">
        <v>343</v>
      </c>
      <c r="D21" s="58"/>
      <c r="E21" s="58"/>
      <c r="F21" s="54"/>
      <c r="G21" s="193">
        <v>1125</v>
      </c>
      <c r="H21" s="193">
        <v>6050</v>
      </c>
      <c r="I21" s="193"/>
      <c r="J21" s="193" t="e">
        <f>'December''23 State of Activities'!#REF!</f>
        <v>#REF!</v>
      </c>
      <c r="K21" s="193" t="e">
        <f>'December''23 State of Activities'!#REF!</f>
        <v>#REF!</v>
      </c>
      <c r="L21" s="193"/>
      <c r="M21" s="193" t="e">
        <f>'December''23 State of Activities'!#REF!</f>
        <v>#REF!</v>
      </c>
      <c r="O21" s="409" t="e">
        <f>J21-M21</f>
        <v>#REF!</v>
      </c>
      <c r="P21" s="354"/>
      <c r="R21" s="587"/>
    </row>
    <row r="22" spans="1:21" s="55" customFormat="1" ht="21" thickBot="1" x14ac:dyDescent="0.25">
      <c r="A22" s="54"/>
      <c r="B22" s="54"/>
      <c r="C22" s="58" t="s">
        <v>216</v>
      </c>
      <c r="D22" s="58"/>
      <c r="E22" s="58"/>
      <c r="F22" s="54"/>
      <c r="G22" s="200">
        <v>31250</v>
      </c>
      <c r="H22" s="200">
        <v>15624.98</v>
      </c>
      <c r="I22" s="193"/>
      <c r="J22" s="200">
        <f>'December''23 State of Activities'!G26*0.2</f>
        <v>10548</v>
      </c>
      <c r="K22" s="200">
        <f>'December''23 State of Activities'!H26*0.2</f>
        <v>10548</v>
      </c>
      <c r="L22" s="193"/>
      <c r="M22" s="200">
        <f>'December''23 State of Activities'!J26*0.2</f>
        <v>10548</v>
      </c>
      <c r="O22" s="410">
        <f>J22-M22</f>
        <v>0</v>
      </c>
      <c r="P22" s="335">
        <v>0</v>
      </c>
      <c r="R22" s="587"/>
    </row>
    <row r="23" spans="1:21" s="55" customFormat="1" x14ac:dyDescent="0.2">
      <c r="A23" s="54"/>
      <c r="B23" s="54"/>
      <c r="C23" s="58"/>
      <c r="D23" s="54" t="s">
        <v>104</v>
      </c>
      <c r="E23" s="58"/>
      <c r="F23" s="54"/>
      <c r="G23" s="193">
        <v>1161224.25</v>
      </c>
      <c r="H23" s="193">
        <v>516293.30999999994</v>
      </c>
      <c r="I23" s="193"/>
      <c r="J23" s="193" t="e">
        <f>SUM(J9:J22)</f>
        <v>#REF!</v>
      </c>
      <c r="K23" s="193" t="e">
        <f>SUM(K9:K22)</f>
        <v>#REF!</v>
      </c>
      <c r="L23" s="193"/>
      <c r="M23" s="193" t="e">
        <f>SUM(M9:M22)</f>
        <v>#REF!</v>
      </c>
      <c r="O23" s="225" t="e">
        <f>SUM(O9:O22)</f>
        <v>#REF!</v>
      </c>
      <c r="P23" s="354" t="e">
        <f>O23/M23</f>
        <v>#REF!</v>
      </c>
      <c r="R23" s="587"/>
    </row>
    <row r="24" spans="1:21" s="55" customFormat="1" ht="21" thickBot="1" x14ac:dyDescent="0.25">
      <c r="A24" s="54"/>
      <c r="B24" s="54"/>
      <c r="C24" s="54" t="s">
        <v>217</v>
      </c>
      <c r="D24" s="58"/>
      <c r="E24" s="58"/>
      <c r="F24" s="54"/>
      <c r="G24" s="200">
        <v>150176</v>
      </c>
      <c r="H24" s="200">
        <v>47700.27</v>
      </c>
      <c r="I24" s="193"/>
      <c r="J24" s="193">
        <f>19000/12*6</f>
        <v>9500</v>
      </c>
      <c r="K24" s="193">
        <v>19000</v>
      </c>
      <c r="L24" s="193"/>
      <c r="M24" s="193">
        <v>6333</v>
      </c>
      <c r="O24" s="409">
        <f>J24-M24</f>
        <v>3167</v>
      </c>
      <c r="P24" s="334">
        <f>O24/M24</f>
        <v>0.50007895152376436</v>
      </c>
      <c r="R24" s="193"/>
    </row>
    <row r="25" spans="1:21" s="55" customFormat="1" ht="21" thickBot="1" x14ac:dyDescent="0.25">
      <c r="A25" s="54"/>
      <c r="B25" s="54"/>
      <c r="C25" s="54" t="s">
        <v>218</v>
      </c>
      <c r="D25" s="58"/>
      <c r="E25" s="58"/>
      <c r="F25" s="54"/>
      <c r="G25" s="193"/>
      <c r="H25" s="193"/>
      <c r="I25" s="193"/>
      <c r="J25" s="200">
        <v>13582.02</v>
      </c>
      <c r="K25" s="200">
        <v>37834.400000000001</v>
      </c>
      <c r="L25" s="193"/>
      <c r="M25" s="200">
        <v>14484</v>
      </c>
      <c r="O25" s="316">
        <f>J25-M25</f>
        <v>-901.97999999999956</v>
      </c>
      <c r="P25" s="380">
        <f>O25/M25</f>
        <v>-6.2274233637116788E-2</v>
      </c>
      <c r="R25" s="587"/>
    </row>
    <row r="26" spans="1:21" s="55" customFormat="1" x14ac:dyDescent="0.2">
      <c r="A26" s="54"/>
      <c r="B26" s="54"/>
      <c r="C26" s="58"/>
      <c r="D26" s="54" t="s">
        <v>106</v>
      </c>
      <c r="E26" s="58"/>
      <c r="F26" s="54"/>
      <c r="G26" s="193">
        <v>1311400.25</v>
      </c>
      <c r="H26" s="193">
        <v>563993.57999999996</v>
      </c>
      <c r="I26" s="193"/>
      <c r="J26" s="193" t="e">
        <f>SUM(J23:J25)</f>
        <v>#REF!</v>
      </c>
      <c r="K26" s="193" t="e">
        <f>SUM(K23:K25)</f>
        <v>#REF!</v>
      </c>
      <c r="L26" s="193"/>
      <c r="M26" s="193" t="e">
        <f>SUM(M23:M25)</f>
        <v>#REF!</v>
      </c>
      <c r="O26" s="225" t="e">
        <f>J26-M26</f>
        <v>#REF!</v>
      </c>
      <c r="P26" s="354" t="e">
        <f>O26/M26</f>
        <v>#REF!</v>
      </c>
      <c r="R26" s="587"/>
    </row>
    <row r="27" spans="1:21" s="55" customFormat="1" x14ac:dyDescent="0.2">
      <c r="A27" s="54"/>
      <c r="B27" s="54"/>
      <c r="C27" s="58"/>
      <c r="D27" s="54"/>
      <c r="E27" s="58"/>
      <c r="F27" s="54"/>
      <c r="G27" s="193"/>
      <c r="H27" s="193"/>
      <c r="I27" s="193"/>
      <c r="J27" s="193"/>
      <c r="K27" s="481"/>
      <c r="L27" s="193"/>
      <c r="M27" s="193"/>
      <c r="R27" s="587"/>
    </row>
    <row r="28" spans="1:21" s="55" customFormat="1" ht="21" thickBot="1" x14ac:dyDescent="0.25">
      <c r="A28" s="54"/>
      <c r="B28" s="66" t="s">
        <v>110</v>
      </c>
      <c r="C28" s="66"/>
      <c r="D28" s="66"/>
      <c r="E28" s="66"/>
      <c r="F28" s="66"/>
      <c r="G28" s="200"/>
      <c r="J28" s="193"/>
      <c r="R28" s="587"/>
    </row>
    <row r="29" spans="1:21" s="55" customFormat="1" x14ac:dyDescent="0.2">
      <c r="A29" s="54"/>
      <c r="B29" s="54"/>
      <c r="C29" s="58" t="s">
        <v>219</v>
      </c>
      <c r="D29" s="58"/>
      <c r="E29" s="58"/>
      <c r="F29" s="58"/>
      <c r="G29" s="193">
        <v>733747.79999999993</v>
      </c>
      <c r="H29" s="225">
        <v>361976</v>
      </c>
      <c r="I29" s="225"/>
      <c r="J29" s="193"/>
      <c r="K29" s="225"/>
      <c r="L29" s="225"/>
      <c r="M29" s="225"/>
      <c r="R29" s="587"/>
    </row>
    <row r="30" spans="1:21" s="55" customFormat="1" x14ac:dyDescent="0.2">
      <c r="A30" s="54"/>
      <c r="B30" s="54"/>
      <c r="C30" s="58"/>
      <c r="D30" s="784" t="s">
        <v>220</v>
      </c>
      <c r="E30" s="784"/>
      <c r="F30" s="784"/>
      <c r="G30" s="193"/>
      <c r="H30" s="225"/>
      <c r="I30" s="225"/>
      <c r="J30" s="193">
        <v>64964.65</v>
      </c>
      <c r="K30" s="193">
        <v>162253.75</v>
      </c>
      <c r="L30" s="225"/>
      <c r="M30" s="193">
        <v>82702.42</v>
      </c>
      <c r="O30" s="225">
        <f t="shared" ref="O30:O50" si="2">J30-M30</f>
        <v>-17737.769999999997</v>
      </c>
      <c r="P30" s="354">
        <f>O30/M30</f>
        <v>-0.21447703706856458</v>
      </c>
      <c r="R30" s="587">
        <f>J30</f>
        <v>64964.65</v>
      </c>
    </row>
    <row r="31" spans="1:21" s="55" customFormat="1" x14ac:dyDescent="0.2">
      <c r="A31" s="54"/>
      <c r="B31" s="54"/>
      <c r="C31" s="58"/>
      <c r="D31" s="784" t="s">
        <v>221</v>
      </c>
      <c r="E31" s="784"/>
      <c r="F31" s="784"/>
      <c r="G31" s="193"/>
      <c r="H31" s="225"/>
      <c r="I31" s="225"/>
      <c r="J31" s="193">
        <f>23219.46+7406.6</f>
        <v>30626.059999999998</v>
      </c>
      <c r="K31" s="193">
        <f>37966.12+23862.63+605.03+106.59</f>
        <v>62540.369999999995</v>
      </c>
      <c r="L31" s="225"/>
      <c r="M31" s="193">
        <f>18368.1+11845.56</f>
        <v>30213.659999999996</v>
      </c>
      <c r="O31" s="225">
        <f t="shared" si="2"/>
        <v>412.40000000000146</v>
      </c>
      <c r="P31" s="354">
        <f>O31/M31</f>
        <v>1.3649455246401843E-2</v>
      </c>
      <c r="R31" s="587">
        <f>J31</f>
        <v>30626.059999999998</v>
      </c>
    </row>
    <row r="32" spans="1:21" s="55" customFormat="1" x14ac:dyDescent="0.2">
      <c r="A32" s="54"/>
      <c r="B32" s="54"/>
      <c r="C32" s="58"/>
      <c r="D32" s="784" t="s">
        <v>112</v>
      </c>
      <c r="E32" s="784"/>
      <c r="F32" s="784"/>
      <c r="G32" s="193"/>
      <c r="H32" s="225"/>
      <c r="I32" s="225"/>
      <c r="J32" s="193">
        <v>15442.94</v>
      </c>
      <c r="K32" s="193">
        <v>42279.58</v>
      </c>
      <c r="L32" s="225"/>
      <c r="M32" s="193">
        <f>(M30+M31)*0.18</f>
        <v>20324.894399999997</v>
      </c>
      <c r="O32" s="225">
        <f t="shared" si="2"/>
        <v>-4881.9543999999969</v>
      </c>
      <c r="P32" s="354">
        <f>O32/M32</f>
        <v>-0.24019580638017965</v>
      </c>
      <c r="R32" s="204">
        <f>J32</f>
        <v>15442.94</v>
      </c>
    </row>
    <row r="33" spans="1:19" s="55" customFormat="1" x14ac:dyDescent="0.2">
      <c r="A33" s="54"/>
      <c r="B33" s="54"/>
      <c r="C33" s="58" t="s">
        <v>277</v>
      </c>
      <c r="D33" s="58"/>
      <c r="E33" s="58"/>
      <c r="F33" s="58"/>
      <c r="G33" s="193">
        <v>44745.18</v>
      </c>
      <c r="H33" s="193">
        <v>20974.21</v>
      </c>
      <c r="I33" s="193"/>
      <c r="J33" s="193"/>
      <c r="K33" s="481"/>
      <c r="L33" s="193"/>
      <c r="M33" s="481"/>
      <c r="O33" s="225">
        <f t="shared" si="2"/>
        <v>0</v>
      </c>
      <c r="P33" s="354"/>
      <c r="R33" s="587"/>
      <c r="S33" s="55">
        <f>R32/(R30+R31)</f>
        <v>0.16155272829336662</v>
      </c>
    </row>
    <row r="34" spans="1:19" s="55" customFormat="1" x14ac:dyDescent="0.2">
      <c r="A34" s="54"/>
      <c r="B34" s="54"/>
      <c r="C34" s="58"/>
      <c r="D34" s="784" t="s">
        <v>222</v>
      </c>
      <c r="E34" s="784"/>
      <c r="F34" s="784"/>
      <c r="G34" s="193"/>
      <c r="H34" s="193"/>
      <c r="I34" s="193"/>
      <c r="J34" s="193">
        <v>7876.42</v>
      </c>
      <c r="K34" s="193">
        <v>25472.83</v>
      </c>
      <c r="L34" s="193"/>
      <c r="M34" s="193">
        <v>8106.06</v>
      </c>
      <c r="O34" s="225">
        <f t="shared" si="2"/>
        <v>-229.64000000000033</v>
      </c>
      <c r="P34" s="354">
        <f t="shared" ref="P34:P41" si="3">O34/M34</f>
        <v>-2.832942267883538E-2</v>
      </c>
      <c r="R34" s="587">
        <v>7876.42</v>
      </c>
    </row>
    <row r="35" spans="1:19" s="55" customFormat="1" x14ac:dyDescent="0.2">
      <c r="A35" s="54"/>
      <c r="B35" s="54"/>
      <c r="C35" s="58"/>
      <c r="D35" s="784" t="s">
        <v>223</v>
      </c>
      <c r="E35" s="784"/>
      <c r="F35" s="784"/>
      <c r="G35" s="193"/>
      <c r="H35" s="193"/>
      <c r="I35" s="193"/>
      <c r="J35" s="193">
        <v>11303.34</v>
      </c>
      <c r="K35" s="193">
        <v>17989.87</v>
      </c>
      <c r="L35" s="193"/>
      <c r="M35" s="193">
        <v>5932.49</v>
      </c>
      <c r="O35" s="225">
        <f t="shared" si="2"/>
        <v>5370.85</v>
      </c>
      <c r="P35" s="354">
        <f t="shared" si="3"/>
        <v>0.90532811686155401</v>
      </c>
      <c r="R35" s="587">
        <v>11303.34</v>
      </c>
    </row>
    <row r="36" spans="1:19" s="55" customFormat="1" x14ac:dyDescent="0.2">
      <c r="A36" s="54"/>
      <c r="B36" s="54"/>
      <c r="C36" s="58"/>
      <c r="D36" s="784" t="s">
        <v>303</v>
      </c>
      <c r="E36" s="784"/>
      <c r="F36" s="784"/>
      <c r="G36" s="193"/>
      <c r="H36" s="193"/>
      <c r="I36" s="193"/>
      <c r="J36" s="193">
        <v>11898.19</v>
      </c>
      <c r="K36" s="193">
        <v>16090.9</v>
      </c>
      <c r="L36" s="193"/>
      <c r="M36" s="193">
        <v>7105.84</v>
      </c>
      <c r="O36" s="225">
        <f t="shared" si="2"/>
        <v>4792.3500000000004</v>
      </c>
      <c r="P36" s="354">
        <f t="shared" si="3"/>
        <v>0.6744241356405436</v>
      </c>
      <c r="R36" s="587">
        <v>11898.19</v>
      </c>
    </row>
    <row r="37" spans="1:19" s="55" customFormat="1" x14ac:dyDescent="0.2">
      <c r="A37" s="54"/>
      <c r="B37" s="54"/>
      <c r="C37" s="58"/>
      <c r="D37" s="784" t="s">
        <v>224</v>
      </c>
      <c r="E37" s="784"/>
      <c r="F37" s="784"/>
      <c r="G37" s="193"/>
      <c r="H37" s="193"/>
      <c r="I37" s="193"/>
      <c r="J37" s="193">
        <v>307</v>
      </c>
      <c r="K37" s="193">
        <v>1427.75</v>
      </c>
      <c r="L37" s="193"/>
      <c r="M37" s="193">
        <v>79</v>
      </c>
      <c r="O37" s="225">
        <f t="shared" si="2"/>
        <v>228</v>
      </c>
      <c r="P37" s="354">
        <f t="shared" si="3"/>
        <v>2.8860759493670884</v>
      </c>
      <c r="R37" s="587">
        <v>307</v>
      </c>
    </row>
    <row r="38" spans="1:19" s="55" customFormat="1" x14ac:dyDescent="0.2">
      <c r="A38" s="54"/>
      <c r="B38" s="54"/>
      <c r="C38" s="58" t="s">
        <v>225</v>
      </c>
      <c r="D38" s="58"/>
      <c r="E38" s="58"/>
      <c r="F38" s="58"/>
      <c r="G38" s="193">
        <v>27200</v>
      </c>
      <c r="H38" s="193">
        <v>11327</v>
      </c>
      <c r="I38" s="193"/>
      <c r="J38" s="193">
        <v>15180</v>
      </c>
      <c r="K38" s="193">
        <f>22438.68+1591</f>
        <v>24029.68</v>
      </c>
      <c r="L38" s="193"/>
      <c r="M38" s="193">
        <f>530.32+7060.24</f>
        <v>7590.5599999999995</v>
      </c>
      <c r="O38" s="225">
        <f t="shared" si="2"/>
        <v>7589.4400000000005</v>
      </c>
      <c r="P38" s="354">
        <f t="shared" si="3"/>
        <v>0.99985244830420961</v>
      </c>
      <c r="R38" s="587">
        <f>930+14250</f>
        <v>15180</v>
      </c>
    </row>
    <row r="39" spans="1:19" s="55" customFormat="1" x14ac:dyDescent="0.2">
      <c r="A39" s="54"/>
      <c r="B39" s="54"/>
      <c r="C39" s="58" t="s">
        <v>103</v>
      </c>
      <c r="D39" s="58"/>
      <c r="E39" s="58"/>
      <c r="F39" s="58"/>
      <c r="G39" s="193">
        <v>150176</v>
      </c>
      <c r="H39" s="225">
        <v>47700.27</v>
      </c>
      <c r="I39" s="225"/>
      <c r="J39" s="193">
        <f>J22</f>
        <v>10548</v>
      </c>
      <c r="K39" s="193">
        <f>K22</f>
        <v>10548</v>
      </c>
      <c r="L39" s="225"/>
      <c r="M39" s="193">
        <f>M22</f>
        <v>10548</v>
      </c>
      <c r="O39" s="225">
        <f t="shared" si="2"/>
        <v>0</v>
      </c>
      <c r="P39" s="354">
        <f t="shared" si="3"/>
        <v>0</v>
      </c>
      <c r="R39" s="587"/>
    </row>
    <row r="40" spans="1:19" s="55" customFormat="1" x14ac:dyDescent="0.2">
      <c r="A40" s="54"/>
      <c r="B40" s="54"/>
      <c r="C40" s="58" t="s">
        <v>312</v>
      </c>
      <c r="D40" s="58"/>
      <c r="E40" s="58"/>
      <c r="F40" s="58"/>
      <c r="G40" s="193"/>
      <c r="H40" s="225"/>
      <c r="I40" s="225"/>
      <c r="J40" s="193">
        <f>1268+392</f>
        <v>1660</v>
      </c>
      <c r="K40" s="193">
        <v>4497</v>
      </c>
      <c r="L40" s="225"/>
      <c r="M40" s="193">
        <v>1388</v>
      </c>
      <c r="O40" s="225">
        <f t="shared" si="2"/>
        <v>272</v>
      </c>
      <c r="P40" s="354">
        <f t="shared" si="3"/>
        <v>0.19596541786743515</v>
      </c>
      <c r="R40" s="587">
        <v>2437</v>
      </c>
    </row>
    <row r="41" spans="1:19" s="55" customFormat="1" x14ac:dyDescent="0.2">
      <c r="A41" s="54"/>
      <c r="B41" s="54"/>
      <c r="C41" s="58" t="s">
        <v>226</v>
      </c>
      <c r="D41" s="58"/>
      <c r="E41" s="58"/>
      <c r="F41" s="58"/>
      <c r="G41" s="193"/>
      <c r="H41" s="225"/>
      <c r="I41" s="225"/>
      <c r="J41" s="193">
        <v>954</v>
      </c>
      <c r="K41" s="193">
        <f>75+874</f>
        <v>949</v>
      </c>
      <c r="L41" s="225"/>
      <c r="M41" s="193">
        <f>393+75</f>
        <v>468</v>
      </c>
      <c r="O41" s="225">
        <f t="shared" si="2"/>
        <v>486</v>
      </c>
      <c r="P41" s="354">
        <f t="shared" si="3"/>
        <v>1.0384615384615385</v>
      </c>
      <c r="R41" s="587">
        <f>105+877</f>
        <v>982</v>
      </c>
      <c r="S41" s="580">
        <f>R41</f>
        <v>982</v>
      </c>
    </row>
    <row r="42" spans="1:19" s="55" customFormat="1" x14ac:dyDescent="0.2">
      <c r="A42" s="54"/>
      <c r="B42" s="54"/>
      <c r="C42" s="58" t="s">
        <v>381</v>
      </c>
      <c r="D42" s="58"/>
      <c r="E42" s="58"/>
      <c r="F42" s="58"/>
      <c r="G42" s="193">
        <v>10993.12</v>
      </c>
      <c r="H42" s="225">
        <v>4904.57</v>
      </c>
      <c r="I42" s="225"/>
      <c r="J42" s="193">
        <f>1600.82+472.16</f>
        <v>2072.98</v>
      </c>
      <c r="K42" s="193">
        <v>4436.1400000000003</v>
      </c>
      <c r="L42" s="225"/>
      <c r="M42" s="193">
        <f>18.18+1152.17</f>
        <v>1170.3500000000001</v>
      </c>
      <c r="O42" s="225">
        <f t="shared" si="2"/>
        <v>902.62999999999988</v>
      </c>
      <c r="P42" s="354">
        <f>O42/M42</f>
        <v>0.77124791728969944</v>
      </c>
      <c r="R42" s="587">
        <f>757.49+3120.83+26.18</f>
        <v>3904.4999999999995</v>
      </c>
    </row>
    <row r="43" spans="1:19" s="55" customFormat="1" x14ac:dyDescent="0.2">
      <c r="A43" s="54"/>
      <c r="B43" s="54"/>
      <c r="C43" s="58" t="s">
        <v>227</v>
      </c>
      <c r="D43" s="58"/>
      <c r="E43" s="58"/>
      <c r="F43" s="58"/>
      <c r="G43" s="193">
        <v>10250.949999999999</v>
      </c>
      <c r="H43" s="225">
        <v>3982.99</v>
      </c>
      <c r="I43" s="225"/>
      <c r="J43" s="193">
        <f>41.5+32.88</f>
        <v>74.38</v>
      </c>
      <c r="K43" s="193">
        <f>223.01+568.51</f>
        <v>791.52</v>
      </c>
      <c r="L43" s="225"/>
      <c r="M43" s="193">
        <f>11.58+94.37+34.1+4.4</f>
        <v>144.45000000000002</v>
      </c>
      <c r="O43" s="225">
        <f t="shared" si="2"/>
        <v>-70.070000000000022</v>
      </c>
      <c r="P43" s="354">
        <f>O43/M43</f>
        <v>-0.48508134302526834</v>
      </c>
      <c r="R43" s="587">
        <f>9.2+72.5+8.53+225.13</f>
        <v>315.36</v>
      </c>
      <c r="S43" s="580">
        <f>R43</f>
        <v>315.36</v>
      </c>
    </row>
    <row r="44" spans="1:19" s="55" customFormat="1" x14ac:dyDescent="0.2">
      <c r="A44" s="54"/>
      <c r="B44" s="54"/>
      <c r="C44" s="58" t="s">
        <v>121</v>
      </c>
      <c r="D44" s="58"/>
      <c r="E44" s="58"/>
      <c r="F44" s="58"/>
      <c r="G44" s="193">
        <v>4412.53</v>
      </c>
      <c r="H44" s="226">
        <v>5667</v>
      </c>
      <c r="I44" s="226"/>
      <c r="J44" s="193">
        <f>473.98+380.58+21.4+125</f>
        <v>1000.9599999999999</v>
      </c>
      <c r="K44" s="193">
        <v>1826.56</v>
      </c>
      <c r="L44" s="226"/>
      <c r="M44" s="193">
        <f>72.06+953.27</f>
        <v>1025.33</v>
      </c>
      <c r="O44" s="225">
        <f t="shared" si="2"/>
        <v>-24.370000000000005</v>
      </c>
      <c r="P44" s="354">
        <f>O44/M44</f>
        <v>-2.3767957633152259E-2</v>
      </c>
      <c r="R44" s="587">
        <f>108.49+189+1123.3</f>
        <v>1420.79</v>
      </c>
    </row>
    <row r="45" spans="1:19" s="55" customFormat="1" x14ac:dyDescent="0.2">
      <c r="A45" s="54"/>
      <c r="B45" s="54"/>
      <c r="C45" s="58" t="s">
        <v>119</v>
      </c>
      <c r="D45" s="58"/>
      <c r="E45" s="58"/>
      <c r="F45" s="58"/>
      <c r="G45" s="193">
        <v>7901</v>
      </c>
      <c r="H45" s="225">
        <v>4149.6000000000004</v>
      </c>
      <c r="I45" s="225"/>
      <c r="J45" s="193">
        <f>84.85+28.27</f>
        <v>113.11999999999999</v>
      </c>
      <c r="K45" s="193">
        <v>396.82</v>
      </c>
      <c r="L45" s="225"/>
      <c r="M45" s="193">
        <f>150.1</f>
        <v>150.1</v>
      </c>
      <c r="O45" s="225">
        <f t="shared" si="2"/>
        <v>-36.980000000000004</v>
      </c>
      <c r="P45" s="354">
        <f>O45/M45</f>
        <v>-0.24636908727514994</v>
      </c>
      <c r="R45" s="587">
        <f>0.1+152.24</f>
        <v>152.34</v>
      </c>
      <c r="S45" s="580">
        <f>R45</f>
        <v>152.34</v>
      </c>
    </row>
    <row r="46" spans="1:19" s="55" customFormat="1" hidden="1" x14ac:dyDescent="0.2">
      <c r="A46" s="54"/>
      <c r="B46" s="54"/>
      <c r="C46" s="58" t="s">
        <v>228</v>
      </c>
      <c r="D46" s="58"/>
      <c r="E46" s="58"/>
      <c r="F46" s="58"/>
      <c r="G46" s="193"/>
      <c r="H46" s="225"/>
      <c r="I46" s="225"/>
      <c r="J46" s="193"/>
      <c r="K46" s="193"/>
      <c r="L46" s="225"/>
      <c r="M46" s="193"/>
      <c r="O46" s="225">
        <f t="shared" si="2"/>
        <v>0</v>
      </c>
      <c r="P46" s="354"/>
      <c r="R46" s="587"/>
    </row>
    <row r="47" spans="1:19" s="55" customFormat="1" x14ac:dyDescent="0.2">
      <c r="A47" s="58"/>
      <c r="B47" s="58"/>
      <c r="C47" s="58" t="s">
        <v>115</v>
      </c>
      <c r="D47" s="58"/>
      <c r="E47" s="58"/>
      <c r="F47" s="58"/>
      <c r="G47" s="193">
        <v>5428.37</v>
      </c>
      <c r="H47" s="225">
        <v>2024.52</v>
      </c>
      <c r="I47" s="225"/>
      <c r="J47" s="193">
        <f>144.57+13.67</f>
        <v>158.23999999999998</v>
      </c>
      <c r="K47" s="193">
        <v>422.62</v>
      </c>
      <c r="L47" s="225"/>
      <c r="M47" s="193">
        <v>151.52000000000001</v>
      </c>
      <c r="O47" s="225">
        <f t="shared" si="2"/>
        <v>6.7199999999999704</v>
      </c>
      <c r="P47" s="354">
        <f>O47/M47</f>
        <v>4.4350580781414795E-2</v>
      </c>
      <c r="R47" s="587">
        <v>207.91</v>
      </c>
    </row>
    <row r="48" spans="1:19" s="55" customFormat="1" x14ac:dyDescent="0.2">
      <c r="A48" s="58"/>
      <c r="B48" s="58"/>
      <c r="C48" s="58" t="s">
        <v>229</v>
      </c>
      <c r="D48" s="58"/>
      <c r="E48" s="58"/>
      <c r="F48" s="58"/>
      <c r="G48" s="193">
        <v>83462.91</v>
      </c>
      <c r="H48" s="193">
        <v>18995.71</v>
      </c>
      <c r="I48" s="193"/>
      <c r="J48" s="195">
        <f>43.18+110</f>
        <v>153.18</v>
      </c>
      <c r="K48" s="195">
        <f>248.22+18.56+28.25+5</f>
        <v>300.02999999999997</v>
      </c>
      <c r="L48" s="193"/>
      <c r="M48" s="195">
        <v>58.6</v>
      </c>
      <c r="O48" s="412">
        <f t="shared" si="2"/>
        <v>94.580000000000013</v>
      </c>
      <c r="P48" s="411">
        <f>O48/M48</f>
        <v>1.6139931740614337</v>
      </c>
      <c r="R48" s="587">
        <f>25+228.45+110</f>
        <v>363.45</v>
      </c>
    </row>
    <row r="49" spans="1:21" s="55" customFormat="1" ht="21" thickBot="1" x14ac:dyDescent="0.25">
      <c r="A49" s="54"/>
      <c r="B49" s="54"/>
      <c r="C49" s="54"/>
      <c r="D49" s="54" t="s">
        <v>127</v>
      </c>
      <c r="E49" s="54"/>
      <c r="F49" s="54"/>
      <c r="G49" s="200">
        <v>1078317.8599999999</v>
      </c>
      <c r="H49" s="200">
        <v>481701.87000000005</v>
      </c>
      <c r="I49" s="193"/>
      <c r="J49" s="382">
        <f>SUM(J30:J48)</f>
        <v>174333.45999999996</v>
      </c>
      <c r="K49" s="382">
        <f>SUM(K30:K48)</f>
        <v>376252.4200000001</v>
      </c>
      <c r="L49" s="193"/>
      <c r="M49" s="382">
        <f>SUM(M30:M48)</f>
        <v>177159.27439999997</v>
      </c>
      <c r="O49" s="382">
        <f t="shared" si="2"/>
        <v>-2825.8144000000029</v>
      </c>
      <c r="P49" s="380">
        <f>O49/M49</f>
        <v>-1.5950699784532441E-2</v>
      </c>
      <c r="R49" s="587"/>
      <c r="U49" s="285"/>
    </row>
    <row r="50" spans="1:21" s="55" customFormat="1" ht="21" thickBot="1" x14ac:dyDescent="0.25">
      <c r="A50" s="54"/>
      <c r="B50" s="54"/>
      <c r="C50" s="54"/>
      <c r="D50" s="54" t="s">
        <v>128</v>
      </c>
      <c r="E50" s="54"/>
      <c r="F50" s="54"/>
      <c r="G50" s="200">
        <v>233082.39000000013</v>
      </c>
      <c r="H50" s="200">
        <v>82291.709999999905</v>
      </c>
      <c r="I50" s="193"/>
      <c r="J50" s="383" t="e">
        <f>J26-J49</f>
        <v>#REF!</v>
      </c>
      <c r="K50" s="383" t="e">
        <f>K26-K49</f>
        <v>#REF!</v>
      </c>
      <c r="L50" s="193"/>
      <c r="M50" s="383" t="e">
        <f>M26-M49</f>
        <v>#REF!</v>
      </c>
      <c r="O50" s="316" t="e">
        <f t="shared" si="2"/>
        <v>#REF!</v>
      </c>
      <c r="P50" s="380" t="e">
        <f>O50/M50</f>
        <v>#REF!</v>
      </c>
      <c r="R50" s="587">
        <f>SUM(R29:R49)</f>
        <v>167381.94999999998</v>
      </c>
    </row>
    <row r="51" spans="1:21" s="55" customFormat="1" x14ac:dyDescent="0.2">
      <c r="A51" s="54"/>
      <c r="B51" s="54"/>
      <c r="C51" s="54"/>
      <c r="D51" s="54"/>
      <c r="E51" s="54"/>
      <c r="F51" s="54"/>
      <c r="G51" s="193"/>
      <c r="H51" s="193"/>
      <c r="I51" s="193"/>
      <c r="J51" s="193"/>
      <c r="K51" s="193"/>
      <c r="L51" s="193"/>
      <c r="M51" s="193"/>
      <c r="R51" s="587"/>
    </row>
    <row r="52" spans="1:21" s="52" customFormat="1" ht="26.25" x14ac:dyDescent="0.2">
      <c r="A52" s="219"/>
      <c r="B52" s="219"/>
      <c r="C52" s="58" t="s">
        <v>264</v>
      </c>
      <c r="E52" s="58"/>
      <c r="F52" s="58"/>
      <c r="G52" s="221"/>
      <c r="H52" s="193"/>
      <c r="I52" s="193"/>
      <c r="J52" s="193"/>
      <c r="K52" s="193">
        <v>-69500</v>
      </c>
      <c r="L52" s="193"/>
      <c r="M52" s="193"/>
      <c r="O52" s="225">
        <f>J52-M52</f>
        <v>0</v>
      </c>
      <c r="P52" s="334"/>
      <c r="R52" s="587"/>
    </row>
    <row r="53" spans="1:21" s="55" customFormat="1" x14ac:dyDescent="0.2">
      <c r="A53" s="54"/>
      <c r="B53" s="54"/>
      <c r="C53" s="58" t="s">
        <v>230</v>
      </c>
      <c r="E53" s="54"/>
      <c r="G53" s="193"/>
      <c r="H53" s="193"/>
      <c r="I53" s="193"/>
      <c r="J53" s="193">
        <f>J38</f>
        <v>15180</v>
      </c>
      <c r="K53" s="193">
        <f>K38</f>
        <v>24029.68</v>
      </c>
      <c r="L53" s="193"/>
      <c r="M53" s="193">
        <f>M38</f>
        <v>7590.5599999999995</v>
      </c>
      <c r="O53" s="225">
        <f>J53-M53</f>
        <v>7589.4400000000005</v>
      </c>
      <c r="P53" s="334">
        <v>3.5414486921529216E-2</v>
      </c>
      <c r="R53" s="587"/>
    </row>
    <row r="54" spans="1:21" s="55" customFormat="1" ht="24" thickBot="1" x14ac:dyDescent="0.25">
      <c r="A54" s="54"/>
      <c r="B54" s="222"/>
      <c r="C54" s="54"/>
      <c r="D54" s="787" t="s">
        <v>231</v>
      </c>
      <c r="E54" s="787"/>
      <c r="F54" s="787"/>
      <c r="G54" s="193"/>
      <c r="H54" s="193"/>
      <c r="I54" s="193"/>
      <c r="J54" s="384" t="e">
        <f>J50+J52+J53</f>
        <v>#REF!</v>
      </c>
      <c r="K54" s="384" t="e">
        <f>K50+K52+K53</f>
        <v>#REF!</v>
      </c>
      <c r="L54" s="202"/>
      <c r="M54" s="384" t="e">
        <f>M50+M52+M53</f>
        <v>#REF!</v>
      </c>
      <c r="N54" s="318"/>
      <c r="O54" s="381" t="e">
        <f>J54-M54</f>
        <v>#REF!</v>
      </c>
      <c r="P54" s="407">
        <v>2.1062768618503362E-2</v>
      </c>
      <c r="R54" s="587"/>
    </row>
    <row r="55" spans="1:21" s="55" customFormat="1" ht="42" customHeight="1" thickTop="1" x14ac:dyDescent="0.2">
      <c r="A55" s="54"/>
      <c r="B55" s="54"/>
      <c r="C55" s="54"/>
      <c r="D55" s="54"/>
      <c r="E55" s="54"/>
      <c r="F55" s="54"/>
      <c r="G55" s="193"/>
      <c r="H55" s="193"/>
      <c r="I55" s="193"/>
      <c r="J55" s="193"/>
      <c r="K55" s="193"/>
      <c r="L55" s="193"/>
      <c r="M55" s="193"/>
      <c r="R55" s="587"/>
    </row>
    <row r="56" spans="1:21" s="55" customFormat="1" x14ac:dyDescent="0.2">
      <c r="A56" s="58"/>
      <c r="B56" s="58"/>
      <c r="C56" s="58"/>
      <c r="D56" s="58"/>
      <c r="F56" s="58" t="s">
        <v>308</v>
      </c>
      <c r="G56" s="202"/>
      <c r="H56" s="193"/>
      <c r="I56" s="193"/>
      <c r="J56" s="193">
        <v>62742</v>
      </c>
      <c r="K56" s="193">
        <v>227723</v>
      </c>
      <c r="L56" s="193"/>
      <c r="M56" s="193">
        <v>74506</v>
      </c>
      <c r="O56" s="204"/>
      <c r="R56" s="587"/>
    </row>
    <row r="57" spans="1:21" s="55" customFormat="1" ht="21" thickBot="1" x14ac:dyDescent="0.25">
      <c r="A57" s="58"/>
      <c r="B57" s="58"/>
      <c r="C57" s="58"/>
      <c r="D57" s="58"/>
      <c r="F57" s="58" t="s">
        <v>313</v>
      </c>
      <c r="G57" s="193"/>
      <c r="H57" s="193"/>
      <c r="I57" s="193"/>
      <c r="J57" s="493">
        <f>(J49-J38-J39)/J56</f>
        <v>2.3685164642504217</v>
      </c>
      <c r="K57" s="493">
        <f>(K49-K38-K39)/K56</f>
        <v>1.5003962709080774</v>
      </c>
      <c r="L57" s="494"/>
      <c r="M57" s="493">
        <f>(M49-M38-M39)/M56</f>
        <v>2.1343343408584539</v>
      </c>
      <c r="R57" s="587"/>
    </row>
    <row r="58" spans="1:21" s="55" customFormat="1" x14ac:dyDescent="0.2">
      <c r="A58" s="58"/>
      <c r="B58" s="58"/>
      <c r="C58" s="58"/>
      <c r="D58" s="58"/>
      <c r="F58" s="58"/>
      <c r="G58" s="193"/>
      <c r="H58" s="193"/>
      <c r="I58" s="193"/>
      <c r="J58" s="193"/>
      <c r="K58" s="193"/>
      <c r="L58" s="193"/>
      <c r="M58" s="193"/>
      <c r="R58" s="587"/>
    </row>
    <row r="59" spans="1:21" s="55" customFormat="1" x14ac:dyDescent="0.2">
      <c r="A59" s="58"/>
      <c r="B59" s="58"/>
      <c r="C59" s="58"/>
      <c r="D59" s="58"/>
      <c r="F59" s="58" t="s">
        <v>309</v>
      </c>
      <c r="G59" s="193"/>
      <c r="H59" s="193"/>
      <c r="I59" s="193"/>
      <c r="J59" s="193">
        <v>4125</v>
      </c>
      <c r="K59" s="193">
        <v>16457</v>
      </c>
      <c r="L59" s="193"/>
      <c r="M59" s="193">
        <v>5516</v>
      </c>
      <c r="P59" s="204"/>
      <c r="R59" s="587"/>
    </row>
    <row r="60" spans="1:21" s="55" customFormat="1" ht="21" thickBot="1" x14ac:dyDescent="0.25">
      <c r="A60" s="58"/>
      <c r="B60" s="58"/>
      <c r="C60" s="58"/>
      <c r="D60" s="58"/>
      <c r="F60" s="58" t="s">
        <v>370</v>
      </c>
      <c r="G60" s="193"/>
      <c r="H60" s="193"/>
      <c r="I60" s="193"/>
      <c r="J60" s="493">
        <f>(J49-J38-J39)/J59</f>
        <v>36.025566060606053</v>
      </c>
      <c r="K60" s="493">
        <f>(K49-K38-K39)/K59</f>
        <v>20.761666160296535</v>
      </c>
      <c r="L60" s="193"/>
      <c r="M60" s="493">
        <f>(M49-M38-M39)/M59</f>
        <v>28.828991007976789</v>
      </c>
      <c r="R60" s="587"/>
    </row>
    <row r="61" spans="1:21" s="55" customFormat="1" x14ac:dyDescent="0.2">
      <c r="A61" s="58"/>
      <c r="B61" s="58"/>
      <c r="C61" s="58"/>
      <c r="D61" s="58"/>
      <c r="F61" s="58"/>
      <c r="G61" s="193"/>
      <c r="H61" s="193"/>
      <c r="I61" s="193"/>
      <c r="J61" s="193"/>
      <c r="K61" s="193"/>
      <c r="L61" s="193"/>
      <c r="M61" s="193"/>
      <c r="R61" s="587"/>
    </row>
    <row r="62" spans="1:21" s="55" customFormat="1" x14ac:dyDescent="0.2">
      <c r="A62" s="58"/>
      <c r="B62" s="58"/>
      <c r="C62" s="54"/>
      <c r="D62" s="58"/>
      <c r="F62" s="58" t="s">
        <v>310</v>
      </c>
      <c r="G62" s="193"/>
      <c r="H62" s="193"/>
      <c r="I62" s="193"/>
      <c r="J62" s="193">
        <v>1517</v>
      </c>
      <c r="K62" s="193">
        <v>7208</v>
      </c>
      <c r="L62" s="193"/>
      <c r="M62" s="193">
        <v>2389</v>
      </c>
      <c r="R62" s="587"/>
    </row>
    <row r="63" spans="1:21" s="55" customFormat="1" ht="21" thickBot="1" x14ac:dyDescent="0.25">
      <c r="A63" s="58"/>
      <c r="B63" s="58"/>
      <c r="C63" s="58"/>
      <c r="D63" s="58"/>
      <c r="E63" s="58"/>
      <c r="F63" s="58" t="s">
        <v>371</v>
      </c>
      <c r="G63" s="193"/>
      <c r="H63" s="193"/>
      <c r="I63" s="193"/>
      <c r="J63" s="493">
        <f>J9/J62</f>
        <v>27.359485827290705</v>
      </c>
      <c r="K63" s="493">
        <f>K9/K62</f>
        <v>22.020116537180911</v>
      </c>
      <c r="L63" s="193"/>
      <c r="M63" s="493">
        <f>M9/M62</f>
        <v>32.932381749686066</v>
      </c>
      <c r="R63" s="587"/>
    </row>
    <row r="64" spans="1:21" s="55" customFormat="1" x14ac:dyDescent="0.2">
      <c r="A64" s="58"/>
      <c r="B64" s="58"/>
      <c r="C64" s="54"/>
      <c r="D64" s="54"/>
      <c r="G64" s="193"/>
      <c r="H64" s="193"/>
      <c r="I64" s="193"/>
      <c r="J64" s="193"/>
      <c r="K64" s="193"/>
      <c r="L64" s="193"/>
      <c r="M64" s="193"/>
      <c r="R64" s="587"/>
    </row>
    <row r="65" spans="1:18" s="55" customFormat="1" x14ac:dyDescent="0.2">
      <c r="A65" s="58"/>
      <c r="B65" s="58"/>
      <c r="C65" s="58"/>
      <c r="D65" s="58"/>
      <c r="E65" s="58"/>
      <c r="F65" s="58"/>
      <c r="G65" s="193"/>
      <c r="H65" s="193"/>
      <c r="I65" s="193"/>
      <c r="J65" s="193"/>
      <c r="K65" s="193"/>
      <c r="L65" s="193"/>
      <c r="M65" s="193"/>
      <c r="R65" s="587"/>
    </row>
    <row r="66" spans="1:18" s="55" customFormat="1" x14ac:dyDescent="0.2">
      <c r="A66" s="58"/>
      <c r="B66" s="58"/>
      <c r="C66" s="58"/>
      <c r="D66" s="58"/>
      <c r="E66" s="58"/>
      <c r="F66" s="58"/>
      <c r="G66" s="193"/>
      <c r="H66" s="193"/>
      <c r="I66" s="193"/>
      <c r="J66" s="193"/>
      <c r="K66" s="193"/>
      <c r="L66" s="193"/>
      <c r="M66" s="193"/>
      <c r="R66" s="587"/>
    </row>
    <row r="67" spans="1:18" s="55" customFormat="1" x14ac:dyDescent="0.2">
      <c r="A67" s="58"/>
      <c r="B67" s="58"/>
      <c r="C67" s="54"/>
      <c r="D67" s="58"/>
      <c r="F67" s="58"/>
      <c r="G67" s="193"/>
      <c r="H67" s="193"/>
      <c r="I67" s="193"/>
      <c r="J67" s="193"/>
      <c r="K67" s="193"/>
      <c r="L67" s="193"/>
      <c r="M67" s="193"/>
      <c r="R67" s="587"/>
    </row>
    <row r="68" spans="1:18" s="55" customFormat="1" x14ac:dyDescent="0.2">
      <c r="A68" s="58"/>
      <c r="B68" s="58"/>
      <c r="C68" s="58"/>
      <c r="D68" s="58"/>
      <c r="E68" s="58"/>
      <c r="F68" s="58"/>
      <c r="G68" s="193"/>
      <c r="H68" s="193"/>
      <c r="I68" s="193"/>
      <c r="J68" s="193"/>
      <c r="K68" s="193"/>
      <c r="L68" s="193"/>
      <c r="M68" s="193"/>
      <c r="R68" s="587"/>
    </row>
    <row r="69" spans="1:18" s="55" customFormat="1" x14ac:dyDescent="0.2">
      <c r="A69" s="54"/>
      <c r="B69" s="54"/>
      <c r="C69" s="54"/>
      <c r="D69" s="54"/>
      <c r="E69" s="54"/>
      <c r="F69" s="54"/>
      <c r="G69" s="196"/>
      <c r="H69" s="196"/>
      <c r="I69" s="196"/>
      <c r="J69" s="196"/>
      <c r="K69" s="196"/>
      <c r="L69" s="196"/>
      <c r="M69" s="196"/>
      <c r="R69" s="587"/>
    </row>
    <row r="70" spans="1:18" s="55" customFormat="1" x14ac:dyDescent="0.2">
      <c r="A70" s="54"/>
      <c r="B70" s="54"/>
      <c r="C70" s="54"/>
      <c r="D70" s="54"/>
      <c r="E70" s="54"/>
      <c r="F70" s="54"/>
      <c r="G70" s="196"/>
      <c r="H70" s="196"/>
      <c r="I70" s="196"/>
      <c r="J70" s="196"/>
      <c r="K70" s="196"/>
      <c r="L70" s="196"/>
      <c r="M70" s="196"/>
      <c r="R70" s="587"/>
    </row>
    <row r="71" spans="1:18" s="55" customFormat="1" ht="23.25" x14ac:dyDescent="0.2">
      <c r="A71" s="54"/>
      <c r="B71" s="222"/>
      <c r="C71" s="54"/>
      <c r="D71" s="54"/>
      <c r="E71" s="54"/>
      <c r="F71" s="54"/>
      <c r="G71" s="193"/>
      <c r="H71" s="193"/>
      <c r="I71" s="193"/>
      <c r="J71" s="193"/>
      <c r="K71" s="193"/>
      <c r="L71" s="193"/>
      <c r="M71" s="193"/>
      <c r="R71" s="587"/>
    </row>
    <row r="72" spans="1:18" s="55" customFormat="1" x14ac:dyDescent="0.2">
      <c r="A72" s="58"/>
      <c r="B72" s="58"/>
      <c r="D72" s="58"/>
      <c r="E72" s="58"/>
      <c r="F72" s="58"/>
      <c r="G72" s="193"/>
      <c r="H72" s="193"/>
      <c r="I72" s="193"/>
      <c r="J72" s="193"/>
      <c r="K72" s="193"/>
      <c r="L72" s="193"/>
      <c r="M72" s="193"/>
      <c r="R72" s="587"/>
    </row>
    <row r="73" spans="1:18" s="55" customFormat="1" x14ac:dyDescent="0.2">
      <c r="A73" s="58"/>
      <c r="B73" s="58"/>
      <c r="D73" s="58"/>
      <c r="E73" s="58"/>
      <c r="F73" s="58"/>
      <c r="G73" s="193"/>
      <c r="H73" s="193"/>
      <c r="I73" s="193"/>
      <c r="J73" s="193"/>
      <c r="K73" s="193"/>
      <c r="L73" s="193"/>
      <c r="M73" s="193"/>
      <c r="R73" s="587"/>
    </row>
    <row r="74" spans="1:18" s="55" customFormat="1" x14ac:dyDescent="0.2">
      <c r="A74" s="54"/>
      <c r="B74" s="54"/>
      <c r="D74" s="58"/>
      <c r="E74" s="54"/>
      <c r="F74" s="54"/>
      <c r="G74" s="193"/>
      <c r="H74" s="193"/>
      <c r="I74" s="193"/>
      <c r="J74" s="193"/>
      <c r="K74" s="193"/>
      <c r="L74" s="193"/>
      <c r="M74" s="193"/>
      <c r="R74" s="587"/>
    </row>
    <row r="75" spans="1:18" s="55" customFormat="1" ht="23.25" x14ac:dyDescent="0.2">
      <c r="A75" s="54"/>
      <c r="B75" s="222"/>
      <c r="C75" s="54"/>
      <c r="D75" s="54"/>
      <c r="E75" s="54"/>
      <c r="F75" s="54"/>
      <c r="G75" s="196"/>
      <c r="H75" s="196"/>
      <c r="I75" s="196"/>
      <c r="J75" s="196"/>
      <c r="K75" s="196"/>
      <c r="L75" s="196"/>
      <c r="M75" s="196"/>
      <c r="R75" s="587"/>
    </row>
    <row r="76" spans="1:18" s="55" customFormat="1" x14ac:dyDescent="0.2">
      <c r="A76" s="54"/>
      <c r="B76" s="54"/>
      <c r="C76" s="54"/>
      <c r="D76" s="54"/>
      <c r="E76" s="54"/>
      <c r="F76" s="54"/>
      <c r="G76" s="193"/>
      <c r="H76" s="193"/>
      <c r="I76" s="193"/>
      <c r="J76" s="193"/>
      <c r="K76" s="193"/>
      <c r="L76" s="193"/>
      <c r="M76" s="193"/>
      <c r="R76" s="587"/>
    </row>
    <row r="77" spans="1:18" s="62" customFormat="1" ht="26.25" x14ac:dyDescent="0.2">
      <c r="A77" s="219"/>
      <c r="B77" s="219"/>
      <c r="C77" s="219"/>
      <c r="D77" s="219"/>
      <c r="E77" s="219"/>
      <c r="F77" s="219"/>
      <c r="G77" s="220"/>
      <c r="H77" s="196"/>
      <c r="I77" s="196"/>
      <c r="J77" s="196"/>
      <c r="K77" s="196"/>
      <c r="L77" s="196"/>
      <c r="M77" s="196"/>
      <c r="R77" s="588"/>
    </row>
    <row r="78" spans="1:18" x14ac:dyDescent="0.3">
      <c r="H78" s="227"/>
      <c r="I78" s="227"/>
      <c r="J78" s="227"/>
      <c r="K78" s="227"/>
      <c r="L78" s="227"/>
      <c r="M78" s="227"/>
    </row>
    <row r="79" spans="1:18" x14ac:dyDescent="0.3">
      <c r="H79" s="227"/>
      <c r="I79" s="227"/>
      <c r="J79" s="227"/>
      <c r="K79" s="227"/>
      <c r="L79" s="227"/>
      <c r="M79" s="227"/>
    </row>
    <row r="80" spans="1:18" x14ac:dyDescent="0.3">
      <c r="H80" s="227"/>
      <c r="I80" s="227"/>
      <c r="J80" s="227"/>
      <c r="K80" s="227"/>
      <c r="L80" s="227"/>
      <c r="M80" s="227"/>
    </row>
    <row r="81" spans="8:13" x14ac:dyDescent="0.3">
      <c r="H81" s="224"/>
      <c r="I81" s="224"/>
      <c r="J81" s="224"/>
      <c r="K81" s="224"/>
      <c r="L81" s="224"/>
      <c r="M81" s="22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376</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2" t="s">
        <v>49</v>
      </c>
      <c r="K6" s="782"/>
      <c r="L6" s="782"/>
      <c r="M6" s="782"/>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v>43830</v>
      </c>
      <c r="K8" s="544">
        <f>'December''23 State of Activities'!H8</f>
        <v>44926</v>
      </c>
      <c r="L8" s="271"/>
      <c r="M8" s="231">
        <v>44196</v>
      </c>
      <c r="O8" s="847" t="s">
        <v>379</v>
      </c>
      <c r="P8" s="847"/>
    </row>
    <row r="9" spans="1:61" s="55" customFormat="1" ht="20.25" x14ac:dyDescent="0.2">
      <c r="A9" s="54"/>
      <c r="B9" s="54"/>
      <c r="C9" s="58" t="s">
        <v>149</v>
      </c>
      <c r="D9" s="58"/>
      <c r="E9" s="58"/>
      <c r="F9" s="54"/>
      <c r="G9" s="193">
        <v>127719</v>
      </c>
      <c r="H9" s="193">
        <v>67566.5</v>
      </c>
      <c r="I9" s="193"/>
      <c r="J9" s="202">
        <v>160000</v>
      </c>
      <c r="K9" s="202">
        <f>'December''23 State of Activities'!H10</f>
        <v>84477.91</v>
      </c>
      <c r="L9" s="202"/>
      <c r="M9" s="202">
        <v>160000</v>
      </c>
      <c r="O9" s="317">
        <f>M9-J9</f>
        <v>0</v>
      </c>
      <c r="P9" s="334">
        <f>O9/M9</f>
        <v>0</v>
      </c>
    </row>
    <row r="10" spans="1:61" s="55" customFormat="1" ht="20.25" x14ac:dyDescent="0.2">
      <c r="A10" s="54"/>
      <c r="B10" s="54"/>
      <c r="C10" s="58" t="s">
        <v>213</v>
      </c>
      <c r="D10" s="58"/>
      <c r="E10" s="58"/>
      <c r="F10" s="54"/>
      <c r="G10" s="202">
        <v>875436</v>
      </c>
      <c r="H10" s="202">
        <v>372424.1</v>
      </c>
      <c r="I10" s="202"/>
      <c r="J10" s="193">
        <v>5000</v>
      </c>
      <c r="K10" s="193">
        <f>10471.96+(5268.48+3381.01)*1.14</f>
        <v>20332.378599999996</v>
      </c>
      <c r="L10" s="202"/>
      <c r="M10" s="193">
        <v>10000</v>
      </c>
      <c r="O10" s="409">
        <f>M10-J10</f>
        <v>5000</v>
      </c>
      <c r="P10" s="354">
        <f>O10/M10</f>
        <v>0.5</v>
      </c>
    </row>
    <row r="11" spans="1:61" s="55" customFormat="1" ht="20.25" x14ac:dyDescent="0.2">
      <c r="A11" s="54"/>
      <c r="B11" s="54"/>
      <c r="C11" s="58" t="s">
        <v>101</v>
      </c>
      <c r="D11" s="58"/>
      <c r="E11" s="58"/>
      <c r="F11" s="54"/>
      <c r="G11" s="193"/>
      <c r="H11" s="193"/>
      <c r="I11" s="193"/>
      <c r="J11" s="193"/>
      <c r="K11" s="193"/>
      <c r="L11" s="193"/>
      <c r="M11" s="193"/>
      <c r="O11" s="409"/>
      <c r="P11" s="344"/>
    </row>
    <row r="12" spans="1:61" s="55" customFormat="1" ht="20.25" x14ac:dyDescent="0.2">
      <c r="A12" s="54"/>
      <c r="B12" s="54"/>
      <c r="D12" s="58" t="s">
        <v>214</v>
      </c>
      <c r="E12" s="58"/>
      <c r="F12" s="54"/>
      <c r="G12" s="193">
        <v>94235.25</v>
      </c>
      <c r="H12" s="193">
        <v>37190.379999999997</v>
      </c>
      <c r="I12" s="193"/>
      <c r="J12" s="193">
        <f>3708.33*12</f>
        <v>44499.96</v>
      </c>
      <c r="K12" s="193">
        <f>3541.67*12</f>
        <v>42500.04</v>
      </c>
      <c r="L12" s="193"/>
      <c r="M12" s="193">
        <v>44500</v>
      </c>
      <c r="O12" s="409">
        <f t="shared" ref="O12:O19" si="0">M12-J12</f>
        <v>4.0000000000873115E-2</v>
      </c>
      <c r="P12" s="354">
        <f t="shared" ref="P12:P18" si="1">O12/M12</f>
        <v>8.9887640451400261E-7</v>
      </c>
      <c r="R12" s="385"/>
      <c r="S12" s="386"/>
      <c r="T12" s="385"/>
      <c r="U12" s="385"/>
    </row>
    <row r="13" spans="1:61" s="55" customFormat="1" ht="20.25" x14ac:dyDescent="0.2">
      <c r="A13" s="54"/>
      <c r="B13" s="54"/>
      <c r="D13" s="58" t="s">
        <v>158</v>
      </c>
      <c r="E13" s="58"/>
      <c r="F13" s="54"/>
      <c r="G13" s="193"/>
      <c r="H13" s="193"/>
      <c r="I13" s="193"/>
      <c r="J13" s="193">
        <v>13000</v>
      </c>
      <c r="K13" s="193">
        <f>750*12</f>
        <v>9000</v>
      </c>
      <c r="L13" s="193"/>
      <c r="M13" s="193">
        <v>18000</v>
      </c>
      <c r="O13" s="409">
        <f t="shared" si="0"/>
        <v>5000</v>
      </c>
      <c r="P13" s="354">
        <f t="shared" si="1"/>
        <v>0.27777777777777779</v>
      </c>
      <c r="S13" s="318"/>
      <c r="T13" s="387"/>
      <c r="U13" s="304"/>
    </row>
    <row r="14" spans="1:61" s="55" customFormat="1" ht="20.25" x14ac:dyDescent="0.2">
      <c r="A14" s="54"/>
      <c r="B14" s="54"/>
      <c r="C14" s="58" t="s">
        <v>102</v>
      </c>
      <c r="D14" s="58"/>
      <c r="E14" s="58"/>
      <c r="F14" s="54"/>
      <c r="G14" s="193">
        <v>0</v>
      </c>
      <c r="H14" s="193">
        <v>3517</v>
      </c>
      <c r="I14" s="193"/>
      <c r="J14" s="193">
        <v>15000</v>
      </c>
      <c r="K14" s="193">
        <f>'December''23 State of Activities'!H18</f>
        <v>17485.37</v>
      </c>
      <c r="L14" s="193"/>
      <c r="M14" s="193">
        <v>20000</v>
      </c>
      <c r="O14" s="409">
        <f t="shared" si="0"/>
        <v>5000</v>
      </c>
      <c r="P14" s="354">
        <f t="shared" si="1"/>
        <v>0.25</v>
      </c>
      <c r="S14" s="318"/>
      <c r="T14" s="387"/>
      <c r="U14" s="304"/>
    </row>
    <row r="15" spans="1:61" s="55" customFormat="1" ht="20.25" x14ac:dyDescent="0.2">
      <c r="A15" s="54"/>
      <c r="B15" s="54"/>
      <c r="C15" s="58" t="s">
        <v>377</v>
      </c>
      <c r="D15" s="58"/>
      <c r="E15" s="58"/>
      <c r="F15" s="54"/>
      <c r="G15" s="193">
        <v>31459</v>
      </c>
      <c r="H15" s="193">
        <v>13920.35</v>
      </c>
      <c r="I15" s="193"/>
      <c r="J15" s="193">
        <v>25000</v>
      </c>
      <c r="K15" s="193">
        <v>25000</v>
      </c>
      <c r="L15" s="193"/>
      <c r="M15" s="193">
        <v>25000</v>
      </c>
      <c r="O15" s="409">
        <f t="shared" si="0"/>
        <v>0</v>
      </c>
      <c r="P15" s="354">
        <f t="shared" si="1"/>
        <v>0</v>
      </c>
      <c r="S15" s="318"/>
      <c r="T15" s="387"/>
      <c r="U15" s="304"/>
    </row>
    <row r="16" spans="1:61" s="55" customFormat="1" ht="20.25" x14ac:dyDescent="0.2">
      <c r="A16" s="54"/>
      <c r="B16" s="54"/>
      <c r="C16" s="58" t="s">
        <v>378</v>
      </c>
      <c r="D16" s="58"/>
      <c r="E16" s="58"/>
      <c r="F16" s="54"/>
      <c r="G16" s="193"/>
      <c r="H16" s="193"/>
      <c r="I16" s="193"/>
      <c r="J16" s="193">
        <v>20000</v>
      </c>
      <c r="K16" s="193"/>
      <c r="L16" s="193"/>
      <c r="M16" s="193">
        <v>15000</v>
      </c>
      <c r="O16" s="409">
        <f t="shared" si="0"/>
        <v>-5000</v>
      </c>
      <c r="P16" s="354">
        <f t="shared" si="1"/>
        <v>-0.33333333333333331</v>
      </c>
      <c r="S16" s="318"/>
      <c r="T16" s="387"/>
      <c r="U16" s="304"/>
    </row>
    <row r="17" spans="1:21" s="55" customFormat="1" ht="20.25" x14ac:dyDescent="0.2">
      <c r="A17" s="54"/>
      <c r="B17" s="54"/>
      <c r="C17" s="58" t="s">
        <v>334</v>
      </c>
      <c r="D17" s="58"/>
      <c r="E17" s="58"/>
      <c r="F17" s="54"/>
      <c r="G17" s="193"/>
      <c r="H17" s="193"/>
      <c r="I17" s="193"/>
      <c r="J17" s="193">
        <v>2000</v>
      </c>
      <c r="K17" s="193"/>
      <c r="L17" s="193"/>
      <c r="M17" s="193">
        <v>1000</v>
      </c>
      <c r="O17" s="409">
        <f t="shared" si="0"/>
        <v>-1000</v>
      </c>
      <c r="P17" s="354">
        <f t="shared" si="1"/>
        <v>-1</v>
      </c>
      <c r="S17" s="318"/>
      <c r="T17" s="387"/>
      <c r="U17" s="304"/>
    </row>
    <row r="18" spans="1:21" s="55" customFormat="1" ht="20.25" x14ac:dyDescent="0.2">
      <c r="A18" s="54"/>
      <c r="B18" s="54"/>
      <c r="C18" s="784" t="s">
        <v>337</v>
      </c>
      <c r="D18" s="784"/>
      <c r="E18" s="784"/>
      <c r="F18" s="784"/>
      <c r="G18" s="193"/>
      <c r="H18" s="193"/>
      <c r="I18" s="193"/>
      <c r="J18" s="193">
        <v>2000</v>
      </c>
      <c r="K18" s="193"/>
      <c r="L18" s="193"/>
      <c r="M18" s="193">
        <v>3000</v>
      </c>
      <c r="O18" s="409">
        <f t="shared" si="0"/>
        <v>1000</v>
      </c>
      <c r="P18" s="354">
        <f t="shared" si="1"/>
        <v>0.33333333333333331</v>
      </c>
      <c r="S18" s="318"/>
      <c r="T18" s="387"/>
      <c r="U18" s="304"/>
    </row>
    <row r="19" spans="1:21" s="55" customFormat="1" ht="20.25" x14ac:dyDescent="0.2">
      <c r="A19" s="54"/>
      <c r="B19" s="54"/>
      <c r="C19" s="58" t="s">
        <v>380</v>
      </c>
      <c r="D19" s="58"/>
      <c r="E19" s="58"/>
      <c r="F19" s="54"/>
      <c r="G19" s="193">
        <v>1125</v>
      </c>
      <c r="H19" s="193">
        <v>6050</v>
      </c>
      <c r="I19" s="193"/>
      <c r="J19" s="193">
        <v>2000</v>
      </c>
      <c r="K19" s="193" t="e">
        <f>'December''23 State of Activities'!#REF!</f>
        <v>#REF!</v>
      </c>
      <c r="L19" s="193"/>
      <c r="M19" s="193" t="e">
        <f>'December''23 State of Activities'!#REF!</f>
        <v>#REF!</v>
      </c>
      <c r="O19" s="409" t="e">
        <f t="shared" si="0"/>
        <v>#REF!</v>
      </c>
      <c r="P19" s="354"/>
    </row>
    <row r="20" spans="1:21" s="55" customFormat="1" ht="20.25" x14ac:dyDescent="0.2">
      <c r="A20" s="54"/>
      <c r="B20" s="54"/>
      <c r="C20" s="784" t="s">
        <v>335</v>
      </c>
      <c r="D20" s="784"/>
      <c r="E20" s="784"/>
      <c r="F20" s="784"/>
      <c r="G20" s="193"/>
      <c r="H20" s="193"/>
      <c r="I20" s="193"/>
      <c r="J20" s="193"/>
      <c r="K20" s="193">
        <v>659.25</v>
      </c>
      <c r="L20" s="193"/>
      <c r="M20" s="193"/>
      <c r="O20" s="409">
        <f>J20-M20</f>
        <v>0</v>
      </c>
      <c r="P20" s="354"/>
    </row>
    <row r="21" spans="1:21" s="55" customFormat="1" ht="21" thickBot="1" x14ac:dyDescent="0.25">
      <c r="A21" s="54"/>
      <c r="B21" s="54"/>
      <c r="C21" s="58" t="s">
        <v>216</v>
      </c>
      <c r="D21" s="58"/>
      <c r="E21" s="58"/>
      <c r="F21" s="54"/>
      <c r="G21" s="200">
        <v>31250</v>
      </c>
      <c r="H21" s="200">
        <v>15624.98</v>
      </c>
      <c r="I21" s="193"/>
      <c r="J21" s="200">
        <v>9315</v>
      </c>
      <c r="K21" s="200">
        <f>'December''23 State of Activities'!H26*0.2</f>
        <v>10548</v>
      </c>
      <c r="L21" s="193"/>
      <c r="M21" s="200">
        <v>9315</v>
      </c>
      <c r="O21" s="410">
        <f>J21-M21</f>
        <v>0</v>
      </c>
      <c r="P21" s="335">
        <v>0</v>
      </c>
    </row>
    <row r="22" spans="1:21" s="55" customFormat="1" ht="20.25" x14ac:dyDescent="0.2">
      <c r="A22" s="54"/>
      <c r="B22" s="54"/>
      <c r="C22" s="58"/>
      <c r="D22" s="54" t="s">
        <v>104</v>
      </c>
      <c r="E22" s="58"/>
      <c r="F22" s="54"/>
      <c r="G22" s="193">
        <v>1161224.25</v>
      </c>
      <c r="H22" s="193">
        <v>516293.30999999994</v>
      </c>
      <c r="I22" s="193"/>
      <c r="J22" s="193">
        <f>SUM(J9:J21)</f>
        <v>297814.95999999996</v>
      </c>
      <c r="K22" s="193" t="e">
        <f>SUM(K9:K21)</f>
        <v>#REF!</v>
      </c>
      <c r="L22" s="193"/>
      <c r="M22" s="193" t="e">
        <f>SUM(M9:M21)</f>
        <v>#REF!</v>
      </c>
      <c r="O22" s="225" t="e">
        <f>SUM(O9:O21)</f>
        <v>#REF!</v>
      </c>
      <c r="P22" s="354" t="e">
        <f>O22/M22</f>
        <v>#REF!</v>
      </c>
    </row>
    <row r="23" spans="1:21" s="55" customFormat="1" ht="21" thickBot="1" x14ac:dyDescent="0.25">
      <c r="A23" s="54"/>
      <c r="B23" s="54"/>
      <c r="C23" s="54" t="s">
        <v>217</v>
      </c>
      <c r="D23" s="58"/>
      <c r="E23" s="58"/>
      <c r="F23" s="54"/>
      <c r="G23" s="200">
        <v>150176</v>
      </c>
      <c r="H23" s="200">
        <v>47700.27</v>
      </c>
      <c r="I23" s="193"/>
      <c r="J23" s="193">
        <v>19000</v>
      </c>
      <c r="K23" s="193">
        <v>19000</v>
      </c>
      <c r="L23" s="193"/>
      <c r="M23" s="193">
        <v>19000</v>
      </c>
      <c r="O23" s="409">
        <f>J23-M23</f>
        <v>0</v>
      </c>
      <c r="P23" s="334">
        <f>O23/M23</f>
        <v>0</v>
      </c>
    </row>
    <row r="24" spans="1:21" s="55" customFormat="1" ht="21" thickBot="1" x14ac:dyDescent="0.25">
      <c r="A24" s="54"/>
      <c r="B24" s="54"/>
      <c r="C24" s="54" t="s">
        <v>218</v>
      </c>
      <c r="D24" s="58"/>
      <c r="E24" s="58"/>
      <c r="F24" s="54"/>
      <c r="G24" s="193"/>
      <c r="H24" s="193"/>
      <c r="I24" s="193"/>
      <c r="J24" s="200">
        <v>40000</v>
      </c>
      <c r="K24" s="200">
        <v>37641.19</v>
      </c>
      <c r="L24" s="193"/>
      <c r="M24" s="200">
        <v>38000</v>
      </c>
      <c r="O24" s="316">
        <f>M24-J24</f>
        <v>-2000</v>
      </c>
      <c r="P24" s="380">
        <f>O24/M24</f>
        <v>-5.2631578947368418E-2</v>
      </c>
    </row>
    <row r="25" spans="1:21" s="55" customFormat="1" ht="20.25" x14ac:dyDescent="0.2">
      <c r="A25" s="54"/>
      <c r="B25" s="54"/>
      <c r="C25" s="58"/>
      <c r="D25" s="54" t="s">
        <v>106</v>
      </c>
      <c r="E25" s="58"/>
      <c r="F25" s="54"/>
      <c r="G25" s="193">
        <v>1311400.25</v>
      </c>
      <c r="H25" s="193">
        <v>563993.57999999996</v>
      </c>
      <c r="I25" s="193"/>
      <c r="J25" s="193">
        <f>SUM(J22:J24)</f>
        <v>356814.95999999996</v>
      </c>
      <c r="K25" s="193" t="e">
        <f>SUM(K22:K24)</f>
        <v>#REF!</v>
      </c>
      <c r="L25" s="193"/>
      <c r="M25" s="193" t="e">
        <f>SUM(M22:M24)</f>
        <v>#REF!</v>
      </c>
      <c r="O25" s="225" t="e">
        <f>M25-J25</f>
        <v>#REF!</v>
      </c>
      <c r="P25" s="354" t="e">
        <f>O25/M25</f>
        <v>#REF!</v>
      </c>
    </row>
    <row r="26" spans="1:21" s="55" customFormat="1" ht="20.25" x14ac:dyDescent="0.2">
      <c r="A26" s="54"/>
      <c r="B26" s="54"/>
      <c r="C26" s="58"/>
      <c r="D26" s="54"/>
      <c r="E26" s="58"/>
      <c r="F26" s="54"/>
      <c r="G26" s="193"/>
      <c r="H26" s="193"/>
      <c r="I26" s="193"/>
      <c r="J26" s="193"/>
      <c r="K26" s="193"/>
      <c r="L26" s="193"/>
      <c r="M26" s="193"/>
    </row>
    <row r="27" spans="1:21" s="55" customFormat="1" ht="21" thickBot="1" x14ac:dyDescent="0.25">
      <c r="A27" s="54"/>
      <c r="B27" s="66" t="s">
        <v>110</v>
      </c>
      <c r="C27" s="66"/>
      <c r="D27" s="66"/>
      <c r="E27" s="66"/>
      <c r="F27" s="66"/>
      <c r="G27" s="200"/>
      <c r="J27" s="193"/>
    </row>
    <row r="28" spans="1:21" s="55" customFormat="1" ht="20.25" x14ac:dyDescent="0.2">
      <c r="A28" s="54"/>
      <c r="B28" s="54"/>
      <c r="C28" s="58" t="s">
        <v>219</v>
      </c>
      <c r="D28" s="58"/>
      <c r="E28" s="58"/>
      <c r="F28" s="58"/>
      <c r="G28" s="193">
        <v>733747.79999999993</v>
      </c>
      <c r="H28" s="225">
        <v>361976</v>
      </c>
      <c r="I28" s="225"/>
      <c r="J28" s="193"/>
      <c r="K28" s="225"/>
      <c r="L28" s="225"/>
      <c r="M28" s="225"/>
    </row>
    <row r="29" spans="1:21" s="55" customFormat="1" ht="20.25" x14ac:dyDescent="0.2">
      <c r="A29" s="54"/>
      <c r="B29" s="54"/>
      <c r="C29" s="58"/>
      <c r="D29" s="784" t="s">
        <v>220</v>
      </c>
      <c r="E29" s="784"/>
      <c r="F29" s="784"/>
      <c r="G29" s="193"/>
      <c r="H29" s="225"/>
      <c r="I29" s="225"/>
      <c r="J29" s="409">
        <f>110984.34+54648</f>
        <v>165632.34</v>
      </c>
      <c r="K29" s="409">
        <v>146508.01999999999</v>
      </c>
      <c r="L29" s="409"/>
      <c r="M29" s="409">
        <v>170000</v>
      </c>
      <c r="O29" s="409">
        <f t="shared" ref="O29:O47" si="2">M29-J29</f>
        <v>4367.6600000000035</v>
      </c>
      <c r="P29" s="354">
        <f>O29/M29</f>
        <v>2.5692117647058844E-2</v>
      </c>
    </row>
    <row r="30" spans="1:21" s="55" customFormat="1" ht="20.25" x14ac:dyDescent="0.2">
      <c r="A30" s="54"/>
      <c r="B30" s="54"/>
      <c r="C30" s="58"/>
      <c r="D30" s="784" t="s">
        <v>221</v>
      </c>
      <c r="E30" s="784"/>
      <c r="F30" s="784"/>
      <c r="G30" s="193"/>
      <c r="H30" s="225"/>
      <c r="I30" s="225"/>
      <c r="J30" s="409">
        <v>63684</v>
      </c>
      <c r="K30" s="409">
        <f>35778.69+23251.49+605.09+292.95</f>
        <v>59928.22</v>
      </c>
      <c r="L30" s="409"/>
      <c r="M30" s="409">
        <f>(22.5*(64*26+100))+(19.06*(50*26+100))</f>
        <v>66374</v>
      </c>
      <c r="O30" s="409">
        <f t="shared" si="2"/>
        <v>2690</v>
      </c>
      <c r="P30" s="354">
        <f>O30/M30</f>
        <v>4.0527917558079968E-2</v>
      </c>
      <c r="R30" s="204"/>
    </row>
    <row r="31" spans="1:21" s="55" customFormat="1" ht="20.25" x14ac:dyDescent="0.2">
      <c r="A31" s="54"/>
      <c r="B31" s="54"/>
      <c r="C31" s="58"/>
      <c r="D31" s="784" t="s">
        <v>112</v>
      </c>
      <c r="E31" s="784"/>
      <c r="F31" s="784"/>
      <c r="G31" s="193"/>
      <c r="H31" s="225"/>
      <c r="I31" s="225"/>
      <c r="J31" s="409">
        <f>(J29+J30)*0.185</f>
        <v>42423.522899999996</v>
      </c>
      <c r="K31" s="409">
        <f>(K29+K30)*0.192</f>
        <v>39635.75808</v>
      </c>
      <c r="L31" s="409"/>
      <c r="M31" s="409">
        <f>(M29+M30)*0.185</f>
        <v>43729.19</v>
      </c>
      <c r="O31" s="409">
        <f t="shared" si="2"/>
        <v>1305.667100000006</v>
      </c>
      <c r="P31" s="354">
        <f>O31/M31</f>
        <v>2.9858021609821858E-2</v>
      </c>
    </row>
    <row r="32" spans="1:21" s="55" customFormat="1" ht="20.25" x14ac:dyDescent="0.2">
      <c r="A32" s="54"/>
      <c r="B32" s="54"/>
      <c r="C32" s="58" t="s">
        <v>277</v>
      </c>
      <c r="D32" s="58"/>
      <c r="E32" s="58"/>
      <c r="F32" s="58"/>
      <c r="G32" s="193">
        <v>44745.18</v>
      </c>
      <c r="H32" s="193">
        <v>20974.21</v>
      </c>
      <c r="I32" s="193"/>
      <c r="J32" s="409"/>
      <c r="K32" s="566"/>
      <c r="L32" s="409"/>
      <c r="M32" s="409"/>
      <c r="O32" s="409">
        <f t="shared" si="2"/>
        <v>0</v>
      </c>
      <c r="P32" s="354"/>
    </row>
    <row r="33" spans="1:16" s="55" customFormat="1" ht="20.25" x14ac:dyDescent="0.2">
      <c r="A33" s="54"/>
      <c r="B33" s="54"/>
      <c r="C33" s="58"/>
      <c r="D33" s="784" t="s">
        <v>222</v>
      </c>
      <c r="E33" s="784"/>
      <c r="F33" s="784"/>
      <c r="G33" s="193"/>
      <c r="H33" s="193"/>
      <c r="I33" s="193"/>
      <c r="J33" s="409">
        <f>17368.36/8*12</f>
        <v>26052.54</v>
      </c>
      <c r="K33" s="409">
        <v>27183.82</v>
      </c>
      <c r="L33" s="409"/>
      <c r="M33" s="409">
        <v>27500</v>
      </c>
      <c r="O33" s="409">
        <f t="shared" si="2"/>
        <v>1447.4599999999991</v>
      </c>
      <c r="P33" s="354">
        <f t="shared" ref="P33:P40" si="3">O33/M33</f>
        <v>5.2634909090909059E-2</v>
      </c>
    </row>
    <row r="34" spans="1:16" s="55" customFormat="1" ht="20.25" x14ac:dyDescent="0.2">
      <c r="A34" s="54"/>
      <c r="B34" s="54"/>
      <c r="C34" s="58"/>
      <c r="D34" s="784" t="s">
        <v>223</v>
      </c>
      <c r="E34" s="784"/>
      <c r="F34" s="784"/>
      <c r="G34" s="193"/>
      <c r="H34" s="193"/>
      <c r="I34" s="193"/>
      <c r="J34" s="409">
        <f>12089.81/8*12+800-400</f>
        <v>18534.715</v>
      </c>
      <c r="K34" s="409">
        <v>15510.83</v>
      </c>
      <c r="L34" s="409"/>
      <c r="M34" s="409">
        <v>19374</v>
      </c>
      <c r="O34" s="409">
        <f t="shared" si="2"/>
        <v>839.28499999999985</v>
      </c>
      <c r="P34" s="354">
        <f t="shared" si="3"/>
        <v>4.3320171363683282E-2</v>
      </c>
    </row>
    <row r="35" spans="1:16" s="55" customFormat="1" ht="20.25" x14ac:dyDescent="0.2">
      <c r="A35" s="54"/>
      <c r="B35" s="54"/>
      <c r="C35" s="58"/>
      <c r="D35" s="784" t="s">
        <v>303</v>
      </c>
      <c r="E35" s="784"/>
      <c r="F35" s="784"/>
      <c r="G35" s="193"/>
      <c r="H35" s="193"/>
      <c r="I35" s="193"/>
      <c r="J35" s="409">
        <f>10143.6/8*12</f>
        <v>15215.400000000001</v>
      </c>
      <c r="K35" s="409">
        <v>12450.36</v>
      </c>
      <c r="L35" s="409"/>
      <c r="M35" s="409">
        <v>15000</v>
      </c>
      <c r="O35" s="409">
        <f t="shared" si="2"/>
        <v>-215.40000000000146</v>
      </c>
      <c r="P35" s="354">
        <f t="shared" si="3"/>
        <v>-1.4360000000000097E-2</v>
      </c>
    </row>
    <row r="36" spans="1:16" s="55" customFormat="1" ht="20.25" x14ac:dyDescent="0.2">
      <c r="A36" s="54"/>
      <c r="B36" s="54"/>
      <c r="C36" s="58"/>
      <c r="D36" s="784" t="s">
        <v>224</v>
      </c>
      <c r="E36" s="784"/>
      <c r="F36" s="784"/>
      <c r="G36" s="193"/>
      <c r="H36" s="193"/>
      <c r="I36" s="193"/>
      <c r="J36" s="409">
        <v>513.5</v>
      </c>
      <c r="K36" s="409">
        <v>377</v>
      </c>
      <c r="L36" s="409"/>
      <c r="M36" s="409">
        <v>250</v>
      </c>
      <c r="O36" s="409">
        <f t="shared" si="2"/>
        <v>-263.5</v>
      </c>
      <c r="P36" s="354">
        <f t="shared" si="3"/>
        <v>-1.054</v>
      </c>
    </row>
    <row r="37" spans="1:16" s="55" customFormat="1" ht="20.25" x14ac:dyDescent="0.2">
      <c r="A37" s="54"/>
      <c r="B37" s="54"/>
      <c r="C37" s="58" t="s">
        <v>225</v>
      </c>
      <c r="D37" s="58"/>
      <c r="E37" s="58"/>
      <c r="F37" s="58"/>
      <c r="G37" s="193">
        <v>27200</v>
      </c>
      <c r="H37" s="193">
        <v>11327</v>
      </c>
      <c r="I37" s="193"/>
      <c r="J37" s="409">
        <f>22772+1411</f>
        <v>24183</v>
      </c>
      <c r="K37" s="409">
        <v>25080</v>
      </c>
      <c r="L37" s="409"/>
      <c r="M37" s="409">
        <f>20430+6774</f>
        <v>27204</v>
      </c>
      <c r="O37" s="409">
        <f t="shared" si="2"/>
        <v>3021</v>
      </c>
      <c r="P37" s="354">
        <f t="shared" si="3"/>
        <v>0.11104984561093957</v>
      </c>
    </row>
    <row r="38" spans="1:16" s="55" customFormat="1" ht="20.25" x14ac:dyDescent="0.2">
      <c r="A38" s="54"/>
      <c r="B38" s="54"/>
      <c r="C38" s="58" t="s">
        <v>103</v>
      </c>
      <c r="D38" s="58"/>
      <c r="E38" s="58"/>
      <c r="F38" s="58"/>
      <c r="G38" s="193">
        <v>150176</v>
      </c>
      <c r="H38" s="225">
        <v>47700.27</v>
      </c>
      <c r="I38" s="225"/>
      <c r="J38" s="409">
        <f>J21</f>
        <v>9315</v>
      </c>
      <c r="K38" s="409">
        <f>K21</f>
        <v>10548</v>
      </c>
      <c r="L38" s="409"/>
      <c r="M38" s="409">
        <f>M21</f>
        <v>9315</v>
      </c>
      <c r="O38" s="409">
        <f t="shared" si="2"/>
        <v>0</v>
      </c>
      <c r="P38" s="354">
        <f t="shared" si="3"/>
        <v>0</v>
      </c>
    </row>
    <row r="39" spans="1:16" s="55" customFormat="1" ht="20.25" x14ac:dyDescent="0.2">
      <c r="A39" s="54"/>
      <c r="B39" s="54"/>
      <c r="C39" s="58" t="s">
        <v>312</v>
      </c>
      <c r="D39" s="58"/>
      <c r="E39" s="58"/>
      <c r="F39" s="58"/>
      <c r="G39" s="193"/>
      <c r="H39" s="225"/>
      <c r="I39" s="225"/>
      <c r="J39" s="409">
        <f>2845+(332.08+24.92)*4</f>
        <v>4273</v>
      </c>
      <c r="K39" s="409">
        <v>4075</v>
      </c>
      <c r="L39" s="409"/>
      <c r="M39" s="409">
        <f>360*12</f>
        <v>4320</v>
      </c>
      <c r="O39" s="409">
        <f t="shared" si="2"/>
        <v>47</v>
      </c>
      <c r="P39" s="354">
        <f t="shared" si="3"/>
        <v>1.087962962962963E-2</v>
      </c>
    </row>
    <row r="40" spans="1:16" s="55" customFormat="1" ht="20.25" x14ac:dyDescent="0.2">
      <c r="A40" s="54"/>
      <c r="B40" s="54"/>
      <c r="C40" s="58" t="s">
        <v>226</v>
      </c>
      <c r="D40" s="58"/>
      <c r="E40" s="58"/>
      <c r="F40" s="58"/>
      <c r="G40" s="193"/>
      <c r="H40" s="225"/>
      <c r="I40" s="225"/>
      <c r="J40" s="409">
        <f>393+75</f>
        <v>468</v>
      </c>
      <c r="K40" s="409">
        <v>1496.32</v>
      </c>
      <c r="L40" s="409"/>
      <c r="M40" s="409">
        <v>500</v>
      </c>
      <c r="O40" s="409">
        <f t="shared" si="2"/>
        <v>32</v>
      </c>
      <c r="P40" s="354">
        <f t="shared" si="3"/>
        <v>6.4000000000000001E-2</v>
      </c>
    </row>
    <row r="41" spans="1:16" s="55" customFormat="1" ht="20.25" x14ac:dyDescent="0.2">
      <c r="A41" s="54"/>
      <c r="B41" s="54"/>
      <c r="C41" s="58" t="s">
        <v>381</v>
      </c>
      <c r="D41" s="58"/>
      <c r="E41" s="58"/>
      <c r="F41" s="58"/>
      <c r="G41" s="193">
        <v>10993.12</v>
      </c>
      <c r="H41" s="225">
        <v>4904.57</v>
      </c>
      <c r="I41" s="225"/>
      <c r="J41" s="409">
        <f>2414+307*4</f>
        <v>3642</v>
      </c>
      <c r="K41" s="409">
        <v>3429.9</v>
      </c>
      <c r="L41" s="409"/>
      <c r="M41" s="409">
        <f>307*12</f>
        <v>3684</v>
      </c>
      <c r="O41" s="409">
        <f t="shared" si="2"/>
        <v>42</v>
      </c>
      <c r="P41" s="354">
        <f>O41/M41</f>
        <v>1.1400651465798045E-2</v>
      </c>
    </row>
    <row r="42" spans="1:16" s="55" customFormat="1" ht="20.25" x14ac:dyDescent="0.2">
      <c r="A42" s="54"/>
      <c r="B42" s="54"/>
      <c r="C42" s="58" t="s">
        <v>227</v>
      </c>
      <c r="D42" s="58"/>
      <c r="E42" s="58"/>
      <c r="F42" s="58"/>
      <c r="G42" s="193">
        <v>10250.949999999999</v>
      </c>
      <c r="H42" s="225">
        <v>3982.99</v>
      </c>
      <c r="I42" s="225"/>
      <c r="J42" s="409">
        <v>600</v>
      </c>
      <c r="K42" s="409">
        <f>56.6+402.81</f>
        <v>459.41</v>
      </c>
      <c r="L42" s="409"/>
      <c r="M42" s="409">
        <v>600</v>
      </c>
      <c r="O42" s="409">
        <f t="shared" si="2"/>
        <v>0</v>
      </c>
      <c r="P42" s="354">
        <f>O42/M42</f>
        <v>0</v>
      </c>
    </row>
    <row r="43" spans="1:16" s="55" customFormat="1" ht="20.25" x14ac:dyDescent="0.2">
      <c r="A43" s="54"/>
      <c r="B43" s="54"/>
      <c r="C43" s="58" t="s">
        <v>121</v>
      </c>
      <c r="D43" s="58"/>
      <c r="E43" s="58"/>
      <c r="F43" s="58"/>
      <c r="G43" s="193">
        <v>4412.53</v>
      </c>
      <c r="H43" s="226">
        <v>5667</v>
      </c>
      <c r="I43" s="226"/>
      <c r="J43" s="409">
        <f>122.96+1237.38+391.65</f>
        <v>1751.9900000000002</v>
      </c>
      <c r="K43" s="409">
        <v>1040.8800000000001</v>
      </c>
      <c r="L43" s="567"/>
      <c r="M43" s="567">
        <f>394*4</f>
        <v>1576</v>
      </c>
      <c r="O43" s="409">
        <f t="shared" si="2"/>
        <v>-175.99000000000024</v>
      </c>
      <c r="P43" s="354">
        <f>O43/M43</f>
        <v>-0.11166878172588847</v>
      </c>
    </row>
    <row r="44" spans="1:16" s="55" customFormat="1" ht="20.25" x14ac:dyDescent="0.2">
      <c r="A44" s="54"/>
      <c r="B44" s="54"/>
      <c r="C44" s="58" t="s">
        <v>119</v>
      </c>
      <c r="D44" s="58"/>
      <c r="E44" s="58"/>
      <c r="F44" s="58"/>
      <c r="G44" s="193">
        <v>7901</v>
      </c>
      <c r="H44" s="225">
        <v>4149.6000000000004</v>
      </c>
      <c r="I44" s="225"/>
      <c r="J44" s="409">
        <f>367.55/8*12</f>
        <v>551.32500000000005</v>
      </c>
      <c r="K44" s="409">
        <v>436.35</v>
      </c>
      <c r="L44" s="409"/>
      <c r="M44" s="409">
        <v>600</v>
      </c>
      <c r="O44" s="409">
        <f t="shared" si="2"/>
        <v>48.674999999999955</v>
      </c>
      <c r="P44" s="354">
        <f>O44/M44</f>
        <v>8.1124999999999919E-2</v>
      </c>
    </row>
    <row r="45" spans="1:16" s="55" customFormat="1" ht="20.25" hidden="1" x14ac:dyDescent="0.2">
      <c r="A45" s="54"/>
      <c r="B45" s="54"/>
      <c r="C45" s="58" t="s">
        <v>228</v>
      </c>
      <c r="D45" s="58"/>
      <c r="E45" s="58"/>
      <c r="F45" s="58"/>
      <c r="G45" s="193"/>
      <c r="H45" s="225"/>
      <c r="I45" s="225"/>
      <c r="J45" s="409"/>
      <c r="K45" s="409"/>
      <c r="L45" s="409"/>
      <c r="M45" s="409">
        <v>0</v>
      </c>
      <c r="O45" s="409">
        <f t="shared" si="2"/>
        <v>0</v>
      </c>
      <c r="P45" s="354"/>
    </row>
    <row r="46" spans="1:16" s="55" customFormat="1" ht="20.25" x14ac:dyDescent="0.2">
      <c r="A46" s="58"/>
      <c r="B46" s="58"/>
      <c r="C46" s="58" t="s">
        <v>115</v>
      </c>
      <c r="D46" s="58"/>
      <c r="E46" s="58"/>
      <c r="F46" s="58"/>
      <c r="G46" s="193">
        <v>5428.37</v>
      </c>
      <c r="H46" s="225">
        <v>2024.52</v>
      </c>
      <c r="I46" s="225"/>
      <c r="J46" s="409">
        <f>208.6/8*12</f>
        <v>312.89999999999998</v>
      </c>
      <c r="K46" s="409">
        <v>205.44</v>
      </c>
      <c r="L46" s="409"/>
      <c r="M46" s="409">
        <v>320</v>
      </c>
      <c r="O46" s="409">
        <f t="shared" si="2"/>
        <v>7.1000000000000227</v>
      </c>
      <c r="P46" s="354">
        <f>O46/M46</f>
        <v>2.2187500000000072E-2</v>
      </c>
    </row>
    <row r="47" spans="1:16" s="55" customFormat="1" ht="20.25" x14ac:dyDescent="0.2">
      <c r="A47" s="58"/>
      <c r="B47" s="58"/>
      <c r="C47" s="58" t="s">
        <v>229</v>
      </c>
      <c r="D47" s="58"/>
      <c r="E47" s="58"/>
      <c r="F47" s="58"/>
      <c r="G47" s="193">
        <v>83462.91</v>
      </c>
      <c r="H47" s="193">
        <v>18995.71</v>
      </c>
      <c r="I47" s="193"/>
      <c r="J47" s="412">
        <v>200</v>
      </c>
      <c r="K47" s="412">
        <f>201.52+30+216.21+94.56</f>
        <v>542.29</v>
      </c>
      <c r="L47" s="409"/>
      <c r="M47" s="409">
        <v>225</v>
      </c>
      <c r="O47" s="409">
        <f t="shared" si="2"/>
        <v>25</v>
      </c>
      <c r="P47" s="411">
        <f>O47/M47</f>
        <v>0.1111111111111111</v>
      </c>
    </row>
    <row r="48" spans="1:16" s="55" customFormat="1" ht="21" thickBot="1" x14ac:dyDescent="0.25">
      <c r="A48" s="54"/>
      <c r="B48" s="54"/>
      <c r="C48" s="54"/>
      <c r="D48" s="54" t="s">
        <v>127</v>
      </c>
      <c r="E48" s="54"/>
      <c r="F48" s="54"/>
      <c r="G48" s="200">
        <v>1078317.8599999999</v>
      </c>
      <c r="H48" s="200">
        <v>481701.87000000005</v>
      </c>
      <c r="I48" s="193"/>
      <c r="J48" s="382">
        <f>SUM(J29:J47)</f>
        <v>377353.23290000006</v>
      </c>
      <c r="K48" s="382">
        <f>SUM(K29:K47)</f>
        <v>348907.59807999997</v>
      </c>
      <c r="L48" s="193"/>
      <c r="M48" s="382">
        <f>SUM(M29:M47)</f>
        <v>390571.19</v>
      </c>
      <c r="O48" s="382">
        <f>J48-M48</f>
        <v>-13217.957099999941</v>
      </c>
      <c r="P48" s="380">
        <f>O48/M48</f>
        <v>-3.384263212040791E-2</v>
      </c>
    </row>
    <row r="49" spans="1:19" s="55" customFormat="1" ht="21" thickBot="1" x14ac:dyDescent="0.25">
      <c r="A49" s="54"/>
      <c r="B49" s="54"/>
      <c r="C49" s="54"/>
      <c r="D49" s="54" t="s">
        <v>128</v>
      </c>
      <c r="E49" s="54"/>
      <c r="F49" s="54"/>
      <c r="G49" s="200">
        <v>233082.39000000013</v>
      </c>
      <c r="H49" s="200">
        <v>82291.709999999905</v>
      </c>
      <c r="I49" s="193"/>
      <c r="J49" s="383">
        <f>J25-J48</f>
        <v>-20538.272900000098</v>
      </c>
      <c r="K49" s="383" t="e">
        <f>K25-K48</f>
        <v>#REF!</v>
      </c>
      <c r="L49" s="193"/>
      <c r="M49" s="383" t="e">
        <f>M25-M48</f>
        <v>#REF!</v>
      </c>
      <c r="O49" s="316" t="e">
        <f>M49-J49</f>
        <v>#REF!</v>
      </c>
      <c r="P49" s="380" t="e">
        <f>O49/M49</f>
        <v>#REF!</v>
      </c>
    </row>
    <row r="50" spans="1:19" s="55" customFormat="1" ht="20.25" x14ac:dyDescent="0.2">
      <c r="A50" s="54"/>
      <c r="B50" s="54"/>
      <c r="C50" s="54"/>
      <c r="D50" s="54"/>
      <c r="E50" s="54"/>
      <c r="F50" s="54"/>
      <c r="G50" s="193"/>
      <c r="H50" s="193"/>
      <c r="I50" s="193"/>
      <c r="J50" s="193"/>
      <c r="K50" s="193"/>
      <c r="L50" s="193"/>
      <c r="M50" s="193"/>
    </row>
    <row r="51" spans="1:19" s="52" customFormat="1" ht="26.25" x14ac:dyDescent="0.2">
      <c r="A51" s="219"/>
      <c r="B51" s="219"/>
      <c r="C51" s="58" t="s">
        <v>264</v>
      </c>
      <c r="E51" s="58"/>
      <c r="F51" s="58"/>
      <c r="G51" s="221"/>
      <c r="H51" s="193"/>
      <c r="I51" s="193"/>
      <c r="J51" s="193">
        <f>-23415.22-24000</f>
        <v>-47415.22</v>
      </c>
      <c r="K51" s="193">
        <v>-44886</v>
      </c>
      <c r="L51" s="193"/>
      <c r="M51" s="193"/>
      <c r="O51" s="225">
        <f>M51-J51</f>
        <v>47415.22</v>
      </c>
      <c r="P51" s="334"/>
      <c r="S51" s="565"/>
    </row>
    <row r="52" spans="1:19" s="55" customFormat="1" ht="20.25" x14ac:dyDescent="0.2">
      <c r="A52" s="54"/>
      <c r="B52" s="54"/>
      <c r="C52" s="58" t="s">
        <v>230</v>
      </c>
      <c r="E52" s="54"/>
      <c r="G52" s="193"/>
      <c r="H52" s="193"/>
      <c r="I52" s="193"/>
      <c r="J52" s="193">
        <f>J37</f>
        <v>24183</v>
      </c>
      <c r="K52" s="193">
        <f>K37</f>
        <v>25080</v>
      </c>
      <c r="L52" s="193"/>
      <c r="M52" s="193">
        <f>M37</f>
        <v>27204</v>
      </c>
      <c r="O52" s="225">
        <f>M52-J52</f>
        <v>3021</v>
      </c>
      <c r="P52" s="334">
        <v>3.5414486921529216E-2</v>
      </c>
    </row>
    <row r="53" spans="1:19" s="55" customFormat="1" ht="24" thickBot="1" x14ac:dyDescent="0.25">
      <c r="A53" s="54"/>
      <c r="B53" s="222"/>
      <c r="C53" s="54"/>
      <c r="D53" s="787" t="s">
        <v>231</v>
      </c>
      <c r="E53" s="787"/>
      <c r="F53" s="787"/>
      <c r="G53" s="193"/>
      <c r="H53" s="193"/>
      <c r="I53" s="193"/>
      <c r="J53" s="384">
        <f>J49+J51+J52</f>
        <v>-43770.492900000099</v>
      </c>
      <c r="K53" s="384" t="e">
        <f>K49+K51+K52</f>
        <v>#REF!</v>
      </c>
      <c r="L53" s="202"/>
      <c r="M53" s="384" t="e">
        <f>M49+M51+M52</f>
        <v>#REF!</v>
      </c>
      <c r="N53" s="318"/>
      <c r="O53" s="381" t="e">
        <f>M53-J53</f>
        <v>#REF!</v>
      </c>
      <c r="P53" s="407">
        <v>2.1062768618503362E-2</v>
      </c>
    </row>
    <row r="54" spans="1:19" s="55" customFormat="1" ht="42" customHeight="1" thickTop="1" x14ac:dyDescent="0.2">
      <c r="A54" s="54"/>
      <c r="B54" s="54"/>
      <c r="C54" s="54"/>
      <c r="D54" s="54"/>
      <c r="E54" s="54"/>
      <c r="F54" s="54"/>
      <c r="G54" s="193"/>
      <c r="H54" s="193"/>
      <c r="I54" s="193"/>
      <c r="J54" s="193"/>
      <c r="K54" s="193"/>
      <c r="L54" s="193"/>
      <c r="M54" s="193"/>
    </row>
    <row r="55" spans="1:19" s="55" customFormat="1" ht="20.25" x14ac:dyDescent="0.2">
      <c r="A55" s="58"/>
      <c r="B55" s="58"/>
      <c r="C55" s="58"/>
      <c r="D55" s="58"/>
      <c r="E55" s="58"/>
      <c r="F55" s="58"/>
      <c r="G55" s="193"/>
      <c r="H55" s="193"/>
      <c r="I55" s="193"/>
      <c r="J55" s="193"/>
      <c r="K55" s="193"/>
      <c r="L55" s="193"/>
      <c r="M55" s="193"/>
    </row>
    <row r="56" spans="1:19" s="55" customFormat="1" ht="20.25" x14ac:dyDescent="0.2">
      <c r="A56" s="58"/>
      <c r="B56" s="58"/>
      <c r="C56" s="58"/>
      <c r="D56" s="58"/>
      <c r="E56" s="58"/>
      <c r="F56" s="58"/>
      <c r="G56" s="193"/>
      <c r="H56" s="193"/>
      <c r="I56" s="193"/>
      <c r="J56" s="193"/>
      <c r="K56" s="193"/>
      <c r="L56" s="193"/>
      <c r="M56" s="193"/>
    </row>
    <row r="57" spans="1:19" s="55" customFormat="1" ht="20.25" x14ac:dyDescent="0.2">
      <c r="A57" s="58"/>
      <c r="B57" s="58"/>
      <c r="C57" s="54"/>
      <c r="D57" s="58"/>
      <c r="F57" s="58"/>
      <c r="G57" s="193"/>
      <c r="H57" s="193"/>
      <c r="I57" s="193"/>
      <c r="J57" s="193"/>
      <c r="K57" s="193"/>
      <c r="L57" s="193"/>
      <c r="M57" s="193"/>
    </row>
    <row r="58" spans="1:19" s="55" customFormat="1" ht="20.25" x14ac:dyDescent="0.2">
      <c r="A58" s="58"/>
      <c r="B58" s="58"/>
      <c r="C58" s="58"/>
      <c r="D58" s="58"/>
      <c r="E58" s="58"/>
      <c r="F58" s="58"/>
      <c r="G58" s="193"/>
      <c r="H58" s="193"/>
      <c r="I58" s="193"/>
      <c r="J58" s="193"/>
      <c r="K58" s="193"/>
      <c r="L58" s="193"/>
      <c r="M58" s="193"/>
    </row>
    <row r="59" spans="1:19" s="55" customFormat="1" ht="20.25" x14ac:dyDescent="0.2">
      <c r="A59" s="54"/>
      <c r="B59" s="54"/>
      <c r="C59" s="54"/>
      <c r="D59" s="54"/>
      <c r="E59" s="54"/>
      <c r="F59" s="54"/>
      <c r="G59" s="196"/>
      <c r="H59" s="196"/>
      <c r="I59" s="196"/>
      <c r="J59" s="196"/>
      <c r="K59" s="196"/>
      <c r="L59" s="196"/>
      <c r="M59" s="196"/>
    </row>
    <row r="60" spans="1:19" s="55" customFormat="1" ht="20.25" x14ac:dyDescent="0.2">
      <c r="A60" s="54"/>
      <c r="B60" s="54"/>
      <c r="C60" s="54"/>
      <c r="D60" s="54"/>
      <c r="E60" s="54"/>
      <c r="F60" s="54"/>
      <c r="G60" s="196"/>
      <c r="H60" s="196"/>
      <c r="I60" s="196"/>
      <c r="J60" s="196"/>
      <c r="K60" s="196"/>
      <c r="L60" s="196"/>
      <c r="M60" s="196"/>
    </row>
    <row r="61" spans="1:19" s="55" customFormat="1" ht="23.25" x14ac:dyDescent="0.2">
      <c r="A61" s="54"/>
      <c r="B61" s="222"/>
      <c r="C61" s="54"/>
      <c r="D61" s="54"/>
      <c r="E61" s="54"/>
      <c r="F61" s="54"/>
      <c r="G61" s="193"/>
      <c r="H61" s="193"/>
      <c r="I61" s="193"/>
      <c r="J61" s="193"/>
      <c r="K61" s="193"/>
      <c r="L61" s="193"/>
      <c r="M61" s="193"/>
    </row>
    <row r="62" spans="1:19" s="55" customFormat="1" ht="20.25" x14ac:dyDescent="0.2">
      <c r="A62" s="58"/>
      <c r="B62" s="58"/>
      <c r="D62" s="58"/>
      <c r="E62" s="58"/>
      <c r="F62" s="58"/>
      <c r="G62" s="193"/>
      <c r="H62" s="193"/>
      <c r="I62" s="193"/>
      <c r="J62" s="193"/>
      <c r="K62" s="193"/>
      <c r="L62" s="193"/>
      <c r="M62" s="193"/>
    </row>
    <row r="63" spans="1:19" s="55" customFormat="1" ht="20.25" x14ac:dyDescent="0.2">
      <c r="A63" s="58"/>
      <c r="B63" s="58"/>
      <c r="D63" s="58"/>
      <c r="E63" s="58"/>
      <c r="F63" s="58"/>
      <c r="G63" s="193"/>
      <c r="H63" s="193"/>
      <c r="I63" s="193"/>
      <c r="J63" s="193"/>
      <c r="K63" s="193"/>
      <c r="L63" s="193"/>
      <c r="M63" s="193"/>
    </row>
    <row r="64" spans="1:19" s="55" customFormat="1" ht="20.25" x14ac:dyDescent="0.2">
      <c r="A64" s="54"/>
      <c r="B64" s="54"/>
      <c r="D64" s="58"/>
      <c r="E64" s="54"/>
      <c r="F64" s="54"/>
      <c r="G64" s="193"/>
      <c r="H64" s="193"/>
      <c r="I64" s="193"/>
      <c r="J64" s="193"/>
      <c r="K64" s="193"/>
      <c r="L64" s="193"/>
      <c r="M64" s="193"/>
    </row>
    <row r="65" spans="1:13" s="55" customFormat="1" ht="23.25" x14ac:dyDescent="0.2">
      <c r="A65" s="54"/>
      <c r="B65" s="222"/>
      <c r="C65" s="54"/>
      <c r="D65" s="54"/>
      <c r="E65" s="54"/>
      <c r="F65" s="54"/>
      <c r="G65" s="196"/>
      <c r="H65" s="196"/>
      <c r="I65" s="196"/>
      <c r="J65" s="196"/>
      <c r="K65" s="196"/>
      <c r="L65" s="196"/>
      <c r="M65" s="196"/>
    </row>
    <row r="66" spans="1:13" s="55" customFormat="1" ht="20.25" x14ac:dyDescent="0.2">
      <c r="A66" s="54"/>
      <c r="B66" s="54"/>
      <c r="C66" s="54"/>
      <c r="D66" s="54"/>
      <c r="E66" s="54"/>
      <c r="F66" s="54"/>
      <c r="G66" s="193"/>
      <c r="H66" s="193"/>
      <c r="I66" s="193"/>
      <c r="J66" s="193"/>
      <c r="K66" s="193"/>
      <c r="L66" s="193"/>
      <c r="M66" s="193"/>
    </row>
    <row r="67" spans="1:13" s="62" customFormat="1" ht="26.25" x14ac:dyDescent="0.2">
      <c r="A67" s="219"/>
      <c r="B67" s="219"/>
      <c r="C67" s="219"/>
      <c r="D67" s="219"/>
      <c r="E67" s="219"/>
      <c r="F67" s="219"/>
      <c r="G67" s="220"/>
      <c r="H67" s="196"/>
      <c r="I67" s="196"/>
      <c r="J67" s="196"/>
      <c r="K67" s="196"/>
      <c r="L67" s="196"/>
      <c r="M67" s="196"/>
    </row>
    <row r="68" spans="1:13" ht="20.25" x14ac:dyDescent="0.3">
      <c r="H68" s="227"/>
      <c r="I68" s="227"/>
      <c r="J68" s="227"/>
      <c r="K68" s="227"/>
      <c r="L68" s="227"/>
      <c r="M68" s="227"/>
    </row>
    <row r="69" spans="1:13" ht="20.25" x14ac:dyDescent="0.3">
      <c r="H69" s="227"/>
      <c r="I69" s="227"/>
      <c r="J69" s="227"/>
      <c r="K69" s="227"/>
      <c r="L69" s="227"/>
      <c r="M69" s="227"/>
    </row>
    <row r="70" spans="1:13" ht="20.25" x14ac:dyDescent="0.3">
      <c r="H70" s="227"/>
      <c r="I70" s="227"/>
      <c r="J70" s="227"/>
      <c r="K70" s="227"/>
      <c r="L70" s="227"/>
      <c r="M70" s="227"/>
    </row>
    <row r="71" spans="1:13" ht="20.25" x14ac:dyDescent="0.3">
      <c r="H71" s="224"/>
      <c r="I71" s="224"/>
      <c r="J71" s="224"/>
      <c r="K71" s="224"/>
      <c r="L71" s="224"/>
      <c r="M71" s="22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93</v>
      </c>
      <c r="B1" s="47"/>
      <c r="C1" s="48"/>
      <c r="D1" s="48"/>
      <c r="E1" s="48"/>
      <c r="F1" s="47"/>
      <c r="G1" s="191"/>
    </row>
    <row r="2" spans="1:9" ht="26.25" x14ac:dyDescent="0.4">
      <c r="A2" s="46" t="s">
        <v>262</v>
      </c>
      <c r="B2" s="47"/>
      <c r="C2" s="48"/>
      <c r="D2" s="48"/>
      <c r="E2" s="48"/>
      <c r="F2" s="47"/>
      <c r="G2" s="191"/>
    </row>
    <row r="3" spans="1:9" ht="26.25" x14ac:dyDescent="0.4">
      <c r="A3" s="46" t="s">
        <v>316</v>
      </c>
      <c r="B3" s="47"/>
      <c r="C3" s="48"/>
      <c r="D3" s="48"/>
      <c r="E3" s="48"/>
      <c r="F3" s="47"/>
      <c r="G3" s="191"/>
    </row>
    <row r="4" spans="1:9" ht="21" thickBot="1" x14ac:dyDescent="0.25">
      <c r="A4" s="49"/>
      <c r="B4" s="49"/>
      <c r="C4" s="49"/>
      <c r="D4" s="49"/>
      <c r="E4" s="49"/>
      <c r="F4" s="49"/>
      <c r="G4" s="192"/>
    </row>
    <row r="5" spans="1:9" ht="27.75" thickTop="1" thickBot="1" x14ac:dyDescent="0.25">
      <c r="A5" s="51"/>
      <c r="B5" s="51"/>
      <c r="C5" s="51"/>
      <c r="D5" s="51"/>
      <c r="E5" s="51"/>
      <c r="F5" s="51"/>
      <c r="G5" s="327" t="s">
        <v>49</v>
      </c>
    </row>
    <row r="6" spans="1:9" ht="21" thickTop="1" x14ac:dyDescent="0.2">
      <c r="A6" s="54"/>
      <c r="B6" s="54"/>
      <c r="C6" s="54"/>
      <c r="D6" s="54"/>
      <c r="E6" s="54"/>
      <c r="F6" s="54"/>
      <c r="G6" s="193"/>
    </row>
    <row r="7" spans="1:9" ht="21" thickBot="1" x14ac:dyDescent="0.35">
      <c r="A7" s="56"/>
      <c r="B7" s="120" t="s">
        <v>99</v>
      </c>
      <c r="C7" s="120"/>
      <c r="D7" s="120"/>
      <c r="E7" s="120"/>
      <c r="F7" s="120"/>
      <c r="G7" s="231"/>
    </row>
    <row r="8" spans="1:9" ht="20.25" x14ac:dyDescent="0.2">
      <c r="A8" s="54"/>
      <c r="B8" s="54"/>
      <c r="C8" s="58" t="s">
        <v>100</v>
      </c>
      <c r="D8" s="58"/>
      <c r="E8" s="58"/>
      <c r="F8" s="54"/>
      <c r="G8" s="202">
        <v>791718</v>
      </c>
    </row>
    <row r="9" spans="1:9" ht="20.25" x14ac:dyDescent="0.2">
      <c r="A9" s="54"/>
      <c r="B9" s="54"/>
      <c r="C9" s="58" t="s">
        <v>317</v>
      </c>
      <c r="D9" s="58"/>
      <c r="E9" s="58"/>
      <c r="F9" s="54"/>
      <c r="G9" s="193">
        <v>25000</v>
      </c>
    </row>
    <row r="10" spans="1:9" ht="20.25" x14ac:dyDescent="0.2">
      <c r="A10" s="54"/>
      <c r="B10" s="54"/>
      <c r="C10" s="58" t="s">
        <v>149</v>
      </c>
      <c r="D10" s="58"/>
      <c r="E10" s="58"/>
      <c r="F10" s="54"/>
      <c r="G10" s="193">
        <v>147000</v>
      </c>
    </row>
    <row r="11" spans="1:9" ht="20.25" x14ac:dyDescent="0.2">
      <c r="A11" s="54"/>
      <c r="B11" s="54"/>
      <c r="C11" s="58" t="s">
        <v>178</v>
      </c>
      <c r="D11" s="58"/>
      <c r="E11" s="58"/>
      <c r="F11" s="54"/>
      <c r="G11" s="193">
        <v>43322</v>
      </c>
      <c r="I11" s="190"/>
    </row>
    <row r="12" spans="1:9" ht="20.25" x14ac:dyDescent="0.2">
      <c r="A12" s="54"/>
      <c r="B12" s="54"/>
      <c r="C12" s="58" t="s">
        <v>101</v>
      </c>
      <c r="D12" s="58"/>
      <c r="E12" s="58"/>
      <c r="F12" s="54"/>
      <c r="G12" s="193"/>
    </row>
    <row r="13" spans="1:9" ht="20.25" x14ac:dyDescent="0.2">
      <c r="A13" s="54"/>
      <c r="B13" s="54"/>
      <c r="C13" s="55"/>
      <c r="D13" s="58" t="s">
        <v>138</v>
      </c>
      <c r="E13" s="58"/>
      <c r="F13" s="54"/>
      <c r="G13" s="193">
        <f>43500+158022</f>
        <v>201522</v>
      </c>
    </row>
    <row r="14" spans="1:9" ht="20.25" x14ac:dyDescent="0.2">
      <c r="A14" s="54"/>
      <c r="B14" s="54"/>
      <c r="C14" s="55"/>
      <c r="D14" s="58" t="s">
        <v>158</v>
      </c>
      <c r="E14" s="58"/>
      <c r="F14" s="54"/>
      <c r="G14" s="193">
        <v>13000</v>
      </c>
    </row>
    <row r="15" spans="1:9" ht="20.25" x14ac:dyDescent="0.2">
      <c r="A15" s="54"/>
      <c r="B15" s="54"/>
      <c r="C15" s="58" t="s">
        <v>102</v>
      </c>
      <c r="D15" s="58"/>
      <c r="E15" s="58"/>
      <c r="F15" s="54"/>
      <c r="G15" s="193">
        <v>12500</v>
      </c>
    </row>
    <row r="16" spans="1:9" ht="20.25" x14ac:dyDescent="0.2">
      <c r="A16" s="54"/>
      <c r="B16" s="54"/>
      <c r="C16" s="58" t="s">
        <v>109</v>
      </c>
      <c r="D16" s="58"/>
      <c r="E16" s="58"/>
      <c r="F16" s="54"/>
      <c r="G16" s="193">
        <v>1200</v>
      </c>
    </row>
    <row r="17" spans="1:9" ht="20.25" x14ac:dyDescent="0.2">
      <c r="A17" s="54"/>
      <c r="B17" s="54"/>
      <c r="C17" s="58" t="s">
        <v>236</v>
      </c>
      <c r="D17" s="58"/>
      <c r="E17" s="58"/>
      <c r="F17" s="54"/>
      <c r="G17" s="193">
        <v>4200</v>
      </c>
    </row>
    <row r="18" spans="1:9" ht="20.25" x14ac:dyDescent="0.2">
      <c r="A18" s="54"/>
      <c r="B18" s="54"/>
      <c r="C18" s="58" t="s">
        <v>319</v>
      </c>
      <c r="D18" s="58"/>
      <c r="E18" s="58"/>
      <c r="F18" s="54"/>
      <c r="G18" s="193">
        <v>1500</v>
      </c>
    </row>
    <row r="19" spans="1:9" ht="20.25" x14ac:dyDescent="0.2">
      <c r="A19" s="54"/>
      <c r="B19" s="54"/>
      <c r="C19" s="58" t="s">
        <v>237</v>
      </c>
      <c r="D19" s="58"/>
      <c r="E19" s="58"/>
      <c r="F19" s="54"/>
      <c r="G19" s="193"/>
    </row>
    <row r="20" spans="1:9" ht="20.25" x14ac:dyDescent="0.2">
      <c r="A20" s="54"/>
      <c r="B20" s="54"/>
      <c r="C20" s="58"/>
      <c r="D20" s="58" t="s">
        <v>11</v>
      </c>
      <c r="E20" s="58"/>
      <c r="F20" s="54"/>
      <c r="G20" s="193">
        <f>73338-45000</f>
        <v>28338</v>
      </c>
    </row>
    <row r="21" spans="1:9" ht="20.25" x14ac:dyDescent="0.2">
      <c r="A21" s="54"/>
      <c r="B21" s="54"/>
      <c r="C21" s="58"/>
      <c r="D21" s="58" t="s">
        <v>17</v>
      </c>
      <c r="E21" s="58"/>
      <c r="F21" s="54"/>
      <c r="G21" s="193">
        <v>45000</v>
      </c>
    </row>
    <row r="22" spans="1:9" ht="20.25" x14ac:dyDescent="0.2">
      <c r="A22" s="54"/>
      <c r="B22" s="54"/>
      <c r="C22" s="58" t="s">
        <v>321</v>
      </c>
      <c r="D22" s="58"/>
      <c r="E22" s="58"/>
      <c r="F22" s="54"/>
      <c r="G22" s="193">
        <v>2500</v>
      </c>
    </row>
    <row r="23" spans="1:9" ht="20.25" x14ac:dyDescent="0.2">
      <c r="A23" s="54"/>
      <c r="B23" s="54"/>
      <c r="C23" s="58" t="s">
        <v>108</v>
      </c>
      <c r="D23" s="58"/>
      <c r="E23" s="58"/>
      <c r="F23" s="54"/>
      <c r="G23" s="193">
        <v>46575</v>
      </c>
    </row>
    <row r="24" spans="1:9" ht="20.25" x14ac:dyDescent="0.2">
      <c r="A24" s="54"/>
      <c r="B24" s="54"/>
      <c r="C24" s="58" t="s">
        <v>322</v>
      </c>
      <c r="D24" s="58"/>
      <c r="E24" s="58"/>
      <c r="F24" s="54"/>
      <c r="G24" s="193">
        <v>1531</v>
      </c>
    </row>
    <row r="25" spans="1:9" ht="20.25" x14ac:dyDescent="0.2">
      <c r="A25" s="54"/>
      <c r="B25" s="54"/>
      <c r="C25" s="58" t="s">
        <v>101</v>
      </c>
      <c r="D25" s="58"/>
      <c r="E25" s="58"/>
      <c r="F25" s="54"/>
      <c r="G25" s="193">
        <v>19000</v>
      </c>
    </row>
    <row r="26" spans="1:9" ht="20.25" x14ac:dyDescent="0.2">
      <c r="A26" s="54"/>
      <c r="B26" s="54"/>
      <c r="C26" s="58" t="s">
        <v>318</v>
      </c>
      <c r="D26" s="58"/>
      <c r="E26" s="58"/>
      <c r="F26" s="54"/>
      <c r="G26" s="193">
        <v>51000</v>
      </c>
    </row>
    <row r="27" spans="1:9" ht="20.25" x14ac:dyDescent="0.2">
      <c r="A27" s="54"/>
      <c r="B27" s="54"/>
      <c r="C27" s="58" t="s">
        <v>320</v>
      </c>
      <c r="D27" s="58"/>
      <c r="E27" s="58"/>
      <c r="F27" s="54"/>
      <c r="G27" s="193">
        <v>20655</v>
      </c>
    </row>
    <row r="28" spans="1:9" ht="20.25" x14ac:dyDescent="0.2">
      <c r="A28" s="54"/>
      <c r="B28" s="54"/>
      <c r="C28" s="58"/>
      <c r="D28" s="54" t="s">
        <v>104</v>
      </c>
      <c r="E28" s="58"/>
      <c r="F28" s="54"/>
      <c r="G28" s="201">
        <f>SUM(G8:G27)</f>
        <v>1455561</v>
      </c>
      <c r="I28" s="190"/>
    </row>
    <row r="29" spans="1:9" ht="20.25" x14ac:dyDescent="0.2">
      <c r="A29" s="54"/>
      <c r="B29" s="54"/>
      <c r="C29" s="58"/>
      <c r="D29" s="54"/>
      <c r="E29" s="58"/>
      <c r="F29" s="54"/>
      <c r="G29" s="193"/>
    </row>
    <row r="30" spans="1:9" ht="21" thickBot="1" x14ac:dyDescent="0.25">
      <c r="A30" s="54"/>
      <c r="B30" s="66" t="s">
        <v>110</v>
      </c>
      <c r="C30" s="66"/>
      <c r="D30" s="66"/>
      <c r="E30" s="66"/>
      <c r="F30" s="66"/>
      <c r="G30" s="200"/>
    </row>
    <row r="31" spans="1:9" ht="20.25" x14ac:dyDescent="0.2">
      <c r="A31" s="54"/>
      <c r="B31" s="54"/>
      <c r="C31" s="58" t="s">
        <v>111</v>
      </c>
      <c r="D31" s="58"/>
      <c r="E31" s="58"/>
      <c r="F31" s="58"/>
      <c r="G31" s="193">
        <v>889720</v>
      </c>
    </row>
    <row r="32" spans="1:9" ht="20.25" x14ac:dyDescent="0.2">
      <c r="A32" s="54"/>
      <c r="B32" s="54"/>
      <c r="C32" s="58" t="s">
        <v>112</v>
      </c>
      <c r="D32" s="58"/>
      <c r="E32" s="58"/>
      <c r="F32" s="58"/>
      <c r="G32" s="193">
        <v>192602</v>
      </c>
    </row>
    <row r="33" spans="1:7" ht="20.25" x14ac:dyDescent="0.2">
      <c r="A33" s="54"/>
      <c r="B33" s="54"/>
      <c r="C33" s="58" t="s">
        <v>113</v>
      </c>
      <c r="D33" s="58"/>
      <c r="E33" s="58"/>
      <c r="F33" s="58"/>
      <c r="G33" s="193">
        <v>3600</v>
      </c>
    </row>
    <row r="34" spans="1:7" ht="20.25" x14ac:dyDescent="0.2">
      <c r="A34" s="54"/>
      <c r="B34" s="54"/>
      <c r="C34" s="58" t="s">
        <v>103</v>
      </c>
      <c r="D34" s="58"/>
      <c r="E34" s="58"/>
      <c r="F34" s="58"/>
      <c r="G34" s="193">
        <f>G23</f>
        <v>46575</v>
      </c>
    </row>
    <row r="35" spans="1:7" ht="20.25" x14ac:dyDescent="0.2">
      <c r="A35" s="54"/>
      <c r="B35" s="54"/>
      <c r="C35" s="58" t="s">
        <v>114</v>
      </c>
      <c r="D35" s="58"/>
      <c r="E35" s="58"/>
      <c r="F35" s="58"/>
      <c r="G35" s="193">
        <v>17595</v>
      </c>
    </row>
    <row r="36" spans="1:7" ht="20.25" x14ac:dyDescent="0.2">
      <c r="A36" s="54"/>
      <c r="B36" s="54"/>
      <c r="C36" s="58" t="s">
        <v>115</v>
      </c>
      <c r="D36" s="58"/>
      <c r="E36" s="58"/>
      <c r="F36" s="58"/>
      <c r="G36" s="193">
        <v>2821</v>
      </c>
    </row>
    <row r="37" spans="1:7" ht="20.25" x14ac:dyDescent="0.2">
      <c r="A37" s="54"/>
      <c r="B37" s="54"/>
      <c r="C37" s="58" t="s">
        <v>116</v>
      </c>
      <c r="D37" s="58"/>
      <c r="E37" s="58"/>
      <c r="F37" s="58"/>
      <c r="G37" s="193">
        <v>5032</v>
      </c>
    </row>
    <row r="38" spans="1:7" ht="20.25" x14ac:dyDescent="0.2">
      <c r="A38" s="54"/>
      <c r="B38" s="54"/>
      <c r="C38" s="58" t="s">
        <v>117</v>
      </c>
      <c r="D38" s="58"/>
      <c r="E38" s="58"/>
      <c r="F38" s="58"/>
      <c r="G38" s="193">
        <v>12216</v>
      </c>
    </row>
    <row r="39" spans="1:7" ht="20.25" x14ac:dyDescent="0.2">
      <c r="A39" s="54"/>
      <c r="B39" s="54"/>
      <c r="C39" s="58" t="s">
        <v>118</v>
      </c>
      <c r="D39" s="58"/>
      <c r="E39" s="58"/>
      <c r="F39" s="58"/>
      <c r="G39" s="193">
        <v>39500</v>
      </c>
    </row>
    <row r="40" spans="1:7" ht="20.25" x14ac:dyDescent="0.2">
      <c r="A40" s="54"/>
      <c r="B40" s="54"/>
      <c r="C40" s="58" t="s">
        <v>119</v>
      </c>
      <c r="D40" s="58"/>
      <c r="E40" s="58"/>
      <c r="F40" s="58"/>
      <c r="G40" s="193">
        <v>4840</v>
      </c>
    </row>
    <row r="41" spans="1:7" ht="20.25" x14ac:dyDescent="0.2">
      <c r="A41" s="54"/>
      <c r="B41" s="54"/>
      <c r="C41" s="58" t="s">
        <v>120</v>
      </c>
      <c r="D41" s="58"/>
      <c r="E41" s="58"/>
      <c r="F41" s="58"/>
      <c r="G41" s="193">
        <v>1735</v>
      </c>
    </row>
    <row r="42" spans="1:7" ht="20.25" x14ac:dyDescent="0.2">
      <c r="A42" s="54"/>
      <c r="B42" s="54"/>
      <c r="C42" s="58" t="s">
        <v>165</v>
      </c>
      <c r="D42" s="58"/>
      <c r="E42" s="58"/>
      <c r="F42" s="58"/>
      <c r="G42" s="193">
        <v>12125</v>
      </c>
    </row>
    <row r="43" spans="1:7" ht="20.25" x14ac:dyDescent="0.2">
      <c r="A43" s="58"/>
      <c r="B43" s="58"/>
      <c r="C43" s="58" t="s">
        <v>121</v>
      </c>
      <c r="D43" s="58"/>
      <c r="E43" s="58"/>
      <c r="F43" s="58"/>
      <c r="G43" s="193">
        <v>12252</v>
      </c>
    </row>
    <row r="44" spans="1:7" ht="20.25" x14ac:dyDescent="0.2">
      <c r="A44" s="58"/>
      <c r="B44" s="58"/>
      <c r="C44" s="58" t="s">
        <v>122</v>
      </c>
      <c r="D44" s="58"/>
      <c r="E44" s="58"/>
      <c r="F44" s="58"/>
      <c r="G44" s="193">
        <v>13564</v>
      </c>
    </row>
    <row r="45" spans="1:7" ht="20.25" x14ac:dyDescent="0.2">
      <c r="A45" s="58"/>
      <c r="B45" s="58"/>
      <c r="C45" s="58" t="s">
        <v>129</v>
      </c>
      <c r="D45" s="58"/>
      <c r="E45" s="58"/>
      <c r="F45" s="58"/>
      <c r="G45" s="193">
        <v>875</v>
      </c>
    </row>
    <row r="46" spans="1:7" ht="20.25" x14ac:dyDescent="0.2">
      <c r="A46" s="58"/>
      <c r="B46" s="58"/>
      <c r="C46" s="58" t="s">
        <v>123</v>
      </c>
      <c r="D46" s="58"/>
      <c r="E46" s="58"/>
      <c r="F46" s="58"/>
      <c r="G46" s="193">
        <f>10039+1500</f>
        <v>11539</v>
      </c>
    </row>
    <row r="47" spans="1:7" ht="20.25" x14ac:dyDescent="0.2">
      <c r="A47" s="54"/>
      <c r="B47" s="54"/>
      <c r="C47" s="58" t="s">
        <v>198</v>
      </c>
      <c r="D47" s="58"/>
      <c r="E47" s="58"/>
      <c r="F47" s="58"/>
      <c r="G47" s="193">
        <f>12623+2660</f>
        <v>15283</v>
      </c>
    </row>
    <row r="48" spans="1:7" ht="20.25" x14ac:dyDescent="0.2">
      <c r="A48" s="58"/>
      <c r="B48" s="58"/>
      <c r="C48" s="58" t="s">
        <v>124</v>
      </c>
      <c r="D48" s="58"/>
      <c r="E48" s="58"/>
      <c r="F48" s="58"/>
      <c r="G48" s="193">
        <v>39977</v>
      </c>
    </row>
    <row r="49" spans="1:7" ht="20.25" x14ac:dyDescent="0.2">
      <c r="A49" s="58"/>
      <c r="B49" s="58"/>
      <c r="C49" s="58" t="s">
        <v>125</v>
      </c>
      <c r="D49" s="58"/>
      <c r="E49" s="58"/>
      <c r="F49" s="58"/>
      <c r="G49" s="193">
        <v>19556</v>
      </c>
    </row>
    <row r="50" spans="1:7" ht="20.25" x14ac:dyDescent="0.2">
      <c r="A50" s="58"/>
      <c r="B50" s="58"/>
      <c r="C50" s="58" t="s">
        <v>164</v>
      </c>
      <c r="D50" s="58"/>
      <c r="E50" s="58"/>
      <c r="F50" s="58"/>
      <c r="G50" s="193">
        <v>56100</v>
      </c>
    </row>
    <row r="51" spans="1:7" ht="20.25" x14ac:dyDescent="0.2">
      <c r="A51" s="58"/>
      <c r="B51" s="58"/>
      <c r="C51" s="58" t="s">
        <v>126</v>
      </c>
      <c r="D51" s="58"/>
      <c r="E51" s="58"/>
      <c r="F51" s="58"/>
      <c r="G51" s="193">
        <f>750+86095</f>
        <v>86845</v>
      </c>
    </row>
    <row r="52" spans="1:7" ht="21" thickBot="1" x14ac:dyDescent="0.25">
      <c r="A52" s="58"/>
      <c r="B52" s="58"/>
      <c r="C52" s="58"/>
      <c r="D52" s="58"/>
      <c r="E52" s="58"/>
      <c r="F52" s="58"/>
      <c r="G52" s="200"/>
    </row>
    <row r="53" spans="1:7" ht="20.25" x14ac:dyDescent="0.2">
      <c r="A53" s="54"/>
      <c r="B53" s="54"/>
      <c r="C53" s="54"/>
      <c r="D53" s="54" t="s">
        <v>127</v>
      </c>
      <c r="E53" s="54"/>
      <c r="F53" s="54"/>
      <c r="G53" s="196">
        <f>SUM(G31:G51)</f>
        <v>1484352</v>
      </c>
    </row>
    <row r="54" spans="1:7" ht="21" thickBot="1" x14ac:dyDescent="0.25">
      <c r="A54" s="54"/>
      <c r="B54" s="54"/>
      <c r="C54" s="54"/>
      <c r="D54" s="54"/>
      <c r="E54" s="54"/>
      <c r="F54" s="54"/>
      <c r="G54" s="200"/>
    </row>
    <row r="55" spans="1:7" ht="21" thickBot="1" x14ac:dyDescent="0.25">
      <c r="A55" s="54"/>
      <c r="B55" s="54"/>
      <c r="C55" s="54"/>
      <c r="D55" s="54" t="s">
        <v>128</v>
      </c>
      <c r="E55" s="54"/>
      <c r="F55" s="54"/>
      <c r="G55" s="200">
        <f>G28-G53</f>
        <v>-28791</v>
      </c>
    </row>
    <row r="56" spans="1:7" ht="20.25" x14ac:dyDescent="0.2">
      <c r="A56" s="54"/>
      <c r="B56" s="54"/>
      <c r="C56" s="54"/>
      <c r="D56" s="54"/>
      <c r="E56" s="54"/>
      <c r="F56" s="54"/>
      <c r="G56" s="193"/>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58" hidden="1" customWidth="1"/>
    <col min="4" max="7" width="15" customWidth="1"/>
    <col min="8" max="8" width="14.625" customWidth="1"/>
  </cols>
  <sheetData>
    <row r="1" spans="1:41" ht="21" x14ac:dyDescent="0.35">
      <c r="A1" s="47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76" t="s">
        <v>298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76" t="str">
        <f>'December''23 State of Activities'!A3</f>
        <v>Ten Months Ended October 31, 2023 and 2022</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48" t="s">
        <v>278</v>
      </c>
      <c r="B5" s="849"/>
      <c r="C5" s="849"/>
      <c r="D5" s="849"/>
      <c r="E5" s="849"/>
      <c r="F5" s="849"/>
      <c r="G5" s="849"/>
      <c r="H5" s="850"/>
    </row>
    <row r="6" spans="1:41" ht="7.5" customHeight="1" thickBot="1" x14ac:dyDescent="0.25">
      <c r="E6" s="21"/>
      <c r="F6" s="21"/>
      <c r="G6" s="21"/>
    </row>
    <row r="7" spans="1:41" ht="15.75" x14ac:dyDescent="0.25">
      <c r="A7" s="446" t="s">
        <v>279</v>
      </c>
      <c r="B7" s="447" t="s">
        <v>280</v>
      </c>
      <c r="C7" s="447" t="s">
        <v>281</v>
      </c>
      <c r="D7" s="447" t="s">
        <v>282</v>
      </c>
      <c r="E7" s="447" t="s">
        <v>283</v>
      </c>
      <c r="F7" s="447" t="s">
        <v>284</v>
      </c>
      <c r="G7" s="447" t="s">
        <v>285</v>
      </c>
      <c r="H7" s="446" t="s">
        <v>286</v>
      </c>
    </row>
    <row r="8" spans="1:41" ht="16.5" thickBot="1" x14ac:dyDescent="0.3">
      <c r="A8" s="448"/>
      <c r="B8" s="449" t="s">
        <v>287</v>
      </c>
      <c r="C8" s="449" t="s">
        <v>287</v>
      </c>
      <c r="D8" s="449" t="s">
        <v>287</v>
      </c>
      <c r="E8" s="449" t="s">
        <v>287</v>
      </c>
      <c r="F8" s="449" t="s">
        <v>287</v>
      </c>
      <c r="G8" s="449" t="s">
        <v>287</v>
      </c>
      <c r="H8" s="450" t="s">
        <v>288</v>
      </c>
    </row>
    <row r="9" spans="1:41" x14ac:dyDescent="0.2">
      <c r="A9" s="451">
        <v>42741</v>
      </c>
      <c r="B9" s="452">
        <v>1059.72</v>
      </c>
      <c r="C9" s="453">
        <f>6123.86-3246.88</f>
        <v>2876.9799999999996</v>
      </c>
      <c r="D9" s="452">
        <f>160.4+1401.46</f>
        <v>1561.8600000000001</v>
      </c>
      <c r="E9" s="452">
        <f>2007.36+883.16</f>
        <v>2890.52</v>
      </c>
      <c r="F9" s="452">
        <v>4174.08</v>
      </c>
      <c r="G9" s="452">
        <v>3187.95</v>
      </c>
      <c r="H9" s="452">
        <f>G9-F9</f>
        <v>-986.13000000000011</v>
      </c>
    </row>
    <row r="10" spans="1:41" x14ac:dyDescent="0.2">
      <c r="A10" s="454">
        <v>42748</v>
      </c>
      <c r="B10" s="455">
        <v>1351.72</v>
      </c>
      <c r="C10" s="452">
        <f>7232.22-3246.88</f>
        <v>3985.34</v>
      </c>
      <c r="D10" s="455">
        <v>3927.82</v>
      </c>
      <c r="E10" s="455">
        <v>3364.16</v>
      </c>
      <c r="F10" s="452">
        <v>4643.2299999999996</v>
      </c>
      <c r="G10" s="452">
        <v>3858.57</v>
      </c>
      <c r="H10" s="452">
        <f t="shared" ref="H10:H21" si="0">G10-F10</f>
        <v>-784.6599999999994</v>
      </c>
    </row>
    <row r="11" spans="1:41" x14ac:dyDescent="0.2">
      <c r="A11" s="454">
        <v>42755</v>
      </c>
      <c r="B11" s="455">
        <v>1237.58</v>
      </c>
      <c r="C11" s="455">
        <f>5493.18-2496.78</f>
        <v>2996.4</v>
      </c>
      <c r="D11" s="455">
        <v>3463.28</v>
      </c>
      <c r="E11" s="455">
        <v>3723.22</v>
      </c>
      <c r="F11" s="452">
        <v>3257.98</v>
      </c>
      <c r="G11" s="452">
        <v>2816.13</v>
      </c>
      <c r="H11" s="452">
        <f t="shared" si="0"/>
        <v>-441.84999999999991</v>
      </c>
    </row>
    <row r="12" spans="1:41" x14ac:dyDescent="0.2">
      <c r="A12" s="454">
        <v>42762</v>
      </c>
      <c r="B12" s="455">
        <v>1829.66</v>
      </c>
      <c r="C12" s="455">
        <f>6125.18-2535</f>
        <v>3590.1800000000003</v>
      </c>
      <c r="D12" s="455">
        <v>2947.54</v>
      </c>
      <c r="E12" s="455">
        <v>3026.63</v>
      </c>
      <c r="F12" s="452">
        <v>3503.82</v>
      </c>
      <c r="G12" s="452">
        <v>2957.14</v>
      </c>
      <c r="H12" s="452">
        <f t="shared" si="0"/>
        <v>-546.68000000000029</v>
      </c>
    </row>
    <row r="13" spans="1:41" x14ac:dyDescent="0.2">
      <c r="A13" s="454">
        <v>42769</v>
      </c>
      <c r="B13" s="455">
        <v>2363.12</v>
      </c>
      <c r="C13" s="455">
        <f>-3488.68+8424.94</f>
        <v>4936.26</v>
      </c>
      <c r="D13" s="455">
        <v>3434.46</v>
      </c>
      <c r="E13" s="455">
        <v>2986.58</v>
      </c>
      <c r="F13" s="452">
        <v>4063.43</v>
      </c>
      <c r="G13" s="452">
        <v>3878.62</v>
      </c>
      <c r="H13" s="452">
        <f t="shared" si="0"/>
        <v>-184.80999999999995</v>
      </c>
    </row>
    <row r="14" spans="1:41" x14ac:dyDescent="0.2">
      <c r="A14" s="454">
        <v>42776</v>
      </c>
      <c r="B14" s="455">
        <v>1902.16</v>
      </c>
      <c r="C14" s="455">
        <f>-2931.5+7254.06</f>
        <v>4322.5600000000004</v>
      </c>
      <c r="D14" s="455">
        <v>2818.82</v>
      </c>
      <c r="E14" s="455">
        <f>2800.67</f>
        <v>2800.67</v>
      </c>
      <c r="F14" s="452">
        <v>4002.46</v>
      </c>
      <c r="G14" s="452">
        <v>2987.96</v>
      </c>
      <c r="H14" s="452">
        <f t="shared" si="0"/>
        <v>-1014.5</v>
      </c>
    </row>
    <row r="15" spans="1:41" x14ac:dyDescent="0.2">
      <c r="A15" s="454">
        <v>42783</v>
      </c>
      <c r="B15" s="455">
        <v>2134.56</v>
      </c>
      <c r="C15" s="455">
        <f>-3653.28+8329.5-700</f>
        <v>3976.2199999999993</v>
      </c>
      <c r="D15" s="455">
        <v>2157.96</v>
      </c>
      <c r="E15" s="455">
        <v>2584.04</v>
      </c>
      <c r="F15" s="452">
        <v>2886.61</v>
      </c>
      <c r="G15" s="452">
        <v>3373.08</v>
      </c>
      <c r="H15" s="452">
        <f t="shared" si="0"/>
        <v>486.4699999999998</v>
      </c>
    </row>
    <row r="16" spans="1:41" x14ac:dyDescent="0.2">
      <c r="A16" s="454">
        <v>42790</v>
      </c>
      <c r="B16" s="455">
        <v>1676.08</v>
      </c>
      <c r="C16" s="455">
        <f>-2869.88+6693.6</f>
        <v>3823.7200000000003</v>
      </c>
      <c r="D16" s="455">
        <v>3063.52</v>
      </c>
      <c r="E16" s="455">
        <v>3161.19</v>
      </c>
      <c r="F16" s="452">
        <v>3994.7</v>
      </c>
      <c r="G16" s="452">
        <v>3335.8</v>
      </c>
      <c r="H16" s="452">
        <f t="shared" si="0"/>
        <v>-658.89999999999964</v>
      </c>
    </row>
    <row r="17" spans="1:8" x14ac:dyDescent="0.2">
      <c r="A17" s="454">
        <v>42797</v>
      </c>
      <c r="B17" s="455">
        <v>1418.9</v>
      </c>
      <c r="C17" s="455">
        <f>-3427.32+8141.08</f>
        <v>4713.76</v>
      </c>
      <c r="D17" s="455">
        <v>4534.3</v>
      </c>
      <c r="E17" s="455">
        <v>3860.23</v>
      </c>
      <c r="F17" s="452">
        <v>4172.5600000000004</v>
      </c>
      <c r="G17" s="452">
        <v>2335.96</v>
      </c>
      <c r="H17" s="452">
        <f t="shared" si="0"/>
        <v>-1836.6000000000004</v>
      </c>
    </row>
    <row r="18" spans="1:8" x14ac:dyDescent="0.2">
      <c r="A18" s="454">
        <v>42804</v>
      </c>
      <c r="B18" s="455">
        <v>1013.74</v>
      </c>
      <c r="C18" s="455">
        <f>-2919.8+6449.26</f>
        <v>3529.46</v>
      </c>
      <c r="D18" s="455">
        <v>3673.88</v>
      </c>
      <c r="E18" s="455">
        <v>4004</v>
      </c>
      <c r="F18" s="452">
        <v>3762.8</v>
      </c>
      <c r="G18" s="452">
        <v>1711.94</v>
      </c>
      <c r="H18" s="452">
        <f t="shared" si="0"/>
        <v>-2050.86</v>
      </c>
    </row>
    <row r="19" spans="1:8" x14ac:dyDescent="0.2">
      <c r="A19" s="454">
        <v>42811</v>
      </c>
      <c r="B19" s="456">
        <v>3629.96</v>
      </c>
      <c r="C19" s="455">
        <f>-3708.38+7621.78</f>
        <v>3913.3999999999996</v>
      </c>
      <c r="D19" s="455">
        <v>4030.4</v>
      </c>
      <c r="E19" s="455">
        <v>3222.03</v>
      </c>
      <c r="F19" s="452">
        <v>4340.3</v>
      </c>
      <c r="G19" s="452">
        <v>942.16</v>
      </c>
      <c r="H19" s="452">
        <f t="shared" si="0"/>
        <v>-3398.1400000000003</v>
      </c>
    </row>
    <row r="20" spans="1:8" x14ac:dyDescent="0.2">
      <c r="A20" s="454">
        <v>42818</v>
      </c>
      <c r="B20" s="456">
        <v>3364</v>
      </c>
      <c r="C20" s="455">
        <f>-3726.84+7846.28</f>
        <v>4119.4399999999996</v>
      </c>
      <c r="D20" s="455">
        <v>3975.2</v>
      </c>
      <c r="E20" s="455">
        <v>3684.17</v>
      </c>
      <c r="F20" s="452">
        <v>3849.95</v>
      </c>
      <c r="G20" s="452">
        <v>1706.08</v>
      </c>
      <c r="H20" s="452">
        <f t="shared" si="0"/>
        <v>-2143.87</v>
      </c>
    </row>
    <row r="21" spans="1:8" ht="15" thickBot="1" x14ac:dyDescent="0.25">
      <c r="A21" s="454">
        <v>42825</v>
      </c>
      <c r="B21" s="456">
        <v>3587</v>
      </c>
      <c r="C21" s="455">
        <f>-3329.82+7562.9</f>
        <v>4233.08</v>
      </c>
      <c r="D21" s="455">
        <v>4280.8</v>
      </c>
      <c r="E21" s="456">
        <v>4118.96</v>
      </c>
      <c r="F21" s="457">
        <v>4082.74</v>
      </c>
      <c r="G21" s="457">
        <v>2002.52</v>
      </c>
      <c r="H21" s="452">
        <f t="shared" si="0"/>
        <v>-2080.2199999999998</v>
      </c>
    </row>
    <row r="22" spans="1:8" ht="16.5" thickBot="1" x14ac:dyDescent="0.25">
      <c r="A22" s="458" t="s">
        <v>289</v>
      </c>
      <c r="B22" s="459">
        <f t="shared" ref="B22:H22" si="1">SUM(B9:B21)</f>
        <v>26568.2</v>
      </c>
      <c r="C22" s="459">
        <f t="shared" si="1"/>
        <v>51016.80000000001</v>
      </c>
      <c r="D22" s="459">
        <f t="shared" si="1"/>
        <v>43869.84</v>
      </c>
      <c r="E22" s="459">
        <f t="shared" si="1"/>
        <v>43426.399999999994</v>
      </c>
      <c r="F22" s="459">
        <f t="shared" si="1"/>
        <v>50734.659999999996</v>
      </c>
      <c r="G22" s="459">
        <f t="shared" si="1"/>
        <v>35093.909999999989</v>
      </c>
      <c r="H22" s="459">
        <f t="shared" si="1"/>
        <v>-15640.749999999998</v>
      </c>
    </row>
    <row r="23" spans="1:8" x14ac:dyDescent="0.2">
      <c r="A23" s="460">
        <v>42832</v>
      </c>
      <c r="B23" s="455">
        <v>3525.02</v>
      </c>
      <c r="C23" s="452">
        <v>4517.8999999999996</v>
      </c>
      <c r="D23" s="452">
        <v>4162.12</v>
      </c>
      <c r="E23" s="452">
        <v>4043.7</v>
      </c>
      <c r="F23" s="452">
        <v>3768.69</v>
      </c>
      <c r="G23" s="452">
        <v>2018.44</v>
      </c>
      <c r="H23" s="452">
        <f>G23-F23</f>
        <v>-1750.25</v>
      </c>
    </row>
    <row r="24" spans="1:8" x14ac:dyDescent="0.2">
      <c r="A24" s="460">
        <v>42839</v>
      </c>
      <c r="B24" s="455">
        <v>3842.84</v>
      </c>
      <c r="C24" s="452">
        <v>4554.42</v>
      </c>
      <c r="D24" s="455">
        <v>4616</v>
      </c>
      <c r="E24" s="455">
        <v>4136.18</v>
      </c>
      <c r="F24" s="452">
        <v>4345.16</v>
      </c>
      <c r="G24" s="452">
        <v>5284.52</v>
      </c>
      <c r="H24" s="452">
        <f t="shared" ref="H24:H63" si="2">G24-F24</f>
        <v>939.36000000000058</v>
      </c>
    </row>
    <row r="25" spans="1:8" x14ac:dyDescent="0.2">
      <c r="A25" s="460">
        <v>42846</v>
      </c>
      <c r="B25" s="455">
        <v>5337.82</v>
      </c>
      <c r="C25" s="455">
        <v>4041.14</v>
      </c>
      <c r="D25" s="455">
        <v>3729.1</v>
      </c>
      <c r="E25" s="455">
        <v>4132.83</v>
      </c>
      <c r="F25" s="452">
        <v>4267.46</v>
      </c>
      <c r="G25" s="452">
        <v>4715.9799999999996</v>
      </c>
      <c r="H25" s="452">
        <f t="shared" si="2"/>
        <v>448.51999999999953</v>
      </c>
    </row>
    <row r="26" spans="1:8" x14ac:dyDescent="0.2">
      <c r="A26" s="460">
        <v>42853</v>
      </c>
      <c r="B26" s="455">
        <v>4973.68</v>
      </c>
      <c r="C26" s="455">
        <v>4321.8599999999997</v>
      </c>
      <c r="D26" s="455">
        <v>3706.08</v>
      </c>
      <c r="E26" s="455">
        <v>4536.74</v>
      </c>
      <c r="F26" s="452">
        <v>3953.61</v>
      </c>
      <c r="G26" s="452">
        <v>4499.7</v>
      </c>
      <c r="H26" s="452">
        <f t="shared" si="2"/>
        <v>546.08999999999969</v>
      </c>
    </row>
    <row r="27" spans="1:8" x14ac:dyDescent="0.2">
      <c r="A27" s="460">
        <v>42860</v>
      </c>
      <c r="B27" s="455">
        <v>3187.22</v>
      </c>
      <c r="C27" s="455">
        <v>4732.8999999999996</v>
      </c>
      <c r="D27" s="455">
        <v>3421.72</v>
      </c>
      <c r="E27" s="455">
        <f>3478.64+72+758.56</f>
        <v>4309.2</v>
      </c>
      <c r="F27" s="452">
        <v>4192.32</v>
      </c>
      <c r="G27" s="452">
        <v>4204.16</v>
      </c>
      <c r="H27" s="452">
        <f t="shared" si="2"/>
        <v>11.840000000000146</v>
      </c>
    </row>
    <row r="28" spans="1:8" x14ac:dyDescent="0.2">
      <c r="A28" s="460">
        <v>42867</v>
      </c>
      <c r="B28" s="455">
        <v>2237.2399999999998</v>
      </c>
      <c r="C28" s="455">
        <v>4138.8999999999996</v>
      </c>
      <c r="D28" s="455">
        <v>3907.94</v>
      </c>
      <c r="E28" s="455">
        <f>4050.94+212.76</f>
        <v>4263.7</v>
      </c>
      <c r="F28" s="452">
        <v>4361.47</v>
      </c>
      <c r="G28" s="452">
        <v>4571.82</v>
      </c>
      <c r="H28" s="452">
        <f t="shared" si="2"/>
        <v>210.34999999999945</v>
      </c>
    </row>
    <row r="29" spans="1:8" x14ac:dyDescent="0.2">
      <c r="A29" s="460">
        <v>42874</v>
      </c>
      <c r="B29" s="455">
        <v>3446.22</v>
      </c>
      <c r="C29" s="455">
        <v>5447.82</v>
      </c>
      <c r="D29" s="455">
        <f>3359.74+70.28</f>
        <v>3430.02</v>
      </c>
      <c r="E29" s="455">
        <v>3958.56</v>
      </c>
      <c r="F29" s="452">
        <v>3957.78</v>
      </c>
      <c r="G29" s="452">
        <v>4089.18</v>
      </c>
      <c r="H29" s="452">
        <f t="shared" si="2"/>
        <v>131.39999999999964</v>
      </c>
    </row>
    <row r="30" spans="1:8" x14ac:dyDescent="0.2">
      <c r="A30" s="460">
        <v>42881</v>
      </c>
      <c r="B30" s="455">
        <v>3507.94</v>
      </c>
      <c r="C30" s="455">
        <v>4315.03</v>
      </c>
      <c r="D30" s="455">
        <v>3880.8</v>
      </c>
      <c r="E30" s="455">
        <v>4314.9799999999996</v>
      </c>
      <c r="F30" s="452">
        <v>3634.01</v>
      </c>
      <c r="G30" s="452">
        <v>3993.63</v>
      </c>
      <c r="H30" s="452">
        <f t="shared" si="2"/>
        <v>359.61999999999989</v>
      </c>
    </row>
    <row r="31" spans="1:8" x14ac:dyDescent="0.2">
      <c r="A31" s="460">
        <v>42888</v>
      </c>
      <c r="B31" s="455">
        <v>3609.72</v>
      </c>
      <c r="C31" s="455">
        <v>3053.8</v>
      </c>
      <c r="D31" s="455">
        <v>2686.82</v>
      </c>
      <c r="E31" s="455">
        <v>2987.04</v>
      </c>
      <c r="F31" s="452">
        <v>2684.24</v>
      </c>
      <c r="G31" s="452">
        <v>2384.3200000000002</v>
      </c>
      <c r="H31" s="452">
        <f t="shared" si="2"/>
        <v>-299.91999999999962</v>
      </c>
    </row>
    <row r="32" spans="1:8" x14ac:dyDescent="0.2">
      <c r="A32" s="460">
        <v>42895</v>
      </c>
      <c r="B32" s="455">
        <v>2033.76</v>
      </c>
      <c r="C32" s="455">
        <v>4194.8599999999997</v>
      </c>
      <c r="D32" s="455">
        <v>3006.14</v>
      </c>
      <c r="E32" s="455">
        <v>3675.8</v>
      </c>
      <c r="F32" s="452">
        <v>3674.42</v>
      </c>
      <c r="G32" s="452">
        <v>3297.66</v>
      </c>
      <c r="H32" s="452">
        <f t="shared" si="2"/>
        <v>-376.76000000000022</v>
      </c>
    </row>
    <row r="33" spans="1:8" x14ac:dyDescent="0.2">
      <c r="A33" s="460">
        <v>42902</v>
      </c>
      <c r="B33" s="455">
        <v>2786.98</v>
      </c>
      <c r="C33" s="455">
        <v>3980.08</v>
      </c>
      <c r="D33" s="455">
        <v>3579.53</v>
      </c>
      <c r="E33" s="455">
        <v>4147.8999999999996</v>
      </c>
      <c r="F33" s="452">
        <v>4182.5200000000004</v>
      </c>
      <c r="G33" s="452">
        <v>3252.16</v>
      </c>
      <c r="H33" s="452">
        <f t="shared" si="2"/>
        <v>-930.36000000000058</v>
      </c>
    </row>
    <row r="34" spans="1:8" x14ac:dyDescent="0.2">
      <c r="A34" s="460">
        <v>42909</v>
      </c>
      <c r="B34" s="456">
        <v>2436.9</v>
      </c>
      <c r="C34" s="455">
        <v>4001.26</v>
      </c>
      <c r="D34" s="455">
        <v>3401.21</v>
      </c>
      <c r="E34" s="455">
        <v>3774.82</v>
      </c>
      <c r="F34" s="452">
        <v>3596.56</v>
      </c>
      <c r="G34" s="452">
        <v>3139.68</v>
      </c>
      <c r="H34" s="452">
        <f t="shared" si="2"/>
        <v>-456.88000000000011</v>
      </c>
    </row>
    <row r="35" spans="1:8" ht="15" thickBot="1" x14ac:dyDescent="0.25">
      <c r="A35" s="460">
        <v>42916</v>
      </c>
      <c r="B35" s="456">
        <v>2410.56</v>
      </c>
      <c r="C35" s="455">
        <v>3928.74</v>
      </c>
      <c r="D35" s="456">
        <v>3288.01</v>
      </c>
      <c r="E35" s="456">
        <v>3466.07</v>
      </c>
      <c r="F35" s="457">
        <v>3867.92</v>
      </c>
      <c r="G35" s="457">
        <v>3368.72</v>
      </c>
      <c r="H35" s="452">
        <f t="shared" si="2"/>
        <v>-499.20000000000027</v>
      </c>
    </row>
    <row r="36" spans="1:8" ht="16.5" thickBot="1" x14ac:dyDescent="0.25">
      <c r="A36" s="458" t="s">
        <v>290</v>
      </c>
      <c r="B36" s="459">
        <f t="shared" ref="B36:H36" si="3">SUM(B23:B35)</f>
        <v>43335.9</v>
      </c>
      <c r="C36" s="459">
        <f t="shared" si="3"/>
        <v>55228.710000000006</v>
      </c>
      <c r="D36" s="459">
        <f t="shared" si="3"/>
        <v>46815.49</v>
      </c>
      <c r="E36" s="459">
        <f t="shared" si="3"/>
        <v>51747.520000000004</v>
      </c>
      <c r="F36" s="459">
        <f t="shared" si="3"/>
        <v>50486.159999999989</v>
      </c>
      <c r="G36" s="459">
        <f t="shared" si="3"/>
        <v>48819.970000000008</v>
      </c>
      <c r="H36" s="459">
        <f t="shared" si="3"/>
        <v>-1666.1900000000019</v>
      </c>
    </row>
    <row r="37" spans="1:8" x14ac:dyDescent="0.2">
      <c r="A37" s="460">
        <v>42923</v>
      </c>
      <c r="B37" s="452">
        <f>899.92+2410.56</f>
        <v>3310.48</v>
      </c>
      <c r="C37" s="452">
        <v>3059.59</v>
      </c>
      <c r="D37" s="452">
        <f>952.56+2445.69</f>
        <v>3398.25</v>
      </c>
      <c r="E37" s="452">
        <f>1313.52+1315.48</f>
        <v>2629</v>
      </c>
      <c r="F37" s="452">
        <v>3092.18</v>
      </c>
      <c r="G37" s="452">
        <v>2501.6799999999998</v>
      </c>
      <c r="H37" s="452">
        <f t="shared" si="2"/>
        <v>-590.5</v>
      </c>
    </row>
    <row r="38" spans="1:8" x14ac:dyDescent="0.2">
      <c r="A38" s="454">
        <v>42930</v>
      </c>
      <c r="B38" s="452">
        <v>2613.8200000000002</v>
      </c>
      <c r="C38" s="452">
        <v>4164.28</v>
      </c>
      <c r="D38" s="455">
        <v>3621.49</v>
      </c>
      <c r="E38" s="455">
        <v>3328.78</v>
      </c>
      <c r="F38" s="452">
        <v>4363</v>
      </c>
      <c r="G38" s="452">
        <v>3463.97</v>
      </c>
      <c r="H38" s="452">
        <f t="shared" si="2"/>
        <v>-899.0300000000002</v>
      </c>
    </row>
    <row r="39" spans="1:8" x14ac:dyDescent="0.2">
      <c r="A39" s="454">
        <v>42937</v>
      </c>
      <c r="B39" s="455">
        <v>2285.09</v>
      </c>
      <c r="C39" s="455">
        <v>3698.36</v>
      </c>
      <c r="D39" s="455">
        <v>3478.53</v>
      </c>
      <c r="E39" s="455">
        <v>4114.08</v>
      </c>
      <c r="F39" s="452">
        <v>3936.33</v>
      </c>
      <c r="G39" s="452">
        <v>3416.66</v>
      </c>
      <c r="H39" s="452">
        <f t="shared" si="2"/>
        <v>-519.67000000000007</v>
      </c>
    </row>
    <row r="40" spans="1:8" x14ac:dyDescent="0.2">
      <c r="A40" s="454">
        <v>42944</v>
      </c>
      <c r="B40" s="455">
        <v>1982.06</v>
      </c>
      <c r="C40" s="455">
        <v>3907.78</v>
      </c>
      <c r="D40" s="455">
        <v>3713.11</v>
      </c>
      <c r="E40" s="455">
        <v>4010.57</v>
      </c>
      <c r="F40" s="452">
        <v>3962.85</v>
      </c>
      <c r="G40" s="452">
        <v>3139.68</v>
      </c>
      <c r="H40" s="452">
        <f t="shared" si="2"/>
        <v>-823.17000000000007</v>
      </c>
    </row>
    <row r="41" spans="1:8" x14ac:dyDescent="0.2">
      <c r="A41" s="454">
        <v>42951</v>
      </c>
      <c r="B41" s="455">
        <v>2442</v>
      </c>
      <c r="C41" s="455">
        <v>3807.12</v>
      </c>
      <c r="D41" s="455">
        <v>3318.21</v>
      </c>
      <c r="E41" s="455">
        <v>3520.16</v>
      </c>
      <c r="F41" s="452">
        <v>3810.8</v>
      </c>
      <c r="G41" s="452">
        <v>3171.9</v>
      </c>
      <c r="H41" s="452">
        <f t="shared" si="2"/>
        <v>-638.90000000000009</v>
      </c>
    </row>
    <row r="42" spans="1:8" x14ac:dyDescent="0.2">
      <c r="A42" s="454">
        <v>42958</v>
      </c>
      <c r="B42" s="455">
        <v>2003.68</v>
      </c>
      <c r="C42" s="455">
        <v>3636.64</v>
      </c>
      <c r="D42" s="455">
        <v>2999.63</v>
      </c>
      <c r="E42" s="455">
        <v>3150.64</v>
      </c>
      <c r="F42" s="452">
        <v>3905.08</v>
      </c>
      <c r="G42" s="452">
        <v>3339.76</v>
      </c>
      <c r="H42" s="452">
        <f t="shared" si="2"/>
        <v>-565.31999999999971</v>
      </c>
    </row>
    <row r="43" spans="1:8" x14ac:dyDescent="0.2">
      <c r="A43" s="454">
        <v>42965</v>
      </c>
      <c r="B43" s="455">
        <v>1971.38</v>
      </c>
      <c r="C43" s="455">
        <v>3658.28</v>
      </c>
      <c r="D43" s="455">
        <v>4080.16</v>
      </c>
      <c r="E43" s="455">
        <v>3780.2</v>
      </c>
      <c r="F43" s="452">
        <v>3747.05</v>
      </c>
      <c r="G43" s="452">
        <v>3333.42</v>
      </c>
      <c r="H43" s="452">
        <f t="shared" si="2"/>
        <v>-413.63000000000011</v>
      </c>
    </row>
    <row r="44" spans="1:8" x14ac:dyDescent="0.2">
      <c r="A44" s="454">
        <v>42972</v>
      </c>
      <c r="B44" s="455">
        <v>2725.14</v>
      </c>
      <c r="C44" s="455">
        <v>4096.0200000000004</v>
      </c>
      <c r="D44" s="455">
        <v>4309.82</v>
      </c>
      <c r="E44" s="455">
        <v>3361.86</v>
      </c>
      <c r="F44" s="452">
        <v>3788.4</v>
      </c>
      <c r="G44" s="452">
        <v>3772.14</v>
      </c>
      <c r="H44" s="452">
        <f t="shared" si="2"/>
        <v>-16.260000000000218</v>
      </c>
    </row>
    <row r="45" spans="1:8" x14ac:dyDescent="0.2">
      <c r="A45" s="454">
        <v>42979</v>
      </c>
      <c r="B45" s="455">
        <v>2749.96</v>
      </c>
      <c r="C45" s="455">
        <v>3825.18</v>
      </c>
      <c r="D45" s="455">
        <v>3712.48</v>
      </c>
      <c r="E45" s="455">
        <v>3605.07</v>
      </c>
      <c r="F45" s="452">
        <v>3858.34</v>
      </c>
      <c r="G45" s="452">
        <v>3206</v>
      </c>
      <c r="H45" s="452">
        <f t="shared" si="2"/>
        <v>-652.34000000000015</v>
      </c>
    </row>
    <row r="46" spans="1:8" x14ac:dyDescent="0.2">
      <c r="A46" s="454">
        <v>42986</v>
      </c>
      <c r="B46" s="455">
        <v>2323.9</v>
      </c>
      <c r="C46" s="455">
        <v>2717.46</v>
      </c>
      <c r="D46" s="455">
        <v>3072.96</v>
      </c>
      <c r="E46" s="455">
        <f>753.86+2730.15</f>
        <v>3484.01</v>
      </c>
      <c r="F46" s="452">
        <v>3265.99</v>
      </c>
      <c r="G46" s="452">
        <v>2271.2199999999998</v>
      </c>
      <c r="H46" s="452">
        <f t="shared" si="2"/>
        <v>-994.77</v>
      </c>
    </row>
    <row r="47" spans="1:8" x14ac:dyDescent="0.2">
      <c r="A47" s="454">
        <v>42993</v>
      </c>
      <c r="B47" s="455">
        <v>2621.61</v>
      </c>
      <c r="C47" s="455">
        <v>3748.38</v>
      </c>
      <c r="D47" s="455">
        <v>3926.25</v>
      </c>
      <c r="E47" s="455">
        <v>3212.96</v>
      </c>
      <c r="F47" s="452">
        <v>3712.16</v>
      </c>
      <c r="G47" s="452">
        <v>2688.36</v>
      </c>
      <c r="H47" s="452">
        <f t="shared" si="2"/>
        <v>-1023.7999999999997</v>
      </c>
    </row>
    <row r="48" spans="1:8" x14ac:dyDescent="0.2">
      <c r="A48" s="454">
        <v>43000</v>
      </c>
      <c r="B48" s="455">
        <v>2394.14</v>
      </c>
      <c r="C48" s="455">
        <v>3766.8</v>
      </c>
      <c r="D48" s="455">
        <v>4164.1899999999996</v>
      </c>
      <c r="E48" s="455">
        <v>4004.92</v>
      </c>
      <c r="F48" s="452">
        <v>3509.17</v>
      </c>
      <c r="G48" s="452">
        <v>3180.04</v>
      </c>
      <c r="H48" s="452">
        <f t="shared" si="2"/>
        <v>-329.13000000000011</v>
      </c>
    </row>
    <row r="49" spans="1:8" ht="15" thickBot="1" x14ac:dyDescent="0.25">
      <c r="A49" s="454">
        <v>43007</v>
      </c>
      <c r="B49" s="456">
        <v>2669.64</v>
      </c>
      <c r="C49" s="456">
        <v>4136.58</v>
      </c>
      <c r="D49" s="456">
        <v>3566.31</v>
      </c>
      <c r="E49" s="456">
        <v>3837.41</v>
      </c>
      <c r="F49" s="457">
        <v>3803.3</v>
      </c>
      <c r="G49" s="457">
        <v>2437.88</v>
      </c>
      <c r="H49" s="452">
        <f t="shared" si="2"/>
        <v>-1365.42</v>
      </c>
    </row>
    <row r="50" spans="1:8" ht="16.5" thickBot="1" x14ac:dyDescent="0.25">
      <c r="A50" s="458" t="s">
        <v>291</v>
      </c>
      <c r="B50" s="459">
        <f>SUM(B37:B49)</f>
        <v>32092.899999999998</v>
      </c>
      <c r="C50" s="459">
        <f>SUM(C37:C49)</f>
        <v>48222.47</v>
      </c>
      <c r="D50" s="459">
        <f>SUM(D37:D49)</f>
        <v>47361.39</v>
      </c>
      <c r="E50" s="459">
        <f>SUM(E37:E49)</f>
        <v>46039.66</v>
      </c>
      <c r="F50" s="459">
        <f t="shared" ref="F50:H50" si="4">SUM(F37:F49)</f>
        <v>48754.649999999994</v>
      </c>
      <c r="G50" s="459">
        <f t="shared" si="4"/>
        <v>39922.71</v>
      </c>
      <c r="H50" s="459">
        <f t="shared" si="4"/>
        <v>-8831.9399999999987</v>
      </c>
    </row>
    <row r="51" spans="1:8" x14ac:dyDescent="0.2">
      <c r="A51" s="460">
        <v>43014</v>
      </c>
      <c r="B51" s="452">
        <v>3051.16</v>
      </c>
      <c r="C51" s="452">
        <v>4721</v>
      </c>
      <c r="D51" s="452">
        <f>1531.24+2227.04</f>
        <v>3758.2799999999997</v>
      </c>
      <c r="E51" s="452">
        <v>3921.83</v>
      </c>
      <c r="F51" s="452">
        <v>3911.96</v>
      </c>
      <c r="G51" s="452">
        <v>3047.82</v>
      </c>
      <c r="H51" s="452">
        <f t="shared" si="2"/>
        <v>-864.13999999999987</v>
      </c>
    </row>
    <row r="52" spans="1:8" x14ac:dyDescent="0.2">
      <c r="A52" s="454">
        <v>43021</v>
      </c>
      <c r="B52" s="455">
        <v>2579.96</v>
      </c>
      <c r="C52" s="455">
        <v>4035.24</v>
      </c>
      <c r="D52" s="455">
        <v>4232.92</v>
      </c>
      <c r="E52" s="455">
        <v>3403.46</v>
      </c>
      <c r="F52" s="452">
        <v>3093.5</v>
      </c>
      <c r="G52" s="452">
        <v>2010.94</v>
      </c>
      <c r="H52" s="452">
        <f t="shared" si="2"/>
        <v>-1082.56</v>
      </c>
    </row>
    <row r="53" spans="1:8" x14ac:dyDescent="0.2">
      <c r="A53" s="454">
        <v>43028</v>
      </c>
      <c r="B53" s="455">
        <v>3119.16</v>
      </c>
      <c r="C53" s="455">
        <v>2972.08</v>
      </c>
      <c r="D53" s="455">
        <v>3057.22</v>
      </c>
      <c r="E53" s="455">
        <v>3116.16</v>
      </c>
      <c r="F53" s="452">
        <v>4261.32</v>
      </c>
      <c r="G53" s="452">
        <v>3314.5</v>
      </c>
      <c r="H53" s="452">
        <f t="shared" si="2"/>
        <v>-946.81999999999971</v>
      </c>
    </row>
    <row r="54" spans="1:8" x14ac:dyDescent="0.2">
      <c r="A54" s="454">
        <v>43035</v>
      </c>
      <c r="B54" s="455">
        <v>2378.1999999999998</v>
      </c>
      <c r="C54" s="455">
        <v>3341.66</v>
      </c>
      <c r="D54" s="455">
        <v>3745.65</v>
      </c>
      <c r="E54" s="455">
        <v>3664.58</v>
      </c>
      <c r="F54" s="452">
        <v>3860.55</v>
      </c>
      <c r="G54" s="452">
        <v>2905</v>
      </c>
      <c r="H54" s="452">
        <f t="shared" si="2"/>
        <v>-955.55000000000018</v>
      </c>
    </row>
    <row r="55" spans="1:8" x14ac:dyDescent="0.2">
      <c r="A55" s="454">
        <v>43042</v>
      </c>
      <c r="B55" s="455">
        <v>2153.36</v>
      </c>
      <c r="C55" s="455">
        <v>3165.08</v>
      </c>
      <c r="D55" s="455">
        <f>3171.04+47.44+30.24</f>
        <v>3248.72</v>
      </c>
      <c r="E55" s="455">
        <v>3792.71</v>
      </c>
      <c r="F55" s="452">
        <v>3942.48</v>
      </c>
      <c r="G55" s="452">
        <v>3169.18</v>
      </c>
      <c r="H55" s="452">
        <f t="shared" si="2"/>
        <v>-773.30000000000018</v>
      </c>
    </row>
    <row r="56" spans="1:8" x14ac:dyDescent="0.2">
      <c r="A56" s="454">
        <v>43049</v>
      </c>
      <c r="B56" s="455">
        <v>1549.7</v>
      </c>
      <c r="C56" s="455">
        <v>3024.18</v>
      </c>
      <c r="D56" s="455">
        <v>3967.37</v>
      </c>
      <c r="E56" s="455">
        <v>3804.52</v>
      </c>
      <c r="F56" s="452">
        <v>3933.48</v>
      </c>
      <c r="G56" s="452">
        <v>2670.04</v>
      </c>
      <c r="H56" s="452">
        <f t="shared" si="2"/>
        <v>-1263.44</v>
      </c>
    </row>
    <row r="57" spans="1:8" x14ac:dyDescent="0.2">
      <c r="A57" s="454">
        <v>43056</v>
      </c>
      <c r="B57" s="455">
        <f>(5311.2-178.1)*0.5</f>
        <v>2566.5499999999997</v>
      </c>
      <c r="C57" s="455">
        <v>3500.86</v>
      </c>
      <c r="D57" s="455">
        <v>4007.55</v>
      </c>
      <c r="E57" s="455">
        <v>3693.64</v>
      </c>
      <c r="F57" s="452">
        <v>3860.4</v>
      </c>
      <c r="G57" s="452">
        <v>2400.7199999999998</v>
      </c>
      <c r="H57" s="452">
        <f t="shared" si="2"/>
        <v>-1459.6800000000003</v>
      </c>
    </row>
    <row r="58" spans="1:8" x14ac:dyDescent="0.2">
      <c r="A58" s="454">
        <v>43063</v>
      </c>
      <c r="B58" s="455">
        <f>(5311.2-178.1)*0.5</f>
        <v>2566.5499999999997</v>
      </c>
      <c r="C58" s="455">
        <v>4015.8</v>
      </c>
      <c r="D58" s="455">
        <v>4445.62</v>
      </c>
      <c r="E58" s="455">
        <v>3499.88</v>
      </c>
      <c r="F58" s="452">
        <v>1675.8</v>
      </c>
      <c r="G58" s="452">
        <v>1268.44</v>
      </c>
      <c r="H58" s="452">
        <f t="shared" si="2"/>
        <v>-407.3599999999999</v>
      </c>
    </row>
    <row r="59" spans="1:8" x14ac:dyDescent="0.2">
      <c r="A59" s="454">
        <v>43070</v>
      </c>
      <c r="B59" s="455">
        <v>3577.34</v>
      </c>
      <c r="C59" s="455">
        <v>2434.3200000000002</v>
      </c>
      <c r="D59" s="455">
        <v>1953.09</v>
      </c>
      <c r="E59" s="455">
        <v>2000.54</v>
      </c>
      <c r="F59" s="452">
        <v>3669.06</v>
      </c>
      <c r="G59" s="452">
        <v>2816.72</v>
      </c>
      <c r="H59" s="452">
        <f t="shared" si="2"/>
        <v>-852.34000000000015</v>
      </c>
    </row>
    <row r="60" spans="1:8" x14ac:dyDescent="0.2">
      <c r="A60" s="454">
        <v>43077</v>
      </c>
      <c r="B60" s="455">
        <v>3486.12</v>
      </c>
      <c r="C60" s="455">
        <v>3291.9</v>
      </c>
      <c r="D60" s="455">
        <v>3710.06</v>
      </c>
      <c r="E60" s="455">
        <f>2372.46+627.88</f>
        <v>3000.34</v>
      </c>
      <c r="F60" s="452">
        <v>3225.52</v>
      </c>
      <c r="G60" s="452">
        <v>2427</v>
      </c>
      <c r="H60" s="452">
        <f t="shared" si="2"/>
        <v>-798.52</v>
      </c>
    </row>
    <row r="61" spans="1:8" x14ac:dyDescent="0.2">
      <c r="A61" s="454">
        <v>43084</v>
      </c>
      <c r="B61" s="455">
        <v>3539.16</v>
      </c>
      <c r="C61" s="455">
        <v>4047.94</v>
      </c>
      <c r="D61" s="455">
        <v>3873.59</v>
      </c>
      <c r="E61" s="455">
        <v>4104.09</v>
      </c>
      <c r="F61" s="452">
        <v>2933.78</v>
      </c>
      <c r="G61" s="452">
        <v>2427</v>
      </c>
      <c r="H61" s="452">
        <f t="shared" si="2"/>
        <v>-506.7800000000002</v>
      </c>
    </row>
    <row r="62" spans="1:8" x14ac:dyDescent="0.2">
      <c r="A62" s="454">
        <v>43091</v>
      </c>
      <c r="B62" s="455">
        <v>1609.64</v>
      </c>
      <c r="C62" s="455">
        <v>3903.54</v>
      </c>
      <c r="D62" s="455">
        <v>3580.24</v>
      </c>
      <c r="E62" s="455">
        <v>3625.1</v>
      </c>
      <c r="F62" s="452">
        <v>3555.5</v>
      </c>
      <c r="G62" s="452">
        <v>2649.12</v>
      </c>
      <c r="H62" s="452">
        <f t="shared" si="2"/>
        <v>-906.38000000000011</v>
      </c>
    </row>
    <row r="63" spans="1:8" ht="15" thickBot="1" x14ac:dyDescent="0.25">
      <c r="A63" s="461">
        <v>43098</v>
      </c>
      <c r="B63" s="462">
        <v>5154.84</v>
      </c>
      <c r="C63" s="462">
        <v>2331.48</v>
      </c>
      <c r="D63" s="462">
        <v>2383.63</v>
      </c>
      <c r="E63" s="462">
        <v>2256.69</v>
      </c>
      <c r="F63" s="463">
        <v>2486.06</v>
      </c>
      <c r="G63" s="463">
        <v>2088.3000000000002</v>
      </c>
      <c r="H63" s="452">
        <f t="shared" si="2"/>
        <v>-397.75999999999976</v>
      </c>
    </row>
    <row r="64" spans="1:8" ht="16.5" thickBot="1" x14ac:dyDescent="0.25">
      <c r="A64" s="458" t="s">
        <v>292</v>
      </c>
      <c r="B64" s="459">
        <f>SUM(B51:B63)</f>
        <v>37331.74</v>
      </c>
      <c r="C64" s="459">
        <f>SUM(C51:C63)</f>
        <v>44785.08</v>
      </c>
      <c r="D64" s="459">
        <f>SUM(D51:D63)</f>
        <v>45963.939999999988</v>
      </c>
      <c r="E64" s="459">
        <f>SUM(E51:E63)</f>
        <v>43883.54</v>
      </c>
      <c r="F64" s="459">
        <f>SUM(F51:F63)</f>
        <v>44409.409999999996</v>
      </c>
      <c r="G64" s="459">
        <f t="shared" ref="G64" si="5">SUM(G51:G63)</f>
        <v>33194.78</v>
      </c>
      <c r="H64" s="459">
        <f>SUM(H51:H63)</f>
        <v>-11214.63</v>
      </c>
    </row>
    <row r="65" spans="1:8" ht="15.75" x14ac:dyDescent="0.25">
      <c r="A65" s="464" t="s">
        <v>293</v>
      </c>
      <c r="B65" s="465">
        <f t="shared" ref="B65:H65" si="6">SUM(B9:B63)-B22-B36-B50</f>
        <v>139328.74</v>
      </c>
      <c r="C65" s="465">
        <f t="shared" si="6"/>
        <v>199253.05999999985</v>
      </c>
      <c r="D65" s="465">
        <f t="shared" si="6"/>
        <v>184010.66000000003</v>
      </c>
      <c r="E65" s="465">
        <f t="shared" si="6"/>
        <v>185097.12000000014</v>
      </c>
      <c r="F65" s="465">
        <f t="shared" si="6"/>
        <v>194384.88000000003</v>
      </c>
      <c r="G65" s="465">
        <f t="shared" si="6"/>
        <v>157031.36999999994</v>
      </c>
      <c r="H65" s="465">
        <f t="shared" si="6"/>
        <v>-37353.509999999995</v>
      </c>
    </row>
    <row r="66" spans="1:8" x14ac:dyDescent="0.2">
      <c r="A66" s="3" t="s">
        <v>294</v>
      </c>
      <c r="B66" s="466">
        <f t="shared" ref="B66:G66" si="7">AVERAGE(B9:B21)</f>
        <v>2043.7076923076925</v>
      </c>
      <c r="C66" s="467">
        <f t="shared" si="7"/>
        <v>3924.3692307692318</v>
      </c>
      <c r="D66" s="467">
        <f t="shared" si="7"/>
        <v>3374.6030769230765</v>
      </c>
      <c r="E66" s="467">
        <f t="shared" si="7"/>
        <v>3340.4923076923073</v>
      </c>
      <c r="F66" s="467">
        <f t="shared" si="7"/>
        <v>3902.6661538461535</v>
      </c>
      <c r="G66" s="466">
        <f t="shared" si="7"/>
        <v>2699.5315384615378</v>
      </c>
      <c r="H66" s="468">
        <f>G66-F66</f>
        <v>-1203.1346153846157</v>
      </c>
    </row>
    <row r="67" spans="1:8" x14ac:dyDescent="0.2">
      <c r="A67" s="3" t="s">
        <v>295</v>
      </c>
      <c r="B67" s="469">
        <f t="shared" ref="B67:G67" si="8">AVERAGE(B23:B35)</f>
        <v>3333.5307692307692</v>
      </c>
      <c r="C67" s="470">
        <f t="shared" si="8"/>
        <v>4248.3623076923086</v>
      </c>
      <c r="D67" s="470">
        <f t="shared" si="8"/>
        <v>3601.1915384615381</v>
      </c>
      <c r="E67" s="470">
        <f t="shared" si="8"/>
        <v>3980.5784615384619</v>
      </c>
      <c r="F67" s="470">
        <f t="shared" si="8"/>
        <v>3883.5507692307683</v>
      </c>
      <c r="G67" s="469">
        <f t="shared" si="8"/>
        <v>3755.3823076923081</v>
      </c>
      <c r="H67" s="471">
        <f>G67-F67</f>
        <v>-128.16846153846018</v>
      </c>
    </row>
    <row r="68" spans="1:8" x14ac:dyDescent="0.2">
      <c r="A68" s="3" t="s">
        <v>296</v>
      </c>
      <c r="B68" s="469">
        <f t="shared" ref="B68:F68" si="9">AVERAGE(B37:B49)</f>
        <v>2468.6846153846154</v>
      </c>
      <c r="C68" s="470">
        <f t="shared" si="9"/>
        <v>3709.4207692307691</v>
      </c>
      <c r="D68" s="470">
        <f t="shared" si="9"/>
        <v>3643.1838461538459</v>
      </c>
      <c r="E68" s="470">
        <f t="shared" si="9"/>
        <v>3541.5123076923078</v>
      </c>
      <c r="F68" s="470">
        <f t="shared" si="9"/>
        <v>3750.3576923076917</v>
      </c>
      <c r="G68" s="470">
        <f>AVERAGE(G37:G49)</f>
        <v>3070.9776923076925</v>
      </c>
      <c r="H68" s="471">
        <f>G68-F68</f>
        <v>-679.3799999999992</v>
      </c>
    </row>
    <row r="69" spans="1:8" x14ac:dyDescent="0.2">
      <c r="A69" s="3" t="s">
        <v>297</v>
      </c>
      <c r="B69" s="472">
        <f t="shared" ref="B69:G69" si="10">AVERAGE(B51:B63)</f>
        <v>2871.6723076923076</v>
      </c>
      <c r="C69" s="473">
        <f t="shared" si="10"/>
        <v>3445.0061538461541</v>
      </c>
      <c r="D69" s="473">
        <f t="shared" si="10"/>
        <v>3535.6876923076916</v>
      </c>
      <c r="E69" s="474">
        <f t="shared" si="10"/>
        <v>3375.6569230769232</v>
      </c>
      <c r="F69" s="474">
        <f t="shared" si="10"/>
        <v>3416.1084615384611</v>
      </c>
      <c r="G69" s="474">
        <f t="shared" si="10"/>
        <v>2553.4446153846152</v>
      </c>
      <c r="H69" s="475">
        <f>G69-F69</f>
        <v>-862.66384615384595</v>
      </c>
    </row>
    <row r="71" spans="1:8" x14ac:dyDescent="0.2">
      <c r="H71" s="258"/>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90"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93</v>
      </c>
      <c r="B1" s="47"/>
      <c r="C1" s="48"/>
      <c r="D1" s="48"/>
      <c r="E1" s="48"/>
      <c r="F1" s="47"/>
      <c r="G1" s="191"/>
      <c r="H1" s="47"/>
      <c r="I1" s="47"/>
    </row>
    <row r="2" spans="1:143" ht="22.5" customHeight="1" x14ac:dyDescent="0.4">
      <c r="A2" s="46" t="s">
        <v>262</v>
      </c>
      <c r="B2" s="47"/>
      <c r="C2" s="48"/>
      <c r="D2" s="48"/>
      <c r="E2" s="48"/>
      <c r="F2" s="47"/>
      <c r="G2" s="191"/>
      <c r="H2" s="47"/>
      <c r="I2" s="47"/>
    </row>
    <row r="3" spans="1:143" ht="22.5" hidden="1" customHeight="1" x14ac:dyDescent="0.4">
      <c r="A3" s="46" t="s">
        <v>257</v>
      </c>
      <c r="B3" s="47"/>
      <c r="C3" s="48"/>
      <c r="D3" s="48"/>
      <c r="E3" s="48"/>
      <c r="F3" s="47"/>
      <c r="G3" s="191"/>
      <c r="H3" s="47"/>
      <c r="I3" s="47"/>
    </row>
    <row r="4" spans="1:143" ht="22.5" customHeight="1" x14ac:dyDescent="0.4">
      <c r="A4" s="46" t="s">
        <v>263</v>
      </c>
      <c r="B4" s="47"/>
      <c r="C4" s="48"/>
      <c r="D4" s="48"/>
      <c r="E4" s="48"/>
      <c r="F4" s="47"/>
      <c r="G4" s="191"/>
      <c r="H4" s="47"/>
      <c r="I4" s="47"/>
    </row>
    <row r="5" spans="1:143" s="50" customFormat="1" ht="5.25" customHeight="1" thickBot="1" x14ac:dyDescent="0.25">
      <c r="A5" s="49"/>
      <c r="B5" s="49"/>
      <c r="C5" s="49"/>
      <c r="D5" s="49"/>
      <c r="E5" s="49"/>
      <c r="F5" s="49"/>
      <c r="G5" s="192"/>
    </row>
    <row r="6" spans="1:143" s="53" customFormat="1" ht="24.75" customHeight="1" thickTop="1" thickBot="1" x14ac:dyDescent="0.25">
      <c r="A6" s="51"/>
      <c r="B6" s="51"/>
      <c r="C6" s="51"/>
      <c r="D6" s="51"/>
      <c r="E6" s="51"/>
      <c r="F6" s="51"/>
      <c r="G6" s="327" t="s">
        <v>49</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93"/>
    </row>
    <row r="8" spans="1:143" ht="21" thickBot="1" x14ac:dyDescent="0.35">
      <c r="A8" s="56"/>
      <c r="B8" s="120" t="s">
        <v>99</v>
      </c>
      <c r="C8" s="120"/>
      <c r="D8" s="120"/>
      <c r="E8" s="120"/>
      <c r="F8" s="120"/>
      <c r="G8" s="231"/>
    </row>
    <row r="9" spans="1:143" s="55" customFormat="1" ht="20.25" x14ac:dyDescent="0.2">
      <c r="A9" s="54"/>
      <c r="B9" s="54"/>
      <c r="C9" s="58" t="s">
        <v>100</v>
      </c>
      <c r="D9" s="58"/>
      <c r="E9" s="58"/>
      <c r="F9" s="54"/>
      <c r="G9" s="202">
        <v>1015000</v>
      </c>
    </row>
    <row r="10" spans="1:143" s="55" customFormat="1" ht="20.25" x14ac:dyDescent="0.2">
      <c r="A10" s="54"/>
      <c r="B10" s="54"/>
      <c r="C10" s="58" t="s">
        <v>172</v>
      </c>
      <c r="D10" s="58"/>
      <c r="E10" s="58"/>
      <c r="F10" s="54"/>
      <c r="G10" s="193">
        <v>13000</v>
      </c>
    </row>
    <row r="11" spans="1:143" s="55" customFormat="1" ht="20.25" x14ac:dyDescent="0.2">
      <c r="A11" s="54"/>
      <c r="B11" s="54"/>
      <c r="C11" s="58" t="s">
        <v>149</v>
      </c>
      <c r="D11" s="58"/>
      <c r="E11" s="58"/>
      <c r="F11" s="54"/>
      <c r="G11" s="193">
        <v>195000</v>
      </c>
    </row>
    <row r="12" spans="1:143" s="55" customFormat="1" ht="20.25" x14ac:dyDescent="0.2">
      <c r="A12" s="54"/>
      <c r="B12" s="54"/>
      <c r="C12" s="58" t="s">
        <v>178</v>
      </c>
      <c r="D12" s="58"/>
      <c r="E12" s="58"/>
      <c r="F12" s="54"/>
      <c r="G12" s="193">
        <v>40000</v>
      </c>
    </row>
    <row r="13" spans="1:143" s="55" customFormat="1" ht="20.25" x14ac:dyDescent="0.2">
      <c r="A13" s="54"/>
      <c r="B13" s="54"/>
      <c r="C13" s="58" t="s">
        <v>101</v>
      </c>
      <c r="D13" s="58"/>
      <c r="E13" s="58"/>
      <c r="F13" s="54"/>
      <c r="G13" s="193"/>
    </row>
    <row r="14" spans="1:143" s="55" customFormat="1" ht="20.25" x14ac:dyDescent="0.2">
      <c r="A14" s="54"/>
      <c r="B14" s="54"/>
      <c r="D14" s="58" t="s">
        <v>138</v>
      </c>
      <c r="E14" s="58"/>
      <c r="F14" s="54"/>
      <c r="G14" s="193">
        <f>43900+41500+122000</f>
        <v>207400</v>
      </c>
    </row>
    <row r="15" spans="1:143" s="55" customFormat="1" ht="20.25" x14ac:dyDescent="0.2">
      <c r="A15" s="54"/>
      <c r="B15" s="54"/>
      <c r="D15" s="58" t="s">
        <v>158</v>
      </c>
      <c r="E15" s="58"/>
      <c r="F15" s="54"/>
      <c r="G15" s="193">
        <v>11000</v>
      </c>
    </row>
    <row r="16" spans="1:143" s="55" customFormat="1" ht="20.25" x14ac:dyDescent="0.2">
      <c r="A16" s="54"/>
      <c r="B16" s="54"/>
      <c r="C16" s="58" t="s">
        <v>102</v>
      </c>
      <c r="D16" s="58"/>
      <c r="E16" s="58"/>
      <c r="F16" s="54"/>
      <c r="G16" s="193">
        <v>9500</v>
      </c>
    </row>
    <row r="17" spans="1:7" s="55" customFormat="1" ht="20.25" x14ac:dyDescent="0.2">
      <c r="A17" s="54"/>
      <c r="B17" s="54"/>
      <c r="C17" s="58" t="s">
        <v>109</v>
      </c>
      <c r="D17" s="58"/>
      <c r="E17" s="58"/>
      <c r="F17" s="54"/>
      <c r="G17" s="193">
        <v>1000</v>
      </c>
    </row>
    <row r="18" spans="1:7" s="55" customFormat="1" ht="20.25" x14ac:dyDescent="0.2">
      <c r="A18" s="54"/>
      <c r="B18" s="54"/>
      <c r="C18" s="58" t="s">
        <v>236</v>
      </c>
      <c r="D18" s="58"/>
      <c r="E18" s="58"/>
      <c r="F18" s="54"/>
      <c r="G18" s="193">
        <v>3000</v>
      </c>
    </row>
    <row r="19" spans="1:7" s="55" customFormat="1" ht="20.25" x14ac:dyDescent="0.2">
      <c r="A19" s="54"/>
      <c r="B19" s="54"/>
      <c r="C19" s="58" t="s">
        <v>237</v>
      </c>
      <c r="D19" s="58"/>
      <c r="E19" s="58"/>
      <c r="F19" s="54"/>
      <c r="G19" s="193">
        <f>25000+8000+20000</f>
        <v>53000</v>
      </c>
    </row>
    <row r="20" spans="1:7" s="55" customFormat="1" ht="20.25" x14ac:dyDescent="0.2">
      <c r="A20" s="54"/>
      <c r="B20" s="54"/>
      <c r="C20" s="58" t="s">
        <v>144</v>
      </c>
      <c r="D20" s="58"/>
      <c r="E20" s="58"/>
      <c r="F20" s="54"/>
      <c r="G20" s="193">
        <v>500</v>
      </c>
    </row>
    <row r="21" spans="1:7" s="55" customFormat="1" ht="20.25" hidden="1" x14ac:dyDescent="0.2">
      <c r="A21" s="54"/>
      <c r="B21" s="54"/>
      <c r="C21" s="58" t="s">
        <v>163</v>
      </c>
      <c r="D21" s="58"/>
      <c r="E21" s="58"/>
      <c r="F21" s="54"/>
      <c r="G21" s="193"/>
    </row>
    <row r="22" spans="1:7" s="55" customFormat="1" ht="21" thickBot="1" x14ac:dyDescent="0.25">
      <c r="A22" s="54"/>
      <c r="B22" s="54"/>
      <c r="C22" s="58" t="s">
        <v>108</v>
      </c>
      <c r="D22" s="58"/>
      <c r="E22" s="58"/>
      <c r="F22" s="54"/>
      <c r="G22" s="200">
        <v>46575</v>
      </c>
    </row>
    <row r="23" spans="1:7" s="55" customFormat="1" ht="20.25" x14ac:dyDescent="0.2">
      <c r="A23" s="54"/>
      <c r="B23" s="54"/>
      <c r="C23" s="58"/>
      <c r="D23" s="54" t="s">
        <v>104</v>
      </c>
      <c r="E23" s="58"/>
      <c r="F23" s="54"/>
      <c r="G23" s="193">
        <f>SUM(G9:G22)</f>
        <v>1594975</v>
      </c>
    </row>
    <row r="24" spans="1:7" s="55" customFormat="1" ht="21" thickBot="1" x14ac:dyDescent="0.25">
      <c r="A24" s="54"/>
      <c r="B24" s="54"/>
      <c r="C24" s="54" t="s">
        <v>105</v>
      </c>
      <c r="D24" s="58"/>
      <c r="E24" s="58"/>
      <c r="F24" s="54"/>
      <c r="G24" s="200">
        <f>68000+18000</f>
        <v>86000</v>
      </c>
    </row>
    <row r="25" spans="1:7" s="55" customFormat="1" ht="20.25" x14ac:dyDescent="0.2">
      <c r="A25" s="54"/>
      <c r="B25" s="54"/>
      <c r="C25" s="58"/>
      <c r="D25" s="54" t="s">
        <v>106</v>
      </c>
      <c r="E25" s="58"/>
      <c r="F25" s="54"/>
      <c r="G25" s="193">
        <f>SUM(G23:G24)</f>
        <v>1680975</v>
      </c>
    </row>
    <row r="26" spans="1:7" s="55" customFormat="1" ht="6" customHeight="1" x14ac:dyDescent="0.2">
      <c r="A26" s="54"/>
      <c r="B26" s="54"/>
      <c r="C26" s="58"/>
      <c r="D26" s="54"/>
      <c r="E26" s="58"/>
      <c r="F26" s="54"/>
      <c r="G26" s="193"/>
    </row>
    <row r="27" spans="1:7" s="55" customFormat="1" ht="21" thickBot="1" x14ac:dyDescent="0.25">
      <c r="A27" s="54"/>
      <c r="B27" s="66" t="s">
        <v>110</v>
      </c>
      <c r="C27" s="66"/>
      <c r="D27" s="66"/>
      <c r="E27" s="66"/>
      <c r="F27" s="66"/>
      <c r="G27" s="200"/>
    </row>
    <row r="28" spans="1:7" s="55" customFormat="1" ht="20.25" x14ac:dyDescent="0.2">
      <c r="A28" s="54"/>
      <c r="B28" s="54"/>
      <c r="C28" s="58" t="s">
        <v>111</v>
      </c>
      <c r="D28" s="58"/>
      <c r="E28" s="58"/>
      <c r="F28" s="58"/>
      <c r="G28" s="193">
        <f>ROUND((898643.55+40000)*1.02,-2)</f>
        <v>957400</v>
      </c>
    </row>
    <row r="29" spans="1:7" s="55" customFormat="1" ht="20.25" x14ac:dyDescent="0.2">
      <c r="A29" s="54"/>
      <c r="B29" s="54"/>
      <c r="C29" s="58" t="s">
        <v>112</v>
      </c>
      <c r="D29" s="58"/>
      <c r="E29" s="58"/>
      <c r="F29" s="58"/>
      <c r="G29" s="193">
        <f>ROUNDUP(G28*0.195,-2)</f>
        <v>186700</v>
      </c>
    </row>
    <row r="30" spans="1:7" s="55" customFormat="1" ht="20.25" x14ac:dyDescent="0.2">
      <c r="A30" s="54"/>
      <c r="B30" s="54"/>
      <c r="C30" s="58" t="s">
        <v>113</v>
      </c>
      <c r="D30" s="58"/>
      <c r="E30" s="58"/>
      <c r="F30" s="58"/>
      <c r="G30" s="193">
        <f>48831-G22</f>
        <v>2256</v>
      </c>
    </row>
    <row r="31" spans="1:7" s="55" customFormat="1" ht="20.25" x14ac:dyDescent="0.2">
      <c r="A31" s="54"/>
      <c r="B31" s="54"/>
      <c r="C31" s="58" t="s">
        <v>103</v>
      </c>
      <c r="D31" s="58"/>
      <c r="E31" s="58"/>
      <c r="F31" s="58"/>
      <c r="G31" s="193">
        <f>G22</f>
        <v>46575</v>
      </c>
    </row>
    <row r="32" spans="1:7" s="55" customFormat="1" ht="20.25" x14ac:dyDescent="0.2">
      <c r="A32" s="54"/>
      <c r="B32" s="54"/>
      <c r="C32" s="58" t="s">
        <v>114</v>
      </c>
      <c r="D32" s="58"/>
      <c r="E32" s="58"/>
      <c r="F32" s="58"/>
      <c r="G32" s="193">
        <v>14000</v>
      </c>
    </row>
    <row r="33" spans="1:7" s="55" customFormat="1" ht="20.25" x14ac:dyDescent="0.2">
      <c r="A33" s="54"/>
      <c r="B33" s="54"/>
      <c r="C33" s="58" t="s">
        <v>115</v>
      </c>
      <c r="D33" s="58"/>
      <c r="E33" s="58"/>
      <c r="F33" s="58"/>
      <c r="G33" s="193">
        <v>3500</v>
      </c>
    </row>
    <row r="34" spans="1:7" s="55" customFormat="1" ht="20.25" x14ac:dyDescent="0.2">
      <c r="A34" s="54"/>
      <c r="B34" s="54"/>
      <c r="C34" s="58" t="s">
        <v>116</v>
      </c>
      <c r="D34" s="58"/>
      <c r="E34" s="58"/>
      <c r="F34" s="58"/>
      <c r="G34" s="193">
        <v>7000</v>
      </c>
    </row>
    <row r="35" spans="1:7" s="55" customFormat="1" ht="20.25" x14ac:dyDescent="0.2">
      <c r="A35" s="54"/>
      <c r="B35" s="54"/>
      <c r="C35" s="58" t="s">
        <v>117</v>
      </c>
      <c r="D35" s="58"/>
      <c r="E35" s="58"/>
      <c r="F35" s="58"/>
      <c r="G35" s="193">
        <v>13500</v>
      </c>
    </row>
    <row r="36" spans="1:7" s="55" customFormat="1" ht="20.25" x14ac:dyDescent="0.2">
      <c r="A36" s="54"/>
      <c r="B36" s="54"/>
      <c r="C36" s="58" t="s">
        <v>118</v>
      </c>
      <c r="D36" s="58"/>
      <c r="E36" s="58"/>
      <c r="F36" s="58"/>
      <c r="G36" s="193">
        <v>40000</v>
      </c>
    </row>
    <row r="37" spans="1:7" s="55" customFormat="1" ht="20.25" x14ac:dyDescent="0.2">
      <c r="A37" s="54"/>
      <c r="B37" s="54"/>
      <c r="C37" s="58" t="s">
        <v>119</v>
      </c>
      <c r="D37" s="58"/>
      <c r="E37" s="58"/>
      <c r="F37" s="58"/>
      <c r="G37" s="193">
        <v>6600</v>
      </c>
    </row>
    <row r="38" spans="1:7" s="55" customFormat="1" ht="20.25" x14ac:dyDescent="0.2">
      <c r="A38" s="54"/>
      <c r="B38" s="54"/>
      <c r="C38" s="58" t="s">
        <v>120</v>
      </c>
      <c r="D38" s="58"/>
      <c r="E38" s="58"/>
      <c r="F38" s="58"/>
      <c r="G38" s="193">
        <v>1500</v>
      </c>
    </row>
    <row r="39" spans="1:7" s="55" customFormat="1" ht="20.25" x14ac:dyDescent="0.2">
      <c r="A39" s="54"/>
      <c r="B39" s="54"/>
      <c r="C39" s="58" t="s">
        <v>165</v>
      </c>
      <c r="D39" s="58"/>
      <c r="E39" s="58"/>
      <c r="F39" s="58"/>
      <c r="G39" s="193">
        <v>13700</v>
      </c>
    </row>
    <row r="40" spans="1:7" s="55" customFormat="1" ht="20.25" x14ac:dyDescent="0.2">
      <c r="A40" s="58"/>
      <c r="B40" s="58"/>
      <c r="C40" s="58" t="s">
        <v>121</v>
      </c>
      <c r="D40" s="58"/>
      <c r="E40" s="58"/>
      <c r="F40" s="58"/>
      <c r="G40" s="193">
        <f>ROUNDUP(13248.87*1.05,-2)</f>
        <v>14000</v>
      </c>
    </row>
    <row r="41" spans="1:7" s="55" customFormat="1" ht="20.25" x14ac:dyDescent="0.2">
      <c r="A41" s="58"/>
      <c r="B41" s="58"/>
      <c r="C41" s="58" t="s">
        <v>122</v>
      </c>
      <c r="D41" s="58"/>
      <c r="E41" s="58"/>
      <c r="F41" s="58"/>
      <c r="G41" s="193">
        <f>ROUNDUP(12343.85*1.03,-2)</f>
        <v>12800</v>
      </c>
    </row>
    <row r="42" spans="1:7" s="55" customFormat="1" ht="20.25" x14ac:dyDescent="0.2">
      <c r="A42" s="58"/>
      <c r="B42" s="58"/>
      <c r="C42" s="58" t="s">
        <v>129</v>
      </c>
      <c r="D42" s="58"/>
      <c r="E42" s="58"/>
      <c r="F42" s="58"/>
      <c r="G42" s="193">
        <v>3000</v>
      </c>
    </row>
    <row r="43" spans="1:7" s="55" customFormat="1" ht="20.25" x14ac:dyDescent="0.2">
      <c r="A43" s="58"/>
      <c r="B43" s="58"/>
      <c r="C43" s="58" t="s">
        <v>123</v>
      </c>
      <c r="D43" s="58"/>
      <c r="E43" s="58"/>
      <c r="F43" s="58"/>
      <c r="G43" s="193">
        <f>ROUNDUP((3067.88+8008.83)*1.05,-2)</f>
        <v>11700</v>
      </c>
    </row>
    <row r="44" spans="1:7" s="55" customFormat="1" ht="20.25" x14ac:dyDescent="0.2">
      <c r="A44" s="54"/>
      <c r="B44" s="54"/>
      <c r="C44" s="58" t="s">
        <v>198</v>
      </c>
      <c r="D44" s="58"/>
      <c r="E44" s="58"/>
      <c r="F44" s="58"/>
      <c r="G44" s="193">
        <v>17000</v>
      </c>
    </row>
    <row r="45" spans="1:7" s="55" customFormat="1" ht="20.25" x14ac:dyDescent="0.2">
      <c r="A45" s="58"/>
      <c r="B45" s="58"/>
      <c r="C45" s="58" t="s">
        <v>124</v>
      </c>
      <c r="D45" s="58"/>
      <c r="E45" s="58"/>
      <c r="F45" s="58"/>
      <c r="G45" s="193">
        <v>41000</v>
      </c>
    </row>
    <row r="46" spans="1:7" s="55" customFormat="1" ht="20.25" x14ac:dyDescent="0.2">
      <c r="A46" s="58"/>
      <c r="B46" s="58"/>
      <c r="C46" s="58" t="s">
        <v>125</v>
      </c>
      <c r="D46" s="58"/>
      <c r="E46" s="58"/>
      <c r="F46" s="58"/>
      <c r="G46" s="193">
        <f>ROUNDUP((1800+4675.64+34905.29+1033.01-10000-2673-17150-1033+14000)*1.01,-2)</f>
        <v>25900</v>
      </c>
    </row>
    <row r="47" spans="1:7" s="55" customFormat="1" ht="20.25" x14ac:dyDescent="0.2">
      <c r="A47" s="58"/>
      <c r="B47" s="58"/>
      <c r="C47" s="58" t="s">
        <v>166</v>
      </c>
      <c r="D47" s="58"/>
      <c r="E47" s="58"/>
      <c r="F47" s="58"/>
      <c r="G47" s="193">
        <v>36000</v>
      </c>
    </row>
    <row r="48" spans="1:7" s="55" customFormat="1" ht="20.25" x14ac:dyDescent="0.2">
      <c r="A48" s="58"/>
      <c r="B48" s="58"/>
      <c r="C48" s="58" t="s">
        <v>164</v>
      </c>
      <c r="D48" s="58"/>
      <c r="E48" s="58"/>
      <c r="F48" s="58"/>
      <c r="G48" s="193">
        <f>ROUNDUP(46266.27*1.02,-2)</f>
        <v>47200</v>
      </c>
    </row>
    <row r="49" spans="1:7" s="55" customFormat="1" ht="20.25" x14ac:dyDescent="0.2">
      <c r="A49" s="58"/>
      <c r="B49" s="58"/>
      <c r="C49" s="58" t="s">
        <v>126</v>
      </c>
      <c r="D49" s="58"/>
      <c r="E49" s="58"/>
      <c r="F49" s="58"/>
      <c r="G49" s="193">
        <f>ROUND((2604.31+166143.24-12000)*1.01,-2)</f>
        <v>158300</v>
      </c>
    </row>
    <row r="50" spans="1:7" s="55" customFormat="1" ht="20.25" hidden="1" x14ac:dyDescent="0.2">
      <c r="A50" s="58"/>
      <c r="B50" s="58"/>
      <c r="C50" s="58" t="s">
        <v>258</v>
      </c>
      <c r="D50" s="58"/>
      <c r="E50" s="58"/>
      <c r="F50" s="58"/>
      <c r="G50" s="193"/>
    </row>
    <row r="51" spans="1:7" s="55" customFormat="1" ht="20.25" x14ac:dyDescent="0.2">
      <c r="A51" s="54"/>
      <c r="B51" s="54"/>
      <c r="C51" s="54"/>
      <c r="D51" s="54" t="s">
        <v>127</v>
      </c>
      <c r="E51" s="54"/>
      <c r="F51" s="54"/>
      <c r="G51" s="196">
        <f>SUM(G28:G50)</f>
        <v>1659631</v>
      </c>
    </row>
    <row r="52" spans="1:7" s="55" customFormat="1" ht="10.5" customHeight="1" thickBot="1" x14ac:dyDescent="0.25">
      <c r="A52" s="54"/>
      <c r="B52" s="54"/>
      <c r="C52" s="54"/>
      <c r="D52" s="54"/>
      <c r="E52" s="54"/>
      <c r="F52" s="54"/>
      <c r="G52" s="200"/>
    </row>
    <row r="53" spans="1:7" s="55" customFormat="1" ht="21" thickBot="1" x14ac:dyDescent="0.25">
      <c r="A53" s="54"/>
      <c r="B53" s="54"/>
      <c r="C53" s="54"/>
      <c r="D53" s="54" t="s">
        <v>128</v>
      </c>
      <c r="E53" s="54"/>
      <c r="F53" s="54"/>
      <c r="G53" s="200">
        <f>G25-G51</f>
        <v>21344</v>
      </c>
    </row>
    <row r="54" spans="1:7" s="55" customFormat="1" ht="11.25" customHeight="1" x14ac:dyDescent="0.2">
      <c r="A54" s="54"/>
      <c r="B54" s="54"/>
      <c r="C54" s="54"/>
      <c r="D54" s="54"/>
      <c r="E54" s="54"/>
      <c r="F54" s="54"/>
      <c r="G54" s="193"/>
    </row>
    <row r="55" spans="1:7" s="55" customFormat="1" ht="20.25" x14ac:dyDescent="0.2">
      <c r="A55" s="58"/>
      <c r="B55" s="58"/>
      <c r="C55" s="58"/>
      <c r="D55" s="58"/>
      <c r="F55" s="58"/>
      <c r="G55" s="202"/>
    </row>
    <row r="56" spans="1:7" s="55" customFormat="1" ht="20.25" x14ac:dyDescent="0.2">
      <c r="A56" s="58"/>
      <c r="B56" s="58"/>
      <c r="C56" s="58"/>
      <c r="D56" s="58"/>
      <c r="F56" s="58"/>
      <c r="G56" s="193"/>
    </row>
    <row r="57" spans="1:7" s="55" customFormat="1" ht="20.25" x14ac:dyDescent="0.2">
      <c r="A57" s="58"/>
      <c r="B57" s="58"/>
      <c r="C57" s="58"/>
      <c r="D57" s="58"/>
      <c r="F57" s="58"/>
      <c r="G57" s="193"/>
    </row>
    <row r="58" spans="1:7" s="55" customFormat="1" ht="20.25" x14ac:dyDescent="0.2">
      <c r="A58" s="58"/>
      <c r="B58" s="58"/>
      <c r="C58" s="58"/>
      <c r="D58" s="58"/>
      <c r="F58" s="58"/>
      <c r="G58" s="193"/>
    </row>
    <row r="59" spans="1:7" s="55" customFormat="1" ht="20.25" x14ac:dyDescent="0.2">
      <c r="A59" s="58"/>
      <c r="B59" s="58"/>
      <c r="C59" s="58"/>
      <c r="D59" s="58"/>
      <c r="F59" s="58"/>
      <c r="G59" s="193"/>
    </row>
    <row r="60" spans="1:7" s="55" customFormat="1" ht="20.25" x14ac:dyDescent="0.2">
      <c r="A60" s="58"/>
      <c r="B60" s="58"/>
      <c r="C60" s="58"/>
      <c r="D60" s="58"/>
      <c r="F60" s="58"/>
      <c r="G60" s="193"/>
    </row>
    <row r="61" spans="1:7" s="55" customFormat="1" ht="20.25" x14ac:dyDescent="0.2">
      <c r="A61" s="58"/>
      <c r="B61" s="58"/>
      <c r="C61" s="54"/>
      <c r="D61" s="58"/>
      <c r="F61" s="58"/>
      <c r="G61" s="193"/>
    </row>
    <row r="62" spans="1:7" s="55" customFormat="1" ht="20.25" x14ac:dyDescent="0.2">
      <c r="A62" s="58"/>
      <c r="B62" s="58"/>
      <c r="C62" s="58"/>
      <c r="D62" s="58"/>
      <c r="E62" s="58"/>
      <c r="F62" s="58"/>
      <c r="G62" s="193"/>
    </row>
    <row r="63" spans="1:7" s="55" customFormat="1" ht="20.25" x14ac:dyDescent="0.2">
      <c r="A63" s="58"/>
      <c r="B63" s="58"/>
      <c r="C63" s="54"/>
      <c r="D63" s="54"/>
      <c r="G63" s="193"/>
    </row>
    <row r="64" spans="1:7" s="55" customFormat="1" ht="20.25" x14ac:dyDescent="0.2">
      <c r="A64" s="58"/>
      <c r="B64" s="58"/>
      <c r="C64" s="58"/>
      <c r="D64" s="58"/>
      <c r="E64" s="58"/>
      <c r="F64" s="58"/>
      <c r="G64" s="193"/>
    </row>
    <row r="65" spans="1:7" s="55" customFormat="1" ht="20.25" x14ac:dyDescent="0.2">
      <c r="A65" s="58"/>
      <c r="B65" s="58"/>
      <c r="C65" s="58"/>
      <c r="D65" s="58"/>
      <c r="E65" s="58"/>
      <c r="F65" s="58"/>
      <c r="G65" s="193"/>
    </row>
    <row r="66" spans="1:7" s="55" customFormat="1" ht="20.25" x14ac:dyDescent="0.2">
      <c r="A66" s="58"/>
      <c r="B66" s="58"/>
      <c r="C66" s="58"/>
      <c r="D66" s="58"/>
      <c r="E66" s="58"/>
      <c r="F66" s="58"/>
      <c r="G66" s="193"/>
    </row>
    <row r="67" spans="1:7" s="55" customFormat="1" ht="20.25" x14ac:dyDescent="0.2">
      <c r="A67" s="58"/>
      <c r="B67" s="58"/>
      <c r="C67" s="58"/>
      <c r="D67" s="58"/>
      <c r="E67" s="58"/>
      <c r="F67" s="58"/>
      <c r="G67" s="193"/>
    </row>
    <row r="68" spans="1:7" s="55" customFormat="1" ht="20.25" x14ac:dyDescent="0.2">
      <c r="A68" s="58"/>
      <c r="B68" s="58"/>
      <c r="C68" s="54"/>
      <c r="D68" s="58"/>
      <c r="F68" s="58"/>
      <c r="G68" s="193"/>
    </row>
    <row r="69" spans="1:7" s="55" customFormat="1" ht="20.25" x14ac:dyDescent="0.2">
      <c r="A69" s="58"/>
      <c r="B69" s="58"/>
      <c r="C69" s="58"/>
      <c r="D69" s="58"/>
      <c r="E69" s="58"/>
      <c r="F69" s="58"/>
      <c r="G69" s="193"/>
    </row>
    <row r="70" spans="1:7" s="55" customFormat="1" ht="20.25" x14ac:dyDescent="0.2">
      <c r="A70" s="54"/>
      <c r="B70" s="54"/>
      <c r="C70" s="54"/>
      <c r="D70" s="54"/>
      <c r="E70" s="54"/>
      <c r="F70" s="54"/>
      <c r="G70" s="196"/>
    </row>
    <row r="71" spans="1:7" s="55" customFormat="1" ht="20.25" x14ac:dyDescent="0.2">
      <c r="A71" s="54"/>
      <c r="B71" s="54"/>
      <c r="C71" s="54"/>
      <c r="D71" s="54"/>
      <c r="E71" s="54"/>
      <c r="F71" s="54"/>
      <c r="G71" s="196"/>
    </row>
    <row r="72" spans="1:7" s="55" customFormat="1" ht="23.25" x14ac:dyDescent="0.2">
      <c r="A72" s="54"/>
      <c r="B72" s="222"/>
      <c r="C72" s="54"/>
      <c r="D72" s="54"/>
      <c r="E72" s="54"/>
      <c r="F72" s="54"/>
      <c r="G72" s="193"/>
    </row>
    <row r="73" spans="1:7" s="55" customFormat="1" ht="20.25" x14ac:dyDescent="0.2">
      <c r="A73" s="58"/>
      <c r="B73" s="58"/>
      <c r="D73" s="58"/>
      <c r="E73" s="58"/>
      <c r="F73" s="58"/>
      <c r="G73" s="193"/>
    </row>
    <row r="74" spans="1:7" s="55" customFormat="1" ht="20.25" x14ac:dyDescent="0.2">
      <c r="A74" s="58"/>
      <c r="B74" s="58"/>
      <c r="D74" s="58"/>
      <c r="E74" s="58"/>
      <c r="F74" s="58"/>
      <c r="G74" s="193"/>
    </row>
    <row r="75" spans="1:7" s="55" customFormat="1" ht="20.25" x14ac:dyDescent="0.2">
      <c r="A75" s="54"/>
      <c r="B75" s="54"/>
      <c r="D75" s="58"/>
      <c r="E75" s="54"/>
      <c r="F75" s="54"/>
      <c r="G75" s="193"/>
    </row>
    <row r="76" spans="1:7" s="55" customFormat="1" ht="23.25" x14ac:dyDescent="0.2">
      <c r="A76" s="54"/>
      <c r="B76" s="222"/>
      <c r="C76" s="54"/>
      <c r="D76" s="54"/>
      <c r="E76" s="54"/>
      <c r="F76" s="54"/>
      <c r="G76" s="196"/>
    </row>
    <row r="77" spans="1:7" s="55" customFormat="1" ht="20.25" x14ac:dyDescent="0.2">
      <c r="A77" s="54"/>
      <c r="B77" s="54"/>
      <c r="C77" s="54"/>
      <c r="D77" s="54"/>
      <c r="E77" s="54"/>
      <c r="F77" s="54"/>
      <c r="G77" s="193"/>
    </row>
    <row r="78" spans="1:7" s="62" customFormat="1" ht="26.25" x14ac:dyDescent="0.2">
      <c r="A78" s="219"/>
      <c r="B78" s="219"/>
      <c r="C78" s="219"/>
      <c r="D78" s="219"/>
      <c r="E78" s="219"/>
      <c r="F78" s="219"/>
      <c r="G78" s="220"/>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93</v>
      </c>
      <c r="B1" s="47"/>
      <c r="C1" s="48"/>
      <c r="D1" s="48"/>
      <c r="E1" s="48"/>
      <c r="F1" s="47"/>
      <c r="G1" s="47"/>
    </row>
    <row r="2" spans="1:23" ht="26.25" x14ac:dyDescent="0.4">
      <c r="A2" s="46" t="s">
        <v>181</v>
      </c>
      <c r="B2" s="47"/>
      <c r="C2" s="48"/>
      <c r="D2" s="48"/>
      <c r="E2" s="48"/>
      <c r="F2" s="47"/>
      <c r="G2" s="47"/>
    </row>
    <row r="3" spans="1:23" ht="11.25" customHeight="1" thickBot="1" x14ac:dyDescent="0.25">
      <c r="A3" s="49"/>
      <c r="B3" s="49"/>
      <c r="C3" s="49"/>
      <c r="D3" s="49"/>
      <c r="E3" s="49"/>
      <c r="F3" s="49"/>
      <c r="G3" s="269"/>
    </row>
    <row r="4" spans="1:23" ht="27.75" thickTop="1" thickBot="1" x14ac:dyDescent="0.25">
      <c r="A4" s="51"/>
      <c r="B4" s="51"/>
      <c r="C4" s="51"/>
      <c r="D4" s="51" t="s">
        <v>48</v>
      </c>
      <c r="E4" s="51"/>
      <c r="F4" s="51"/>
      <c r="G4" s="327" t="s">
        <v>49</v>
      </c>
      <c r="H4" s="327"/>
      <c r="I4" s="327"/>
      <c r="J4" s="327"/>
      <c r="K4" s="327"/>
      <c r="L4" s="327"/>
      <c r="M4" s="327"/>
      <c r="N4" s="327"/>
      <c r="O4" s="327"/>
      <c r="P4" s="327"/>
      <c r="Q4" s="327"/>
      <c r="R4" s="327"/>
      <c r="S4" s="327"/>
      <c r="T4" s="327"/>
      <c r="U4" s="327"/>
      <c r="V4" s="327"/>
      <c r="W4" s="327"/>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29"/>
      <c r="B6" s="851" t="s">
        <v>182</v>
      </c>
      <c r="C6" s="851"/>
      <c r="D6" s="851"/>
      <c r="E6" s="851"/>
      <c r="F6" s="851"/>
      <c r="G6" s="330">
        <v>42004</v>
      </c>
      <c r="H6" s="330">
        <v>41639</v>
      </c>
      <c r="I6" s="330">
        <v>41274</v>
      </c>
      <c r="J6" s="330">
        <v>41090</v>
      </c>
      <c r="K6" s="330">
        <v>40724</v>
      </c>
      <c r="L6" s="330">
        <v>40359</v>
      </c>
      <c r="M6" s="330">
        <v>39994</v>
      </c>
      <c r="N6" s="330">
        <v>39629</v>
      </c>
      <c r="O6" s="330">
        <v>39263</v>
      </c>
      <c r="P6" s="330">
        <v>38898</v>
      </c>
      <c r="Q6" s="330">
        <v>38533</v>
      </c>
      <c r="R6" s="330">
        <v>38168</v>
      </c>
      <c r="S6" s="330">
        <v>37802</v>
      </c>
      <c r="T6" s="330">
        <v>37437</v>
      </c>
      <c r="U6" s="330">
        <v>37072</v>
      </c>
      <c r="V6" s="330">
        <v>36707</v>
      </c>
      <c r="W6" s="330">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183</v>
      </c>
      <c r="D8" s="54"/>
      <c r="E8" s="54"/>
      <c r="F8" s="54"/>
      <c r="G8" s="202">
        <v>333525.67</v>
      </c>
      <c r="H8" s="202">
        <v>210919</v>
      </c>
      <c r="I8" s="202">
        <v>214148</v>
      </c>
      <c r="J8" s="202">
        <v>156809</v>
      </c>
      <c r="K8" s="202">
        <v>240314</v>
      </c>
      <c r="L8" s="202">
        <v>142815</v>
      </c>
      <c r="M8" s="202">
        <v>82502</v>
      </c>
      <c r="N8" s="202">
        <v>45758</v>
      </c>
      <c r="O8" s="202">
        <v>105458</v>
      </c>
      <c r="P8" s="202">
        <v>29475</v>
      </c>
      <c r="Q8" s="202">
        <v>22537</v>
      </c>
      <c r="R8" s="202">
        <v>42935</v>
      </c>
      <c r="S8" s="202">
        <v>144393</v>
      </c>
      <c r="T8" s="202">
        <v>42414</v>
      </c>
      <c r="U8" s="202">
        <f>69880+9123</f>
        <v>79003</v>
      </c>
      <c r="V8" s="202">
        <v>92767</v>
      </c>
      <c r="W8" s="202">
        <v>13150</v>
      </c>
    </row>
    <row r="9" spans="1:23" ht="20.25" x14ac:dyDescent="0.2">
      <c r="A9" s="58"/>
      <c r="B9" s="58"/>
      <c r="C9" s="54" t="s">
        <v>184</v>
      </c>
      <c r="D9" s="58"/>
      <c r="E9" s="58"/>
      <c r="F9" s="58"/>
      <c r="G9" s="230">
        <v>247907.12</v>
      </c>
      <c r="H9" s="230">
        <v>311775</v>
      </c>
      <c r="I9" s="230">
        <v>243797</v>
      </c>
      <c r="J9" s="230">
        <v>347870</v>
      </c>
      <c r="K9" s="230">
        <v>298266</v>
      </c>
      <c r="L9" s="230">
        <v>296605</v>
      </c>
      <c r="M9" s="230">
        <v>349918</v>
      </c>
      <c r="N9" s="230">
        <v>366842</v>
      </c>
      <c r="O9" s="230">
        <v>209667</v>
      </c>
      <c r="P9" s="230">
        <v>234735</v>
      </c>
      <c r="Q9" s="230">
        <v>254712</v>
      </c>
      <c r="R9" s="230">
        <v>250225</v>
      </c>
      <c r="S9" s="230">
        <v>85795</v>
      </c>
      <c r="T9" s="230">
        <v>185461</v>
      </c>
      <c r="U9" s="230">
        <v>99322</v>
      </c>
      <c r="V9" s="230">
        <v>80619</v>
      </c>
      <c r="W9" s="230">
        <v>49127</v>
      </c>
    </row>
    <row r="10" spans="1:23" ht="20.25" x14ac:dyDescent="0.2">
      <c r="A10" s="58"/>
      <c r="B10" s="58"/>
      <c r="C10" s="852" t="s">
        <v>159</v>
      </c>
      <c r="D10" s="852"/>
      <c r="E10" s="852"/>
      <c r="F10" s="852"/>
      <c r="G10" s="230">
        <v>0</v>
      </c>
      <c r="H10" s="230">
        <v>5142</v>
      </c>
      <c r="I10" s="230"/>
      <c r="J10" s="230"/>
      <c r="K10" s="230"/>
      <c r="L10" s="230"/>
      <c r="M10" s="230"/>
      <c r="N10" s="230"/>
      <c r="O10" s="230"/>
      <c r="P10" s="230"/>
      <c r="Q10" s="230"/>
      <c r="R10" s="230">
        <v>23</v>
      </c>
      <c r="S10" s="230">
        <v>4823</v>
      </c>
      <c r="T10" s="230">
        <v>6130</v>
      </c>
      <c r="U10" s="230">
        <v>19833</v>
      </c>
      <c r="V10" s="230"/>
      <c r="W10" s="230"/>
    </row>
    <row r="11" spans="1:23" ht="20.25" x14ac:dyDescent="0.2">
      <c r="A11" s="58"/>
      <c r="B11" s="58"/>
      <c r="C11" s="54" t="s">
        <v>185</v>
      </c>
      <c r="D11" s="58"/>
      <c r="E11" s="58"/>
      <c r="F11" s="58"/>
      <c r="G11" s="193">
        <v>31129.64</v>
      </c>
      <c r="H11" s="193">
        <v>30012</v>
      </c>
      <c r="I11" s="193">
        <v>30964</v>
      </c>
      <c r="J11" s="193">
        <v>30506</v>
      </c>
      <c r="K11" s="193">
        <v>28900</v>
      </c>
      <c r="L11" s="193">
        <v>28036</v>
      </c>
      <c r="M11" s="193"/>
      <c r="N11" s="193"/>
      <c r="O11" s="193"/>
      <c r="P11" s="193"/>
      <c r="Q11" s="193"/>
      <c r="R11" s="193"/>
      <c r="S11" s="193"/>
      <c r="T11" s="193"/>
      <c r="U11" s="193"/>
      <c r="V11" s="193"/>
      <c r="W11" s="193"/>
    </row>
    <row r="12" spans="1:23" ht="20.25" x14ac:dyDescent="0.2">
      <c r="A12" s="58"/>
      <c r="B12" s="58"/>
      <c r="C12" s="54" t="s">
        <v>156</v>
      </c>
      <c r="D12" s="59"/>
      <c r="E12" s="59"/>
      <c r="F12" s="59"/>
      <c r="G12" s="195">
        <v>5968.8799999999992</v>
      </c>
      <c r="H12" s="195">
        <v>4730</v>
      </c>
      <c r="I12" s="195">
        <v>3598</v>
      </c>
      <c r="J12" s="195">
        <f>1663+577</f>
        <v>2240</v>
      </c>
      <c r="K12" s="195">
        <f>5202</f>
        <v>5202</v>
      </c>
      <c r="L12" s="195">
        <v>1840</v>
      </c>
      <c r="M12" s="195">
        <v>1427</v>
      </c>
      <c r="N12" s="195">
        <v>360</v>
      </c>
      <c r="O12" s="195">
        <v>312</v>
      </c>
      <c r="P12" s="195"/>
      <c r="Q12" s="195">
        <v>5593</v>
      </c>
      <c r="R12" s="195">
        <v>3952</v>
      </c>
      <c r="S12" s="195">
        <v>13154</v>
      </c>
      <c r="T12" s="195">
        <v>2441</v>
      </c>
      <c r="U12" s="195"/>
      <c r="V12" s="195"/>
      <c r="W12" s="195"/>
    </row>
    <row r="13" spans="1:23" ht="20.25" x14ac:dyDescent="0.2">
      <c r="A13" s="54"/>
      <c r="B13" s="54"/>
      <c r="C13" s="54" t="s">
        <v>56</v>
      </c>
      <c r="D13" s="54"/>
      <c r="E13" s="54"/>
      <c r="F13" s="54"/>
      <c r="G13" s="196">
        <f>SUM(G8:G12)</f>
        <v>618531.31000000006</v>
      </c>
      <c r="H13" s="196">
        <f>SUM(H8:H12)</f>
        <v>562578</v>
      </c>
      <c r="I13" s="196">
        <f>SUM(I8:I12)</f>
        <v>492507</v>
      </c>
      <c r="J13" s="196">
        <f>SUM(J8:J12)</f>
        <v>537425</v>
      </c>
      <c r="K13" s="196">
        <f>SUM(K8:K12)</f>
        <v>572682</v>
      </c>
      <c r="L13" s="196">
        <f t="shared" ref="L13:W13" si="0">SUM(L8:L12)</f>
        <v>469296</v>
      </c>
      <c r="M13" s="196">
        <f t="shared" si="0"/>
        <v>433847</v>
      </c>
      <c r="N13" s="196">
        <f t="shared" si="0"/>
        <v>412960</v>
      </c>
      <c r="O13" s="196">
        <f t="shared" si="0"/>
        <v>315437</v>
      </c>
      <c r="P13" s="196">
        <f t="shared" si="0"/>
        <v>264210</v>
      </c>
      <c r="Q13" s="196">
        <f t="shared" si="0"/>
        <v>282842</v>
      </c>
      <c r="R13" s="196">
        <f t="shared" si="0"/>
        <v>297135</v>
      </c>
      <c r="S13" s="196">
        <f t="shared" si="0"/>
        <v>248165</v>
      </c>
      <c r="T13" s="196">
        <f t="shared" si="0"/>
        <v>236446</v>
      </c>
      <c r="U13" s="196">
        <f t="shared" si="0"/>
        <v>198158</v>
      </c>
      <c r="V13" s="196">
        <f t="shared" si="0"/>
        <v>173386</v>
      </c>
      <c r="W13" s="196">
        <f t="shared" si="0"/>
        <v>62277</v>
      </c>
    </row>
    <row r="14" spans="1:23" ht="20.25" x14ac:dyDescent="0.2">
      <c r="A14" s="54"/>
      <c r="B14" s="54"/>
      <c r="C14" s="54"/>
      <c r="D14" s="54"/>
      <c r="E14" s="54"/>
      <c r="F14" s="54"/>
      <c r="G14" s="196"/>
      <c r="H14" s="196"/>
      <c r="I14" s="196"/>
      <c r="J14" s="196"/>
      <c r="K14" s="196"/>
      <c r="L14" s="196"/>
      <c r="M14" s="196"/>
      <c r="N14" s="196"/>
      <c r="O14" s="196"/>
      <c r="P14" s="196"/>
      <c r="Q14" s="196"/>
      <c r="R14" s="196"/>
      <c r="S14" s="196"/>
      <c r="T14" s="196"/>
      <c r="U14" s="196"/>
      <c r="V14" s="196"/>
      <c r="W14" s="196"/>
    </row>
    <row r="15" spans="1:23" ht="20.25" x14ac:dyDescent="0.3">
      <c r="A15" s="56"/>
      <c r="B15" s="56" t="s">
        <v>186</v>
      </c>
      <c r="C15" s="56"/>
      <c r="D15" s="56"/>
      <c r="E15" s="56"/>
      <c r="F15" s="56"/>
      <c r="G15" s="218"/>
      <c r="H15" s="218"/>
      <c r="I15" s="218"/>
      <c r="J15" s="218"/>
      <c r="K15" s="218"/>
      <c r="L15" s="218"/>
      <c r="M15" s="218"/>
      <c r="N15" s="218"/>
      <c r="O15" s="218"/>
      <c r="P15" s="218"/>
      <c r="Q15" s="218"/>
      <c r="R15" s="218"/>
      <c r="S15" s="218"/>
      <c r="T15" s="218"/>
      <c r="U15" s="218"/>
      <c r="V15" s="218"/>
      <c r="W15" s="218"/>
    </row>
    <row r="16" spans="1:23" ht="20.25" x14ac:dyDescent="0.3">
      <c r="A16" s="56"/>
      <c r="B16" s="56"/>
      <c r="C16" s="56"/>
      <c r="D16" s="56"/>
      <c r="E16" s="56"/>
      <c r="F16" s="56"/>
      <c r="G16" s="218">
        <v>121148.45000000001</v>
      </c>
      <c r="H16" s="218">
        <v>88948</v>
      </c>
      <c r="I16" s="218">
        <v>81381</v>
      </c>
      <c r="J16" s="218">
        <v>85951</v>
      </c>
      <c r="K16" s="218">
        <v>75213</v>
      </c>
      <c r="L16" s="218">
        <v>103757</v>
      </c>
      <c r="M16" s="218">
        <v>72661</v>
      </c>
      <c r="N16" s="218">
        <v>91918</v>
      </c>
      <c r="O16" s="218">
        <v>80411</v>
      </c>
      <c r="P16" s="218">
        <v>57354</v>
      </c>
      <c r="Q16" s="218">
        <v>59451</v>
      </c>
      <c r="R16" s="218">
        <v>70947</v>
      </c>
      <c r="S16" s="218">
        <v>80279</v>
      </c>
      <c r="T16" s="218">
        <v>84266</v>
      </c>
      <c r="U16" s="218">
        <v>45164</v>
      </c>
      <c r="V16" s="218">
        <v>15210</v>
      </c>
      <c r="W16" s="218">
        <v>15599</v>
      </c>
    </row>
    <row r="17" spans="1:23" ht="20.25" hidden="1" x14ac:dyDescent="0.2">
      <c r="A17" s="54"/>
      <c r="B17" s="54"/>
      <c r="C17" s="54"/>
      <c r="D17" s="54"/>
      <c r="E17" s="54"/>
      <c r="F17" s="54"/>
      <c r="G17" s="196"/>
      <c r="H17" s="196"/>
      <c r="I17" s="196"/>
      <c r="J17" s="196"/>
      <c r="K17" s="196"/>
      <c r="L17" s="196"/>
      <c r="M17" s="196"/>
      <c r="N17" s="196"/>
      <c r="O17" s="196"/>
      <c r="P17" s="196"/>
      <c r="Q17" s="196"/>
      <c r="R17" s="196"/>
      <c r="S17" s="196"/>
      <c r="T17" s="196"/>
      <c r="U17" s="196"/>
      <c r="V17" s="196"/>
      <c r="W17" s="196"/>
    </row>
    <row r="18" spans="1:23" ht="20.25" hidden="1" x14ac:dyDescent="0.2">
      <c r="A18" s="54"/>
      <c r="B18" s="54"/>
      <c r="C18" s="54"/>
      <c r="D18" s="54"/>
      <c r="E18" s="54"/>
      <c r="F18" s="54"/>
      <c r="G18" s="193"/>
      <c r="H18" s="193"/>
      <c r="I18" s="193"/>
      <c r="J18" s="193"/>
      <c r="K18" s="193"/>
      <c r="L18" s="193"/>
      <c r="M18" s="193"/>
      <c r="N18" s="193"/>
      <c r="O18" s="193"/>
      <c r="P18" s="193"/>
      <c r="Q18" s="193"/>
      <c r="R18" s="193"/>
      <c r="S18" s="193"/>
      <c r="T18" s="193"/>
      <c r="U18" s="193"/>
      <c r="V18" s="193"/>
      <c r="W18" s="193"/>
    </row>
    <row r="19" spans="1:23" ht="27" thickBot="1" x14ac:dyDescent="0.25">
      <c r="A19" s="61" t="s">
        <v>58</v>
      </c>
      <c r="B19" s="61"/>
      <c r="C19" s="61"/>
      <c r="D19" s="61"/>
      <c r="E19" s="61"/>
      <c r="F19" s="61"/>
      <c r="G19" s="203">
        <f>G13+G16</f>
        <v>739679.76</v>
      </c>
      <c r="H19" s="203">
        <f>H13+H16</f>
        <v>651526</v>
      </c>
      <c r="I19" s="203">
        <f>I13+I16</f>
        <v>573888</v>
      </c>
      <c r="J19" s="203">
        <f>J13+J16</f>
        <v>623376</v>
      </c>
      <c r="K19" s="203">
        <f>K13+K16</f>
        <v>647895</v>
      </c>
      <c r="L19" s="203">
        <f t="shared" ref="L19:W19" si="1">L13+L16</f>
        <v>573053</v>
      </c>
      <c r="M19" s="203">
        <f t="shared" si="1"/>
        <v>506508</v>
      </c>
      <c r="N19" s="203">
        <f t="shared" si="1"/>
        <v>504878</v>
      </c>
      <c r="O19" s="203">
        <f t="shared" si="1"/>
        <v>395848</v>
      </c>
      <c r="P19" s="203">
        <f t="shared" si="1"/>
        <v>321564</v>
      </c>
      <c r="Q19" s="203">
        <f t="shared" si="1"/>
        <v>342293</v>
      </c>
      <c r="R19" s="203">
        <f t="shared" si="1"/>
        <v>368082</v>
      </c>
      <c r="S19" s="203">
        <f t="shared" si="1"/>
        <v>328444</v>
      </c>
      <c r="T19" s="203">
        <f t="shared" si="1"/>
        <v>320712</v>
      </c>
      <c r="U19" s="203">
        <f t="shared" si="1"/>
        <v>243322</v>
      </c>
      <c r="V19" s="203">
        <f t="shared" si="1"/>
        <v>188596</v>
      </c>
      <c r="W19" s="203">
        <f t="shared" si="1"/>
        <v>77876</v>
      </c>
    </row>
    <row r="20" spans="1:23" ht="21.75" thickTop="1" thickBot="1" x14ac:dyDescent="0.25">
      <c r="A20" s="54"/>
      <c r="B20" s="54"/>
      <c r="C20" s="54"/>
      <c r="D20" s="54"/>
      <c r="E20" s="54"/>
      <c r="F20" s="54"/>
      <c r="G20" s="273"/>
      <c r="H20" s="273"/>
      <c r="I20" s="273"/>
      <c r="J20" s="273"/>
      <c r="K20" s="273"/>
      <c r="L20" s="273"/>
      <c r="M20" s="273"/>
      <c r="N20" s="273"/>
      <c r="O20" s="273"/>
      <c r="P20" s="273"/>
      <c r="Q20" s="273"/>
      <c r="R20" s="273"/>
      <c r="S20" s="273"/>
      <c r="T20" s="273"/>
      <c r="U20" s="273"/>
      <c r="V20" s="273"/>
      <c r="W20" s="273"/>
    </row>
    <row r="21" spans="1:23" ht="27.75" thickTop="1" thickBot="1" x14ac:dyDescent="0.25">
      <c r="A21" s="51"/>
      <c r="B21" s="51"/>
      <c r="C21" s="51"/>
      <c r="D21" s="51" t="s">
        <v>59</v>
      </c>
      <c r="E21" s="51"/>
      <c r="F21" s="51"/>
      <c r="G21" s="199"/>
      <c r="H21" s="199"/>
      <c r="I21" s="199"/>
      <c r="J21" s="199"/>
      <c r="K21" s="199"/>
      <c r="L21" s="199"/>
      <c r="M21" s="199"/>
      <c r="N21" s="199"/>
      <c r="O21" s="199"/>
      <c r="P21" s="199"/>
      <c r="Q21" s="199"/>
      <c r="R21" s="199"/>
      <c r="S21" s="199"/>
      <c r="T21" s="199"/>
      <c r="U21" s="199"/>
      <c r="V21" s="199"/>
      <c r="W21" s="199"/>
    </row>
    <row r="22" spans="1:23" ht="21" thickTop="1" x14ac:dyDescent="0.2">
      <c r="A22" s="54"/>
      <c r="B22" s="54"/>
      <c r="C22" s="54"/>
      <c r="D22" s="54"/>
      <c r="E22" s="54"/>
      <c r="F22" s="54"/>
      <c r="G22" s="193"/>
      <c r="H22" s="193"/>
      <c r="I22" s="193"/>
      <c r="J22" s="193"/>
      <c r="K22" s="193"/>
      <c r="L22" s="193"/>
      <c r="M22" s="193"/>
      <c r="N22" s="193"/>
      <c r="O22" s="193"/>
      <c r="P22" s="193"/>
      <c r="Q22" s="193"/>
      <c r="R22" s="193"/>
      <c r="S22" s="193"/>
      <c r="T22" s="193"/>
      <c r="U22" s="193"/>
      <c r="V22" s="193"/>
      <c r="W22" s="193"/>
    </row>
    <row r="23" spans="1:23" ht="24" hidden="1" thickBot="1" x14ac:dyDescent="0.25">
      <c r="A23" s="54"/>
      <c r="B23" s="65" t="s">
        <v>60</v>
      </c>
      <c r="C23" s="66"/>
      <c r="D23" s="66"/>
      <c r="E23" s="66"/>
      <c r="F23" s="66"/>
      <c r="G23" s="200"/>
      <c r="H23" s="200"/>
      <c r="I23" s="200"/>
      <c r="J23" s="200"/>
      <c r="K23" s="200"/>
      <c r="L23" s="200"/>
      <c r="M23" s="200"/>
      <c r="N23" s="200"/>
      <c r="O23" s="200"/>
      <c r="P23" s="200"/>
      <c r="Q23" s="200"/>
      <c r="R23" s="200"/>
      <c r="S23" s="200"/>
      <c r="T23" s="200"/>
      <c r="U23" s="200"/>
      <c r="V23" s="200"/>
      <c r="W23" s="200"/>
    </row>
    <row r="24" spans="1:23" ht="20.25" hidden="1" x14ac:dyDescent="0.2">
      <c r="A24" s="54"/>
      <c r="B24" s="54"/>
      <c r="C24" s="54"/>
      <c r="D24" s="54"/>
      <c r="E24" s="54"/>
      <c r="F24" s="54"/>
      <c r="G24" s="193"/>
      <c r="H24" s="193"/>
      <c r="I24" s="193"/>
      <c r="J24" s="193"/>
      <c r="K24" s="193"/>
      <c r="L24" s="193"/>
      <c r="M24" s="193"/>
      <c r="N24" s="193"/>
      <c r="O24" s="193"/>
      <c r="P24" s="193"/>
      <c r="Q24" s="193"/>
      <c r="R24" s="193"/>
      <c r="S24" s="193"/>
      <c r="T24" s="193"/>
      <c r="U24" s="193"/>
      <c r="V24" s="193"/>
      <c r="W24" s="193"/>
    </row>
    <row r="25" spans="1:23" ht="21" thickBot="1" x14ac:dyDescent="0.35">
      <c r="A25" s="56"/>
      <c r="B25" s="120" t="s">
        <v>187</v>
      </c>
      <c r="C25" s="121"/>
      <c r="D25" s="120"/>
      <c r="E25" s="120"/>
      <c r="F25" s="120"/>
      <c r="G25" s="194"/>
      <c r="H25" s="194"/>
      <c r="I25" s="194"/>
      <c r="J25" s="194"/>
      <c r="K25" s="194"/>
      <c r="L25" s="194"/>
      <c r="M25" s="194"/>
      <c r="N25" s="194"/>
      <c r="O25" s="194"/>
      <c r="P25" s="194"/>
      <c r="Q25" s="194"/>
      <c r="R25" s="194"/>
      <c r="S25" s="194"/>
      <c r="T25" s="194"/>
      <c r="U25" s="194"/>
      <c r="V25" s="194"/>
      <c r="W25" s="194"/>
    </row>
    <row r="26" spans="1:23" ht="20.25" x14ac:dyDescent="0.2">
      <c r="A26" s="58"/>
      <c r="B26" s="58"/>
      <c r="C26" s="58"/>
      <c r="D26" s="58" t="s">
        <v>148</v>
      </c>
      <c r="E26" s="55"/>
      <c r="F26" s="58"/>
      <c r="G26" s="202">
        <v>31278.429999999997</v>
      </c>
      <c r="H26" s="202">
        <v>51714</v>
      </c>
      <c r="I26" s="202">
        <v>52083</v>
      </c>
      <c r="J26" s="202">
        <v>69820</v>
      </c>
      <c r="K26" s="202">
        <v>81032</v>
      </c>
      <c r="L26" s="202">
        <v>64928</v>
      </c>
      <c r="M26" s="202">
        <v>89064</v>
      </c>
      <c r="N26" s="202">
        <v>102814</v>
      </c>
      <c r="O26" s="202">
        <v>27734</v>
      </c>
      <c r="P26" s="202">
        <v>33537</v>
      </c>
      <c r="Q26" s="202">
        <v>47914</v>
      </c>
      <c r="R26" s="202">
        <v>42054</v>
      </c>
      <c r="S26" s="202">
        <v>32004</v>
      </c>
      <c r="T26" s="202">
        <v>28904</v>
      </c>
      <c r="U26" s="202">
        <v>2405</v>
      </c>
      <c r="V26" s="202">
        <v>7686</v>
      </c>
      <c r="W26" s="202">
        <v>0</v>
      </c>
    </row>
    <row r="27" spans="1:23" ht="20.25" x14ac:dyDescent="0.2">
      <c r="A27" s="58"/>
      <c r="B27" s="58"/>
      <c r="C27" s="58"/>
      <c r="D27" s="58" t="s">
        <v>188</v>
      </c>
      <c r="E27" s="55"/>
      <c r="F27" s="58"/>
      <c r="G27" s="193">
        <v>16019.88</v>
      </c>
      <c r="H27" s="193">
        <v>26466</v>
      </c>
      <c r="I27" s="193">
        <v>33722</v>
      </c>
      <c r="J27" s="193">
        <v>37279</v>
      </c>
      <c r="K27" s="193">
        <v>34130</v>
      </c>
      <c r="L27" s="193">
        <v>30917</v>
      </c>
      <c r="M27" s="193">
        <v>24891</v>
      </c>
      <c r="N27" s="193">
        <v>22167</v>
      </c>
      <c r="O27" s="193">
        <v>16739</v>
      </c>
      <c r="P27" s="193">
        <v>13502</v>
      </c>
      <c r="Q27" s="193">
        <v>10581</v>
      </c>
      <c r="R27" s="193">
        <v>28556</v>
      </c>
      <c r="S27" s="193">
        <v>22953</v>
      </c>
      <c r="T27" s="193">
        <v>13246</v>
      </c>
      <c r="U27" s="193">
        <v>10214</v>
      </c>
      <c r="V27" s="193">
        <v>5966</v>
      </c>
      <c r="W27" s="193">
        <v>2341</v>
      </c>
    </row>
    <row r="28" spans="1:23" ht="20.25" x14ac:dyDescent="0.2">
      <c r="A28" s="58"/>
      <c r="B28" s="58"/>
      <c r="C28" s="58"/>
      <c r="D28" s="58" t="s">
        <v>87</v>
      </c>
      <c r="E28" s="55"/>
      <c r="F28" s="58"/>
      <c r="G28" s="193">
        <v>19094</v>
      </c>
      <c r="H28" s="193">
        <v>21990</v>
      </c>
      <c r="I28" s="193">
        <v>17053</v>
      </c>
      <c r="J28" s="193">
        <v>23081</v>
      </c>
      <c r="K28" s="193">
        <v>20125</v>
      </c>
      <c r="L28" s="193">
        <v>23900</v>
      </c>
      <c r="M28" s="193">
        <v>25993</v>
      </c>
      <c r="N28" s="193">
        <v>25084</v>
      </c>
      <c r="O28" s="193">
        <v>17164</v>
      </c>
      <c r="P28" s="193">
        <v>23194</v>
      </c>
      <c r="Q28" s="193">
        <v>17986</v>
      </c>
      <c r="R28" s="193">
        <v>19684</v>
      </c>
      <c r="S28" s="193">
        <v>15461</v>
      </c>
      <c r="T28" s="193">
        <v>11736</v>
      </c>
      <c r="U28" s="193">
        <v>6552</v>
      </c>
      <c r="V28" s="193">
        <v>4625</v>
      </c>
      <c r="W28" s="193"/>
    </row>
    <row r="29" spans="1:23" ht="20.25" x14ac:dyDescent="0.2">
      <c r="A29" s="58"/>
      <c r="B29" s="58"/>
      <c r="C29" s="58"/>
      <c r="D29" s="58" t="s">
        <v>189</v>
      </c>
      <c r="E29" s="55"/>
      <c r="F29" s="58"/>
      <c r="G29" s="193"/>
      <c r="H29" s="193">
        <v>463</v>
      </c>
      <c r="I29" s="193">
        <f>1236+16400</f>
        <v>17636</v>
      </c>
      <c r="J29" s="193">
        <v>13302</v>
      </c>
      <c r="K29" s="193">
        <v>5311</v>
      </c>
      <c r="L29" s="193">
        <v>12315</v>
      </c>
      <c r="M29" s="193"/>
      <c r="N29" s="193"/>
      <c r="O29" s="193"/>
      <c r="P29" s="193">
        <v>20000</v>
      </c>
      <c r="Q29" s="193"/>
      <c r="R29" s="193">
        <v>25000</v>
      </c>
      <c r="S29" s="193"/>
      <c r="T29" s="193"/>
      <c r="U29" s="193"/>
      <c r="V29" s="193"/>
      <c r="W29" s="193">
        <v>48000</v>
      </c>
    </row>
    <row r="30" spans="1:23" ht="20.25" x14ac:dyDescent="0.2">
      <c r="A30" s="58"/>
      <c r="B30" s="58"/>
      <c r="C30" s="58"/>
      <c r="D30" s="58" t="s">
        <v>94</v>
      </c>
      <c r="E30" s="55"/>
      <c r="F30" s="58"/>
      <c r="G30" s="193">
        <v>136592.41</v>
      </c>
      <c r="H30" s="193">
        <v>101837</v>
      </c>
      <c r="I30" s="193">
        <v>31429</v>
      </c>
      <c r="J30" s="193">
        <v>21927</v>
      </c>
      <c r="K30" s="193">
        <v>24493</v>
      </c>
      <c r="L30" s="193">
        <v>23546</v>
      </c>
      <c r="M30" s="193">
        <v>29986</v>
      </c>
      <c r="N30" s="193">
        <v>97627</v>
      </c>
      <c r="O30" s="193">
        <v>91085</v>
      </c>
      <c r="P30" s="193">
        <v>6118</v>
      </c>
      <c r="Q30" s="193">
        <v>42621</v>
      </c>
      <c r="R30" s="193"/>
      <c r="S30" s="193">
        <v>13218</v>
      </c>
      <c r="T30" s="193">
        <v>36938</v>
      </c>
      <c r="U30" s="193">
        <v>40000</v>
      </c>
      <c r="V30" s="193">
        <v>38354</v>
      </c>
      <c r="W30" s="193">
        <v>11775</v>
      </c>
    </row>
    <row r="31" spans="1:23" ht="20.25" x14ac:dyDescent="0.2">
      <c r="A31" s="58"/>
      <c r="B31" s="58"/>
      <c r="C31" s="58"/>
      <c r="D31" s="59" t="s">
        <v>190</v>
      </c>
      <c r="E31" s="119"/>
      <c r="F31" s="59"/>
      <c r="G31" s="193"/>
      <c r="H31" s="193"/>
      <c r="I31" s="193"/>
      <c r="J31" s="193"/>
      <c r="K31" s="193"/>
      <c r="L31" s="193"/>
      <c r="M31" s="193"/>
      <c r="N31" s="193"/>
      <c r="O31" s="193"/>
      <c r="P31" s="193"/>
      <c r="Q31" s="193"/>
      <c r="R31" s="193"/>
      <c r="S31" s="193"/>
      <c r="T31" s="193"/>
      <c r="U31" s="193"/>
      <c r="V31" s="193"/>
      <c r="W31" s="193"/>
    </row>
    <row r="32" spans="1:23" ht="20.25" x14ac:dyDescent="0.2">
      <c r="A32" s="58"/>
      <c r="B32" s="58"/>
      <c r="C32" s="60" t="s">
        <v>71</v>
      </c>
      <c r="D32" s="58"/>
      <c r="E32" s="55"/>
      <c r="F32" s="58"/>
      <c r="G32" s="201">
        <f>SUM(G26:G31)</f>
        <v>202984.72</v>
      </c>
      <c r="H32" s="201">
        <f>SUM(H26:H31)</f>
        <v>202470</v>
      </c>
      <c r="I32" s="201">
        <f>SUM(I26:I31)</f>
        <v>151923</v>
      </c>
      <c r="J32" s="201">
        <f>SUM(J26:J31)</f>
        <v>165409</v>
      </c>
      <c r="K32" s="201">
        <f>SUM(K26:K31)</f>
        <v>165091</v>
      </c>
      <c r="L32" s="201">
        <f t="shared" ref="L32:W32" si="2">SUM(L26:L31)</f>
        <v>155606</v>
      </c>
      <c r="M32" s="201">
        <f t="shared" si="2"/>
        <v>169934</v>
      </c>
      <c r="N32" s="201">
        <f t="shared" si="2"/>
        <v>247692</v>
      </c>
      <c r="O32" s="201">
        <f t="shared" si="2"/>
        <v>152722</v>
      </c>
      <c r="P32" s="201">
        <f t="shared" si="2"/>
        <v>96351</v>
      </c>
      <c r="Q32" s="201">
        <f t="shared" si="2"/>
        <v>119102</v>
      </c>
      <c r="R32" s="201">
        <f t="shared" si="2"/>
        <v>115294</v>
      </c>
      <c r="S32" s="201">
        <f t="shared" si="2"/>
        <v>83636</v>
      </c>
      <c r="T32" s="201">
        <f t="shared" si="2"/>
        <v>90824</v>
      </c>
      <c r="U32" s="201">
        <f t="shared" si="2"/>
        <v>59171</v>
      </c>
      <c r="V32" s="201">
        <f t="shared" si="2"/>
        <v>56631</v>
      </c>
      <c r="W32" s="201">
        <f t="shared" si="2"/>
        <v>62116</v>
      </c>
    </row>
    <row r="33" spans="1:23" ht="20.25" x14ac:dyDescent="0.2">
      <c r="A33" s="58"/>
      <c r="B33" s="58"/>
      <c r="C33" s="58"/>
      <c r="D33" s="58"/>
      <c r="E33" s="58"/>
      <c r="F33" s="58"/>
      <c r="G33" s="193"/>
      <c r="H33" s="193"/>
      <c r="I33" s="193"/>
      <c r="J33" s="193"/>
      <c r="K33" s="193"/>
      <c r="L33" s="193"/>
      <c r="M33" s="193"/>
      <c r="N33" s="193"/>
      <c r="O33" s="193"/>
      <c r="P33" s="193"/>
      <c r="Q33" s="193"/>
      <c r="R33" s="193"/>
      <c r="S33" s="193"/>
      <c r="T33" s="193"/>
      <c r="U33" s="193"/>
      <c r="V33" s="193"/>
      <c r="W33" s="193"/>
    </row>
    <row r="34" spans="1:23" ht="20.25" x14ac:dyDescent="0.2">
      <c r="A34" s="54"/>
      <c r="B34" s="54"/>
      <c r="C34" s="54"/>
      <c r="D34" s="54"/>
      <c r="E34" s="54"/>
      <c r="F34" s="54"/>
      <c r="G34" s="332"/>
      <c r="H34" s="332"/>
      <c r="I34" s="332"/>
      <c r="J34" s="332"/>
      <c r="K34" s="332"/>
      <c r="L34" s="196"/>
      <c r="M34" s="196"/>
      <c r="N34" s="196"/>
      <c r="O34" s="196"/>
      <c r="P34" s="196"/>
      <c r="Q34" s="196"/>
      <c r="R34" s="196"/>
      <c r="S34" s="196"/>
      <c r="T34" s="196"/>
      <c r="U34" s="196"/>
      <c r="V34" s="196"/>
      <c r="W34" s="196"/>
    </row>
    <row r="35" spans="1:23" ht="24" thickBot="1" x14ac:dyDescent="0.25">
      <c r="A35" s="54"/>
      <c r="B35" s="65" t="s">
        <v>191</v>
      </c>
      <c r="C35" s="66"/>
      <c r="D35" s="66"/>
      <c r="E35" s="66"/>
      <c r="F35" s="66"/>
      <c r="G35" s="200"/>
      <c r="H35" s="200"/>
      <c r="I35" s="200"/>
      <c r="J35" s="200"/>
      <c r="K35" s="200"/>
      <c r="L35" s="200"/>
      <c r="M35" s="200"/>
      <c r="N35" s="200"/>
      <c r="O35" s="200"/>
      <c r="P35" s="200"/>
      <c r="Q35" s="200"/>
      <c r="R35" s="200"/>
      <c r="S35" s="200"/>
      <c r="T35" s="200"/>
      <c r="U35" s="200"/>
      <c r="V35" s="200"/>
      <c r="W35" s="200"/>
    </row>
    <row r="36" spans="1:23" ht="23.25" x14ac:dyDescent="0.2">
      <c r="A36" s="54"/>
      <c r="B36" s="222"/>
      <c r="C36" s="54"/>
      <c r="D36" s="58" t="s">
        <v>90</v>
      </c>
      <c r="E36" s="54"/>
      <c r="F36" s="54"/>
      <c r="G36" s="193">
        <v>55367.21</v>
      </c>
      <c r="H36" s="193">
        <v>52578</v>
      </c>
      <c r="I36" s="193">
        <v>54372</v>
      </c>
      <c r="J36" s="193">
        <v>74343</v>
      </c>
      <c r="K36" s="193">
        <v>140489</v>
      </c>
      <c r="L36" s="193">
        <v>85282</v>
      </c>
      <c r="M36" s="193">
        <v>9601</v>
      </c>
      <c r="N36" s="193">
        <v>9601</v>
      </c>
      <c r="O36" s="193">
        <v>5248</v>
      </c>
      <c r="P36" s="193">
        <v>4472</v>
      </c>
      <c r="Q36" s="193">
        <v>15207</v>
      </c>
      <c r="R36" s="193"/>
      <c r="S36" s="193"/>
      <c r="T36" s="193"/>
      <c r="U36" s="193"/>
      <c r="V36" s="193"/>
      <c r="W36" s="193"/>
    </row>
    <row r="37" spans="1:23" ht="21" thickBot="1" x14ac:dyDescent="0.25">
      <c r="A37" s="58"/>
      <c r="B37" s="58"/>
      <c r="C37" s="55"/>
      <c r="D37" s="58" t="s">
        <v>84</v>
      </c>
      <c r="E37" s="328"/>
      <c r="F37" s="328"/>
      <c r="G37" s="200">
        <v>481327.83000000013</v>
      </c>
      <c r="H37" s="200">
        <v>396478</v>
      </c>
      <c r="I37" s="200">
        <v>367593</v>
      </c>
      <c r="J37" s="200">
        <v>383624</v>
      </c>
      <c r="K37" s="200">
        <v>342315</v>
      </c>
      <c r="L37" s="200">
        <v>332165</v>
      </c>
      <c r="M37" s="200">
        <v>326973</v>
      </c>
      <c r="N37" s="200">
        <v>247585</v>
      </c>
      <c r="O37" s="200">
        <v>237878</v>
      </c>
      <c r="P37" s="200">
        <v>220741</v>
      </c>
      <c r="Q37" s="200">
        <v>207984</v>
      </c>
      <c r="R37" s="200">
        <v>252788</v>
      </c>
      <c r="S37" s="200">
        <v>244808</v>
      </c>
      <c r="T37" s="200">
        <v>229888</v>
      </c>
      <c r="U37" s="200">
        <v>184151</v>
      </c>
      <c r="V37" s="200">
        <v>131965</v>
      </c>
      <c r="W37" s="200">
        <v>15760</v>
      </c>
    </row>
    <row r="38" spans="1:23" ht="23.25" x14ac:dyDescent="0.2">
      <c r="A38" s="54"/>
      <c r="B38" s="68" t="s">
        <v>63</v>
      </c>
      <c r="C38" s="69"/>
      <c r="D38" s="69"/>
      <c r="E38" s="54"/>
      <c r="F38" s="54"/>
      <c r="G38" s="196">
        <f>G36+G37</f>
        <v>536695.04000000015</v>
      </c>
      <c r="H38" s="196">
        <f>H36+H37</f>
        <v>449056</v>
      </c>
      <c r="I38" s="196">
        <f>I36+I37</f>
        <v>421965</v>
      </c>
      <c r="J38" s="196">
        <f>J36+J37</f>
        <v>457967</v>
      </c>
      <c r="K38" s="196">
        <f>K36+K37</f>
        <v>482804</v>
      </c>
      <c r="L38" s="196">
        <f t="shared" ref="L38:W38" si="3">L36+L37</f>
        <v>417447</v>
      </c>
      <c r="M38" s="196">
        <f t="shared" si="3"/>
        <v>336574</v>
      </c>
      <c r="N38" s="196">
        <f t="shared" si="3"/>
        <v>257186</v>
      </c>
      <c r="O38" s="196">
        <f t="shared" si="3"/>
        <v>243126</v>
      </c>
      <c r="P38" s="196">
        <f t="shared" si="3"/>
        <v>225213</v>
      </c>
      <c r="Q38" s="196">
        <f t="shared" si="3"/>
        <v>223191</v>
      </c>
      <c r="R38" s="196">
        <f t="shared" si="3"/>
        <v>252788</v>
      </c>
      <c r="S38" s="196">
        <f t="shared" si="3"/>
        <v>244808</v>
      </c>
      <c r="T38" s="196">
        <f t="shared" si="3"/>
        <v>229888</v>
      </c>
      <c r="U38" s="196">
        <f t="shared" si="3"/>
        <v>184151</v>
      </c>
      <c r="V38" s="196">
        <f t="shared" si="3"/>
        <v>131965</v>
      </c>
      <c r="W38" s="196">
        <f t="shared" si="3"/>
        <v>15760</v>
      </c>
    </row>
    <row r="39" spans="1:23" ht="20.25" x14ac:dyDescent="0.2">
      <c r="A39" s="54"/>
      <c r="B39" s="54"/>
      <c r="C39" s="54"/>
      <c r="D39" s="54"/>
      <c r="E39" s="54"/>
      <c r="F39" s="54"/>
      <c r="G39" s="195"/>
      <c r="H39" s="195"/>
      <c r="I39" s="195"/>
      <c r="J39" s="195"/>
      <c r="K39" s="195"/>
      <c r="L39" s="195"/>
      <c r="M39" s="195"/>
      <c r="N39" s="195"/>
      <c r="O39" s="195"/>
      <c r="P39" s="195"/>
      <c r="Q39" s="195"/>
      <c r="R39" s="195"/>
      <c r="S39" s="195"/>
      <c r="T39" s="195"/>
      <c r="U39" s="195"/>
      <c r="V39" s="195"/>
      <c r="W39" s="195"/>
    </row>
    <row r="40" spans="1:23" ht="27" thickBot="1" x14ac:dyDescent="0.25">
      <c r="A40" s="61" t="s">
        <v>64</v>
      </c>
      <c r="B40" s="61"/>
      <c r="C40" s="61"/>
      <c r="D40" s="61"/>
      <c r="E40" s="61"/>
      <c r="F40" s="61"/>
      <c r="G40" s="297">
        <f>G32+G38</f>
        <v>739679.76000000013</v>
      </c>
      <c r="H40" s="297">
        <f>H32+H38</f>
        <v>651526</v>
      </c>
      <c r="I40" s="297">
        <f>I32+I38</f>
        <v>573888</v>
      </c>
      <c r="J40" s="297">
        <f>J32+J38</f>
        <v>623376</v>
      </c>
      <c r="K40" s="297">
        <f>K32+K38</f>
        <v>647895</v>
      </c>
      <c r="L40" s="297">
        <f t="shared" ref="L40:W40" si="4">L32+L38</f>
        <v>573053</v>
      </c>
      <c r="M40" s="297">
        <f t="shared" si="4"/>
        <v>506508</v>
      </c>
      <c r="N40" s="297">
        <f t="shared" si="4"/>
        <v>504878</v>
      </c>
      <c r="O40" s="297">
        <f t="shared" si="4"/>
        <v>395848</v>
      </c>
      <c r="P40" s="297">
        <f t="shared" si="4"/>
        <v>321564</v>
      </c>
      <c r="Q40" s="297">
        <f t="shared" si="4"/>
        <v>342293</v>
      </c>
      <c r="R40" s="297">
        <f t="shared" si="4"/>
        <v>368082</v>
      </c>
      <c r="S40" s="297">
        <f t="shared" si="4"/>
        <v>328444</v>
      </c>
      <c r="T40" s="297">
        <f t="shared" si="4"/>
        <v>320712</v>
      </c>
      <c r="U40" s="297">
        <f t="shared" si="4"/>
        <v>243322</v>
      </c>
      <c r="V40" s="297">
        <f t="shared" si="4"/>
        <v>188596</v>
      </c>
      <c r="W40" s="297">
        <f t="shared" si="4"/>
        <v>77876</v>
      </c>
    </row>
    <row r="41" spans="1:23" ht="15" thickTop="1" x14ac:dyDescent="0.2">
      <c r="D41" s="286"/>
    </row>
    <row r="42" spans="1:23" s="190" customFormat="1" x14ac:dyDescent="0.2">
      <c r="A42" s="331"/>
      <c r="B42" s="331"/>
      <c r="C42" s="331"/>
      <c r="D42" s="331"/>
      <c r="E42" s="331"/>
      <c r="F42" s="331"/>
    </row>
    <row r="43" spans="1:23" s="190" customFormat="1" x14ac:dyDescent="0.2">
      <c r="A43" s="331"/>
      <c r="B43" s="331"/>
      <c r="C43" s="331"/>
      <c r="D43" s="331"/>
      <c r="E43" s="331"/>
      <c r="F43" s="331"/>
    </row>
    <row r="44" spans="1:23" s="190" customFormat="1" x14ac:dyDescent="0.2">
      <c r="A44" s="331"/>
      <c r="B44" s="331"/>
      <c r="C44" s="331"/>
      <c r="D44" s="331"/>
      <c r="E44" s="331"/>
      <c r="F44" s="331"/>
    </row>
    <row r="45" spans="1:23" s="190" customFormat="1" x14ac:dyDescent="0.2">
      <c r="A45" s="331"/>
      <c r="B45" s="331"/>
      <c r="C45" s="331"/>
      <c r="D45" s="331"/>
      <c r="E45" s="331"/>
      <c r="F45" s="331"/>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December'23 Revenues &amp; Expenses</vt:lpstr>
      <vt:lpstr>December'23 AR Aging </vt:lpstr>
      <vt:lpstr>December'23 Financial Position</vt:lpstr>
      <vt:lpstr>December'23 State of Activities</vt:lpstr>
      <vt:lpstr>FundRaising</vt:lpstr>
      <vt:lpstr>December'23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'December''23 AR Aging '!Print_Area</vt:lpstr>
      <vt:lpstr>'December''23 Financial Position'!Print_Area</vt:lpstr>
      <vt:lpstr>'December''23 Revenues &amp; Expenses'!Print_Area</vt:lpstr>
      <vt:lpstr>'December''23 State of Activities'!Print_Area</vt:lpstr>
      <vt:lpstr>'December''23 Transportation'!Print_Area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2023-11-28T18:42:13Z</cp:lastPrinted>
  <dcterms:created xsi:type="dcterms:W3CDTF">2011-11-03T17:20:29Z</dcterms:created>
  <dcterms:modified xsi:type="dcterms:W3CDTF">2024-01-23T19:11:19Z</dcterms:modified>
</cp:coreProperties>
</file>