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X:\Finance\Maureen\Finance Committee\"/>
    </mc:Choice>
  </mc:AlternateContent>
  <xr:revisionPtr revIDLastSave="0" documentId="13_ncr:1_{674BC9F3-DD73-42FD-B19B-01C983F3832C}" xr6:coauthVersionLast="47" xr6:coauthVersionMax="47" xr10:uidLastSave="{00000000-0000-0000-0000-000000000000}"/>
  <bookViews>
    <workbookView xWindow="-120" yWindow="-120" windowWidth="20730" windowHeight="11160" tabRatio="787" firstSheet="4" activeTab="4" xr2:uid="{00000000-000D-0000-FFFF-FFFF00000000}"/>
  </bookViews>
  <sheets>
    <sheet name="Updated  Operating Budget" sheetId="26" state="hidden" r:id="rId1"/>
    <sheet name="2023 Operating Budget" sheetId="27" state="hidden" r:id="rId2"/>
    <sheet name="Transportation Historic" sheetId="28" state="hidden" r:id="rId3"/>
    <sheet name="2024 Operating Budget" sheetId="32" state="hidden" r:id="rId4"/>
    <sheet name="Notes" sheetId="15" r:id="rId5"/>
    <sheet name="Data" sheetId="19" state="hidden" r:id="rId6"/>
    <sheet name="Updated Operating Budget" sheetId="25" state="hidden" r:id="rId7"/>
    <sheet name="August'24 Revenues &amp; Expenses" sheetId="3" r:id="rId8"/>
    <sheet name="August'24 AR Aging " sheetId="6" r:id="rId9"/>
    <sheet name="August'24 Financial Position" sheetId="5" r:id="rId10"/>
    <sheet name="August'24 State of Activities" sheetId="12" r:id="rId11"/>
    <sheet name="FundRaising" sheetId="31" state="hidden" r:id="rId12"/>
    <sheet name="August'24 Transportation" sheetId="24" r:id="rId13"/>
    <sheet name="2023 Updated Budget Transportat" sheetId="30" state="hidden" r:id="rId14"/>
    <sheet name="Historic Transportation 5 Years" sheetId="29" state="hidden" r:id="rId15"/>
    <sheet name="June'20 Transportation" sheetId="18" state="hidden" r:id="rId16"/>
    <sheet name="Transportation Projections" sheetId="23" state="hidden" r:id="rId17"/>
    <sheet name="2019 Budget" sheetId="22" state="hidden" r:id="rId18"/>
    <sheet name="2017 Medicaid Revenue" sheetId="21" state="hidden" r:id="rId19"/>
    <sheet name="Budget" sheetId="20" state="hidden" r:id="rId20"/>
    <sheet name="YE Historic Data" sheetId="17" state="hidden" r:id="rId21"/>
  </sheets>
  <externalReferences>
    <externalReference r:id="rId22"/>
    <externalReference r:id="rId23"/>
    <externalReference r:id="rId24"/>
  </externalReferences>
  <definedNames>
    <definedName name="_xlnm.Print_Area" localSheetId="18">'2017 Medicaid Revenue'!$A$1:$H$69</definedName>
    <definedName name="_xlnm.Print_Area" localSheetId="8">'August''24 AR Aging '!$A$1:$G$155</definedName>
    <definedName name="_xlnm.Print_Area" localSheetId="9">'August''24 Financial Position'!$A$1:$L$70</definedName>
    <definedName name="_xlnm.Print_Area" localSheetId="7">'August''24 Revenues &amp; Expenses'!$A$1:$L$83</definedName>
    <definedName name="_xlnm.Print_Area" localSheetId="10">'August''24 State of Activities'!$A$1:$O$72</definedName>
    <definedName name="_xlnm.Print_Area" localSheetId="12">'August''24 Transportation'!$A$1:$P$68</definedName>
    <definedName name="_xlnm.Print_Area" localSheetId="19">Budget!$A$1:$G$54</definedName>
    <definedName name="_xlnm.Print_Area" localSheetId="15">'June''20 Transportation'!$A$1:$P$63</definedName>
    <definedName name="_xlnm.Print_Area" localSheetId="4">Notes!$A$1:$H$113</definedName>
    <definedName name="_xlnm.Print_Area" localSheetId="16">'Transportation Projections'!$A$1:$P$53</definedName>
    <definedName name="_xlnm.Print_Area" localSheetId="20">'YE Historic Data'!$A$1:$W$41</definedName>
    <definedName name="_xlnm.Print_Titles" localSheetId="4">Notes!$1:$3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2" l="1"/>
  <c r="G64" i="15"/>
  <c r="E16" i="15"/>
  <c r="B2342" i="19"/>
  <c r="B2341" i="19"/>
  <c r="C2239" i="19"/>
  <c r="C2237" i="19"/>
  <c r="B2237" i="19" s="1"/>
  <c r="B2238" i="19"/>
  <c r="B2236" i="19"/>
  <c r="B2239" i="19" l="1"/>
  <c r="B2240" i="19"/>
  <c r="C2241" i="19"/>
  <c r="J57" i="24"/>
  <c r="L46" i="5"/>
  <c r="J54" i="12"/>
  <c r="L33" i="5"/>
  <c r="J50" i="12"/>
  <c r="J64" i="12"/>
  <c r="J9" i="12"/>
  <c r="G64" i="12"/>
  <c r="H54" i="5"/>
  <c r="H53" i="5"/>
  <c r="I54" i="3"/>
  <c r="L62" i="3"/>
  <c r="I71" i="3"/>
  <c r="H33" i="3"/>
  <c r="I15" i="3"/>
  <c r="H14" i="3"/>
  <c r="C99" i="6"/>
  <c r="C78" i="6"/>
  <c r="D28" i="6"/>
  <c r="D30" i="6" s="1"/>
  <c r="E7" i="6"/>
  <c r="C7" i="6" s="1"/>
  <c r="B2241" i="19" l="1"/>
  <c r="L62" i="5"/>
  <c r="L53" i="5"/>
  <c r="L57" i="5"/>
  <c r="J48" i="12"/>
  <c r="J47" i="12"/>
  <c r="J40" i="12"/>
  <c r="J53" i="12"/>
  <c r="J12" i="12"/>
  <c r="B2242" i="19" l="1"/>
  <c r="J62" i="24"/>
  <c r="B2243" i="19" l="1"/>
  <c r="J53" i="24"/>
  <c r="J47" i="24"/>
  <c r="J34" i="24"/>
  <c r="J33" i="24"/>
  <c r="J27" i="24"/>
  <c r="J20" i="24"/>
  <c r="J10" i="24"/>
  <c r="I32" i="3"/>
  <c r="I24" i="3"/>
  <c r="J73" i="3"/>
  <c r="G16" i="12"/>
  <c r="G53" i="12"/>
  <c r="G26" i="12"/>
  <c r="G35" i="12" s="1"/>
  <c r="G34" i="12"/>
  <c r="B2244" i="19" l="1"/>
  <c r="G54" i="12"/>
  <c r="G40" i="12"/>
  <c r="G51" i="12"/>
  <c r="J77" i="3"/>
  <c r="J78" i="3"/>
  <c r="J72" i="3"/>
  <c r="J70" i="3"/>
  <c r="J68" i="3"/>
  <c r="H56" i="3"/>
  <c r="H62" i="5"/>
  <c r="B2245" i="19" l="1"/>
  <c r="K49" i="3"/>
  <c r="I49" i="3"/>
  <c r="H46" i="5"/>
  <c r="G62" i="6"/>
  <c r="G66" i="6"/>
  <c r="G63" i="6"/>
  <c r="F49" i="6"/>
  <c r="G45" i="6"/>
  <c r="E8" i="6"/>
  <c r="G44" i="12"/>
  <c r="C2222" i="19"/>
  <c r="B2221" i="19"/>
  <c r="B2220" i="19"/>
  <c r="C2198" i="19"/>
  <c r="P22" i="24"/>
  <c r="B2246" i="19" l="1"/>
  <c r="M57" i="24"/>
  <c r="M35" i="24"/>
  <c r="B2247" i="19" l="1"/>
  <c r="B2194" i="19"/>
  <c r="K41" i="24"/>
  <c r="B2248" i="19" l="1"/>
  <c r="B2195" i="19"/>
  <c r="B2249" i="19" l="1"/>
  <c r="B2196" i="19"/>
  <c r="H54" i="12"/>
  <c r="J46" i="5"/>
  <c r="G66" i="12"/>
  <c r="G13" i="12"/>
  <c r="G17" i="12"/>
  <c r="K72" i="3"/>
  <c r="H62" i="3"/>
  <c r="J34" i="3"/>
  <c r="G34" i="3"/>
  <c r="B2250" i="19" l="1"/>
  <c r="B2197" i="19"/>
  <c r="I33" i="3"/>
  <c r="J33" i="3" s="1"/>
  <c r="F42" i="6"/>
  <c r="E12" i="6"/>
  <c r="E49" i="6"/>
  <c r="B2251" i="19" l="1"/>
  <c r="E72" i="6"/>
  <c r="B2198" i="19"/>
  <c r="C2152" i="19"/>
  <c r="B2151" i="19"/>
  <c r="B2150" i="19"/>
  <c r="B2252" i="19" l="1"/>
  <c r="B2199" i="19"/>
  <c r="B2152" i="19"/>
  <c r="C2153" i="19"/>
  <c r="B2253" i="19" l="1"/>
  <c r="B2200" i="19"/>
  <c r="C2201" i="19"/>
  <c r="B2153" i="19"/>
  <c r="B2254" i="19" l="1"/>
  <c r="C2202" i="19"/>
  <c r="B2201" i="19"/>
  <c r="B2154" i="19"/>
  <c r="C2155" i="19"/>
  <c r="B2255" i="19" l="1"/>
  <c r="B2202" i="19"/>
  <c r="C2156" i="19"/>
  <c r="B2155" i="19"/>
  <c r="B2256" i="19" l="1"/>
  <c r="B2203" i="19"/>
  <c r="B2156" i="19"/>
  <c r="B2257" i="19" l="1"/>
  <c r="B2204" i="19"/>
  <c r="B2157" i="19"/>
  <c r="B2258" i="19" l="1"/>
  <c r="B2205" i="19"/>
  <c r="B2158" i="19"/>
  <c r="B2259" i="19" l="1"/>
  <c r="B2206" i="19"/>
  <c r="B2159" i="19"/>
  <c r="B2260" i="19" l="1"/>
  <c r="B2207" i="19"/>
  <c r="B2160" i="19"/>
  <c r="B2261" i="19" l="1"/>
  <c r="C2262" i="19"/>
  <c r="B2208" i="19"/>
  <c r="C2209" i="19"/>
  <c r="B2161" i="19"/>
  <c r="B2262" i="19" l="1"/>
  <c r="B2209" i="19"/>
  <c r="C2210" i="19"/>
  <c r="B2162" i="19"/>
  <c r="C2264" i="19" l="1"/>
  <c r="B2263" i="19"/>
  <c r="C2211" i="19"/>
  <c r="B2210" i="19"/>
  <c r="B2163" i="19"/>
  <c r="B2264" i="19" l="1"/>
  <c r="B2211" i="19"/>
  <c r="C2212" i="19"/>
  <c r="B2164" i="19"/>
  <c r="B2265" i="19" l="1"/>
  <c r="B2212" i="19"/>
  <c r="B2165" i="19"/>
  <c r="C2267" i="19" l="1"/>
  <c r="B2266" i="19"/>
  <c r="B2213" i="19"/>
  <c r="C2214" i="19"/>
  <c r="B2166" i="19"/>
  <c r="B2267" i="19" l="1"/>
  <c r="B2214" i="19"/>
  <c r="B2167" i="19"/>
  <c r="B2268" i="19" l="1"/>
  <c r="B2215" i="19"/>
  <c r="B2168" i="19"/>
  <c r="B2269" i="19" l="1"/>
  <c r="C2217" i="19"/>
  <c r="B2216" i="19"/>
  <c r="B2169" i="19"/>
  <c r="B2270" i="19" l="1"/>
  <c r="B2217" i="19"/>
  <c r="C2171" i="19"/>
  <c r="B2170" i="19"/>
  <c r="B2271" i="19" l="1"/>
  <c r="C2219" i="19"/>
  <c r="B2218" i="19"/>
  <c r="C2172" i="19"/>
  <c r="B2171" i="19"/>
  <c r="B2272" i="19" l="1"/>
  <c r="B2219" i="19"/>
  <c r="B2172" i="19"/>
  <c r="B2273" i="19" l="1"/>
  <c r="B2173" i="19"/>
  <c r="C2174" i="19"/>
  <c r="C2275" i="19" l="1"/>
  <c r="B2274" i="19"/>
  <c r="B2222" i="19"/>
  <c r="B2174" i="19"/>
  <c r="C2276" i="19" l="1"/>
  <c r="B2275" i="19"/>
  <c r="B2223" i="19"/>
  <c r="B2175" i="19"/>
  <c r="B2276" i="19" l="1"/>
  <c r="B2224" i="19"/>
  <c r="B2176" i="19"/>
  <c r="B2277" i="19" l="1"/>
  <c r="B2225" i="19"/>
  <c r="B2177" i="19"/>
  <c r="C2279" i="19" l="1"/>
  <c r="B2278" i="19"/>
  <c r="C2226" i="19"/>
  <c r="B2226" i="19" s="1"/>
  <c r="B2178" i="19"/>
  <c r="B2280" i="19" l="1"/>
  <c r="B2279" i="19"/>
  <c r="B2227" i="19"/>
  <c r="B2179" i="19"/>
  <c r="C2228" i="19" l="1"/>
  <c r="B2228" i="19" s="1"/>
  <c r="B2180" i="19"/>
  <c r="B2229" i="19" l="1"/>
  <c r="B2181" i="19"/>
  <c r="B2230" i="19" l="1"/>
  <c r="B2182" i="19"/>
  <c r="B2231" i="19" l="1"/>
  <c r="B2183" i="19"/>
  <c r="B2232" i="19" l="1"/>
  <c r="C2185" i="19"/>
  <c r="B2184" i="19"/>
  <c r="B2233" i="19" l="1"/>
  <c r="B2185" i="19"/>
  <c r="B2234" i="19" l="1"/>
  <c r="B2186" i="19"/>
  <c r="B2235" i="19" l="1"/>
  <c r="B2187" i="19"/>
  <c r="B2188" i="19" l="1"/>
  <c r="B2189" i="19" l="1"/>
  <c r="C2191" i="19" l="1"/>
  <c r="B2190" i="19"/>
  <c r="C2192" i="19" l="1"/>
  <c r="B2191" i="19"/>
  <c r="B2192" i="19" l="1"/>
  <c r="C2193" i="19"/>
  <c r="B2193" i="19" s="1"/>
  <c r="J21" i="24"/>
  <c r="K78" i="3"/>
  <c r="L78" i="3" s="1"/>
  <c r="I52" i="3"/>
  <c r="F105" i="15" l="1"/>
  <c r="F104" i="15"/>
  <c r="F94" i="15"/>
  <c r="F91" i="15"/>
  <c r="F98" i="15"/>
  <c r="F92" i="15"/>
  <c r="B2149" i="19"/>
  <c r="C2104" i="19"/>
  <c r="B2104" i="19" s="1"/>
  <c r="C2105" i="19" l="1"/>
  <c r="O53" i="24"/>
  <c r="P53" i="24" s="1"/>
  <c r="O34" i="24"/>
  <c r="P34" i="24" s="1"/>
  <c r="M27" i="24"/>
  <c r="O27" i="24" s="1"/>
  <c r="P27" i="24" s="1"/>
  <c r="O51" i="24"/>
  <c r="P51" i="24" s="1"/>
  <c r="O50" i="24"/>
  <c r="O49" i="24"/>
  <c r="P49" i="24" s="1"/>
  <c r="O48" i="24"/>
  <c r="P48" i="24" s="1"/>
  <c r="O47" i="24"/>
  <c r="P47" i="24" s="1"/>
  <c r="O46" i="24"/>
  <c r="P46" i="24" s="1"/>
  <c r="O45" i="24"/>
  <c r="P45" i="24" s="1"/>
  <c r="O44" i="24"/>
  <c r="P44" i="24" s="1"/>
  <c r="O43" i="24"/>
  <c r="P43" i="24" s="1"/>
  <c r="O40" i="24"/>
  <c r="P40" i="24" s="1"/>
  <c r="O39" i="24"/>
  <c r="P39" i="24" s="1"/>
  <c r="O38" i="24"/>
  <c r="P38" i="24" s="1"/>
  <c r="O37" i="24"/>
  <c r="P37" i="24" s="1"/>
  <c r="O33" i="24"/>
  <c r="P33" i="24" s="1"/>
  <c r="O28" i="24"/>
  <c r="P28" i="24" s="1"/>
  <c r="O24" i="24"/>
  <c r="O23" i="24"/>
  <c r="O22" i="24"/>
  <c r="O21" i="24"/>
  <c r="O20" i="24"/>
  <c r="P20" i="24" s="1"/>
  <c r="O19" i="24"/>
  <c r="O18" i="24"/>
  <c r="P18" i="24" s="1"/>
  <c r="O16" i="24"/>
  <c r="O11" i="24"/>
  <c r="O10" i="24"/>
  <c r="P10" i="24" s="1"/>
  <c r="L64" i="12"/>
  <c r="L65" i="12"/>
  <c r="M65" i="12" s="1"/>
  <c r="L63" i="12"/>
  <c r="L62" i="12"/>
  <c r="M63" i="12"/>
  <c r="M62" i="12"/>
  <c r="J13" i="24"/>
  <c r="O13" i="24" s="1"/>
  <c r="P13" i="24" s="1"/>
  <c r="J17" i="24"/>
  <c r="O17" i="24" s="1"/>
  <c r="P17" i="24" s="1"/>
  <c r="C2106" i="19" l="1"/>
  <c r="B2105" i="19"/>
  <c r="O41" i="24"/>
  <c r="P41" i="24" s="1"/>
  <c r="K53" i="24"/>
  <c r="K52" i="24"/>
  <c r="K47" i="24"/>
  <c r="K45" i="24"/>
  <c r="K34" i="24"/>
  <c r="B2106" i="19" l="1"/>
  <c r="J66" i="12"/>
  <c r="H64" i="12"/>
  <c r="L54" i="12"/>
  <c r="M54" i="12" s="1"/>
  <c r="L53" i="12"/>
  <c r="M53" i="12" s="1"/>
  <c r="L52" i="12"/>
  <c r="M52" i="12" s="1"/>
  <c r="L51" i="12"/>
  <c r="M51" i="12" s="1"/>
  <c r="L50" i="12"/>
  <c r="M50" i="12" s="1"/>
  <c r="L49" i="12"/>
  <c r="M49" i="12" s="1"/>
  <c r="L48" i="12"/>
  <c r="M48" i="12" s="1"/>
  <c r="L47" i="12"/>
  <c r="M47" i="12" s="1"/>
  <c r="L46" i="12"/>
  <c r="M46" i="12" s="1"/>
  <c r="L45" i="12"/>
  <c r="M45" i="12" s="1"/>
  <c r="L44" i="12"/>
  <c r="L43" i="12"/>
  <c r="M43" i="12" s="1"/>
  <c r="L42" i="12"/>
  <c r="M42" i="12" s="1"/>
  <c r="L41" i="12"/>
  <c r="M41" i="12" s="1"/>
  <c r="L40" i="12"/>
  <c r="M40" i="12" s="1"/>
  <c r="L39" i="12"/>
  <c r="M39" i="12" s="1"/>
  <c r="L38" i="12"/>
  <c r="M38" i="12" s="1"/>
  <c r="L37" i="12"/>
  <c r="M37" i="12" s="1"/>
  <c r="L36" i="12"/>
  <c r="M36" i="12" s="1"/>
  <c r="L33" i="12"/>
  <c r="M33" i="12" s="1"/>
  <c r="L32" i="12"/>
  <c r="M32" i="12" s="1"/>
  <c r="L28" i="12"/>
  <c r="M28" i="12" s="1"/>
  <c r="L25" i="12"/>
  <c r="M25" i="12" s="1"/>
  <c r="L24" i="12"/>
  <c r="M24" i="12" s="1"/>
  <c r="L23" i="12"/>
  <c r="M23" i="12" s="1"/>
  <c r="L22" i="12"/>
  <c r="M22" i="12" s="1"/>
  <c r="L21" i="12"/>
  <c r="M21" i="12" s="1"/>
  <c r="L20" i="12"/>
  <c r="M20" i="12" s="1"/>
  <c r="L19" i="12"/>
  <c r="L17" i="12"/>
  <c r="M17" i="12" s="1"/>
  <c r="L15" i="12"/>
  <c r="M15" i="12" s="1"/>
  <c r="L13" i="12"/>
  <c r="L12" i="12"/>
  <c r="M12" i="12" s="1"/>
  <c r="L11" i="12"/>
  <c r="L10" i="12"/>
  <c r="M10" i="12" s="1"/>
  <c r="L9" i="12"/>
  <c r="M9" i="12" s="1"/>
  <c r="H52" i="12"/>
  <c r="H49" i="12"/>
  <c r="H46" i="12"/>
  <c r="H45" i="12"/>
  <c r="H40" i="12"/>
  <c r="H19" i="12"/>
  <c r="H12" i="12"/>
  <c r="J62" i="5"/>
  <c r="J53" i="5"/>
  <c r="B2107" i="19" l="1"/>
  <c r="H66" i="12"/>
  <c r="H65" i="12"/>
  <c r="H67" i="12"/>
  <c r="H53" i="12"/>
  <c r="H51" i="12"/>
  <c r="H48" i="12"/>
  <c r="H47" i="12"/>
  <c r="H35" i="12"/>
  <c r="H56" i="12" s="1"/>
  <c r="H34" i="12"/>
  <c r="H24" i="12"/>
  <c r="H27" i="12"/>
  <c r="H29" i="12" s="1"/>
  <c r="J57" i="5"/>
  <c r="J50" i="5"/>
  <c r="J24" i="5"/>
  <c r="J17" i="5"/>
  <c r="L8" i="5"/>
  <c r="K70" i="3"/>
  <c r="L70" i="3" s="1"/>
  <c r="I60" i="3"/>
  <c r="K60" i="3" s="1"/>
  <c r="G98" i="15" s="1"/>
  <c r="I56" i="3"/>
  <c r="B2108" i="19" l="1"/>
  <c r="C2109" i="19"/>
  <c r="J26" i="5"/>
  <c r="J36" i="5" s="1"/>
  <c r="H58" i="12"/>
  <c r="H69" i="12" s="1"/>
  <c r="J59" i="5"/>
  <c r="J24" i="3"/>
  <c r="C37" i="6"/>
  <c r="G6" i="6"/>
  <c r="H9" i="3" s="1"/>
  <c r="C2061" i="19"/>
  <c r="B2061" i="19" s="1"/>
  <c r="H72" i="12" l="1"/>
  <c r="G71" i="12" s="1"/>
  <c r="J64" i="5"/>
  <c r="J65" i="5" s="1"/>
  <c r="J67" i="5" s="1"/>
  <c r="B2109" i="19"/>
  <c r="C2110" i="19"/>
  <c r="J70" i="5"/>
  <c r="C2063" i="19"/>
  <c r="B2062" i="19"/>
  <c r="K56" i="3"/>
  <c r="G94" i="15" s="1"/>
  <c r="K52" i="3"/>
  <c r="G90" i="15" s="1"/>
  <c r="F90" i="15" s="1"/>
  <c r="B2110" i="19" l="1"/>
  <c r="B2063" i="19"/>
  <c r="G28" i="6"/>
  <c r="I19" i="32"/>
  <c r="I15" i="32"/>
  <c r="B2111" i="19" l="1"/>
  <c r="C2112" i="19"/>
  <c r="B2064" i="19"/>
  <c r="C2065" i="19"/>
  <c r="I48" i="32"/>
  <c r="I44" i="32"/>
  <c r="I41" i="32"/>
  <c r="I24" i="32"/>
  <c r="I21" i="32"/>
  <c r="G48" i="32"/>
  <c r="G44" i="32"/>
  <c r="G11" i="32"/>
  <c r="B2112" i="19" l="1"/>
  <c r="C2113" i="19"/>
  <c r="B2065" i="19"/>
  <c r="G49" i="32"/>
  <c r="I25" i="32"/>
  <c r="G25" i="32"/>
  <c r="O35" i="24"/>
  <c r="P35" i="24" s="1"/>
  <c r="B2113" i="19" l="1"/>
  <c r="B2066" i="19"/>
  <c r="G51" i="32"/>
  <c r="G56" i="32" s="1"/>
  <c r="I49" i="32"/>
  <c r="I51" i="32" s="1"/>
  <c r="I56" i="32" s="1"/>
  <c r="B2114" i="19" l="1"/>
  <c r="B2067" i="19"/>
  <c r="K74" i="3"/>
  <c r="B2115" i="19" l="1"/>
  <c r="C2116" i="19"/>
  <c r="C2069" i="19"/>
  <c r="B2068" i="19"/>
  <c r="J9" i="3"/>
  <c r="G17" i="31"/>
  <c r="G10" i="31"/>
  <c r="B2116" i="19" l="1"/>
  <c r="B2069" i="19"/>
  <c r="C1971" i="19"/>
  <c r="B1971" i="19" s="1"/>
  <c r="B1970" i="19"/>
  <c r="B2117" i="19" l="1"/>
  <c r="B2070" i="19"/>
  <c r="C1972" i="19"/>
  <c r="B1972" i="19" s="1"/>
  <c r="B1973" i="19"/>
  <c r="B2118" i="19" l="1"/>
  <c r="B2071" i="19"/>
  <c r="B1974" i="19"/>
  <c r="B2119" i="19" l="1"/>
  <c r="B2072" i="19"/>
  <c r="B1975" i="19"/>
  <c r="B2120" i="19" l="1"/>
  <c r="B2073" i="19"/>
  <c r="B1976" i="19"/>
  <c r="B2121" i="19" l="1"/>
  <c r="C2075" i="19"/>
  <c r="B2074" i="19"/>
  <c r="B1977" i="19"/>
  <c r="C2123" i="19" l="1"/>
  <c r="B2122" i="19"/>
  <c r="B2075" i="19"/>
  <c r="B1978" i="19"/>
  <c r="B2123" i="19" l="1"/>
  <c r="B2076" i="19"/>
  <c r="C2077" i="19"/>
  <c r="B1979" i="19"/>
  <c r="B2124" i="19" l="1"/>
  <c r="B2077" i="19"/>
  <c r="B1980" i="19"/>
  <c r="B2125" i="19" l="1"/>
  <c r="C2079" i="19"/>
  <c r="B2078" i="19"/>
  <c r="B1981" i="19"/>
  <c r="B2126" i="19" l="1"/>
  <c r="B2079" i="19"/>
  <c r="B1982" i="19"/>
  <c r="B2127" i="19" l="1"/>
  <c r="C2128" i="19"/>
  <c r="C2081" i="19"/>
  <c r="B2080" i="19"/>
  <c r="B1983" i="19"/>
  <c r="B2128" i="19" l="1"/>
  <c r="C2129" i="19"/>
  <c r="B2081" i="19"/>
  <c r="B1984" i="19"/>
  <c r="B2129" i="19" l="1"/>
  <c r="C2083" i="19"/>
  <c r="B2082" i="19"/>
  <c r="B1985" i="19"/>
  <c r="B2130" i="19" l="1"/>
  <c r="B2083" i="19"/>
  <c r="B1986" i="19"/>
  <c r="C1987" i="19"/>
  <c r="B2131" i="19" l="1"/>
  <c r="B2084" i="19"/>
  <c r="C2085" i="19"/>
  <c r="B1987" i="19"/>
  <c r="B2132" i="19" l="1"/>
  <c r="B2085" i="19"/>
  <c r="B1988" i="19"/>
  <c r="B2133" i="19" l="1"/>
  <c r="B2086" i="19"/>
  <c r="B1989" i="19"/>
  <c r="C2135" i="19" l="1"/>
  <c r="B2134" i="19"/>
  <c r="B2087" i="19"/>
  <c r="B1990" i="19"/>
  <c r="B2135" i="19" l="1"/>
  <c r="B2088" i="19"/>
  <c r="C1992" i="19"/>
  <c r="B1991" i="19"/>
  <c r="B2136" i="19" l="1"/>
  <c r="C2137" i="19"/>
  <c r="B2089" i="19"/>
  <c r="B1992" i="19"/>
  <c r="B2137" i="19" l="1"/>
  <c r="B2090" i="19"/>
  <c r="B1993" i="19"/>
  <c r="B2138" i="19" l="1"/>
  <c r="B2091" i="19"/>
  <c r="B1994" i="19"/>
  <c r="B2139" i="19" l="1"/>
  <c r="B2092" i="19"/>
  <c r="B1995" i="19"/>
  <c r="C1996" i="19"/>
  <c r="B2140" i="19" l="1"/>
  <c r="C2141" i="19"/>
  <c r="B2093" i="19"/>
  <c r="C1997" i="19"/>
  <c r="B1996" i="19"/>
  <c r="B2141" i="19" l="1"/>
  <c r="B2094" i="19"/>
  <c r="C1998" i="19"/>
  <c r="B1997" i="19"/>
  <c r="C2143" i="19" l="1"/>
  <c r="B2142" i="19"/>
  <c r="B2095" i="19"/>
  <c r="B1998" i="19"/>
  <c r="B2143" i="19" l="1"/>
  <c r="B2096" i="19"/>
  <c r="B1999" i="19"/>
  <c r="B2144" i="19" l="1"/>
  <c r="B2097" i="19"/>
  <c r="B2000" i="19"/>
  <c r="B2145" i="19" l="1"/>
  <c r="C2099" i="19"/>
  <c r="B2098" i="19"/>
  <c r="B2001" i="19"/>
  <c r="C2002" i="19"/>
  <c r="C2147" i="19" l="1"/>
  <c r="B2146" i="19"/>
  <c r="B2099" i="19"/>
  <c r="B2002" i="19"/>
  <c r="B2147" i="19" l="1"/>
  <c r="C2148" i="19"/>
  <c r="B2148" i="19" s="1"/>
  <c r="B2100" i="19"/>
  <c r="B2003" i="19"/>
  <c r="B2101" i="19" l="1"/>
  <c r="B2004" i="19"/>
  <c r="B2103" i="19" l="1"/>
  <c r="B2102" i="19"/>
  <c r="C2006" i="19"/>
  <c r="B2005" i="19"/>
  <c r="B2006" i="19" l="1"/>
  <c r="B2007" i="19" l="1"/>
  <c r="B2008" i="19" l="1"/>
  <c r="B2009" i="19" l="1"/>
  <c r="C2010" i="19"/>
  <c r="C2011" i="19" l="1"/>
  <c r="B2010" i="19"/>
  <c r="B2011" i="19" l="1"/>
  <c r="B2012" i="19" l="1"/>
  <c r="B2013" i="19" l="1"/>
  <c r="B2014" i="19" l="1"/>
  <c r="B2015" i="19" l="1"/>
  <c r="C2017" i="19"/>
  <c r="C2018" i="19" l="1"/>
  <c r="B2017" i="19"/>
  <c r="B2016" i="19"/>
  <c r="C2019" i="19" l="1"/>
  <c r="B2018" i="19"/>
  <c r="L66" i="12"/>
  <c r="M66" i="12" s="1"/>
  <c r="I57" i="3"/>
  <c r="K54" i="3"/>
  <c r="K62" i="3" s="1"/>
  <c r="G67" i="12" l="1"/>
  <c r="B2019" i="19"/>
  <c r="G29" i="6"/>
  <c r="H15" i="3" s="1"/>
  <c r="B2020" i="19" l="1"/>
  <c r="J15" i="3"/>
  <c r="G15" i="3"/>
  <c r="G14" i="31"/>
  <c r="G21" i="31" s="1"/>
  <c r="B2021" i="19" l="1"/>
  <c r="C2022" i="19"/>
  <c r="G23" i="31"/>
  <c r="O57" i="30"/>
  <c r="O56" i="30"/>
  <c r="C2023" i="19" l="1"/>
  <c r="B2022" i="19"/>
  <c r="O42" i="30"/>
  <c r="O43" i="30"/>
  <c r="B2023" i="19" l="1"/>
  <c r="K34" i="30"/>
  <c r="K51" i="30"/>
  <c r="K56" i="30" s="1"/>
  <c r="K45" i="30"/>
  <c r="M45" i="30" s="1"/>
  <c r="K47" i="30"/>
  <c r="M47" i="30"/>
  <c r="K50" i="30"/>
  <c r="M50" i="30" s="1"/>
  <c r="M49" i="30"/>
  <c r="M48" i="30"/>
  <c r="M39" i="30"/>
  <c r="M38" i="30"/>
  <c r="M36" i="30"/>
  <c r="M35" i="30"/>
  <c r="K40" i="30"/>
  <c r="M40" i="30" s="1"/>
  <c r="K42" i="30"/>
  <c r="K43" i="30"/>
  <c r="M37" i="30"/>
  <c r="K33" i="30"/>
  <c r="K32" i="30"/>
  <c r="M32" i="30" s="1"/>
  <c r="B2024" i="19" l="1"/>
  <c r="M27" i="30"/>
  <c r="M23" i="30"/>
  <c r="M22" i="30"/>
  <c r="M21" i="30"/>
  <c r="M18" i="30"/>
  <c r="M16" i="30"/>
  <c r="K11" i="30"/>
  <c r="M11" i="30" s="1"/>
  <c r="B2025" i="19" l="1"/>
  <c r="M57" i="30"/>
  <c r="K57" i="30"/>
  <c r="J57" i="30"/>
  <c r="J52" i="30"/>
  <c r="J51" i="30"/>
  <c r="J46" i="30"/>
  <c r="J44" i="30"/>
  <c r="J43" i="30"/>
  <c r="J33" i="30"/>
  <c r="J26" i="30"/>
  <c r="J24" i="30"/>
  <c r="J20" i="30"/>
  <c r="J19" i="30"/>
  <c r="J17" i="30"/>
  <c r="J13" i="30"/>
  <c r="J10" i="30"/>
  <c r="M10" i="30" s="1"/>
  <c r="F111" i="15"/>
  <c r="G111" i="15" s="1"/>
  <c r="B1925" i="19"/>
  <c r="B2026" i="19" l="1"/>
  <c r="J56" i="30"/>
  <c r="M51" i="30"/>
  <c r="J41" i="30"/>
  <c r="K24" i="30"/>
  <c r="M24" i="30" s="1"/>
  <c r="O24" i="30" s="1"/>
  <c r="O25" i="30" s="1"/>
  <c r="O28" i="30" s="1"/>
  <c r="M43" i="30"/>
  <c r="K20" i="30"/>
  <c r="M20" i="30" s="1"/>
  <c r="M44" i="30"/>
  <c r="M52" i="30"/>
  <c r="J34" i="30"/>
  <c r="M34" i="30" s="1"/>
  <c r="M33" i="30"/>
  <c r="K26" i="30"/>
  <c r="M26" i="30" s="1"/>
  <c r="M46" i="30"/>
  <c r="K19" i="30"/>
  <c r="M19" i="30" s="1"/>
  <c r="K17" i="30"/>
  <c r="M17" i="30" s="1"/>
  <c r="K13" i="30"/>
  <c r="M13" i="30" s="1"/>
  <c r="J42" i="30"/>
  <c r="C1926" i="19"/>
  <c r="B2027" i="19" l="1"/>
  <c r="K41" i="30"/>
  <c r="K53" i="30" s="1"/>
  <c r="M42" i="30"/>
  <c r="M56" i="30"/>
  <c r="J53" i="30"/>
  <c r="B1926" i="19"/>
  <c r="B2028" i="19" l="1"/>
  <c r="M41" i="30"/>
  <c r="O41" i="30" s="1"/>
  <c r="O53" i="30" s="1"/>
  <c r="O54" i="30" s="1"/>
  <c r="O58" i="30" s="1"/>
  <c r="B1927" i="19"/>
  <c r="B2029" i="19" l="1"/>
  <c r="M53" i="30"/>
  <c r="B1928" i="19"/>
  <c r="C1929" i="19"/>
  <c r="B2030" i="19" l="1"/>
  <c r="B1929" i="19"/>
  <c r="B2031" i="19" l="1"/>
  <c r="B1930" i="19"/>
  <c r="C1931" i="19"/>
  <c r="B2032" i="19" l="1"/>
  <c r="C1932" i="19"/>
  <c r="B1931" i="19"/>
  <c r="B2033" i="19" l="1"/>
  <c r="B1932" i="19"/>
  <c r="C1933" i="19"/>
  <c r="B2034" i="19" l="1"/>
  <c r="B1933" i="19"/>
  <c r="B2035" i="19" l="1"/>
  <c r="B1934" i="19"/>
  <c r="B2036" i="19" l="1"/>
  <c r="C2037" i="19"/>
  <c r="B1935" i="19"/>
  <c r="C1936" i="19"/>
  <c r="B2037" i="19" l="1"/>
  <c r="B1936" i="19"/>
  <c r="C1937" i="19"/>
  <c r="B2038" i="19" l="1"/>
  <c r="B1937" i="19"/>
  <c r="C2040" i="19" l="1"/>
  <c r="B2039" i="19"/>
  <c r="C1939" i="19"/>
  <c r="B1938" i="19"/>
  <c r="B2040" i="19" l="1"/>
  <c r="C2041" i="19"/>
  <c r="B1939" i="19"/>
  <c r="B2041" i="19" l="1"/>
  <c r="C2042" i="19"/>
  <c r="B1940" i="19"/>
  <c r="B2042" i="19" l="1"/>
  <c r="C2043" i="19"/>
  <c r="B1941" i="19"/>
  <c r="C2044" i="19" l="1"/>
  <c r="B2043" i="19"/>
  <c r="B1942" i="19"/>
  <c r="C1943" i="19"/>
  <c r="B2044" i="19" l="1"/>
  <c r="B1943" i="19"/>
  <c r="B2045" i="19" l="1"/>
  <c r="C2046" i="19"/>
  <c r="B1944" i="19"/>
  <c r="C1945" i="19"/>
  <c r="B2046" i="19" l="1"/>
  <c r="B1945" i="19"/>
  <c r="B2047" i="19" l="1"/>
  <c r="C1947" i="19"/>
  <c r="B1946" i="19"/>
  <c r="B2048" i="19" l="1"/>
  <c r="B1947" i="19"/>
  <c r="C2050" i="19" l="1"/>
  <c r="B2049" i="19"/>
  <c r="B1948" i="19"/>
  <c r="B2050" i="19" l="1"/>
  <c r="B1949" i="19"/>
  <c r="B2051" i="19" l="1"/>
  <c r="B1950" i="19"/>
  <c r="B2052" i="19" l="1"/>
  <c r="C1952" i="19"/>
  <c r="B1951" i="19"/>
  <c r="B2053" i="19" l="1"/>
  <c r="B1952" i="19"/>
  <c r="B2054" i="19" l="1"/>
  <c r="C2055" i="19"/>
  <c r="B1953" i="19"/>
  <c r="B2055" i="19" l="1"/>
  <c r="C2056" i="19"/>
  <c r="B1954" i="19"/>
  <c r="B2056" i="19" l="1"/>
  <c r="C1956" i="19"/>
  <c r="B1955" i="19"/>
  <c r="B2057" i="19" l="1"/>
  <c r="B1956" i="19"/>
  <c r="C1957" i="19"/>
  <c r="C2059" i="19" l="1"/>
  <c r="B2058" i="19"/>
  <c r="B1957" i="19"/>
  <c r="B2060" i="19" l="1"/>
  <c r="B2059" i="19"/>
  <c r="C1959" i="19"/>
  <c r="B1958" i="19"/>
  <c r="B1959" i="19" l="1"/>
  <c r="B1960" i="19" l="1"/>
  <c r="B1961" i="19" l="1"/>
  <c r="B1962" i="19" l="1"/>
  <c r="B1963" i="19" l="1"/>
  <c r="B1964" i="19" l="1"/>
  <c r="C1965" i="19"/>
  <c r="B1965" i="19" l="1"/>
  <c r="B1966" i="19" l="1"/>
  <c r="B1967" i="19" l="1"/>
  <c r="B1968" i="19" l="1"/>
  <c r="B1969" i="19"/>
  <c r="M9" i="24" l="1"/>
  <c r="M68" i="24" s="1"/>
  <c r="J52" i="24"/>
  <c r="O52" i="24" l="1"/>
  <c r="P52" i="24" s="1"/>
  <c r="O57" i="24"/>
  <c r="C49" i="6"/>
  <c r="K116" i="29" l="1"/>
  <c r="G116" i="29"/>
  <c r="K114" i="29"/>
  <c r="J114" i="29"/>
  <c r="I114" i="29"/>
  <c r="H114" i="29"/>
  <c r="G114" i="29"/>
  <c r="K109" i="29"/>
  <c r="K100" i="29"/>
  <c r="J100" i="29"/>
  <c r="I100" i="29"/>
  <c r="H100" i="29"/>
  <c r="K96" i="29"/>
  <c r="H96" i="29"/>
  <c r="H101" i="29" s="1"/>
  <c r="J87" i="29"/>
  <c r="J109" i="29" s="1"/>
  <c r="I87" i="29"/>
  <c r="I109" i="29" s="1"/>
  <c r="H87" i="29"/>
  <c r="H109" i="29" s="1"/>
  <c r="K85" i="29"/>
  <c r="J85" i="29"/>
  <c r="I85" i="29"/>
  <c r="H85" i="29"/>
  <c r="K78" i="29"/>
  <c r="K79" i="29" s="1"/>
  <c r="J78" i="29"/>
  <c r="K74" i="29"/>
  <c r="J74" i="29"/>
  <c r="J96" i="29" s="1"/>
  <c r="I74" i="29"/>
  <c r="I79" i="29" s="1"/>
  <c r="H74" i="29"/>
  <c r="H79" i="29" s="1"/>
  <c r="K71" i="29"/>
  <c r="J71" i="29"/>
  <c r="I71" i="29"/>
  <c r="H71" i="29"/>
  <c r="K70" i="29"/>
  <c r="K69" i="29"/>
  <c r="J67" i="29"/>
  <c r="I67" i="29"/>
  <c r="H67" i="29"/>
  <c r="K66" i="29"/>
  <c r="K65" i="29"/>
  <c r="K67" i="29" s="1"/>
  <c r="K60" i="29"/>
  <c r="J60" i="29"/>
  <c r="H60" i="29"/>
  <c r="K50" i="29"/>
  <c r="G50" i="29"/>
  <c r="H49" i="29"/>
  <c r="G46" i="29"/>
  <c r="K45" i="29"/>
  <c r="J45" i="29"/>
  <c r="H45" i="29"/>
  <c r="J40" i="29"/>
  <c r="H40" i="29"/>
  <c r="J39" i="29"/>
  <c r="J38" i="29"/>
  <c r="H38" i="29"/>
  <c r="K37" i="29"/>
  <c r="K36" i="29"/>
  <c r="K76" i="29" s="1"/>
  <c r="K98" i="29" s="1"/>
  <c r="J36" i="29"/>
  <c r="J107" i="29" s="1"/>
  <c r="I36" i="29"/>
  <c r="I107" i="29" s="1"/>
  <c r="H36" i="29"/>
  <c r="H107" i="29" s="1"/>
  <c r="G36" i="29"/>
  <c r="J35" i="29"/>
  <c r="J50" i="29" s="1"/>
  <c r="I35" i="29"/>
  <c r="I50" i="29" s="1"/>
  <c r="H35" i="29"/>
  <c r="H50" i="29" s="1"/>
  <c r="K29" i="29"/>
  <c r="J28" i="29"/>
  <c r="J29" i="29" s="1"/>
  <c r="I28" i="29"/>
  <c r="H28" i="29"/>
  <c r="K19" i="29"/>
  <c r="J18" i="29"/>
  <c r="J21" i="29" s="1"/>
  <c r="H18" i="29"/>
  <c r="H21" i="29" s="1"/>
  <c r="G16" i="29"/>
  <c r="K15" i="29"/>
  <c r="K18" i="29" s="1"/>
  <c r="G15" i="29"/>
  <c r="I12" i="29"/>
  <c r="I8" i="29"/>
  <c r="I60" i="29" s="1"/>
  <c r="G8" i="29"/>
  <c r="G115" i="29" l="1"/>
  <c r="I18" i="29"/>
  <c r="I21" i="29" s="1"/>
  <c r="K21" i="29"/>
  <c r="J101" i="29"/>
  <c r="K107" i="29"/>
  <c r="I96" i="29"/>
  <c r="I101" i="29" s="1"/>
  <c r="I46" i="29"/>
  <c r="I54" i="29" s="1"/>
  <c r="G18" i="29"/>
  <c r="G21" i="29" s="1"/>
  <c r="G47" i="29" s="1"/>
  <c r="G51" i="29" s="1"/>
  <c r="K101" i="29"/>
  <c r="J46" i="29"/>
  <c r="J47" i="29" s="1"/>
  <c r="J51" i="29" s="1"/>
  <c r="K46" i="29"/>
  <c r="K57" i="29" s="1"/>
  <c r="J79" i="29"/>
  <c r="J63" i="29"/>
  <c r="J57" i="29"/>
  <c r="J54" i="29"/>
  <c r="H23" i="29"/>
  <c r="K115" i="29"/>
  <c r="K54" i="29"/>
  <c r="K47" i="29"/>
  <c r="K51" i="29" s="1"/>
  <c r="G57" i="29"/>
  <c r="H76" i="29"/>
  <c r="H98" i="29" s="1"/>
  <c r="H116" i="29"/>
  <c r="H46" i="29"/>
  <c r="H47" i="29" s="1"/>
  <c r="H51" i="29" s="1"/>
  <c r="I76" i="29"/>
  <c r="I98" i="29" s="1"/>
  <c r="I116" i="29"/>
  <c r="G54" i="29"/>
  <c r="J76" i="29"/>
  <c r="J98" i="29" s="1"/>
  <c r="J116" i="29"/>
  <c r="J115" i="29" s="1"/>
  <c r="I75" i="29" l="1"/>
  <c r="I84" i="29" s="1"/>
  <c r="K63" i="29"/>
  <c r="I47" i="29"/>
  <c r="I51" i="29" s="1"/>
  <c r="I63" i="29"/>
  <c r="J75" i="29"/>
  <c r="J80" i="29" s="1"/>
  <c r="I57" i="29"/>
  <c r="I115" i="29"/>
  <c r="K75" i="29"/>
  <c r="K97" i="29" s="1"/>
  <c r="H115" i="29"/>
  <c r="H54" i="29"/>
  <c r="H63" i="29"/>
  <c r="H57" i="29"/>
  <c r="H75" i="29"/>
  <c r="K77" i="29" l="1"/>
  <c r="J77" i="29"/>
  <c r="I97" i="29"/>
  <c r="I106" i="29" s="1"/>
  <c r="K80" i="29"/>
  <c r="I77" i="29"/>
  <c r="J84" i="29"/>
  <c r="I80" i="29"/>
  <c r="J97" i="29"/>
  <c r="J106" i="29" s="1"/>
  <c r="K84" i="29"/>
  <c r="I99" i="29"/>
  <c r="I83" i="29"/>
  <c r="K106" i="29"/>
  <c r="K102" i="29"/>
  <c r="K99" i="29"/>
  <c r="J83" i="29"/>
  <c r="H97" i="29"/>
  <c r="H77" i="29"/>
  <c r="H84" i="29"/>
  <c r="H80" i="29"/>
  <c r="K83" i="29"/>
  <c r="J99" i="29" l="1"/>
  <c r="J102" i="29"/>
  <c r="I102" i="29"/>
  <c r="H106" i="29"/>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A4" i="24" l="1"/>
  <c r="K9" i="24"/>
  <c r="K68" i="24" s="1"/>
  <c r="B1883" i="19" l="1"/>
  <c r="B1882" i="19"/>
  <c r="M15" i="24"/>
  <c r="B1884" i="19" l="1"/>
  <c r="C1885" i="19"/>
  <c r="B1885" i="19" l="1"/>
  <c r="J71" i="12"/>
  <c r="B1886" i="19" l="1"/>
  <c r="B1887" i="19" l="1"/>
  <c r="F110" i="15"/>
  <c r="D106" i="15"/>
  <c r="G74" i="15"/>
  <c r="B1888" i="19" l="1"/>
  <c r="C1850" i="19"/>
  <c r="C1856" i="19" s="1"/>
  <c r="C1857" i="19" s="1"/>
  <c r="C1862" i="19" s="1"/>
  <c r="C1875" i="19" s="1"/>
  <c r="C1877" i="19" s="1"/>
  <c r="B1881" i="19" s="1"/>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7" i="12"/>
  <c r="C1891" i="19" l="1"/>
  <c r="B1890" i="19"/>
  <c r="J57" i="3"/>
  <c r="B1891" i="19" l="1"/>
  <c r="E100" i="15"/>
  <c r="G110" i="15"/>
  <c r="B1892" i="19" l="1"/>
  <c r="B1893" i="19" l="1"/>
  <c r="B1894" i="19" l="1"/>
  <c r="G18" i="12"/>
  <c r="G27" i="12" l="1"/>
  <c r="L18" i="12"/>
  <c r="M18" i="12" s="1"/>
  <c r="J15" i="30"/>
  <c r="M15" i="30" s="1"/>
  <c r="B1895" i="19"/>
  <c r="G46" i="6"/>
  <c r="G29" i="12" l="1"/>
  <c r="P29" i="12" s="1"/>
  <c r="B1896" i="19"/>
  <c r="K117" i="28"/>
  <c r="J117" i="28"/>
  <c r="G117" i="28"/>
  <c r="K115" i="28"/>
  <c r="J115" i="28"/>
  <c r="I115" i="28"/>
  <c r="H115" i="28"/>
  <c r="G115" i="28"/>
  <c r="K110" i="28"/>
  <c r="I110" i="28"/>
  <c r="J108" i="28"/>
  <c r="I108" i="28"/>
  <c r="K101" i="28"/>
  <c r="J101" i="28"/>
  <c r="I101" i="28"/>
  <c r="H101" i="28"/>
  <c r="J88" i="28"/>
  <c r="J110" i="28" s="1"/>
  <c r="I88" i="28"/>
  <c r="H88" i="28"/>
  <c r="H110" i="28" s="1"/>
  <c r="I86" i="28"/>
  <c r="H86" i="28"/>
  <c r="K80" i="28"/>
  <c r="K79" i="28"/>
  <c r="J79" i="28"/>
  <c r="J77" i="28"/>
  <c r="J99" i="28" s="1"/>
  <c r="K75" i="28"/>
  <c r="K97" i="28" s="1"/>
  <c r="J75" i="28"/>
  <c r="J97" i="28" s="1"/>
  <c r="I75" i="28"/>
  <c r="I97" i="28" s="1"/>
  <c r="I102" i="28" s="1"/>
  <c r="H75" i="28"/>
  <c r="H80" i="28" s="1"/>
  <c r="J72" i="28"/>
  <c r="I72" i="28"/>
  <c r="H72" i="28"/>
  <c r="K71" i="28"/>
  <c r="K70" i="28"/>
  <c r="J68" i="28"/>
  <c r="I68" i="28"/>
  <c r="H68" i="28"/>
  <c r="K67" i="28"/>
  <c r="K66" i="28"/>
  <c r="J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K29" i="28"/>
  <c r="J29" i="28"/>
  <c r="J30" i="28" s="1"/>
  <c r="I29" i="28"/>
  <c r="H29" i="28"/>
  <c r="K20" i="28"/>
  <c r="J19" i="28"/>
  <c r="J22" i="28" s="1"/>
  <c r="H19" i="28"/>
  <c r="H22" i="28" s="1"/>
  <c r="H24" i="28" s="1"/>
  <c r="G17" i="28"/>
  <c r="G19" i="28" s="1"/>
  <c r="G22" i="28" s="1"/>
  <c r="G48" i="28" s="1"/>
  <c r="G52" i="28" s="1"/>
  <c r="G16" i="28"/>
  <c r="I13" i="28"/>
  <c r="K11" i="28"/>
  <c r="K9" i="28"/>
  <c r="K61" i="28" s="1"/>
  <c r="I9" i="28"/>
  <c r="I19" i="28" s="1"/>
  <c r="I22" i="28" s="1"/>
  <c r="G9" i="28"/>
  <c r="A3" i="28"/>
  <c r="I80" i="28" l="1"/>
  <c r="I61" i="28"/>
  <c r="K72" i="28"/>
  <c r="H97" i="28"/>
  <c r="H102" i="28" s="1"/>
  <c r="K86" i="28"/>
  <c r="J47" i="28"/>
  <c r="J116" i="28" s="1"/>
  <c r="H47" i="28"/>
  <c r="H64" i="28" s="1"/>
  <c r="K68" i="28"/>
  <c r="K19" i="28"/>
  <c r="K22" i="28" s="1"/>
  <c r="K77" i="28"/>
  <c r="K99" i="28" s="1"/>
  <c r="I47" i="28"/>
  <c r="I55" i="28" s="1"/>
  <c r="B1897" i="19"/>
  <c r="G116" i="28"/>
  <c r="G58" i="28"/>
  <c r="G55" i="28"/>
  <c r="J102" i="28"/>
  <c r="I64" i="28"/>
  <c r="I58" i="28"/>
  <c r="I76" i="28"/>
  <c r="I116" i="28"/>
  <c r="J64" i="28"/>
  <c r="J58" i="28"/>
  <c r="I48" i="28"/>
  <c r="I52" i="28" s="1"/>
  <c r="K102" i="28"/>
  <c r="I51" i="28"/>
  <c r="J80" i="28"/>
  <c r="H77" i="28"/>
  <c r="H99" i="28" s="1"/>
  <c r="H117" i="28"/>
  <c r="K30" i="28"/>
  <c r="K47" i="28" s="1"/>
  <c r="I77" i="28"/>
  <c r="I99" i="28" s="1"/>
  <c r="J55" i="28" l="1"/>
  <c r="J76" i="28"/>
  <c r="J78" i="28" s="1"/>
  <c r="H55" i="28"/>
  <c r="J48" i="28"/>
  <c r="J52" i="28" s="1"/>
  <c r="H116" i="28"/>
  <c r="H48" i="28"/>
  <c r="H52" i="28" s="1"/>
  <c r="H58" i="28"/>
  <c r="C1899" i="19"/>
  <c r="B1898" i="19"/>
  <c r="K76" i="28"/>
  <c r="K116" i="28"/>
  <c r="K55" i="28"/>
  <c r="K64" i="28"/>
  <c r="K58" i="28"/>
  <c r="K48" i="28"/>
  <c r="K52" i="28" s="1"/>
  <c r="I81" i="28"/>
  <c r="I85" i="28"/>
  <c r="I78" i="28"/>
  <c r="I98" i="28"/>
  <c r="H76" i="28"/>
  <c r="J85" i="28"/>
  <c r="J81" i="28"/>
  <c r="J98" i="28"/>
  <c r="B1899" i="19" l="1"/>
  <c r="I84" i="28"/>
  <c r="H98" i="28"/>
  <c r="H81" i="28"/>
  <c r="H85" i="28"/>
  <c r="H78" i="28"/>
  <c r="K85" i="28"/>
  <c r="K81" i="28"/>
  <c r="K98" i="28"/>
  <c r="K78" i="28"/>
  <c r="J107" i="28"/>
  <c r="J103" i="28"/>
  <c r="J100" i="28"/>
  <c r="J84" i="28"/>
  <c r="I100" i="28"/>
  <c r="I107" i="28"/>
  <c r="I103" i="28"/>
  <c r="B1900" i="19" l="1"/>
  <c r="I106" i="28"/>
  <c r="K107" i="28"/>
  <c r="K103" i="28"/>
  <c r="K100" i="28"/>
  <c r="K84" i="28"/>
  <c r="H84" i="28"/>
  <c r="J106" i="28"/>
  <c r="H107" i="28"/>
  <c r="H103" i="28"/>
  <c r="H100" i="28"/>
  <c r="J87" i="28"/>
  <c r="J89" i="28"/>
  <c r="J91" i="28" s="1"/>
  <c r="I87" i="28"/>
  <c r="I89" i="28"/>
  <c r="I91" i="28" s="1"/>
  <c r="B1901" i="19" l="1"/>
  <c r="K87" i="28"/>
  <c r="K89" i="28"/>
  <c r="I90" i="28"/>
  <c r="I92" i="28"/>
  <c r="H106" i="28"/>
  <c r="J111" i="28"/>
  <c r="J113" i="28" s="1"/>
  <c r="J109" i="28"/>
  <c r="K106" i="28"/>
  <c r="I111" i="28"/>
  <c r="I113" i="28" s="1"/>
  <c r="I109" i="28"/>
  <c r="J90" i="28"/>
  <c r="J92" i="28"/>
  <c r="H87" i="28"/>
  <c r="H89" i="28"/>
  <c r="H91" i="28" s="1"/>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G48" i="27" s="1"/>
  <c r="I37" i="27"/>
  <c r="G35" i="27"/>
  <c r="I28" i="27"/>
  <c r="I48" i="27" s="1"/>
  <c r="I24" i="27"/>
  <c r="G11" i="27"/>
  <c r="G24" i="27" s="1"/>
  <c r="B1905" i="19" l="1"/>
  <c r="C1906" i="19"/>
  <c r="G50" i="27"/>
  <c r="G55" i="27" s="1"/>
  <c r="I50" i="27"/>
  <c r="I55" i="27" s="1"/>
  <c r="C1907" i="19" l="1"/>
  <c r="B1906" i="19"/>
  <c r="G91" i="15"/>
  <c r="G92" i="15"/>
  <c r="B1907" i="19" l="1"/>
  <c r="B1908" i="19" l="1"/>
  <c r="C1909" i="19"/>
  <c r="G39" i="6"/>
  <c r="B1909" i="19" l="1"/>
  <c r="C1712" i="19"/>
  <c r="B1712" i="19" s="1"/>
  <c r="B1710" i="19"/>
  <c r="B1910" i="19" l="1"/>
  <c r="B1713" i="19"/>
  <c r="B1911" i="19" l="1"/>
  <c r="B1714" i="19"/>
  <c r="C1715" i="19"/>
  <c r="B1912" i="19" l="1"/>
  <c r="B1715" i="19"/>
  <c r="G103"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B1917" i="19" l="1"/>
  <c r="B1720" i="19"/>
  <c r="C1671" i="19"/>
  <c r="B1670" i="19"/>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G61" i="6"/>
  <c r="I72" i="3" s="1"/>
  <c r="B1728" i="19" l="1"/>
  <c r="B1678" i="19"/>
  <c r="C1619" i="19"/>
  <c r="B1618" i="19"/>
  <c r="D109"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K25" i="24"/>
  <c r="K42" i="24" s="1"/>
  <c r="B1731" i="19" l="1"/>
  <c r="C1732" i="19"/>
  <c r="C1682" i="19"/>
  <c r="B1681" i="19"/>
  <c r="K26" i="24"/>
  <c r="C1622" i="19"/>
  <c r="B1621" i="19"/>
  <c r="C1733" i="19" l="1"/>
  <c r="B1732" i="19"/>
  <c r="B1682" i="19"/>
  <c r="B1622" i="19"/>
  <c r="L67" i="3"/>
  <c r="B1733" i="19" l="1"/>
  <c r="B1683" i="19"/>
  <c r="B1623" i="19"/>
  <c r="L66" i="3"/>
  <c r="B1734" i="19" l="1"/>
  <c r="B1684" i="19"/>
  <c r="B1624" i="19"/>
  <c r="L69" i="3"/>
  <c r="B1568" i="19"/>
  <c r="C1525" i="19"/>
  <c r="C1526" i="19" s="1"/>
  <c r="B1526" i="19" s="1"/>
  <c r="J58" i="24"/>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B1740" i="19" l="1"/>
  <c r="B1690" i="19"/>
  <c r="B1630" i="19"/>
  <c r="B1531" i="19"/>
  <c r="B1505" i="19"/>
  <c r="C156"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7" i="3"/>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J16" i="12"/>
  <c r="L16" i="12" s="1"/>
  <c r="M16" i="12" s="1"/>
  <c r="M14" i="24" l="1"/>
  <c r="B1747" i="19"/>
  <c r="C1748" i="19"/>
  <c r="B1697" i="19"/>
  <c r="B1637" i="19"/>
  <c r="B1538" i="19"/>
  <c r="B1512" i="19"/>
  <c r="G69" i="6"/>
  <c r="G68" i="6"/>
  <c r="B1748" i="19" l="1"/>
  <c r="C1699" i="19"/>
  <c r="B1698" i="19"/>
  <c r="B1638" i="19"/>
  <c r="B1539" i="19"/>
  <c r="B1513" i="19"/>
  <c r="H58" i="26"/>
  <c r="I58" i="26" s="1"/>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H40" i="26"/>
  <c r="I40" i="26" s="1"/>
  <c r="L40" i="26" s="1"/>
  <c r="M40" i="26" s="1"/>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I27" i="26"/>
  <c r="L27" i="26" s="1"/>
  <c r="H27" i="26"/>
  <c r="G27" i="26"/>
  <c r="G26" i="26"/>
  <c r="G28" i="26" s="1"/>
  <c r="I28" i="26" s="1"/>
  <c r="H25" i="26"/>
  <c r="I25" i="26" s="1"/>
  <c r="I23" i="26"/>
  <c r="L23" i="26" s="1"/>
  <c r="I22" i="26"/>
  <c r="L22" i="26" s="1"/>
  <c r="G21" i="26"/>
  <c r="H21" i="26" s="1"/>
  <c r="K20" i="26"/>
  <c r="G20" i="26"/>
  <c r="I19" i="26"/>
  <c r="L19" i="26" s="1"/>
  <c r="I18" i="26"/>
  <c r="M18" i="26" s="1"/>
  <c r="H17" i="26"/>
  <c r="I17" i="26" s="1"/>
  <c r="L17" i="26" s="1"/>
  <c r="M16" i="26"/>
  <c r="I16" i="26"/>
  <c r="L16" i="26" s="1"/>
  <c r="H15" i="26"/>
  <c r="I15" i="26" s="1"/>
  <c r="I14" i="26"/>
  <c r="L14" i="26" s="1"/>
  <c r="H13" i="26"/>
  <c r="I13" i="26" s="1"/>
  <c r="I11" i="26"/>
  <c r="I10" i="26"/>
  <c r="M10" i="26" s="1"/>
  <c r="M9" i="26"/>
  <c r="I9" i="26"/>
  <c r="L9" i="26" s="1"/>
  <c r="I8" i="26"/>
  <c r="G29" i="26" l="1"/>
  <c r="H26" i="26"/>
  <c r="I26" i="26" s="1"/>
  <c r="M14" i="26"/>
  <c r="B1749" i="19"/>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D108" i="15"/>
  <c r="D107" i="15"/>
  <c r="D113" i="15" l="1"/>
  <c r="B1755" i="19"/>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8" i="24"/>
  <c r="B1757" i="19" l="1"/>
  <c r="B1707" i="19"/>
  <c r="B1647" i="19"/>
  <c r="B1548" i="19"/>
  <c r="B1522" i="19"/>
  <c r="B1758" i="19" l="1"/>
  <c r="B1708" i="19"/>
  <c r="B1648" i="19"/>
  <c r="B1549" i="19"/>
  <c r="C1550" i="19"/>
  <c r="B1524" i="19"/>
  <c r="B1523" i="19"/>
  <c r="G85" i="3"/>
  <c r="M81" i="3"/>
  <c r="G81" i="3"/>
  <c r="F81" i="3"/>
  <c r="L77" i="3"/>
  <c r="K76" i="3"/>
  <c r="L76" i="3" s="1"/>
  <c r="K75" i="3"/>
  <c r="L75" i="3" s="1"/>
  <c r="H73" i="3"/>
  <c r="K73" i="3" s="1"/>
  <c r="G62" i="3"/>
  <c r="I58" i="3"/>
  <c r="J58" i="3" s="1"/>
  <c r="J62" i="3" s="1"/>
  <c r="F58" i="3"/>
  <c r="F62" i="3" s="1"/>
  <c r="I44" i="3"/>
  <c r="K44" i="3" s="1"/>
  <c r="I42" i="3"/>
  <c r="K42" i="3" s="1"/>
  <c r="I41" i="3"/>
  <c r="K36" i="3"/>
  <c r="B1759" i="19" l="1"/>
  <c r="B1709" i="19"/>
  <c r="C1650" i="19"/>
  <c r="B1649" i="19"/>
  <c r="B1550" i="19"/>
  <c r="I62" i="3"/>
  <c r="K41" i="3"/>
  <c r="I85" i="3"/>
  <c r="B1260" i="19"/>
  <c r="B1259" i="19"/>
  <c r="B1258" i="19"/>
  <c r="B1257" i="19"/>
  <c r="B1256" i="19"/>
  <c r="B1255" i="19"/>
  <c r="B1254" i="19"/>
  <c r="B1253" i="19"/>
  <c r="B1252" i="19"/>
  <c r="B1251" i="19"/>
  <c r="B1250" i="19"/>
  <c r="B1249" i="19"/>
  <c r="B1248" i="19"/>
  <c r="B1247" i="19"/>
  <c r="B1246" i="19"/>
  <c r="B1245" i="19"/>
  <c r="H49" i="5" l="1"/>
  <c r="B1760" i="19"/>
  <c r="B1650" i="19"/>
  <c r="C1552" i="19"/>
  <c r="B1551" i="19"/>
  <c r="B1761" i="19" l="1"/>
  <c r="B1711" i="19"/>
  <c r="B1651" i="19"/>
  <c r="B1552" i="19"/>
  <c r="G96" i="15"/>
  <c r="F96"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J25" i="24"/>
  <c r="J42" i="24" s="1"/>
  <c r="J9" i="24"/>
  <c r="O9" i="24" s="1"/>
  <c r="P9" i="24" s="1"/>
  <c r="B1763" i="19" l="1"/>
  <c r="B1653" i="19"/>
  <c r="B1554" i="19"/>
  <c r="C1555" i="19"/>
  <c r="A3" i="24"/>
  <c r="M58" i="24"/>
  <c r="O58" i="24" s="1"/>
  <c r="C1765" i="19" l="1"/>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4" i="24"/>
  <c r="K54" i="24"/>
  <c r="B1555" i="19"/>
  <c r="K29" i="24"/>
  <c r="J68" i="24"/>
  <c r="J65" i="24" l="1"/>
  <c r="K62" i="24"/>
  <c r="K65" i="24"/>
  <c r="B1802" i="19"/>
  <c r="B1765" i="19"/>
  <c r="B1655" i="19"/>
  <c r="C1656" i="19"/>
  <c r="K55" i="24"/>
  <c r="B1556" i="19"/>
  <c r="C1804" i="19" l="1"/>
  <c r="B1803" i="19"/>
  <c r="K59" i="24"/>
  <c r="B1766" i="19"/>
  <c r="B1656" i="19"/>
  <c r="B1557" i="19"/>
  <c r="C1558" i="19"/>
  <c r="F106" i="15"/>
  <c r="F107" i="15"/>
  <c r="E107" i="15"/>
  <c r="E106" i="15"/>
  <c r="F100" i="15"/>
  <c r="D100" i="15"/>
  <c r="E113" i="15" l="1"/>
  <c r="B1804" i="19"/>
  <c r="B1767" i="19"/>
  <c r="B1657" i="19"/>
  <c r="B1558" i="19"/>
  <c r="C1559" i="19"/>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4" i="12"/>
  <c r="L34" i="12" s="1"/>
  <c r="M34" i="12" s="1"/>
  <c r="J26" i="12"/>
  <c r="L26" i="12" s="1"/>
  <c r="M26" i="12" s="1"/>
  <c r="B1807" i="19" l="1"/>
  <c r="B1770" i="19"/>
  <c r="M25" i="24"/>
  <c r="M42" i="24" s="1"/>
  <c r="B1561" i="19"/>
  <c r="C1562" i="19"/>
  <c r="O42" i="24" l="1"/>
  <c r="P42" i="24" s="1"/>
  <c r="O25" i="24"/>
  <c r="C1809" i="19"/>
  <c r="B1808" i="19"/>
  <c r="B1771" i="19"/>
  <c r="M26" i="24"/>
  <c r="B1562" i="19"/>
  <c r="M29" i="24" l="1"/>
  <c r="B1809" i="19"/>
  <c r="M54" i="24"/>
  <c r="O54" i="24" s="1"/>
  <c r="P54" i="24" s="1"/>
  <c r="B1563" i="19"/>
  <c r="C1564" i="19"/>
  <c r="M55" i="24" l="1"/>
  <c r="C1811" i="19"/>
  <c r="B1810" i="19"/>
  <c r="M62" i="24"/>
  <c r="M65" i="24"/>
  <c r="B1564" i="19"/>
  <c r="R32" i="18"/>
  <c r="R30" i="18"/>
  <c r="M59" i="24" l="1"/>
  <c r="B1811" i="19"/>
  <c r="C1812" i="19"/>
  <c r="B1772" i="19"/>
  <c r="B1565" i="19"/>
  <c r="J13" i="18"/>
  <c r="J24" i="18"/>
  <c r="M31" i="18"/>
  <c r="J31" i="18"/>
  <c r="R31" i="18" s="1"/>
  <c r="S33" i="18" s="1"/>
  <c r="R19" i="18"/>
  <c r="R48" i="18"/>
  <c r="R45" i="18"/>
  <c r="S45" i="18" s="1"/>
  <c r="R44" i="18"/>
  <c r="R43" i="18"/>
  <c r="S43" i="18" s="1"/>
  <c r="R42" i="18"/>
  <c r="R41" i="18"/>
  <c r="S41" i="18" s="1"/>
  <c r="R38" i="18"/>
  <c r="R50" i="18" l="1"/>
  <c r="C1813" i="19"/>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O15" i="24" s="1"/>
  <c r="P15" i="24" s="1"/>
  <c r="J35" i="12"/>
  <c r="L35" i="12" s="1"/>
  <c r="M35" i="12" s="1"/>
  <c r="C1822" i="19" l="1"/>
  <c r="B1821" i="19"/>
  <c r="B1782" i="19"/>
  <c r="H17" i="5"/>
  <c r="G100" i="15"/>
  <c r="C1823" i="19" l="1"/>
  <c r="B1822" i="19"/>
  <c r="B1783" i="19"/>
  <c r="G70" i="6"/>
  <c r="G33" i="3" l="1"/>
  <c r="B1823" i="19"/>
  <c r="B1784" i="19"/>
  <c r="B1824" i="19" l="1"/>
  <c r="C1825" i="19"/>
  <c r="B1785" i="19"/>
  <c r="F37" i="15"/>
  <c r="F44" i="15" s="1"/>
  <c r="D37" i="15"/>
  <c r="B1825" i="19" l="1"/>
  <c r="C1826" i="19"/>
  <c r="B1786" i="19"/>
  <c r="G572" i="19"/>
  <c r="G571" i="19"/>
  <c r="B1826" i="19" l="1"/>
  <c r="B1787" i="19"/>
  <c r="G642" i="19"/>
  <c r="J18" i="18"/>
  <c r="O18" i="18" s="1"/>
  <c r="M53" i="18"/>
  <c r="M22" i="18"/>
  <c r="M39" i="18" s="1"/>
  <c r="M21" i="18"/>
  <c r="M15" i="18"/>
  <c r="M63" i="18"/>
  <c r="J56" i="12"/>
  <c r="B1827" i="19" l="1"/>
  <c r="B1788" i="19"/>
  <c r="M23" i="18"/>
  <c r="M26" i="18" s="1"/>
  <c r="M49" i="18"/>
  <c r="J27" i="12"/>
  <c r="G64" i="6"/>
  <c r="J81" i="3" s="1"/>
  <c r="C8" i="6"/>
  <c r="J29" i="12" l="1"/>
  <c r="J58" i="12" s="1"/>
  <c r="L64" i="5" s="1"/>
  <c r="L27" i="12"/>
  <c r="M27" i="12" s="1"/>
  <c r="B1828" i="19"/>
  <c r="B1789" i="19"/>
  <c r="J8" i="3"/>
  <c r="J11" i="18"/>
  <c r="O11" i="18" s="1"/>
  <c r="H81" i="3"/>
  <c r="M60" i="18"/>
  <c r="M57" i="18"/>
  <c r="M50" i="18"/>
  <c r="M54" i="18" s="1"/>
  <c r="O17" i="18"/>
  <c r="J69" i="12" l="1"/>
  <c r="J72" i="12" s="1"/>
  <c r="B1829" i="19"/>
  <c r="C1830" i="19"/>
  <c r="B1790" i="19"/>
  <c r="B1830" i="19" l="1"/>
  <c r="B1791" i="19"/>
  <c r="O47" i="23"/>
  <c r="O45" i="23"/>
  <c r="O42" i="23"/>
  <c r="O36" i="23"/>
  <c r="O35" i="23"/>
  <c r="O32" i="23"/>
  <c r="O24" i="23"/>
  <c r="O18" i="23"/>
  <c r="O17" i="23"/>
  <c r="O16" i="23"/>
  <c r="O15" i="23"/>
  <c r="O14" i="23"/>
  <c r="O13" i="23"/>
  <c r="O10" i="23"/>
  <c r="O9" i="23"/>
  <c r="J34" i="23"/>
  <c r="O34" i="23" s="1"/>
  <c r="M41" i="23"/>
  <c r="J41" i="23"/>
  <c r="J43" i="23"/>
  <c r="M39" i="23"/>
  <c r="J39" i="23"/>
  <c r="J35" i="23"/>
  <c r="J33" i="23"/>
  <c r="O33" i="23" s="1"/>
  <c r="M30" i="23"/>
  <c r="O30" i="23" s="1"/>
  <c r="O39" i="23" l="1"/>
  <c r="O41" i="23"/>
  <c r="M31" i="23"/>
  <c r="B1831" i="19"/>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3" i="15"/>
  <c r="E34" i="15"/>
  <c r="B1835" i="19" l="1"/>
  <c r="C1836" i="19"/>
  <c r="B1796" i="19"/>
  <c r="O12" i="23"/>
  <c r="P12" i="23" s="1"/>
  <c r="O38" i="23"/>
  <c r="P38" i="23" s="1"/>
  <c r="O52" i="23"/>
  <c r="M48" i="23"/>
  <c r="O22" i="23"/>
  <c r="P31" i="23"/>
  <c r="P37" i="23"/>
  <c r="P40" i="23"/>
  <c r="J22" i="23"/>
  <c r="J25" i="23" s="1"/>
  <c r="K48" i="23"/>
  <c r="K22" i="23"/>
  <c r="K25" i="23" s="1"/>
  <c r="P13" i="23"/>
  <c r="P30" i="23"/>
  <c r="J48" i="23"/>
  <c r="M22" i="23"/>
  <c r="M25" i="23" s="1"/>
  <c r="O21" i="23"/>
  <c r="B1836" i="19" l="1"/>
  <c r="B1797" i="19"/>
  <c r="O48" i="23"/>
  <c r="P48" i="23" s="1"/>
  <c r="K49" i="23"/>
  <c r="K53" i="23" s="1"/>
  <c r="O25" i="23"/>
  <c r="P25" i="23" s="1"/>
  <c r="J49" i="23"/>
  <c r="M49" i="23"/>
  <c r="M53" i="23" s="1"/>
  <c r="P9" i="23"/>
  <c r="P22" i="23"/>
  <c r="B1837" i="19" l="1"/>
  <c r="B1798" i="19"/>
  <c r="O49" i="23"/>
  <c r="P49" i="23" s="1"/>
  <c r="J53" i="23"/>
  <c r="O53" i="23" s="1"/>
  <c r="B1838" i="19" l="1"/>
  <c r="B1799" i="19"/>
  <c r="J14" i="18"/>
  <c r="C1840" i="19" l="1"/>
  <c r="B1839" i="19"/>
  <c r="B1800" i="19"/>
  <c r="B1840" i="19" l="1"/>
  <c r="B1801" i="19"/>
  <c r="G42" i="15"/>
  <c r="G41" i="15"/>
  <c r="G40" i="15"/>
  <c r="G39" i="15"/>
  <c r="G38" i="15"/>
  <c r="G37" i="15"/>
  <c r="G36" i="15"/>
  <c r="G35" i="15"/>
  <c r="E44" i="15"/>
  <c r="C44"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D49" i="6"/>
  <c r="G639" i="19" l="1"/>
  <c r="G640" i="19" l="1"/>
  <c r="G644" i="19" s="1"/>
  <c r="G647" i="19" s="1"/>
  <c r="A3" i="18" l="1"/>
  <c r="O20" i="18"/>
  <c r="O19" i="18"/>
  <c r="G40"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O24" i="18" l="1"/>
  <c r="P24" i="18" s="1"/>
  <c r="O44" i="18"/>
  <c r="P44" i="18" s="1"/>
  <c r="O43" i="18"/>
  <c r="P43" i="18" s="1"/>
  <c r="O42" i="18"/>
  <c r="P42" i="18" s="1"/>
  <c r="G38" i="6" l="1"/>
  <c r="H31" i="3" l="1"/>
  <c r="G31" i="3" s="1"/>
  <c r="H32" i="3"/>
  <c r="G32" i="3" s="1"/>
  <c r="A4" i="18"/>
  <c r="J14" i="24" l="1"/>
  <c r="J32" i="3"/>
  <c r="J14" i="30"/>
  <c r="G51" i="22"/>
  <c r="G47" i="22"/>
  <c r="G46" i="22"/>
  <c r="G13" i="22"/>
  <c r="G28" i="22" s="1"/>
  <c r="G20" i="22"/>
  <c r="K14" i="30" l="1"/>
  <c r="J25" i="30"/>
  <c r="J28" i="30" s="1"/>
  <c r="J54" i="30" s="1"/>
  <c r="J58" i="30" s="1"/>
  <c r="O14" i="24"/>
  <c r="P14" i="24" s="1"/>
  <c r="J26" i="24"/>
  <c r="G34" i="22"/>
  <c r="O26" i="24" l="1"/>
  <c r="P26" i="24" s="1"/>
  <c r="J29" i="24"/>
  <c r="M14" i="30"/>
  <c r="M25" i="30" s="1"/>
  <c r="M28" i="30" s="1"/>
  <c r="M54" i="30" s="1"/>
  <c r="M58" i="30" s="1"/>
  <c r="K25" i="30"/>
  <c r="K28" i="30" s="1"/>
  <c r="K54" i="30" s="1"/>
  <c r="K58" i="30" s="1"/>
  <c r="G53" i="22"/>
  <c r="G55" i="22" s="1"/>
  <c r="O29" i="24" l="1"/>
  <c r="P29" i="24" s="1"/>
  <c r="J55" i="24"/>
  <c r="L32" i="5"/>
  <c r="O55" i="24" l="1"/>
  <c r="P55" i="24" s="1"/>
  <c r="J59" i="24"/>
  <c r="O59" i="24" s="1"/>
  <c r="G44" i="15"/>
  <c r="H43" i="15" l="1"/>
  <c r="H41" i="15"/>
  <c r="H38" i="15"/>
  <c r="H34" i="15"/>
  <c r="H42" i="15"/>
  <c r="H40" i="15"/>
  <c r="H37" i="15"/>
  <c r="H35" i="15"/>
  <c r="O32" i="18" l="1"/>
  <c r="P32" i="18" s="1"/>
  <c r="D44" i="15" l="1"/>
  <c r="J22" i="18" l="1"/>
  <c r="K22" i="18"/>
  <c r="K39" i="18" s="1"/>
  <c r="K21" i="18"/>
  <c r="K63" i="18"/>
  <c r="K15" i="18"/>
  <c r="K8" i="18"/>
  <c r="K49" i="18" l="1"/>
  <c r="K53" i="18"/>
  <c r="J39" i="18"/>
  <c r="J49" i="18" s="1"/>
  <c r="K23" i="18"/>
  <c r="K57" i="18" l="1"/>
  <c r="K60" i="18"/>
  <c r="D42" i="6" l="1"/>
  <c r="D72" i="6" s="1"/>
  <c r="G11" i="6"/>
  <c r="H12" i="3" l="1"/>
  <c r="A3" i="21"/>
  <c r="J12" i="3" l="1"/>
  <c r="G12" i="3"/>
  <c r="H44" i="15"/>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H18" i="3"/>
  <c r="G18" i="3" l="1"/>
  <c r="J18" i="3"/>
  <c r="E80" i="15"/>
  <c r="J21" i="18" l="1"/>
  <c r="O21" i="18" s="1"/>
  <c r="G8" i="12" l="1"/>
  <c r="J8" i="12" s="1"/>
  <c r="M8" i="24" l="1"/>
  <c r="J8" i="24"/>
  <c r="E81" i="15"/>
  <c r="B323" i="19" l="1"/>
  <c r="K26" i="18" l="1"/>
  <c r="K50" i="18" s="1"/>
  <c r="K54" i="18" s="1"/>
  <c r="O22" i="18"/>
  <c r="J63" i="18" l="1"/>
  <c r="J8" i="18"/>
  <c r="J53" i="18"/>
  <c r="O53" i="18" s="1"/>
  <c r="O9" i="18" l="1"/>
  <c r="P9" i="18" s="1"/>
  <c r="O39" i="18"/>
  <c r="P39" i="18" s="1"/>
  <c r="J57" i="18" l="1"/>
  <c r="O49" i="18"/>
  <c r="P49" i="18" s="1"/>
  <c r="J60" i="18"/>
  <c r="M8" i="18"/>
  <c r="G56" i="12" l="1"/>
  <c r="J15" i="18"/>
  <c r="O15" i="18" s="1"/>
  <c r="P15" i="18"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9"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7" i="6" l="1"/>
  <c r="H25" i="3" l="1"/>
  <c r="F108" i="15"/>
  <c r="F113" i="15" s="1"/>
  <c r="G56" i="6" l="1"/>
  <c r="I68" i="3" s="1"/>
  <c r="K68" i="3" s="1"/>
  <c r="L68" i="3" s="1"/>
  <c r="C42" i="6"/>
  <c r="G15" i="6"/>
  <c r="I81" i="3" l="1"/>
  <c r="G16" i="6"/>
  <c r="G109" i="15"/>
  <c r="G108" i="15"/>
  <c r="L81" i="3" l="1"/>
  <c r="K81" i="3"/>
  <c r="G105" i="15"/>
  <c r="L83" i="3" l="1"/>
  <c r="H63" i="5" s="1"/>
  <c r="G104" i="15"/>
  <c r="G106" i="15" l="1"/>
  <c r="G60"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0" i="5" l="1"/>
  <c r="L59" i="5" s="1"/>
  <c r="L17" i="5"/>
  <c r="G41" i="6" l="1"/>
  <c r="J85" i="3" s="1"/>
  <c r="H85" i="3" l="1"/>
  <c r="K85" i="3" s="1"/>
  <c r="E14" i="15"/>
  <c r="L24" i="5" l="1"/>
  <c r="L26" i="5" s="1"/>
  <c r="L36" i="5" s="1"/>
  <c r="H57" i="5"/>
  <c r="L70" i="5" l="1"/>
  <c r="D230" i="6" l="1"/>
  <c r="D231" i="6"/>
  <c r="D232" i="6"/>
  <c r="F230" i="6" l="1"/>
  <c r="G58" i="6" l="1"/>
  <c r="G48" i="6"/>
  <c r="H26" i="3" l="1"/>
  <c r="I26" i="3" s="1"/>
  <c r="J26" i="3" s="1"/>
  <c r="G49" i="6"/>
  <c r="H35" i="3"/>
  <c r="N234" i="6"/>
  <c r="M234" i="6"/>
  <c r="L234" i="6"/>
  <c r="K234" i="6"/>
  <c r="J234" i="6"/>
  <c r="I234" i="6"/>
  <c r="G234" i="6"/>
  <c r="G35" i="3" l="1"/>
  <c r="G26" i="3"/>
  <c r="C54" i="6"/>
  <c r="F25" i="6"/>
  <c r="F72" i="6" s="1"/>
  <c r="C30" i="6"/>
  <c r="C72" i="6" l="1"/>
  <c r="C233" i="6"/>
  <c r="G52" i="6" l="1"/>
  <c r="G53" i="6"/>
  <c r="G54" i="6" l="1"/>
  <c r="G18" i="6" l="1"/>
  <c r="L29" i="12" l="1"/>
  <c r="M29" i="12" s="1"/>
  <c r="L56" i="12" l="1"/>
  <c r="M56" i="12" s="1"/>
  <c r="G58" i="12" l="1"/>
  <c r="H64" i="5" s="1"/>
  <c r="G69" i="12" l="1"/>
  <c r="L65" i="5"/>
  <c r="L67" i="5" s="1"/>
  <c r="L58" i="12"/>
  <c r="M58" i="12" s="1"/>
  <c r="C231" i="6" l="1"/>
  <c r="G37" i="6"/>
  <c r="G42" i="6" s="1"/>
  <c r="G30" i="6"/>
  <c r="E12" i="15" s="1"/>
  <c r="E15" i="15" l="1"/>
  <c r="H24" i="3"/>
  <c r="G24" i="3" s="1"/>
  <c r="D234" i="6"/>
  <c r="G12" i="6"/>
  <c r="G25" i="6"/>
  <c r="E13" i="15" l="1"/>
  <c r="F234" i="6"/>
  <c r="H65" i="5" l="1"/>
  <c r="G72" i="12"/>
  <c r="L67" i="12"/>
  <c r="M67" i="12" s="1"/>
  <c r="G107" i="15"/>
  <c r="G113" i="15" s="1"/>
  <c r="L69" i="12" l="1"/>
  <c r="G7" i="6"/>
  <c r="H10" i="3" s="1"/>
  <c r="J10" i="3" l="1"/>
  <c r="G10" i="3"/>
  <c r="C232" i="6"/>
  <c r="G8" i="6"/>
  <c r="G72" i="6" l="1"/>
  <c r="H36" i="3"/>
  <c r="J89" i="3" s="1"/>
  <c r="G36" i="3"/>
  <c r="J36" i="3"/>
  <c r="I36" i="3"/>
  <c r="E11" i="15"/>
  <c r="E17" i="15" s="1"/>
  <c r="C230" i="6"/>
  <c r="C234" i="6" s="1"/>
  <c r="E74" i="6" l="1"/>
  <c r="D74" i="6"/>
  <c r="J90" i="3"/>
  <c r="J91" i="3" s="1"/>
  <c r="H20" i="5"/>
  <c r="H24" i="5" s="1"/>
  <c r="C74" i="6"/>
  <c r="F74" i="6"/>
  <c r="G74" i="6"/>
  <c r="F16" i="15"/>
  <c r="F15" i="15"/>
  <c r="F14" i="15"/>
  <c r="F13" i="15"/>
  <c r="F12" i="15"/>
  <c r="F11" i="15"/>
  <c r="C101" i="6"/>
  <c r="H26" i="5" l="1"/>
  <c r="H36" i="5" s="1"/>
  <c r="F17" i="15"/>
  <c r="H50" i="5" l="1"/>
  <c r="H59" i="5" l="1"/>
  <c r="H70" i="5" l="1"/>
  <c r="H6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000-000001000000}">
      <text>
        <r>
          <rPr>
            <b/>
            <sz val="9"/>
            <color indexed="81"/>
            <rFont val="Tahoma"/>
            <family val="2"/>
          </rPr>
          <t>John Ray:</t>
        </r>
        <r>
          <rPr>
            <sz val="9"/>
            <color indexed="81"/>
            <rFont val="Tahoma"/>
            <family val="2"/>
          </rPr>
          <t xml:space="preserve">
85100+85200</t>
        </r>
      </text>
    </comment>
    <comment ref="C48" authorId="0" shapeId="0" xr:uid="{00000000-0006-0000-0000-000002000000}">
      <text>
        <r>
          <rPr>
            <b/>
            <sz val="9"/>
            <color indexed="81"/>
            <rFont val="Tahoma"/>
            <family val="2"/>
          </rPr>
          <t>John Ray:</t>
        </r>
        <r>
          <rPr>
            <sz val="9"/>
            <color indexed="81"/>
            <rFont val="Tahoma"/>
            <family val="2"/>
          </rPr>
          <t xml:space="preserve">
85300+81150</t>
        </r>
      </text>
    </comment>
    <comment ref="C52" authorId="0" shapeId="0" xr:uid="{00000000-0006-0000-0000-000003000000}">
      <text>
        <r>
          <rPr>
            <b/>
            <sz val="9"/>
            <color indexed="81"/>
            <rFont val="Tahoma"/>
            <family val="2"/>
          </rPr>
          <t>John Ray:</t>
        </r>
        <r>
          <rPr>
            <sz val="9"/>
            <color indexed="81"/>
            <rFont val="Tahoma"/>
            <family val="2"/>
          </rPr>
          <t xml:space="preserve">
80060+81100
</t>
        </r>
      </text>
    </comment>
    <comment ref="C53" authorId="0" shapeId="0" xr:uid="{00000000-0006-0000-0000-00000400000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0100-000001000000}">
      <text>
        <r>
          <rPr>
            <b/>
            <sz val="9"/>
            <color indexed="81"/>
            <rFont val="Tahoma"/>
            <family val="2"/>
          </rPr>
          <t>John Ray:</t>
        </r>
        <r>
          <rPr>
            <sz val="9"/>
            <color indexed="81"/>
            <rFont val="Tahoma"/>
            <family val="2"/>
          </rPr>
          <t xml:space="preserve">
85100+85200</t>
        </r>
      </text>
    </comment>
    <comment ref="C43" authorId="0" shapeId="0" xr:uid="{00000000-0006-0000-0100-000002000000}">
      <text>
        <r>
          <rPr>
            <b/>
            <sz val="9"/>
            <color indexed="81"/>
            <rFont val="Tahoma"/>
            <family val="2"/>
          </rPr>
          <t>John Ray:</t>
        </r>
        <r>
          <rPr>
            <sz val="9"/>
            <color indexed="81"/>
            <rFont val="Tahoma"/>
            <family val="2"/>
          </rPr>
          <t xml:space="preserve">
85300+81150</t>
        </r>
      </text>
    </comment>
    <comment ref="C47" authorId="0" shapeId="0" xr:uid="{00000000-0006-0000-0100-00000300000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3" authorId="0" shapeId="0" xr:uid="{D79F8756-FE5D-4A78-9C68-37A3AEEE5E4B}">
      <text>
        <r>
          <rPr>
            <b/>
            <sz val="9"/>
            <color indexed="81"/>
            <rFont val="Tahoma"/>
            <family val="2"/>
          </rPr>
          <t>John Ray:</t>
        </r>
        <r>
          <rPr>
            <sz val="9"/>
            <color indexed="81"/>
            <rFont val="Tahoma"/>
            <family val="2"/>
          </rPr>
          <t xml:space="preserve">
85100+85200</t>
        </r>
      </text>
    </comment>
    <comment ref="C44" authorId="0" shapeId="0" xr:uid="{6745B673-1D17-47F1-A0E5-83071F6DA016}">
      <text>
        <r>
          <rPr>
            <b/>
            <sz val="9"/>
            <color indexed="81"/>
            <rFont val="Tahoma"/>
            <family val="2"/>
          </rPr>
          <t>John Ray:</t>
        </r>
        <r>
          <rPr>
            <sz val="9"/>
            <color indexed="81"/>
            <rFont val="Tahoma"/>
            <family val="2"/>
          </rPr>
          <t xml:space="preserve">
85300+81150</t>
        </r>
      </text>
    </comment>
    <comment ref="C48" authorId="0" shapeId="0" xr:uid="{C4BC823B-3D16-4130-9984-A3E565FF81B2}">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9" authorId="0" shapeId="0" xr:uid="{00000000-0006-0000-0500-000001000000}">
      <text>
        <r>
          <rPr>
            <b/>
            <sz val="9"/>
            <color indexed="81"/>
            <rFont val="Tahoma"/>
            <family val="2"/>
          </rPr>
          <t>John Ray:</t>
        </r>
        <r>
          <rPr>
            <sz val="9"/>
            <color indexed="81"/>
            <rFont val="Tahoma"/>
            <family val="2"/>
          </rPr>
          <t xml:space="preserve">
85100+85200</t>
        </r>
      </text>
    </comment>
    <comment ref="C50" authorId="0" shapeId="0" xr:uid="{00000000-0006-0000-0500-000002000000}">
      <text>
        <r>
          <rPr>
            <b/>
            <sz val="9"/>
            <color indexed="81"/>
            <rFont val="Tahoma"/>
            <family val="2"/>
          </rPr>
          <t>John Ray:</t>
        </r>
        <r>
          <rPr>
            <sz val="9"/>
            <color indexed="81"/>
            <rFont val="Tahoma"/>
            <family val="2"/>
          </rPr>
          <t xml:space="preserve">
85300+81150</t>
        </r>
      </text>
    </comment>
    <comment ref="C54" authorId="0" shapeId="0" xr:uid="{00000000-0006-0000-0500-000003000000}">
      <text>
        <r>
          <rPr>
            <b/>
            <sz val="9"/>
            <color indexed="81"/>
            <rFont val="Tahoma"/>
            <family val="2"/>
          </rPr>
          <t>John Ray:</t>
        </r>
        <r>
          <rPr>
            <sz val="9"/>
            <color indexed="81"/>
            <rFont val="Tahoma"/>
            <family val="2"/>
          </rPr>
          <t xml:space="preserve">
80060+81100
</t>
        </r>
      </text>
    </comment>
    <comment ref="C55" authorId="0" shapeId="0" xr:uid="{00000000-0006-0000-0500-00000400000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900-000001000000}">
      <text>
        <r>
          <rPr>
            <b/>
            <sz val="9"/>
            <color indexed="81"/>
            <rFont val="Tahoma"/>
            <family val="2"/>
          </rPr>
          <t>John Ray:</t>
        </r>
        <r>
          <rPr>
            <sz val="9"/>
            <color indexed="81"/>
            <rFont val="Tahoma"/>
            <family val="2"/>
          </rPr>
          <t xml:space="preserve">
85100+85200</t>
        </r>
      </text>
    </comment>
    <comment ref="C48" authorId="0" shapeId="0" xr:uid="{00000000-0006-0000-0900-000002000000}">
      <text>
        <r>
          <rPr>
            <b/>
            <sz val="9"/>
            <color indexed="81"/>
            <rFont val="Tahoma"/>
            <family val="2"/>
          </rPr>
          <t>John Ray:</t>
        </r>
        <r>
          <rPr>
            <sz val="9"/>
            <color indexed="81"/>
            <rFont val="Tahoma"/>
            <family val="2"/>
          </rPr>
          <t xml:space="preserve">
85300+81150</t>
        </r>
      </text>
    </comment>
    <comment ref="C53" authorId="0" shapeId="0" xr:uid="{00000000-0006-0000-0900-000003000000}">
      <text>
        <r>
          <rPr>
            <b/>
            <sz val="9"/>
            <color indexed="81"/>
            <rFont val="Tahoma"/>
            <family val="2"/>
          </rPr>
          <t>John Ray:</t>
        </r>
        <r>
          <rPr>
            <sz val="9"/>
            <color indexed="81"/>
            <rFont val="Tahoma"/>
            <family val="2"/>
          </rPr>
          <t xml:space="preserve">
80060+81100
</t>
        </r>
      </text>
    </comment>
    <comment ref="C54" authorId="0" shapeId="0" xr:uid="{00000000-0006-0000-0900-00000400000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17" authorId="0" shapeId="0" xr:uid="{00000000-0006-0000-0A00-000001000000}">
      <text>
        <r>
          <rPr>
            <b/>
            <sz val="9"/>
            <color indexed="81"/>
            <rFont val="Tahoma"/>
            <family val="2"/>
          </rPr>
          <t>John Ray:</t>
        </r>
        <r>
          <rPr>
            <sz val="9"/>
            <color indexed="81"/>
            <rFont val="Tahoma"/>
            <family val="2"/>
          </rPr>
          <t xml:space="preserve">
85300+81150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K20" authorId="0" shapeId="0" xr:uid="{00000000-0006-0000-0F00-000001000000}">
      <text>
        <r>
          <rPr>
            <b/>
            <sz val="9"/>
            <color indexed="81"/>
            <rFont val="Tahoma"/>
            <family val="2"/>
          </rPr>
          <t>John Ray:</t>
        </r>
        <r>
          <rPr>
            <sz val="9"/>
            <color indexed="81"/>
            <rFont val="Tahoma"/>
            <family val="2"/>
          </rPr>
          <t xml:space="preserve">
Gain from Philly Ins Claim, see Dec 18th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5" authorId="0" shapeId="0" xr:uid="{00000000-0006-0000-1000-000001000000}">
      <text>
        <r>
          <rPr>
            <b/>
            <sz val="9"/>
            <color indexed="81"/>
            <rFont val="Tahoma"/>
            <family val="2"/>
          </rPr>
          <t>John Ray:</t>
        </r>
        <r>
          <rPr>
            <sz val="9"/>
            <color indexed="81"/>
            <rFont val="Tahoma"/>
            <family val="2"/>
          </rPr>
          <t xml:space="preserve">
85100+85200</t>
        </r>
      </text>
    </comment>
    <comment ref="C46" authorId="0" shapeId="0" xr:uid="{00000000-0006-0000-1000-000002000000}">
      <text>
        <r>
          <rPr>
            <b/>
            <sz val="9"/>
            <color indexed="81"/>
            <rFont val="Tahoma"/>
            <family val="2"/>
          </rPr>
          <t>John Ray:</t>
        </r>
        <r>
          <rPr>
            <sz val="9"/>
            <color indexed="81"/>
            <rFont val="Tahoma"/>
            <family val="2"/>
          </rPr>
          <t xml:space="preserve">
85300+81150</t>
        </r>
      </text>
    </comment>
    <comment ref="C51" authorId="0" shapeId="0" xr:uid="{00000000-0006-0000-1000-000003000000}">
      <text>
        <r>
          <rPr>
            <b/>
            <sz val="9"/>
            <color indexed="81"/>
            <rFont val="Tahoma"/>
            <family val="2"/>
          </rPr>
          <t>John Ray:</t>
        </r>
        <r>
          <rPr>
            <sz val="9"/>
            <color indexed="81"/>
            <rFont val="Tahoma"/>
            <family val="2"/>
          </rPr>
          <t xml:space="preserve">
80060+81100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1200-000001000000}">
      <text>
        <r>
          <rPr>
            <b/>
            <sz val="9"/>
            <color indexed="81"/>
            <rFont val="Tahoma"/>
            <family val="2"/>
          </rPr>
          <t>John Ray:</t>
        </r>
        <r>
          <rPr>
            <sz val="9"/>
            <color indexed="81"/>
            <rFont val="Tahoma"/>
            <family val="2"/>
          </rPr>
          <t xml:space="preserve">
85100+85200</t>
        </r>
      </text>
    </comment>
    <comment ref="C43" authorId="0" shapeId="0" xr:uid="{00000000-0006-0000-1200-000002000000}">
      <text>
        <r>
          <rPr>
            <b/>
            <sz val="9"/>
            <color indexed="81"/>
            <rFont val="Tahoma"/>
            <family val="2"/>
          </rPr>
          <t>John Ray:</t>
        </r>
        <r>
          <rPr>
            <sz val="9"/>
            <color indexed="81"/>
            <rFont val="Tahoma"/>
            <family val="2"/>
          </rPr>
          <t xml:space="preserve">
85300+81150</t>
        </r>
      </text>
    </comment>
    <comment ref="C49" authorId="0" shapeId="0" xr:uid="{00000000-0006-0000-1200-000003000000}">
      <text>
        <r>
          <rPr>
            <b/>
            <sz val="9"/>
            <color indexed="81"/>
            <rFont val="Tahoma"/>
            <family val="2"/>
          </rPr>
          <t>John Ray:</t>
        </r>
        <r>
          <rPr>
            <sz val="9"/>
            <color indexed="81"/>
            <rFont val="Tahoma"/>
            <family val="2"/>
          </rPr>
          <t xml:space="preserve">
80060+81100
</t>
        </r>
      </text>
    </comment>
    <comment ref="C50" authorId="0" shapeId="0" xr:uid="{00000000-0006-0000-1200-00000400000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<sst xmlns="http://schemas.openxmlformats.org/spreadsheetml/2006/main" count="1514" uniqueCount="704">
  <si>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</si>
  <si>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</si>
  <si>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</si>
  <si>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</si>
  <si>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</si>
  <si>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</si>
  <si>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</si>
  <si>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</si>
  <si>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</si>
  <si>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</si>
  <si>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</si>
  <si>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</si>
  <si>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</si>
  <si>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</si>
  <si>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</si>
  <si>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</si>
  <si>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</si>
  <si>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</si>
  <si>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</si>
  <si>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</si>
  <si>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</si>
  <si>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</si>
  <si>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</si>
  <si>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</si>
  <si>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</si>
  <si>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</si>
  <si>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</si>
  <si>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</si>
  <si>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</si>
  <si>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</si>
  <si>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</si>
  <si>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</si>
  <si>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</si>
  <si>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</si>
  <si>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</si>
  <si>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</si>
  <si>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</si>
  <si>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</si>
  <si>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</si>
  <si>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</si>
  <si>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</si>
  <si>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</si>
  <si>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</si>
  <si>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</si>
  <si>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</si>
  <si>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</si>
  <si>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</si>
  <si>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</si>
  <si>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</si>
  <si>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</si>
  <si>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</si>
  <si>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</si>
  <si>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</si>
  <si>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</si>
  <si>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</si>
  <si>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</si>
  <si>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</si>
  <si>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</si>
  <si>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</si>
  <si>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</si>
  <si>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</si>
  <si>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</si>
  <si>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</si>
  <si>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</si>
  <si>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</si>
  <si>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</si>
  <si>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</si>
  <si>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</si>
  <si>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</si>
  <si>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</si>
  <si>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</si>
  <si>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</si>
  <si>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</si>
  <si>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</si>
  <si>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</si>
  <si>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</si>
  <si>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</si>
  <si>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</si>
  <si>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</si>
  <si>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</si>
  <si>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</si>
  <si>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</si>
  <si>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</si>
  <si>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</si>
  <si>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</si>
  <si>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</si>
  <si>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</si>
  <si>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</si>
  <si>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</si>
  <si>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</si>
  <si>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</si>
  <si>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</si>
  <si>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</si>
  <si>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</si>
  <si>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</si>
  <si>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</si>
  <si>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</si>
  <si>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</si>
  <si>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</si>
  <si>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</si>
  <si>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</si>
  <si>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</si>
  <si>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</si>
  <si>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</si>
  <si>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</si>
  <si>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</si>
  <si>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</si>
  <si>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</si>
  <si>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</si>
  <si>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</si>
  <si>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</si>
  <si>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</si>
  <si>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</si>
  <si>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</si>
  <si>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</si>
  <si>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</si>
  <si>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</si>
  <si>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</si>
  <si>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</si>
  <si>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</si>
  <si>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</si>
  <si>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</si>
  <si>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</si>
  <si>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</si>
  <si>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</si>
  <si>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</si>
  <si>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</si>
  <si>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</si>
  <si>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</si>
  <si>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</si>
  <si>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</si>
  <si>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</si>
  <si>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</si>
  <si>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</si>
  <si>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</si>
  <si>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</si>
  <si>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</si>
  <si>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</si>
  <si>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</si>
  <si>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</si>
  <si>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</si>
  <si>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</si>
  <si>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</si>
  <si>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</si>
  <si>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</si>
  <si>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</si>
  <si>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</si>
  <si>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</si>
  <si>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</si>
  <si>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</si>
  <si>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</si>
  <si>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</si>
  <si>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</si>
  <si>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</si>
  <si>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</si>
  <si>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</si>
  <si>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</si>
  <si>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</si>
  <si>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</si>
  <si>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</si>
  <si>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</si>
  <si>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</si>
  <si>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</si>
  <si>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</si>
  <si>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</si>
  <si>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</si>
  <si>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</si>
  <si>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</si>
  <si>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</si>
  <si>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</si>
  <si>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</si>
  <si>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</si>
  <si>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</si>
  <si>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</si>
  <si>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</si>
  <si>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</si>
  <si>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</si>
  <si>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</si>
  <si>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</si>
  <si>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</si>
  <si>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</si>
  <si>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</si>
  <si>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</si>
  <si>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</si>
  <si>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</si>
  <si>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</si>
  <si>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</si>
  <si>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</si>
  <si>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</si>
  <si>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</si>
  <si>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</si>
  <si>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</si>
  <si>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</si>
  <si>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</si>
  <si>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</si>
  <si>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</si>
  <si>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</si>
  <si>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</si>
  <si>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</si>
  <si>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</si>
  <si>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</si>
  <si>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</si>
  <si>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</si>
  <si>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</si>
  <si>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</si>
  <si>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</si>
  <si>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</si>
  <si>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</si>
  <si>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</si>
  <si>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</si>
  <si>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</si>
  <si>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</si>
  <si>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</si>
  <si>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</si>
  <si>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</si>
  <si>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</si>
  <si>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</si>
  <si>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</si>
  <si>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</si>
  <si>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</si>
  <si>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</si>
  <si>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</si>
  <si>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</si>
  <si>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</si>
  <si>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</si>
  <si>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</si>
  <si>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</si>
  <si>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</si>
  <si>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</si>
  <si>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</si>
  <si>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</si>
  <si>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</si>
  <si>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</si>
  <si>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</si>
  <si>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</si>
  <si>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</si>
  <si>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</si>
  <si>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</si>
  <si>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</si>
  <si>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</si>
  <si>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</si>
  <si>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</si>
  <si>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</si>
  <si>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</si>
  <si>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</si>
  <si>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</si>
  <si>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</si>
  <si>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</si>
  <si>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</si>
  <si>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</si>
  <si>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</si>
  <si>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</si>
  <si>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</si>
  <si>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</si>
  <si>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</si>
  <si>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</si>
  <si>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</si>
  <si>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</si>
  <si>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</si>
  <si>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</si>
  <si>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</si>
  <si>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</si>
  <si>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</si>
  <si>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</si>
  <si>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</si>
  <si>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</si>
  <si>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</si>
  <si>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</si>
  <si>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</si>
  <si>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</si>
  <si>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</si>
  <si>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</si>
  <si>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</si>
  <si>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</si>
  <si>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</si>
  <si>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</si>
  <si>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</si>
  <si>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</si>
  <si>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</si>
  <si>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</si>
  <si>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</si>
  <si>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</si>
  <si>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</si>
  <si>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</si>
  <si>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</si>
  <si>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</si>
  <si>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</si>
  <si>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</si>
  <si>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</si>
  <si>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</si>
  <si>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</si>
  <si>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</si>
  <si>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</si>
  <si>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</si>
  <si>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</si>
  <si>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</si>
  <si>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</si>
  <si>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</si>
  <si>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</si>
  <si>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</si>
  <si>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</si>
  <si>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</si>
  <si>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</si>
  <si>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</si>
  <si>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</si>
  <si>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</si>
  <si>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</si>
  <si>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</si>
  <si>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</si>
  <si>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</si>
  <si>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</si>
  <si>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</si>
  <si>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</si>
  <si>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</si>
  <si>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</si>
  <si>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</si>
  <si>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</si>
  <si>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</si>
  <si>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</si>
  <si>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</si>
  <si>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</si>
  <si>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</si>
  <si>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</si>
  <si>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</si>
  <si>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</si>
  <si>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</si>
  <si>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</si>
  <si>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</si>
  <si>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</si>
  <si>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</si>
  <si>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</si>
  <si>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</si>
  <si>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</si>
  <si>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</si>
  <si>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</si>
  <si>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</si>
  <si>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</si>
  <si>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</si>
  <si>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</si>
  <si>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</si>
  <si>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</si>
  <si>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</si>
  <si>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</si>
  <si>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</si>
  <si>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</si>
  <si>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</si>
  <si>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</si>
  <si>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</si>
  <si>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</si>
  <si>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</si>
  <si>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</si>
  <si>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</si>
  <si>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</si>
  <si>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</si>
  <si>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</si>
  <si>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</si>
  <si>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</si>
  <si>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</si>
  <si>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</si>
  <si>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</si>
  <si>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</si>
  <si>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</si>
  <si>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</si>
  <si>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</si>
  <si>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</si>
  <si>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</si>
  <si>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</si>
  <si>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</si>
  <si>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</si>
  <si>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</si>
  <si>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</si>
  <si>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</si>
  <si>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</si>
  <si>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</si>
  <si>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</si>
  <si>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</si>
  <si>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</si>
  <si>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</si>
  <si>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</si>
  <si>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</si>
  <si>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</si>
  <si>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</si>
  <si>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</si>
  <si>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</si>
  <si>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</si>
  <si>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</si>
  <si>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</si>
  <si>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</si>
  <si>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</si>
  <si>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</si>
  <si>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</si>
  <si>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</si>
  <si>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</si>
  <si>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</si>
  <si>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</si>
  <si>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</si>
  <si>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</si>
  <si>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</si>
  <si>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</si>
  <si>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</si>
  <si>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</si>
  <si>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</si>
  <si>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</si>
  <si>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</si>
  <si>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</si>
  <si>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</si>
  <si>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</si>
  <si>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</si>
  <si>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</si>
  <si>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</si>
  <si>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</si>
  <si>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</si>
  <si>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</si>
  <si>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</si>
  <si>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</si>
  <si>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</si>
  <si>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</si>
  <si>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</si>
  <si>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</si>
  <si>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</si>
  <si>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</si>
  <si>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</si>
  <si>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</si>
  <si>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 xml:space="preserve">Transportation Clients  </t>
  </si>
  <si>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</si>
  <si>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</si>
  <si>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</si>
  <si>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r>
      <t>HEALing Communities Study -</t>
    </r>
    <r>
      <rPr>
        <sz val="10"/>
        <color theme="1"/>
        <rFont val="Arial"/>
        <family val="2"/>
      </rPr>
      <t>Community Impact Dollars</t>
    </r>
  </si>
  <si>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</si>
  <si>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</si>
  <si>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</si>
  <si>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</si>
  <si>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</si>
  <si>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</si>
  <si>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</si>
  <si>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</si>
  <si>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</si>
  <si>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</si>
  <si>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CC Dept of Health: HEALing Community Impact $</t>
  </si>
  <si>
    <t>Total OFA-NY Connects</t>
  </si>
  <si>
    <t>Agreement</t>
  </si>
  <si>
    <t>QuickBooks AR at 08/31/2021</t>
  </si>
  <si>
    <t>Foundation Revenue - FCH, Dyson, Rip Van Winkle</t>
  </si>
  <si>
    <t xml:space="preserve">General Operating Support </t>
  </si>
  <si>
    <t>HEALing Communities Impact Dollars -  2021 Voucher</t>
  </si>
  <si>
    <t>Columbia County BOS 2022 Budget Appropriation</t>
  </si>
  <si>
    <t xml:space="preserve">Add Back Deprecation </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</si>
  <si>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</si>
  <si>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</si>
  <si>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</si>
  <si>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</si>
  <si>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County Government - 2022 </t>
  </si>
  <si>
    <t xml:space="preserve">Columbia Memorial Hospital </t>
  </si>
  <si>
    <t>Greene County Public Health Department</t>
  </si>
  <si>
    <t>Greene County Public Health</t>
  </si>
  <si>
    <t>Grants Receivable</t>
  </si>
  <si>
    <t>Transportation - Other: CMH, Greene Cty</t>
  </si>
  <si>
    <t>Total funds pending on NYS SFS Website</t>
  </si>
  <si>
    <t>Vehicle Lease Liability</t>
  </si>
  <si>
    <t>Depreciation &amp; Amortization</t>
  </si>
  <si>
    <t>Interest Expense</t>
  </si>
  <si>
    <t>Depreciation &amp; Amortization -Vehicles</t>
  </si>
  <si>
    <t>Agency</t>
  </si>
  <si>
    <t>Enterprise Fleet</t>
  </si>
  <si>
    <t xml:space="preserve">General Operating Support (12-Months) </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</si>
  <si>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</si>
  <si>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</si>
  <si>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</si>
  <si>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</si>
  <si>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</si>
  <si>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</si>
  <si>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</si>
  <si>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</si>
  <si>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</si>
  <si>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</si>
  <si>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</si>
  <si>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</si>
  <si>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</si>
  <si>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</si>
  <si>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</si>
  <si>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</si>
  <si>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</si>
  <si>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</si>
  <si>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</si>
  <si>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</si>
  <si>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</si>
  <si>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</si>
  <si>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</si>
  <si>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</si>
  <si>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</si>
  <si>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</si>
  <si>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</si>
  <si>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</si>
  <si>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</si>
  <si>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</si>
  <si>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</si>
  <si>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</si>
  <si>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</si>
  <si>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</si>
  <si>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</si>
  <si>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</si>
  <si>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</si>
  <si>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</si>
  <si>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</si>
  <si>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</si>
  <si>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</si>
  <si>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</si>
  <si>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</si>
  <si>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</si>
  <si>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</si>
  <si>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</si>
  <si>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</si>
  <si>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</si>
  <si>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</si>
  <si>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</si>
  <si>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</si>
  <si>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</si>
  <si>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</si>
  <si>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</si>
  <si>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</si>
  <si>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</si>
  <si>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</si>
  <si>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</si>
  <si>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</si>
  <si>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</si>
  <si>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NY Connects ADRC         11/22 to 09/23</t>
  </si>
  <si>
    <t xml:space="preserve">Greene County - Human Services - Transportation </t>
  </si>
  <si>
    <t xml:space="preserve">Tobacco Free Communities Grant - Yr#4 of 5 </t>
  </si>
  <si>
    <t xml:space="preserve">Senior Transportation Services - 2023 </t>
  </si>
  <si>
    <t xml:space="preserve">HEALing Communities Study  - 2023 </t>
  </si>
  <si>
    <r>
      <t>Transportation Services (2023)</t>
    </r>
    <r>
      <rPr>
        <b/>
        <sz val="11"/>
        <color rgb="FFFF0000"/>
        <rFont val="Arial"/>
        <family val="2"/>
      </rPr>
      <t xml:space="preserve">  </t>
    </r>
  </si>
  <si>
    <t>Columbia County BOS 2023 Budget Appropriation</t>
  </si>
  <si>
    <t>Columbia County Departments 2023 Donations (CARTS)</t>
  </si>
  <si>
    <t>.</t>
  </si>
  <si>
    <t>Greene County Public Health Services</t>
  </si>
  <si>
    <t>Transportation Billing Software-Kinetik</t>
  </si>
  <si>
    <t>NYSDOH 01/23 to 12/23 Yr#5 (Quarterly Voucher)</t>
  </si>
  <si>
    <t>Greene County -Dept of Social Services -</t>
  </si>
  <si>
    <t xml:space="preserve">Ancram/Copake Prescription Access (2023) </t>
  </si>
  <si>
    <t xml:space="preserve">County Government - 2023 </t>
  </si>
  <si>
    <t>2018 Ford Taurus</t>
  </si>
  <si>
    <t>2012 Ford Fusion</t>
  </si>
  <si>
    <t>2014 Dodge Grand Caravan</t>
  </si>
  <si>
    <t>2017 Dodge Grand Caravan</t>
  </si>
  <si>
    <t>2013 Dodge Grand Caravan</t>
  </si>
  <si>
    <t>2017 Ford Taurus</t>
  </si>
  <si>
    <t>Our Gain</t>
  </si>
  <si>
    <t>NY Connects E&amp;EP         04/23 to 03/24</t>
  </si>
  <si>
    <t>HEALing Comm Study contract ended March 2023</t>
  </si>
  <si>
    <t>Transportation Software Leases</t>
  </si>
  <si>
    <t>Greene County -Dept of Human Services</t>
  </si>
  <si>
    <t xml:space="preserve">Tobacco Free Communities Grant - Yr#5 of 5 </t>
  </si>
  <si>
    <t>Foundations</t>
  </si>
  <si>
    <t>Foundation Revenue-The Home for the Aged</t>
  </si>
  <si>
    <t>Greene County - Dept Human Services</t>
  </si>
  <si>
    <t>Less: Lease Payments</t>
  </si>
  <si>
    <t>Actual Expenses</t>
  </si>
  <si>
    <t>Projected Expenses</t>
  </si>
  <si>
    <t>Six Months</t>
  </si>
  <si>
    <t>Jan - June 2023</t>
  </si>
  <si>
    <t>July - Dec 2023</t>
  </si>
  <si>
    <t>Updated Budget-Transportation</t>
  </si>
  <si>
    <t>For the Years Ended December 31, 2023</t>
  </si>
  <si>
    <t>Updated Budget</t>
  </si>
  <si>
    <t>Twelve Months</t>
  </si>
  <si>
    <t>Jan - Dec 2023</t>
  </si>
  <si>
    <t>Updated 2023 Transportation Budget</t>
  </si>
  <si>
    <t>Orginial Budget</t>
  </si>
  <si>
    <t>Fund Raising Event-Net</t>
  </si>
  <si>
    <t>Orginial Assumptions</t>
  </si>
  <si>
    <t>Supplies</t>
  </si>
  <si>
    <t>Contract Professional - Sydney Keiler</t>
  </si>
  <si>
    <t>NYSDOH 07/23 to 06/24 - Year#5 of 5</t>
  </si>
  <si>
    <t>CMH - Comm Heath Plan 1st Qtr 2023</t>
  </si>
  <si>
    <t xml:space="preserve">Transportation Fundraiser </t>
  </si>
  <si>
    <t>Fundraising Event-Net</t>
  </si>
  <si>
    <t>Rip Van Winkle Foundation - CARTS</t>
  </si>
  <si>
    <t>The Home for the Aged - CARTS</t>
  </si>
  <si>
    <t>Statement of Activities-Fundraising Event of September 21, 2023</t>
  </si>
  <si>
    <t>Ticket Sales</t>
  </si>
  <si>
    <t>Total Revenue from Fundraiser</t>
  </si>
  <si>
    <t>Revenue</t>
  </si>
  <si>
    <t>Facility rental</t>
  </si>
  <si>
    <t>Catering</t>
  </si>
  <si>
    <t>Paypal processing fees</t>
  </si>
  <si>
    <t>Income from Fundraiser Event</t>
  </si>
  <si>
    <t>Sponsorships (committed)</t>
  </si>
  <si>
    <r>
      <t>Transportation Services (2024)</t>
    </r>
    <r>
      <rPr>
        <b/>
        <sz val="11"/>
        <color rgb="FFFF0000"/>
        <rFont val="Arial"/>
        <family val="2"/>
      </rPr>
      <t xml:space="preserve"> </t>
    </r>
  </si>
  <si>
    <t>Rural Health Network Program- Yr#5 of 6</t>
  </si>
  <si>
    <t xml:space="preserve">General Operating Support  (36-Months) </t>
  </si>
  <si>
    <t>For the Year Ended December 31, 2024</t>
  </si>
  <si>
    <t>Operating Budget - December 31, 2024</t>
  </si>
  <si>
    <t xml:space="preserve"> Projections - December 31, 2023</t>
  </si>
  <si>
    <t>Fundraising Events-Net</t>
  </si>
  <si>
    <t>Gain (Loss) on Investments</t>
  </si>
  <si>
    <t>2024 Operating Budget Assumptions</t>
  </si>
  <si>
    <t>Transportation Program Assistant (Full-time) hired Dec 01, 2023</t>
  </si>
  <si>
    <t>Director of Business Operations (Full-Time) hired April 01, 2024</t>
  </si>
  <si>
    <t xml:space="preserve">Fringe benefits like health &amp; dental insurance are based upon actual 2024 renewal rates. </t>
  </si>
  <si>
    <t>No changes to existing calculations for discretionary 401(k) contributions from Agency that employee receive at year end. Estimated discretionary 401(k) contribution amount for 2024 year at $25,000</t>
  </si>
  <si>
    <t>The value of the Agency's investment increases by $3,000 to $399K</t>
  </si>
  <si>
    <t>Two new positions for the 2024 year are hired with no other changes to current staffing levels</t>
  </si>
  <si>
    <t xml:space="preserve">Rural Health Network Program- Yr#6 of 6 </t>
  </si>
  <si>
    <r>
      <t xml:space="preserve">NYS Assocaition for Rural Health </t>
    </r>
    <r>
      <rPr>
        <b/>
        <sz val="11"/>
        <color rgb="FFFF0000"/>
        <rFont val="Arial"/>
        <family val="2"/>
      </rPr>
      <t>(NEW)</t>
    </r>
  </si>
  <si>
    <t>Legislative Grant</t>
  </si>
  <si>
    <t>Mother Cabrini Health Foundation</t>
  </si>
  <si>
    <t>Columbia County BOS 2024 Budget Appropriation</t>
  </si>
  <si>
    <t>Columbia County Departments 2024 Donations (CARTS)</t>
  </si>
  <si>
    <t xml:space="preserve">County Departments - 2023 </t>
  </si>
  <si>
    <t>Fundraiser - Annual Reconciliation Event</t>
  </si>
  <si>
    <t>2024 Transportation Support</t>
  </si>
  <si>
    <t>NYSDOH 01/24 to 12/24 Yr#6 (Quarterly Voucher)</t>
  </si>
  <si>
    <t>The Home for the Aged-Pledge (expect Sept'24)</t>
  </si>
  <si>
    <t>Columbia County - BOS Appropriation</t>
  </si>
  <si>
    <r>
      <t>Medicare Improvements-Patients &amp; Providers (MIPPA)</t>
    </r>
    <r>
      <rPr>
        <b/>
        <sz val="10"/>
        <color rgb="FFFF0000"/>
        <rFont val="Arial"/>
        <family val="2"/>
      </rPr>
      <t xml:space="preserve"> </t>
    </r>
  </si>
  <si>
    <t xml:space="preserve">Senior Transportation Services - 2024 </t>
  </si>
  <si>
    <t xml:space="preserve">Ancram/Copake Prescription Access (2024) </t>
  </si>
  <si>
    <r>
      <t xml:space="preserve">Transportation Services (2024)  </t>
    </r>
    <r>
      <rPr>
        <b/>
        <sz val="11"/>
        <color rgb="FFFF0000"/>
        <rFont val="Arial"/>
        <family val="2"/>
      </rPr>
      <t xml:space="preserve"> </t>
    </r>
  </si>
  <si>
    <t xml:space="preserve">County Government - 2024 </t>
  </si>
  <si>
    <t xml:space="preserve">County Departments - 2024 </t>
  </si>
  <si>
    <t>Collaborative Community Health Planning Jan'23-Dec'24</t>
  </si>
  <si>
    <t>Balance as of 01/01/2024</t>
  </si>
  <si>
    <t xml:space="preserve">For the Years Ended December 31, 2023 </t>
  </si>
  <si>
    <t xml:space="preserve">Foundation Revenue-Mother Cabrini </t>
  </si>
  <si>
    <t>Deposit of 5310 Vehicle</t>
  </si>
  <si>
    <t>NYSDOT</t>
  </si>
  <si>
    <t>2024- 2026 Operating Support</t>
  </si>
  <si>
    <t>Community Health Improvement Plan (CHIP)</t>
  </si>
  <si>
    <t>CoCo Dept of Health-Comm Health Improve Plan</t>
  </si>
  <si>
    <t>RHN Program - 1st Quarter 2024 Voucher</t>
  </si>
  <si>
    <t>Columbia County - BOS Appropriation - Payment#2 of 2</t>
  </si>
  <si>
    <t>Columbia County- Dept of Human Services (CARTS) - 1st Quarter</t>
  </si>
  <si>
    <t>Greene County Public Health Dept</t>
  </si>
  <si>
    <t>NY Connects E&amp;EP         04/24 to 03/25</t>
  </si>
  <si>
    <t>MIPPA                              04/24 to 8/24</t>
  </si>
  <si>
    <t xml:space="preserve">Mother Cabrini </t>
  </si>
  <si>
    <t>Only for Yr 2023, included an agreement for a Social Welfare Examiner</t>
  </si>
  <si>
    <t>2023 year had donations in memory of Bob LaCasse for +$3K</t>
  </si>
  <si>
    <t>June</t>
  </si>
  <si>
    <t>Navigator Program - May 2024 Voucher</t>
  </si>
  <si>
    <t>Tobacco  Program - May 2024 Voucher</t>
  </si>
  <si>
    <t>OFA:NY Connects  - May 2024 Voucher</t>
  </si>
  <si>
    <t>Tobacco Yr#4 - May 2023 Voucher</t>
  </si>
  <si>
    <t>Tobacco Program - May 2023 Voucher</t>
  </si>
  <si>
    <t>Navigator Program - April 2024 Voucher</t>
  </si>
  <si>
    <t>OFA: NY Connects - June - April 2023 Vouchers</t>
  </si>
  <si>
    <t>Tobacco Yr#4 - April 2023 Voucher</t>
  </si>
  <si>
    <t>Navigator Yr#4-April 2023 Voucher</t>
  </si>
  <si>
    <t>RHN Program - March - Mar 2022 Voucher</t>
  </si>
  <si>
    <t>OFA: MIPPA May 2024 Voucher</t>
  </si>
  <si>
    <t>Tobacco  Program - April 2024 Voucher</t>
  </si>
  <si>
    <r>
      <t xml:space="preserve">Greene County DSS </t>
    </r>
    <r>
      <rPr>
        <sz val="10"/>
        <color theme="1"/>
        <rFont val="Arial"/>
        <family val="2"/>
      </rPr>
      <t xml:space="preserve">(HEAP Program )  </t>
    </r>
    <r>
      <rPr>
        <b/>
        <sz val="10"/>
        <color rgb="FFFF0000"/>
        <rFont val="Arial"/>
        <family val="2"/>
      </rPr>
      <t xml:space="preserve">(Renewal)  </t>
    </r>
  </si>
  <si>
    <t>The Home of the Aged ($50K for 2023 &amp; 2024 Years)  (CARTS)</t>
  </si>
  <si>
    <t>Decrease of $44K in Tobacco and $6K for Navigator Programs</t>
  </si>
  <si>
    <t>For 2024, decrease due to Karen in Tobacco &amp; Lori T in CoCo Health Dept</t>
  </si>
  <si>
    <r>
      <t>è</t>
    </r>
    <r>
      <rPr>
        <b/>
        <sz val="12"/>
        <color theme="1"/>
        <rFont val="Times New Roman"/>
        <family val="1"/>
      </rPr>
      <t xml:space="preserve"> Investment - North Country Financial Group </t>
    </r>
    <r>
      <rPr>
        <sz val="12"/>
        <color theme="1"/>
        <rFont val="Calibri"/>
        <family val="2"/>
      </rPr>
      <t xml:space="preserve"> - As of August 31, 2024, the investment account value is $470K. Initial investment during the month of March 2016 was $152K. The change in value for the 2024 year is an increase of $36K. </t>
    </r>
  </si>
  <si>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2025.  </t>
    </r>
  </si>
  <si>
    <t>Ending Balance at August 31, 2024</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</si>
  <si>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August 31, 2024: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</si>
  <si>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August 31, 2024</t>
    </r>
  </si>
  <si>
    <t>Hudson River Bank Trust Foundation</t>
  </si>
  <si>
    <t>August</t>
  </si>
  <si>
    <t>Grants Receivable Aging Summary as of August 31, 2024</t>
  </si>
  <si>
    <t>July</t>
  </si>
  <si>
    <t>May &amp; Older</t>
  </si>
  <si>
    <t>Payments Received After August 31, 2024</t>
  </si>
  <si>
    <t>Lori Torgersen</t>
  </si>
  <si>
    <t>Tobacco Program - June 2024 Voucher</t>
  </si>
  <si>
    <t>Eight Months Ended August 31, 2024 and 2023</t>
  </si>
  <si>
    <t>NYSDOH 08/23 to 07/24 - Year#5 of 6</t>
  </si>
  <si>
    <t>NYSDOH 08/24 to 07/25 - Year#6 of 6</t>
  </si>
  <si>
    <t>Miscellaneous</t>
  </si>
  <si>
    <t>Grants Receivable at 8/31/2024</t>
  </si>
  <si>
    <t>The Home for the Aged</t>
  </si>
  <si>
    <t>Total AR Payments Received After August 31, 2024</t>
  </si>
  <si>
    <t>August 31st AR Balance at September 24, 2024</t>
  </si>
  <si>
    <t>OFA: Senior Transportation - July 2024 Voucher</t>
  </si>
  <si>
    <t>OFA: MIPPA - June 2024</t>
  </si>
  <si>
    <t>OFA: MIPPA - July 2024</t>
  </si>
  <si>
    <t>Foundation for Community Health -CARTS for 2025 Year</t>
  </si>
  <si>
    <t>Rural Health Network - 2nd Qrt Voucher</t>
  </si>
  <si>
    <t>Navigator Program - July 2024 Voucher</t>
  </si>
  <si>
    <t>In Person Assistors &amp; Navigators- Yr#5 of 6</t>
  </si>
  <si>
    <r>
      <t xml:space="preserve">In Person Assistors &amp; Navigators-Yr#6 of 6 </t>
    </r>
    <r>
      <rPr>
        <b/>
        <sz val="11"/>
        <color rgb="FFFF0000"/>
        <rFont val="Arial"/>
        <family val="2"/>
      </rPr>
      <t>(Renewal)</t>
    </r>
  </si>
  <si>
    <r>
      <t xml:space="preserve">Greene County DSS </t>
    </r>
    <r>
      <rPr>
        <sz val="10"/>
        <color theme="1"/>
        <rFont val="Arial"/>
        <family val="2"/>
      </rPr>
      <t xml:space="preserve">(Family-Centered Case Management) </t>
    </r>
    <r>
      <rPr>
        <b/>
        <sz val="10"/>
        <color rgb="FFFF0000"/>
        <rFont val="Arial"/>
        <family val="2"/>
      </rPr>
      <t>(NEW)</t>
    </r>
    <r>
      <rPr>
        <sz val="10"/>
        <color theme="1"/>
        <rFont val="Arial"/>
        <family val="2"/>
      </rPr>
      <t xml:space="preserve"> </t>
    </r>
  </si>
  <si>
    <r>
      <t>Transportation Services (2024 - 2025) (</t>
    </r>
    <r>
      <rPr>
        <b/>
        <sz val="11"/>
        <color rgb="FFFF0000"/>
        <rFont val="Arial"/>
        <family val="2"/>
      </rPr>
      <t>New)</t>
    </r>
  </si>
  <si>
    <t>Savings - Live Oak Bank</t>
  </si>
  <si>
    <t>Fundraising Event (Annual Recognition + CARTS)</t>
  </si>
  <si>
    <t>August'24 vs.'23</t>
  </si>
  <si>
    <r>
      <t>è</t>
    </r>
    <r>
      <rPr>
        <b/>
        <sz val="12"/>
        <color theme="1"/>
        <rFont val="Times New Roman"/>
        <family val="1"/>
      </rPr>
      <t xml:space="preserve"> Cash</t>
    </r>
    <r>
      <rPr>
        <sz val="12"/>
        <color theme="1"/>
        <rFont val="Calibri"/>
        <family val="2"/>
      </rPr>
      <t xml:space="preserve"> -  Cash balance in the operating checking account started the 2024 year off with $662K and ended in the month of August 2024 with $432K. The low cash balance on August 28, 2024, was $410K &amp; and the high cash balance on January 1, 2024, was $662K. The average daily balance for the 2024 &amp; 2023 years were $550K and $411K, respectively. </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</si>
  <si>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August 31, 2024, our Grant Receivable is $324K. We expect to collect on all receivables.  </t>
    </r>
  </si>
  <si>
    <t>Total Grant Receivable - August 2024</t>
  </si>
  <si>
    <t>Navigator/         NY Connects</t>
  </si>
  <si>
    <t>Intelligent Tech Solutions</t>
  </si>
  <si>
    <t>Dell All-In-One Computer</t>
  </si>
  <si>
    <r>
      <t>è</t>
    </r>
    <r>
      <rPr>
        <b/>
        <sz val="12"/>
        <color theme="1"/>
        <rFont val="Times New Roman"/>
        <family val="1"/>
      </rPr>
      <t xml:space="preserve">Accounts Payable - </t>
    </r>
    <r>
      <rPr>
        <sz val="12"/>
        <color theme="1"/>
        <rFont val="Calibri"/>
        <family val="2"/>
        <scheme val="minor"/>
      </rPr>
      <t xml:space="preserve">At August 31, 2024, accounts payable liability is $8.7K. All accounts payable liability is being paid timely within 28 days. </t>
    </r>
  </si>
  <si>
    <t>As of August 31, 2024</t>
  </si>
  <si>
    <t>Increase in 2024 for riders with Medicaid</t>
  </si>
  <si>
    <t>Addition of Mother Cabrini for 2024 Yr plus usage of FCH Operating</t>
  </si>
  <si>
    <t>For 2024, additional interest from Live Oak Savings</t>
  </si>
  <si>
    <t>For 2024, $6K decrease for Tobacco</t>
  </si>
  <si>
    <t>For 2024, $10K decrease in RX for Dyson and no NY Connects ADRC in 2024 Yr ($7.3K in 2023)</t>
  </si>
  <si>
    <t>For 2024 yr, additional $24K for Sydney Keiler</t>
  </si>
  <si>
    <t>In 2023 yr., Tobacco had an additional $24K in advertising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</si>
</sst>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 numFmtId="173" formatCode="#,##0.0_);[Red]\(#,##0.0\)"/>
  </numFmts>
  <fonts count="7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
      <sz val="15"/>
      <color theme="1"/>
      <name val="Arial"/>
      <family val="2"/>
    </font>
    <font>
      <sz val="14"/>
      <color rgb="FFFF0000"/>
      <name val="Arial"/>
      <family val="2"/>
    </font>
    <font>
      <sz val="14"/>
      <name val="Arial"/>
      <family val="2"/>
    </font>
  </fonts>
  <fills count="2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FFC00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875">
    <xf numFmtId="0" fontId="0" fillId="0" borderId="0" xfId="0"/>
    <xf numFmtId="0" fontId="0" fillId="0" borderId="2" xfId="0" applyBorder="1"/>
    <xf numFmtId="0" fontId="0" fillId="2" borderId="0" xfId="0" applyFill="1"/>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1" xfId="0" applyBorder="1"/>
    <xf numFmtId="4" fontId="0" fillId="0" borderId="0" xfId="0" applyNumberFormat="1"/>
    <xf numFmtId="0" fontId="7" fillId="0" borderId="0" xfId="0" applyFont="1"/>
    <xf numFmtId="0" fontId="8" fillId="0" borderId="0" xfId="0" applyFont="1" applyAlignment="1">
      <alignment horizontal="center"/>
    </xf>
    <xf numFmtId="0" fontId="8" fillId="0" borderId="0" xfId="0" applyFont="1"/>
    <xf numFmtId="14" fontId="7" fillId="0" borderId="0" xfId="0" applyNumberFormat="1" applyFont="1" applyAlignment="1">
      <alignment horizontal="left"/>
    </xf>
    <xf numFmtId="0" fontId="9" fillId="3" borderId="3" xfId="0" applyFont="1" applyFill="1"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xf numFmtId="40" fontId="0" fillId="0" borderId="0" xfId="0" applyNumberFormat="1"/>
    <xf numFmtId="4" fontId="8" fillId="0" borderId="0" xfId="0" applyNumberFormat="1" applyFont="1"/>
    <xf numFmtId="40" fontId="10" fillId="0" borderId="0" xfId="0" applyNumberFormat="1" applyFont="1"/>
    <xf numFmtId="4" fontId="10" fillId="0" borderId="0" xfId="0" applyNumberFormat="1" applyFont="1"/>
    <xf numFmtId="0" fontId="10" fillId="0" borderId="0" xfId="0" applyFont="1"/>
    <xf numFmtId="40" fontId="0" fillId="0" borderId="0" xfId="0" applyNumberFormat="1" applyAlignment="1">
      <alignment horizontal="center"/>
    </xf>
    <xf numFmtId="4" fontId="0" fillId="0" borderId="0" xfId="0" applyNumberFormat="1" applyAlignment="1">
      <alignment horizontal="center"/>
    </xf>
    <xf numFmtId="40" fontId="9" fillId="0" borderId="0" xfId="0" applyNumberFormat="1" applyFont="1"/>
    <xf numFmtId="4" fontId="9" fillId="0" borderId="0" xfId="0" applyNumberFormat="1" applyFont="1"/>
    <xf numFmtId="0" fontId="9" fillId="0" borderId="0" xfId="0" applyFont="1"/>
    <xf numFmtId="40" fontId="7" fillId="0" borderId="0" xfId="0" applyNumberFormat="1" applyFont="1"/>
    <xf numFmtId="4" fontId="7" fillId="0" borderId="0" xfId="0" applyNumberFormat="1" applyFont="1"/>
    <xf numFmtId="0" fontId="0" fillId="0" borderId="11" xfId="0" applyBorder="1"/>
    <xf numFmtId="4" fontId="0" fillId="0" borderId="0" xfId="0" applyNumberFormat="1" applyAlignment="1">
      <alignment horizontal="left"/>
    </xf>
    <xf numFmtId="40" fontId="6" fillId="0" borderId="0" xfId="0" applyNumberFormat="1" applyFont="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3" borderId="0" xfId="0" applyFont="1" applyFill="1"/>
    <xf numFmtId="0" fontId="9" fillId="3" borderId="5" xfId="0" applyFont="1" applyFill="1" applyBorder="1"/>
    <xf numFmtId="0" fontId="9" fillId="4" borderId="13" xfId="0" applyFont="1" applyFill="1" applyBorder="1"/>
    <xf numFmtId="0" fontId="9" fillId="4" borderId="14" xfId="0" applyFont="1" applyFill="1" applyBorder="1"/>
    <xf numFmtId="0" fontId="9" fillId="3" borderId="16" xfId="0" applyFont="1" applyFill="1" applyBorder="1"/>
    <xf numFmtId="49" fontId="11" fillId="0" borderId="0" xfId="0" applyNumberFormat="1" applyFont="1" applyAlignment="1">
      <alignment horizontal="center"/>
    </xf>
    <xf numFmtId="0" fontId="11" fillId="0" borderId="0" xfId="0"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Alignment="1">
      <alignment vertical="center"/>
    </xf>
    <xf numFmtId="0" fontId="17" fillId="0" borderId="30" xfId="0" applyFont="1" applyBorder="1" applyAlignment="1">
      <alignment vertical="center"/>
    </xf>
    <xf numFmtId="49" fontId="14" fillId="0" borderId="0" xfId="0" applyNumberFormat="1" applyFont="1" applyAlignment="1">
      <alignment vertical="center"/>
    </xf>
    <xf numFmtId="0" fontId="0" fillId="0" borderId="0" xfId="0" applyAlignment="1">
      <alignment vertical="center"/>
    </xf>
    <xf numFmtId="49" fontId="14" fillId="0" borderId="0" xfId="0" applyNumberFormat="1" applyFont="1"/>
    <xf numFmtId="49" fontId="14" fillId="0" borderId="2" xfId="0" applyNumberFormat="1" applyFont="1" applyBorder="1"/>
    <xf numFmtId="49" fontId="18" fillId="0" borderId="0" xfId="0" applyNumberFormat="1" applyFont="1" applyAlignment="1">
      <alignment vertical="center"/>
    </xf>
    <xf numFmtId="49" fontId="18" fillId="0" borderId="2"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Alignment="1">
      <alignment vertical="center"/>
    </xf>
    <xf numFmtId="0" fontId="15" fillId="0" borderId="3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49" fontId="20" fillId="0" borderId="0" xfId="0" applyNumberFormat="1" applyFont="1" applyAlignment="1">
      <alignment horizontal="center"/>
    </xf>
    <xf numFmtId="0" fontId="0" fillId="5" borderId="0" xfId="0" applyFill="1"/>
    <xf numFmtId="49" fontId="21" fillId="0" borderId="0" xfId="0" applyNumberFormat="1" applyFont="1" applyAlignment="1">
      <alignment horizontal="center"/>
    </xf>
    <xf numFmtId="0" fontId="0" fillId="6" borderId="0" xfId="0" applyFill="1"/>
    <xf numFmtId="49" fontId="22" fillId="6" borderId="0" xfId="0" applyNumberFormat="1" applyFont="1" applyFill="1"/>
    <xf numFmtId="0" fontId="0" fillId="7" borderId="0" xfId="0" applyFill="1"/>
    <xf numFmtId="49" fontId="22" fillId="7" borderId="0" xfId="0" applyNumberFormat="1" applyFont="1" applyFill="1"/>
    <xf numFmtId="0" fontId="0" fillId="7" borderId="0" xfId="0" applyFill="1" applyAlignment="1">
      <alignment horizontal="center"/>
    </xf>
    <xf numFmtId="49" fontId="21" fillId="0" borderId="0" xfId="0" applyNumberFormat="1" applyFont="1" applyAlignment="1">
      <alignment horizontal="left"/>
    </xf>
    <xf numFmtId="0" fontId="0" fillId="10" borderId="0" xfId="0" applyFill="1"/>
    <xf numFmtId="0" fontId="0" fillId="8" borderId="0" xfId="0" applyFill="1"/>
    <xf numFmtId="49" fontId="21" fillId="0" borderId="0" xfId="0" applyNumberFormat="1" applyFont="1"/>
    <xf numFmtId="0" fontId="0" fillId="0" borderId="3" xfId="0" applyBorder="1"/>
    <xf numFmtId="0" fontId="0" fillId="8" borderId="3" xfId="0" applyFill="1" applyBorder="1"/>
    <xf numFmtId="49" fontId="22" fillId="8" borderId="0" xfId="0" applyNumberFormat="1" applyFont="1" applyFill="1"/>
    <xf numFmtId="0" fontId="0" fillId="11" borderId="0" xfId="0" applyFill="1" applyAlignment="1">
      <alignment horizontal="center"/>
    </xf>
    <xf numFmtId="0" fontId="0" fillId="9" borderId="0" xfId="0" applyFill="1" applyAlignment="1">
      <alignment horizontal="center"/>
    </xf>
    <xf numFmtId="0" fontId="21" fillId="0" borderId="0" xfId="0" applyFont="1"/>
    <xf numFmtId="0" fontId="0" fillId="12" borderId="0" xfId="0" applyFill="1"/>
    <xf numFmtId="0" fontId="23" fillId="0" borderId="0" xfId="0" applyFont="1"/>
    <xf numFmtId="0" fontId="0" fillId="0" borderId="0" xfId="0" applyAlignment="1">
      <alignment horizontal="right"/>
    </xf>
    <xf numFmtId="49" fontId="22" fillId="5" borderId="0" xfId="0" applyNumberFormat="1" applyFont="1" applyFill="1"/>
    <xf numFmtId="49" fontId="22" fillId="7" borderId="0" xfId="0" applyNumberFormat="1" applyFont="1" applyFill="1" applyAlignment="1">
      <alignment horizontal="left"/>
    </xf>
    <xf numFmtId="49" fontId="22" fillId="10" borderId="0" xfId="0" applyNumberFormat="1" applyFont="1" applyFill="1"/>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9" borderId="34" xfId="0" applyNumberFormat="1" applyFont="1" applyFill="1" applyBorder="1"/>
    <xf numFmtId="49" fontId="21" fillId="5" borderId="37" xfId="0" applyNumberFormat="1" applyFont="1" applyFill="1" applyBorder="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Border="1" applyAlignment="1">
      <alignment vertical="center"/>
    </xf>
    <xf numFmtId="49" fontId="14" fillId="0" borderId="27" xfId="0" applyNumberFormat="1" applyFont="1" applyBorder="1"/>
    <xf numFmtId="0" fontId="0" fillId="0" borderId="27" xfId="0" applyBorder="1"/>
    <xf numFmtId="49" fontId="21" fillId="5" borderId="39" xfId="0" applyNumberFormat="1" applyFont="1" applyFill="1" applyBorder="1"/>
    <xf numFmtId="0" fontId="0" fillId="4" borderId="33" xfId="0" applyFill="1" applyBorder="1"/>
    <xf numFmtId="0" fontId="0" fillId="4" borderId="33" xfId="0" applyFill="1" applyBorder="1" applyAlignment="1">
      <alignment horizontal="center"/>
    </xf>
    <xf numFmtId="40" fontId="0" fillId="4" borderId="33" xfId="0" applyNumberFormat="1" applyFill="1" applyBorder="1"/>
    <xf numFmtId="40" fontId="0" fillId="4" borderId="42" xfId="0" applyNumberFormat="1" applyFill="1" applyBorder="1"/>
    <xf numFmtId="0" fontId="20" fillId="0" borderId="0" xfId="0" applyFont="1" applyAlignment="1">
      <alignment horizontal="center"/>
    </xf>
    <xf numFmtId="0" fontId="23" fillId="0" borderId="0" xfId="0"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0" fillId="0" borderId="0" xfId="0" applyNumberFormat="1" applyAlignment="1">
      <alignment horizontal="right"/>
    </xf>
    <xf numFmtId="6" fontId="0" fillId="5" borderId="18" xfId="0" applyNumberFormat="1" applyFill="1" applyBorder="1"/>
    <xf numFmtId="6" fontId="21" fillId="5" borderId="19" xfId="0" applyNumberFormat="1" applyFont="1" applyFill="1" applyBorder="1" applyAlignment="1">
      <alignment horizontal="center"/>
    </xf>
    <xf numFmtId="6" fontId="0" fillId="0" borderId="0" xfId="0" applyNumberFormat="1"/>
    <xf numFmtId="6" fontId="0" fillId="5" borderId="0" xfId="0" applyNumberFormat="1" applyFill="1"/>
    <xf numFmtId="6" fontId="0" fillId="6" borderId="18" xfId="0" applyNumberForma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ill="1"/>
    <xf numFmtId="6" fontId="0" fillId="7" borderId="18" xfId="0" applyNumberForma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Alignment="1">
      <alignment horizontal="center"/>
    </xf>
    <xf numFmtId="6" fontId="0" fillId="7" borderId="0" xfId="0" applyNumberFormat="1" applyFill="1" applyAlignment="1">
      <alignment horizontal="center"/>
    </xf>
    <xf numFmtId="6" fontId="0" fillId="10" borderId="18" xfId="0" applyNumberForma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ill="1"/>
    <xf numFmtId="6" fontId="0" fillId="8" borderId="35" xfId="0" applyNumberForma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Border="1"/>
    <xf numFmtId="6" fontId="0" fillId="8" borderId="2" xfId="0" applyNumberFormat="1" applyFill="1" applyBorder="1"/>
    <xf numFmtId="6" fontId="0" fillId="8" borderId="18" xfId="0" applyNumberFormat="1" applyFill="1" applyBorder="1"/>
    <xf numFmtId="6" fontId="0" fillId="11" borderId="0" xfId="0" applyNumberFormat="1" applyFill="1" applyAlignment="1">
      <alignment horizontal="center"/>
    </xf>
    <xf numFmtId="6" fontId="0" fillId="9" borderId="35" xfId="0" applyNumberFormat="1" applyFill="1" applyBorder="1"/>
    <xf numFmtId="6" fontId="0" fillId="9" borderId="0" xfId="0" applyNumberFormat="1" applyFill="1"/>
    <xf numFmtId="6" fontId="0" fillId="0" borderId="0" xfId="0" applyNumberFormat="1" applyAlignment="1">
      <alignment horizontal="right"/>
    </xf>
    <xf numFmtId="41" fontId="0" fillId="0" borderId="0" xfId="0" applyNumberFormat="1"/>
    <xf numFmtId="41" fontId="13" fillId="0" borderId="0" xfId="0" applyNumberFormat="1" applyFont="1"/>
    <xf numFmtId="41" fontId="14" fillId="0" borderId="0" xfId="0" applyNumberFormat="1" applyFont="1" applyAlignment="1">
      <alignment horizontal="center" vertical="center"/>
    </xf>
    <xf numFmtId="41" fontId="18" fillId="0" borderId="0" xfId="0" applyNumberFormat="1" applyFont="1" applyAlignment="1">
      <alignment vertical="center"/>
    </xf>
    <xf numFmtId="41" fontId="18" fillId="0" borderId="27" xfId="0" applyNumberFormat="1" applyFont="1" applyBorder="1"/>
    <xf numFmtId="41" fontId="18" fillId="0" borderId="2" xfId="0" applyNumberFormat="1" applyFont="1" applyBorder="1" applyAlignment="1">
      <alignment vertical="center"/>
    </xf>
    <xf numFmtId="41" fontId="14" fillId="0" borderId="0" xfId="0" applyNumberFormat="1" applyFont="1" applyAlignment="1">
      <alignment vertical="center"/>
    </xf>
    <xf numFmtId="41" fontId="18" fillId="0" borderId="2" xfId="0" applyNumberFormat="1" applyFont="1" applyBorder="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2" fontId="18" fillId="0" borderId="0" xfId="0" applyNumberFormat="1" applyFont="1" applyAlignment="1">
      <alignment vertical="center"/>
    </xf>
    <xf numFmtId="42" fontId="15" fillId="0" borderId="31" xfId="0" applyNumberFormat="1" applyFont="1" applyBorder="1" applyAlignment="1">
      <alignment vertical="center"/>
    </xf>
    <xf numFmtId="41" fontId="0" fillId="0" borderId="0" xfId="0" applyNumberFormat="1" applyAlignment="1">
      <alignment vertical="center"/>
    </xf>
    <xf numFmtId="165" fontId="0" fillId="0" borderId="0" xfId="1" applyNumberFormat="1" applyFont="1" applyFill="1" applyBorder="1" applyAlignment="1"/>
    <xf numFmtId="42" fontId="0" fillId="0" borderId="0" xfId="0" applyNumberFormat="1"/>
    <xf numFmtId="42" fontId="6" fillId="0" borderId="0" xfId="0" applyNumberFormat="1" applyFont="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18" fillId="0" borderId="0" xfId="0" applyNumberFormat="1" applyFont="1"/>
    <xf numFmtId="49" fontId="15" fillId="0" borderId="0" xfId="0" applyNumberFormat="1" applyFont="1" applyAlignment="1">
      <alignment vertical="center"/>
    </xf>
    <xf numFmtId="42" fontId="15" fillId="0" borderId="0" xfId="0" applyNumberFormat="1" applyFont="1" applyAlignment="1">
      <alignment vertical="center"/>
    </xf>
    <xf numFmtId="41" fontId="16" fillId="0" borderId="0" xfId="0" applyNumberFormat="1" applyFont="1" applyAlignment="1">
      <alignment vertical="center"/>
    </xf>
    <xf numFmtId="49" fontId="19" fillId="0" borderId="0" xfId="0" applyNumberFormat="1" applyFont="1" applyAlignment="1">
      <alignment vertical="center"/>
    </xf>
    <xf numFmtId="42" fontId="14" fillId="0" borderId="0" xfId="0" applyNumberFormat="1" applyFont="1" applyAlignment="1">
      <alignment vertical="center"/>
    </xf>
    <xf numFmtId="0" fontId="27" fillId="0" borderId="0" xfId="0" applyFont="1"/>
    <xf numFmtId="41" fontId="27" fillId="0" borderId="0" xfId="0" applyNumberFormat="1" applyFont="1" applyAlignment="1">
      <alignment vertical="center"/>
    </xf>
    <xf numFmtId="41" fontId="18" fillId="0" borderId="0" xfId="0" applyNumberFormat="1" applyFont="1" applyAlignment="1">
      <alignment horizontal="right" vertical="center"/>
    </xf>
    <xf numFmtId="41" fontId="27" fillId="0" borderId="0" xfId="0" applyNumberFormat="1" applyFont="1"/>
    <xf numFmtId="0" fontId="28" fillId="0" borderId="0" xfId="0" applyFont="1"/>
    <xf numFmtId="38" fontId="18" fillId="0" borderId="0" xfId="0" applyNumberFormat="1" applyFont="1" applyAlignment="1">
      <alignment vertical="center"/>
    </xf>
    <xf numFmtId="166" fontId="29" fillId="0" borderId="27" xfId="0" applyNumberFormat="1" applyFont="1" applyBorder="1" applyAlignment="1">
      <alignment horizontal="center"/>
    </xf>
    <xf numFmtId="10" fontId="0" fillId="0" borderId="0" xfId="0" applyNumberFormat="1"/>
    <xf numFmtId="0" fontId="30" fillId="0" borderId="0" xfId="0" applyFont="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Border="1"/>
    <xf numFmtId="0" fontId="0" fillId="0" borderId="46" xfId="0"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Border="1" applyAlignment="1">
      <alignment horizontal="center"/>
    </xf>
    <xf numFmtId="0" fontId="0" fillId="0" borderId="49" xfId="0" applyBorder="1" applyAlignment="1">
      <alignment horizontal="center"/>
    </xf>
    <xf numFmtId="42" fontId="6" fillId="3" borderId="40" xfId="0" applyNumberFormat="1" applyFont="1" applyFill="1" applyBorder="1"/>
    <xf numFmtId="41" fontId="0" fillId="0" borderId="49" xfId="1" applyNumberFormat="1" applyFont="1" applyFill="1" applyBorder="1" applyAlignment="1"/>
    <xf numFmtId="41" fontId="0" fillId="0" borderId="46" xfId="1" applyNumberFormat="1" applyFont="1" applyFill="1" applyBorder="1" applyAlignment="1"/>
    <xf numFmtId="42" fontId="6" fillId="3" borderId="50" xfId="0" applyNumberFormat="1" applyFont="1" applyFill="1" applyBorder="1"/>
    <xf numFmtId="42" fontId="6" fillId="3" borderId="51" xfId="0" applyNumberFormat="1" applyFont="1" applyFill="1" applyBorder="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xf numFmtId="40" fontId="7" fillId="4" borderId="36" xfId="0" applyNumberFormat="1" applyFont="1" applyFill="1" applyBorder="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xf numFmtId="167" fontId="0" fillId="0" borderId="0" xfId="0" applyNumberFormat="1" applyAlignment="1">
      <alignment horizontal="right"/>
    </xf>
    <xf numFmtId="167" fontId="0" fillId="0" borderId="0" xfId="0" applyNumberFormat="1"/>
    <xf numFmtId="0" fontId="31" fillId="0" borderId="0" xfId="0" applyFont="1" applyAlignment="1">
      <alignment horizontal="center"/>
    </xf>
    <xf numFmtId="0" fontId="25" fillId="0" borderId="0" xfId="0"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5" xfId="0" applyBorder="1" applyAlignment="1">
      <alignment horizontal="center" vertical="center"/>
    </xf>
    <xf numFmtId="42" fontId="14" fillId="0" borderId="31" xfId="0" applyNumberFormat="1" applyFont="1" applyBorder="1" applyAlignment="1">
      <alignment vertical="center"/>
    </xf>
    <xf numFmtId="166" fontId="29" fillId="0" borderId="0" xfId="0" applyNumberFormat="1" applyFont="1" applyAlignment="1">
      <alignment horizontal="center"/>
    </xf>
    <xf numFmtId="41" fontId="16" fillId="0" borderId="55" xfId="0" applyNumberFormat="1" applyFont="1" applyBorder="1" applyAlignment="1">
      <alignment vertical="center"/>
    </xf>
    <xf numFmtId="41" fontId="14" fillId="0" borderId="55" xfId="0" applyNumberFormat="1" applyFont="1" applyBorder="1" applyAlignment="1">
      <alignment vertical="center"/>
    </xf>
    <xf numFmtId="41" fontId="21" fillId="5" borderId="16" xfId="0" applyNumberFormat="1" applyFont="1" applyFill="1" applyBorder="1" applyAlignment="1">
      <alignment horizontal="left"/>
    </xf>
    <xf numFmtId="41" fontId="0" fillId="0" borderId="11" xfId="1" applyNumberFormat="1" applyFont="1" applyFill="1" applyBorder="1" applyAlignment="1"/>
    <xf numFmtId="41" fontId="0" fillId="0" borderId="11" xfId="0" applyNumberFormat="1" applyBorder="1"/>
    <xf numFmtId="0" fontId="0" fillId="0" borderId="52" xfId="0" applyBorder="1"/>
    <xf numFmtId="41" fontId="0" fillId="0" borderId="53" xfId="1" applyNumberFormat="1" applyFont="1" applyFill="1" applyBorder="1" applyAlignment="1"/>
    <xf numFmtId="41" fontId="0" fillId="0" borderId="54" xfId="1" applyNumberFormat="1" applyFont="1" applyFill="1" applyBorder="1" applyAlignment="1"/>
    <xf numFmtId="0" fontId="0" fillId="0" borderId="15" xfId="0" applyBorder="1"/>
    <xf numFmtId="41" fontId="0" fillId="0" borderId="56" xfId="1" applyNumberFormat="1" applyFont="1" applyFill="1" applyBorder="1" applyAlignment="1"/>
    <xf numFmtId="0" fontId="0" fillId="0" borderId="26" xfId="0"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Alignment="1">
      <alignment vertical="center"/>
    </xf>
    <xf numFmtId="49" fontId="32" fillId="0" borderId="0" xfId="0" applyNumberFormat="1" applyFont="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xf numFmtId="49" fontId="22" fillId="12" borderId="2" xfId="0" applyNumberFormat="1" applyFont="1" applyFill="1" applyBorder="1"/>
    <xf numFmtId="41" fontId="0" fillId="0" borderId="6" xfId="0" applyNumberFormat="1" applyBorder="1" applyAlignment="1">
      <alignment horizontal="right"/>
    </xf>
    <xf numFmtId="42" fontId="0" fillId="0" borderId="0" xfId="0" applyNumberFormat="1" applyAlignment="1">
      <alignment horizontal="right"/>
    </xf>
    <xf numFmtId="42" fontId="15" fillId="0" borderId="55"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8" fontId="13" fillId="0" borderId="0" xfId="0" applyNumberFormat="1" applyFont="1"/>
    <xf numFmtId="8" fontId="0" fillId="0" borderId="0" xfId="0" applyNumberFormat="1" applyAlignment="1">
      <alignment horizontal="center" vertical="center"/>
    </xf>
    <xf numFmtId="8" fontId="17" fillId="0" borderId="0" xfId="0" applyNumberFormat="1" applyFont="1" applyAlignment="1">
      <alignment vertical="center"/>
    </xf>
    <xf numFmtId="8" fontId="0" fillId="0" borderId="0" xfId="0" applyNumberFormat="1" applyAlignment="1">
      <alignment vertical="center"/>
    </xf>
    <xf numFmtId="8" fontId="0" fillId="0" borderId="0" xfId="0" applyNumberFormat="1"/>
    <xf numFmtId="8" fontId="15" fillId="0" borderId="0" xfId="0" applyNumberFormat="1" applyFont="1" applyAlignment="1">
      <alignment vertical="center"/>
    </xf>
    <xf numFmtId="8" fontId="11" fillId="0" borderId="0" xfId="0" applyNumberFormat="1" applyFont="1" applyAlignment="1">
      <alignment vertical="center"/>
    </xf>
    <xf numFmtId="49" fontId="21" fillId="9" borderId="16" xfId="0" applyNumberFormat="1" applyFont="1" applyFill="1" applyBorder="1"/>
    <xf numFmtId="49" fontId="21" fillId="13" borderId="33" xfId="0" applyNumberFormat="1" applyFont="1" applyFill="1" applyBorder="1"/>
    <xf numFmtId="6" fontId="21" fillId="13" borderId="38" xfId="1" applyNumberFormat="1" applyFont="1" applyFill="1" applyBorder="1" applyAlignment="1">
      <alignment horizontal="right"/>
    </xf>
    <xf numFmtId="42" fontId="6" fillId="3" borderId="58" xfId="1" applyNumberFormat="1" applyFont="1" applyFill="1" applyBorder="1" applyAlignment="1"/>
    <xf numFmtId="42" fontId="6" fillId="3" borderId="38" xfId="1" applyNumberFormat="1" applyFont="1" applyFill="1" applyBorder="1" applyAlignment="1"/>
    <xf numFmtId="42" fontId="6" fillId="3" borderId="59" xfId="1" applyNumberFormat="1" applyFont="1" applyFill="1" applyBorder="1" applyAlignment="1"/>
    <xf numFmtId="42" fontId="6" fillId="3" borderId="60"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Alignment="1">
      <alignment vertical="center"/>
    </xf>
    <xf numFmtId="42" fontId="0" fillId="0" borderId="0" xfId="0" applyNumberFormat="1" applyAlignment="1">
      <alignment vertical="center"/>
    </xf>
    <xf numFmtId="41" fontId="33" fillId="0" borderId="49" xfId="1" applyNumberFormat="1" applyFont="1" applyFill="1" applyBorder="1" applyAlignment="1"/>
    <xf numFmtId="14" fontId="0" fillId="0" borderId="46" xfId="0" applyNumberFormat="1" applyBorder="1" applyAlignment="1">
      <alignment horizontal="center"/>
    </xf>
    <xf numFmtId="6" fontId="0" fillId="0" borderId="55" xfId="0" applyNumberFormat="1" applyBorder="1" applyAlignment="1">
      <alignment horizontal="right"/>
    </xf>
    <xf numFmtId="44" fontId="0" fillId="0" borderId="0" xfId="0" applyNumberFormat="1" applyAlignment="1">
      <alignment vertical="center"/>
    </xf>
    <xf numFmtId="42" fontId="11" fillId="0" borderId="0" xfId="0" applyNumberFormat="1" applyFont="1" applyAlignment="1">
      <alignment vertical="center"/>
    </xf>
    <xf numFmtId="0" fontId="27" fillId="0" borderId="0" xfId="0" applyFont="1" applyAlignment="1">
      <alignment vertical="center"/>
    </xf>
    <xf numFmtId="0" fontId="14" fillId="0" borderId="0" xfId="0" applyFont="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0" fontId="0" fillId="9" borderId="34" xfId="0" applyFill="1" applyBorder="1" applyAlignment="1">
      <alignment horizontal="center"/>
    </xf>
    <xf numFmtId="38" fontId="0" fillId="9" borderId="39" xfId="0" applyNumberFormat="1" applyFill="1" applyBorder="1" applyAlignment="1">
      <alignment horizontal="center"/>
    </xf>
    <xf numFmtId="38" fontId="0" fillId="9" borderId="37" xfId="0" applyNumberFormat="1" applyFill="1" applyBorder="1" applyAlignment="1">
      <alignment horizontal="center"/>
    </xf>
    <xf numFmtId="165" fontId="46" fillId="0" borderId="0" xfId="0" applyNumberFormat="1" applyFont="1" applyAlignment="1">
      <alignment horizontal="center" vertical="center"/>
    </xf>
    <xf numFmtId="6" fontId="22" fillId="9" borderId="0" xfId="0" applyNumberFormat="1" applyFont="1" applyFill="1"/>
    <xf numFmtId="6" fontId="21" fillId="9" borderId="19" xfId="0" applyNumberFormat="1" applyFont="1" applyFill="1" applyBorder="1" applyAlignment="1">
      <alignment horizontal="center"/>
    </xf>
    <xf numFmtId="6" fontId="21" fillId="0" borderId="0" xfId="1" applyNumberFormat="1" applyFont="1" applyFill="1" applyBorder="1" applyAlignment="1">
      <alignment horizontal="right"/>
    </xf>
    <xf numFmtId="6" fontId="21" fillId="14" borderId="38" xfId="1" applyNumberFormat="1" applyFont="1" applyFill="1" applyBorder="1" applyAlignment="1">
      <alignment horizontal="right"/>
    </xf>
    <xf numFmtId="38" fontId="21" fillId="14" borderId="38" xfId="1" applyNumberFormat="1" applyFont="1" applyFill="1" applyBorder="1" applyAlignment="1">
      <alignment horizontal="right"/>
    </xf>
    <xf numFmtId="42" fontId="6" fillId="2" borderId="44" xfId="0" applyNumberFormat="1" applyFont="1" applyFill="1" applyBorder="1"/>
    <xf numFmtId="40" fontId="48" fillId="0" borderId="0" xfId="0" applyNumberFormat="1" applyFont="1" applyAlignment="1">
      <alignment horizontal="center" vertical="center"/>
    </xf>
    <xf numFmtId="165" fontId="47" fillId="0" borderId="0" xfId="0" applyNumberFormat="1" applyFont="1" applyAlignment="1">
      <alignment horizontal="center" vertical="center"/>
    </xf>
    <xf numFmtId="167" fontId="38" fillId="0" borderId="0" xfId="0" applyNumberFormat="1" applyFont="1" applyAlignment="1">
      <alignment horizontal="right" wrapText="1"/>
    </xf>
    <xf numFmtId="0" fontId="38" fillId="0" borderId="0" xfId="0" applyFont="1" applyAlignment="1">
      <alignment horizontal="right" wrapText="1"/>
    </xf>
    <xf numFmtId="41" fontId="38" fillId="0" borderId="0" xfId="0" applyNumberFormat="1" applyFont="1" applyAlignment="1">
      <alignment horizontal="center" wrapText="1"/>
    </xf>
    <xf numFmtId="0" fontId="37" fillId="0" borderId="0" xfId="0" applyFont="1" applyAlignment="1">
      <alignment horizontal="left" vertical="center" wrapText="1"/>
    </xf>
    <xf numFmtId="0" fontId="41" fillId="0" borderId="0" xfId="0" quotePrefix="1" applyFont="1" applyAlignment="1">
      <alignment horizontal="center" vertical="center" wrapText="1"/>
    </xf>
    <xf numFmtId="42" fontId="38" fillId="0" borderId="31" xfId="0" applyNumberFormat="1" applyFont="1" applyBorder="1" applyAlignment="1">
      <alignment horizontal="center" vertical="center" wrapText="1"/>
    </xf>
    <xf numFmtId="167" fontId="38" fillId="0" borderId="0" xfId="0" applyNumberFormat="1" applyFont="1" applyAlignment="1">
      <alignment horizontal="center" wrapText="1"/>
    </xf>
    <xf numFmtId="6" fontId="38" fillId="0" borderId="31" xfId="0" applyNumberFormat="1" applyFont="1" applyBorder="1" applyAlignment="1">
      <alignment horizontal="right" wrapText="1"/>
    </xf>
    <xf numFmtId="42" fontId="38" fillId="0" borderId="31" xfId="0" applyNumberFormat="1" applyFont="1" applyBorder="1" applyAlignment="1">
      <alignment horizontal="left" vertical="center" wrapText="1"/>
    </xf>
    <xf numFmtId="0" fontId="44" fillId="0" borderId="0" xfId="0" applyFont="1" applyAlignment="1">
      <alignment horizontal="center" wrapText="1"/>
    </xf>
    <xf numFmtId="0" fontId="37" fillId="0" borderId="0" xfId="0" applyFont="1" applyAlignment="1">
      <alignment horizontal="center" vertical="center" wrapText="1"/>
    </xf>
    <xf numFmtId="0" fontId="38" fillId="0" borderId="0" xfId="0" applyFont="1" applyAlignment="1">
      <alignment horizontal="left" vertical="center" wrapText="1"/>
    </xf>
    <xf numFmtId="41" fontId="38" fillId="0" borderId="0" xfId="0" applyNumberFormat="1" applyFont="1" applyAlignment="1">
      <alignment horizontal="center" vertical="center" wrapText="1"/>
    </xf>
    <xf numFmtId="0" fontId="41" fillId="0" borderId="0" xfId="0" applyFont="1" applyAlignment="1">
      <alignment horizontal="center" vertical="center" wrapText="1"/>
    </xf>
    <xf numFmtId="38" fontId="22" fillId="9" borderId="9"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49" fontId="21" fillId="14" borderId="33" xfId="0" applyNumberFormat="1" applyFont="1" applyFill="1" applyBorder="1" applyAlignment="1">
      <alignment vertical="center"/>
    </xf>
    <xf numFmtId="49" fontId="21" fillId="14" borderId="32" xfId="0" applyNumberFormat="1" applyFont="1" applyFill="1" applyBorder="1" applyAlignment="1">
      <alignment vertical="center"/>
    </xf>
    <xf numFmtId="49" fontId="21" fillId="15" borderId="33" xfId="0" applyNumberFormat="1" applyFont="1" applyFill="1" applyBorder="1"/>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49" fontId="21" fillId="15" borderId="32" xfId="0" applyNumberFormat="1" applyFont="1" applyFill="1" applyBorder="1" applyAlignment="1">
      <alignment vertical="center"/>
    </xf>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Border="1" applyAlignment="1">
      <alignment vertical="center"/>
    </xf>
    <xf numFmtId="42" fontId="18" fillId="0" borderId="27" xfId="0" applyNumberFormat="1" applyFont="1" applyBorder="1" applyAlignment="1">
      <alignment vertical="center"/>
    </xf>
    <xf numFmtId="42" fontId="18" fillId="0" borderId="31" xfId="0" applyNumberFormat="1" applyFont="1" applyBorder="1" applyAlignment="1">
      <alignment vertical="center"/>
    </xf>
    <xf numFmtId="0" fontId="6" fillId="0" borderId="0" xfId="0" applyFont="1" applyAlignment="1">
      <alignment horizontal="center" vertical="center" wrapText="1"/>
    </xf>
    <xf numFmtId="41" fontId="6" fillId="0" borderId="0" xfId="0" applyNumberFormat="1" applyFont="1" applyAlignment="1">
      <alignment horizontal="center" vertical="center" wrapText="1"/>
    </xf>
    <xf numFmtId="3" fontId="0" fillId="0" borderId="0" xfId="0" applyNumberFormat="1" applyAlignment="1">
      <alignment vertical="center"/>
    </xf>
    <xf numFmtId="0" fontId="41" fillId="0" borderId="0" xfId="0" applyFont="1" applyAlignment="1">
      <alignment horizontal="right" vertical="center" wrapText="1"/>
    </xf>
    <xf numFmtId="42" fontId="38" fillId="0" borderId="0" xfId="0" applyNumberFormat="1" applyFont="1" applyAlignment="1">
      <alignment horizontal="center" vertical="center" wrapText="1"/>
    </xf>
    <xf numFmtId="17" fontId="0" fillId="0" borderId="0" xfId="0" applyNumberFormat="1"/>
    <xf numFmtId="0" fontId="37" fillId="0" borderId="0" xfId="0" applyFont="1" applyAlignment="1">
      <alignment horizontal="left" vertical="top" wrapText="1"/>
    </xf>
    <xf numFmtId="0" fontId="24" fillId="0" borderId="11" xfId="0" applyFont="1" applyBorder="1" applyAlignment="1">
      <alignment horizontal="center"/>
    </xf>
    <xf numFmtId="17" fontId="0" fillId="0" borderId="11" xfId="0" applyNumberFormat="1" applyBorder="1" applyAlignment="1">
      <alignment horizontal="center" vertical="center" wrapText="1"/>
    </xf>
    <xf numFmtId="42" fontId="0" fillId="0" borderId="11" xfId="0" applyNumberFormat="1" applyBorder="1" applyAlignment="1">
      <alignment horizontal="center" vertical="center" wrapText="1"/>
    </xf>
    <xf numFmtId="0" fontId="52" fillId="0" borderId="0" xfId="0" applyFont="1" applyAlignment="1">
      <alignment horizontal="left" vertical="top" wrapText="1"/>
    </xf>
    <xf numFmtId="0" fontId="0" fillId="0" borderId="0" xfId="0" applyAlignment="1">
      <alignment horizontal="right" vertical="top" wrapText="1"/>
    </xf>
    <xf numFmtId="0" fontId="0" fillId="0" borderId="11" xfId="0" applyBorder="1" applyAlignment="1">
      <alignment horizontal="center" vertical="center" wrapText="1"/>
    </xf>
    <xf numFmtId="41" fontId="38" fillId="0" borderId="0" xfId="0" applyNumberFormat="1" applyFont="1" applyAlignment="1">
      <alignment horizontal="right" vertical="center" wrapText="1"/>
    </xf>
    <xf numFmtId="42" fontId="9" fillId="2" borderId="44" xfId="0" applyNumberFormat="1" applyFont="1" applyFill="1" applyBorder="1"/>
    <xf numFmtId="38" fontId="11" fillId="0" borderId="62" xfId="0" applyNumberFormat="1" applyFont="1" applyBorder="1" applyAlignment="1">
      <alignment horizontal="center"/>
    </xf>
    <xf numFmtId="38" fontId="11" fillId="0" borderId="0" xfId="0" applyNumberFormat="1" applyFont="1"/>
    <xf numFmtId="38" fontId="54" fillId="0" borderId="0" xfId="0" applyNumberFormat="1" applyFont="1"/>
    <xf numFmtId="38" fontId="53" fillId="0" borderId="0" xfId="0" applyNumberFormat="1" applyFont="1"/>
    <xf numFmtId="168" fontId="55" fillId="0" borderId="0" xfId="0" applyNumberFormat="1" applyFont="1"/>
    <xf numFmtId="0" fontId="38" fillId="0" borderId="0" xfId="0" applyFont="1" applyAlignment="1">
      <alignment horizontal="center" vertical="center" wrapText="1"/>
    </xf>
    <xf numFmtId="49" fontId="21" fillId="13"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Alignment="1">
      <alignment vertical="center"/>
    </xf>
    <xf numFmtId="0" fontId="57" fillId="0" borderId="27" xfId="0" applyFont="1" applyBorder="1" applyAlignment="1">
      <alignment vertical="center"/>
    </xf>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2"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0" fontId="59" fillId="0" borderId="0" xfId="0" applyFont="1" applyAlignment="1">
      <alignment horizontal="center"/>
    </xf>
    <xf numFmtId="0" fontId="60" fillId="0" borderId="0" xfId="0" applyFont="1"/>
    <xf numFmtId="0" fontId="8" fillId="0" borderId="0" xfId="0" applyFont="1" applyAlignment="1">
      <alignment horizontal="center" vertical="center"/>
    </xf>
    <xf numFmtId="0" fontId="8" fillId="0" borderId="0" xfId="0" applyFont="1" applyAlignment="1">
      <alignment vertical="center"/>
    </xf>
    <xf numFmtId="41" fontId="8" fillId="0" borderId="0" xfId="0" applyNumberFormat="1" applyFont="1" applyAlignment="1">
      <alignment vertical="center"/>
    </xf>
    <xf numFmtId="41" fontId="22" fillId="0" borderId="0" xfId="0" applyNumberFormat="1" applyFont="1" applyAlignment="1">
      <alignment vertical="center"/>
    </xf>
    <xf numFmtId="43" fontId="8" fillId="0" borderId="0" xfId="0" applyNumberFormat="1" applyFont="1" applyAlignment="1">
      <alignment vertical="center"/>
    </xf>
    <xf numFmtId="0" fontId="21" fillId="0" borderId="0" xfId="0" applyFont="1" applyAlignment="1">
      <alignment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44" fontId="0" fillId="0" borderId="0" xfId="1" applyFont="1" applyFill="1" applyBorder="1" applyAlignment="1">
      <alignment horizontal="center" vertical="center" wrapText="1"/>
    </xf>
    <xf numFmtId="17"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Border="1" applyAlignment="1">
      <alignment horizontal="center" vertical="center" wrapText="1"/>
    </xf>
    <xf numFmtId="44" fontId="61" fillId="0" borderId="11" xfId="1" applyFont="1" applyFill="1" applyBorder="1" applyAlignment="1">
      <alignment horizontal="center" vertical="center" wrapText="1"/>
    </xf>
    <xf numFmtId="42" fontId="38" fillId="0" borderId="0" xfId="0" applyNumberFormat="1" applyFont="1" applyAlignment="1">
      <alignment horizontal="left" vertical="center" wrapText="1"/>
    </xf>
    <xf numFmtId="0" fontId="62" fillId="0" borderId="0" xfId="0" applyFont="1" applyAlignment="1">
      <alignment horizontal="left"/>
    </xf>
    <xf numFmtId="0" fontId="59" fillId="0" borderId="0" xfId="0" applyFont="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Border="1" applyAlignment="1">
      <alignment horizontal="center"/>
    </xf>
    <xf numFmtId="14" fontId="0" fillId="0" borderId="61" xfId="0" applyNumberFormat="1" applyBorder="1" applyAlignment="1">
      <alignment horizontal="center"/>
    </xf>
    <xf numFmtId="38" fontId="0" fillId="0" borderId="61" xfId="0" applyNumberFormat="1" applyBorder="1" applyAlignment="1">
      <alignment horizontal="center"/>
    </xf>
    <xf numFmtId="38" fontId="0" fillId="0" borderId="57"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4"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5" xfId="0" applyNumberFormat="1" applyBorder="1" applyAlignment="1">
      <alignment horizontal="center" vertical="center"/>
    </xf>
    <xf numFmtId="38" fontId="0" fillId="0" borderId="10" xfId="0" applyNumberFormat="1" applyBorder="1" applyAlignment="1">
      <alignment horizontal="center"/>
    </xf>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43" fontId="18" fillId="0" borderId="0" xfId="0" applyNumberFormat="1" applyFont="1" applyAlignment="1">
      <alignment vertical="center"/>
    </xf>
    <xf numFmtId="0" fontId="24" fillId="0" borderId="0" xfId="0" applyFont="1" applyAlignment="1">
      <alignment horizontal="center" wrapText="1"/>
    </xf>
    <xf numFmtId="169" fontId="0" fillId="0" borderId="0" xfId="0" applyNumberFormat="1" applyAlignment="1">
      <alignment horizontal="center"/>
    </xf>
    <xf numFmtId="169" fontId="67" fillId="0" borderId="0" xfId="0" applyNumberFormat="1" applyFont="1" applyAlignment="1">
      <alignment horizontal="center"/>
    </xf>
    <xf numFmtId="169" fontId="24" fillId="0" borderId="0" xfId="0" applyNumberFormat="1" applyFont="1" applyAlignment="1">
      <alignment horizontal="center"/>
    </xf>
    <xf numFmtId="42" fontId="0" fillId="0" borderId="11" xfId="0" applyNumberFormat="1" applyBorder="1"/>
    <xf numFmtId="43"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0" fontId="8" fillId="0" borderId="30" xfId="0" applyFont="1" applyBorder="1" applyAlignment="1">
      <alignment vertical="center"/>
    </xf>
    <xf numFmtId="7" fontId="18" fillId="0" borderId="19" xfId="0" applyNumberFormat="1" applyFont="1" applyBorder="1" applyAlignment="1">
      <alignment vertical="center"/>
    </xf>
    <xf numFmtId="7" fontId="18" fillId="0" borderId="0" xfId="0" applyNumberFormat="1" applyFont="1" applyAlignment="1">
      <alignment vertical="center"/>
    </xf>
    <xf numFmtId="38" fontId="0" fillId="0" borderId="31" xfId="0" applyNumberFormat="1" applyBorder="1" applyAlignment="1">
      <alignment horizontal="right"/>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Border="1" applyAlignment="1">
      <alignment vertical="center"/>
    </xf>
    <xf numFmtId="0" fontId="0" fillId="0" borderId="49" xfId="0" applyBorder="1" applyAlignment="1">
      <alignment horizontal="left"/>
    </xf>
    <xf numFmtId="44" fontId="15" fillId="0" borderId="0" xfId="0" applyNumberFormat="1" applyFont="1" applyAlignment="1">
      <alignment vertical="center"/>
    </xf>
    <xf numFmtId="41" fontId="8" fillId="0" borderId="0" xfId="0" applyNumberFormat="1" applyFont="1" applyAlignment="1">
      <alignment horizontal="left" vertical="center"/>
    </xf>
    <xf numFmtId="49" fontId="59" fillId="0" borderId="0" xfId="0" applyNumberFormat="1" applyFont="1" applyAlignment="1">
      <alignment horizontal="center"/>
    </xf>
    <xf numFmtId="3" fontId="8" fillId="0" borderId="0" xfId="0" applyNumberFormat="1" applyFont="1"/>
    <xf numFmtId="3" fontId="0" fillId="0" borderId="0" xfId="0" applyNumberFormat="1" applyAlignment="1">
      <alignment horizontal="right"/>
    </xf>
    <xf numFmtId="3" fontId="20" fillId="0" borderId="0" xfId="0" applyNumberFormat="1" applyFont="1" applyAlignment="1">
      <alignment horizontal="center"/>
    </xf>
    <xf numFmtId="3" fontId="21" fillId="5" borderId="36" xfId="0" applyNumberFormat="1" applyFont="1" applyFill="1" applyBorder="1"/>
    <xf numFmtId="3" fontId="22" fillId="5" borderId="17" xfId="1" applyNumberFormat="1" applyFont="1" applyFill="1" applyBorder="1" applyAlignment="1">
      <alignment horizontal="right"/>
    </xf>
    <xf numFmtId="3" fontId="21" fillId="0" borderId="0" xfId="0" applyNumberFormat="1" applyFont="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ill="1" applyBorder="1" applyAlignment="1">
      <alignment horizontal="center"/>
    </xf>
    <xf numFmtId="3" fontId="21" fillId="9" borderId="17"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5" borderId="42" xfId="1" applyNumberFormat="1" applyFont="1" applyFill="1" applyBorder="1" applyAlignment="1">
      <alignment horizontal="right"/>
    </xf>
    <xf numFmtId="3" fontId="21" fillId="14" borderId="42" xfId="1" applyNumberFormat="1" applyFont="1" applyFill="1" applyBorder="1" applyAlignment="1">
      <alignment horizontal="right"/>
    </xf>
    <xf numFmtId="49" fontId="21" fillId="0" borderId="0" xfId="0" applyNumberFormat="1" applyFont="1" applyAlignment="1">
      <alignment vertical="center"/>
    </xf>
    <xf numFmtId="44" fontId="9" fillId="0" borderId="0" xfId="0" applyNumberFormat="1" applyFont="1"/>
    <xf numFmtId="43" fontId="0" fillId="0" borderId="27" xfId="0" applyNumberFormat="1" applyBorder="1" applyAlignment="1">
      <alignment vertical="center"/>
    </xf>
    <xf numFmtId="6" fontId="38" fillId="0" borderId="0" xfId="0" applyNumberFormat="1" applyFont="1" applyAlignment="1">
      <alignment horizontal="center" wrapText="1"/>
    </xf>
    <xf numFmtId="0" fontId="37" fillId="0" borderId="0" xfId="0" applyFont="1" applyAlignment="1">
      <alignment horizontal="left" wrapText="1"/>
    </xf>
    <xf numFmtId="40" fontId="68" fillId="0" borderId="45" xfId="0" applyNumberFormat="1" applyFont="1" applyBorder="1" applyAlignment="1">
      <alignment horizontal="center"/>
    </xf>
    <xf numFmtId="166" fontId="22" fillId="0" borderId="27" xfId="0" applyNumberFormat="1" applyFont="1" applyBorder="1" applyAlignment="1">
      <alignment horizontal="center"/>
    </xf>
    <xf numFmtId="165" fontId="38" fillId="0" borderId="0" xfId="0" applyNumberFormat="1" applyFont="1" applyAlignment="1">
      <alignment horizontal="center" wrapText="1"/>
    </xf>
    <xf numFmtId="165" fontId="38" fillId="0" borderId="31" xfId="0" applyNumberFormat="1" applyFont="1" applyBorder="1" applyAlignment="1">
      <alignment horizontal="center" wrapText="1"/>
    </xf>
    <xf numFmtId="0" fontId="21" fillId="0" borderId="0" xfId="0" applyFont="1" applyAlignment="1">
      <alignment horizontal="right" vertical="center"/>
    </xf>
    <xf numFmtId="165" fontId="7" fillId="0" borderId="0" xfId="0" applyNumberFormat="1" applyFont="1" applyAlignment="1">
      <alignment horizontal="right" vertical="center"/>
    </xf>
    <xf numFmtId="6" fontId="21" fillId="0" borderId="0" xfId="0" applyNumberFormat="1" applyFont="1"/>
    <xf numFmtId="6" fontId="21" fillId="0" borderId="0" xfId="0" applyNumberFormat="1" applyFont="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Alignment="1">
      <alignment horizontal="left" wrapText="1"/>
    </xf>
    <xf numFmtId="10" fontId="0" fillId="0" borderId="0" xfId="0" applyNumberFormat="1" applyAlignment="1">
      <alignment horizontal="center"/>
    </xf>
    <xf numFmtId="14" fontId="0" fillId="0" borderId="0" xfId="0" applyNumberFormat="1"/>
    <xf numFmtId="1" fontId="0" fillId="0" borderId="0" xfId="4" applyNumberFormat="1" applyFont="1" applyBorder="1"/>
    <xf numFmtId="38" fontId="0" fillId="0" borderId="3" xfId="0" applyNumberFormat="1" applyBorder="1"/>
    <xf numFmtId="10" fontId="0" fillId="0" borderId="3" xfId="0" applyNumberFormat="1" applyBorder="1" applyAlignment="1">
      <alignment horizontal="center"/>
    </xf>
    <xf numFmtId="6" fontId="0" fillId="0" borderId="31" xfId="0" applyNumberFormat="1" applyBorder="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37" fontId="0" fillId="0" borderId="11" xfId="1" applyNumberFormat="1" applyFont="1" applyBorder="1"/>
    <xf numFmtId="43" fontId="17" fillId="0" borderId="0" xfId="0" applyNumberFormat="1" applyFont="1" applyAlignment="1">
      <alignment vertical="center"/>
    </xf>
    <xf numFmtId="43" fontId="57" fillId="0" borderId="0" xfId="0" applyNumberFormat="1" applyFont="1" applyAlignment="1">
      <alignment vertical="center"/>
    </xf>
    <xf numFmtId="41" fontId="57" fillId="0" borderId="0" xfId="0" applyNumberFormat="1" applyFont="1" applyAlignment="1">
      <alignment horizontal="right" vertical="center"/>
    </xf>
    <xf numFmtId="2" fontId="0" fillId="0" borderId="0" xfId="0" applyNumberFormat="1"/>
    <xf numFmtId="2" fontId="0" fillId="0" borderId="0" xfId="1" applyNumberFormat="1" applyFont="1" applyFill="1" applyBorder="1" applyAlignment="1"/>
    <xf numFmtId="38" fontId="33" fillId="0" borderId="45" xfId="1" applyNumberFormat="1" applyFont="1" applyFill="1" applyBorder="1" applyAlignment="1"/>
    <xf numFmtId="14" fontId="0" fillId="0" borderId="49" xfId="0" applyNumberFormat="1" applyBorder="1" applyAlignment="1">
      <alignment horizontal="left"/>
    </xf>
    <xf numFmtId="165" fontId="0" fillId="0" borderId="0" xfId="1" applyNumberFormat="1" applyFont="1" applyFill="1" applyBorder="1" applyAlignment="1">
      <alignment vertical="center"/>
    </xf>
    <xf numFmtId="10" fontId="0" fillId="0" borderId="0" xfId="0" applyNumberFormat="1" applyAlignment="1">
      <alignment vertical="center"/>
    </xf>
    <xf numFmtId="40" fontId="0" fillId="0" borderId="0" xfId="0" applyNumberFormat="1" applyAlignment="1">
      <alignment vertical="center"/>
    </xf>
    <xf numFmtId="4" fontId="0" fillId="0" borderId="0" xfId="0" applyNumberFormat="1" applyAlignment="1">
      <alignment vertical="center"/>
    </xf>
    <xf numFmtId="0" fontId="0" fillId="2" borderId="0" xfId="0" applyFill="1" applyAlignment="1">
      <alignment vertical="center"/>
    </xf>
    <xf numFmtId="14" fontId="0" fillId="0" borderId="57" xfId="0" applyNumberFormat="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 fontId="27" fillId="0" borderId="0" xfId="0" applyNumberFormat="1" applyFont="1"/>
    <xf numFmtId="4" fontId="27" fillId="0" borderId="0" xfId="0" applyNumberFormat="1" applyFont="1" applyAlignment="1">
      <alignment horizontal="center" vertical="center"/>
    </xf>
    <xf numFmtId="4" fontId="27" fillId="0" borderId="0" xfId="0" applyNumberFormat="1" applyFont="1" applyAlignment="1">
      <alignment vertical="center"/>
    </xf>
    <xf numFmtId="4" fontId="14" fillId="0" borderId="0" xfId="0" applyNumberFormat="1" applyFont="1" applyAlignment="1">
      <alignment vertical="center"/>
    </xf>
    <xf numFmtId="170" fontId="21" fillId="6" borderId="21" xfId="1" applyNumberFormat="1" applyFont="1" applyFill="1" applyBorder="1" applyAlignment="1">
      <alignment horizontal="right"/>
    </xf>
    <xf numFmtId="41" fontId="0" fillId="0" borderId="45" xfId="1" applyNumberFormat="1" applyFont="1" applyFill="1" applyBorder="1" applyAlignment="1"/>
    <xf numFmtId="0" fontId="24" fillId="0" borderId="11" xfId="0" applyFont="1" applyBorder="1" applyAlignment="1">
      <alignment horizontal="center" vertical="top" wrapText="1"/>
    </xf>
    <xf numFmtId="49" fontId="18" fillId="0" borderId="0" xfId="0" applyNumberFormat="1" applyFont="1" applyAlignment="1">
      <alignment horizontal="left" vertical="center"/>
    </xf>
    <xf numFmtId="168" fontId="2" fillId="0" borderId="0" xfId="0" applyNumberFormat="1" applyFont="1"/>
    <xf numFmtId="166" fontId="22" fillId="0" borderId="27" xfId="0" applyNumberFormat="1" applyFont="1" applyBorder="1" applyAlignment="1">
      <alignment horizontal="center" vertical="center" wrapText="1"/>
    </xf>
    <xf numFmtId="42" fontId="22" fillId="0" borderId="27" xfId="0" applyNumberFormat="1" applyFont="1" applyBorder="1" applyAlignment="1">
      <alignment horizontal="center" vertical="center" wrapText="1"/>
    </xf>
    <xf numFmtId="3" fontId="58" fillId="0" borderId="0" xfId="0" applyNumberFormat="1" applyFont="1"/>
    <xf numFmtId="3" fontId="53" fillId="0" borderId="0" xfId="0" applyNumberFormat="1" applyFont="1"/>
    <xf numFmtId="37" fontId="37" fillId="0" borderId="0" xfId="0" applyNumberFormat="1" applyFont="1" applyAlignment="1">
      <alignment horizontal="center" vertical="center" wrapText="1"/>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Alignment="1">
      <alignment vertical="center"/>
    </xf>
    <xf numFmtId="38" fontId="18" fillId="0" borderId="2" xfId="0" applyNumberFormat="1" applyFont="1" applyBorder="1" applyAlignment="1">
      <alignment vertical="center"/>
    </xf>
    <xf numFmtId="49" fontId="20" fillId="0" borderId="0" xfId="0" applyNumberFormat="1" applyFont="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xf numFmtId="49" fontId="22" fillId="0" borderId="0" xfId="0" applyNumberFormat="1" applyFont="1" applyAlignment="1">
      <alignment vertical="center"/>
    </xf>
    <xf numFmtId="0" fontId="22" fillId="0" borderId="0" xfId="0" applyFont="1"/>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Alignment="1">
      <alignment vertical="center"/>
    </xf>
    <xf numFmtId="0" fontId="0" fillId="0" borderId="45" xfId="0" applyBorder="1"/>
    <xf numFmtId="14" fontId="0" fillId="0" borderId="45" xfId="0" applyNumberFormat="1" applyBorder="1" applyAlignment="1">
      <alignment horizontal="center"/>
    </xf>
    <xf numFmtId="14" fontId="0" fillId="0" borderId="27" xfId="0" applyNumberFormat="1" applyBorder="1" applyAlignment="1">
      <alignment horizontal="center"/>
    </xf>
    <xf numFmtId="40" fontId="6" fillId="0" borderId="42" xfId="0" applyNumberFormat="1" applyFont="1" applyBorder="1" applyAlignment="1">
      <alignment horizontal="center"/>
    </xf>
    <xf numFmtId="38" fontId="0" fillId="0" borderId="45" xfId="1" applyNumberFormat="1" applyFont="1" applyFill="1" applyBorder="1" applyAlignment="1"/>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14" fontId="0" fillId="0" borderId="2" xfId="0" applyNumberFormat="1" applyBorder="1" applyAlignment="1">
      <alignment horizontal="center"/>
    </xf>
    <xf numFmtId="14" fontId="0" fillId="0" borderId="3" xfId="0" applyNumberFormat="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Border="1" applyAlignment="1">
      <alignment horizontal="center" vertical="center"/>
    </xf>
    <xf numFmtId="14" fontId="0" fillId="0" borderId="48" xfId="0" applyNumberFormat="1" applyBorder="1" applyAlignment="1">
      <alignment horizontal="center" vertical="center"/>
    </xf>
    <xf numFmtId="14" fontId="0" fillId="0" borderId="0" xfId="0" applyNumberFormat="1" applyAlignment="1">
      <alignment horizontal="center" vertical="center"/>
    </xf>
    <xf numFmtId="14" fontId="0" fillId="0" borderId="49" xfId="0" applyNumberFormat="1" applyBorder="1" applyAlignment="1">
      <alignment horizontal="center" vertical="center"/>
    </xf>
    <xf numFmtId="42" fontId="6" fillId="3" borderId="67" xfId="0" applyNumberFormat="1" applyFont="1" applyFill="1" applyBorder="1"/>
    <xf numFmtId="42" fontId="0" fillId="0" borderId="0" xfId="0" applyNumberFormat="1" applyAlignment="1">
      <alignment horizontal="left" vertical="top" wrapText="1"/>
    </xf>
    <xf numFmtId="42" fontId="18" fillId="0" borderId="27" xfId="0" applyNumberFormat="1" applyFont="1" applyBorder="1" applyAlignment="1">
      <alignment horizontal="center" vertical="center" wrapText="1"/>
    </xf>
    <xf numFmtId="166" fontId="18" fillId="0" borderId="27" xfId="0" applyNumberFormat="1" applyFont="1" applyBorder="1" applyAlignment="1">
      <alignment horizontal="center" vertical="center" wrapText="1"/>
    </xf>
    <xf numFmtId="49" fontId="14" fillId="0" borderId="0" xfId="0" quotePrefix="1" applyNumberFormat="1" applyFont="1" applyAlignment="1">
      <alignment vertical="center"/>
    </xf>
    <xf numFmtId="49" fontId="70" fillId="16" borderId="34" xfId="0" applyNumberFormat="1" applyFont="1" applyFill="1" applyBorder="1" applyAlignment="1">
      <alignment vertical="center"/>
    </xf>
    <xf numFmtId="49" fontId="70" fillId="16" borderId="28" xfId="0" applyNumberFormat="1" applyFont="1" applyFill="1" applyBorder="1" applyAlignment="1">
      <alignment vertical="center"/>
    </xf>
    <xf numFmtId="6" fontId="70" fillId="16" borderId="8" xfId="1" applyNumberFormat="1" applyFont="1" applyFill="1" applyBorder="1" applyAlignment="1">
      <alignment horizontal="right"/>
    </xf>
    <xf numFmtId="0" fontId="8" fillId="0" borderId="27" xfId="0" applyFont="1" applyBorder="1"/>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3" borderId="42" xfId="1" applyNumberFormat="1" applyFont="1" applyFill="1" applyBorder="1" applyAlignment="1">
      <alignment horizontal="right"/>
    </xf>
    <xf numFmtId="38" fontId="70" fillId="16" borderId="41" xfId="1" applyNumberFormat="1" applyFont="1" applyFill="1" applyBorder="1" applyAlignment="1">
      <alignment horizontal="right"/>
    </xf>
    <xf numFmtId="38" fontId="70" fillId="16" borderId="8" xfId="1" applyNumberFormat="1" applyFont="1" applyFill="1" applyBorder="1" applyAlignment="1">
      <alignment horizontal="right"/>
    </xf>
    <xf numFmtId="10" fontId="27" fillId="0" borderId="0" xfId="0" applyNumberFormat="1" applyFont="1" applyAlignment="1">
      <alignment vertical="center"/>
    </xf>
    <xf numFmtId="0" fontId="6" fillId="3" borderId="33" xfId="0" applyFont="1" applyFill="1" applyBorder="1" applyAlignment="1">
      <alignment horizontal="center" vertical="center"/>
    </xf>
    <xf numFmtId="41" fontId="18" fillId="2" borderId="0" xfId="0" applyNumberFormat="1" applyFont="1" applyFill="1" applyAlignment="1">
      <alignment vertical="center"/>
    </xf>
    <xf numFmtId="44" fontId="6" fillId="0" borderId="0" xfId="0" applyNumberFormat="1" applyFont="1" applyAlignment="1">
      <alignment horizontal="center" vertical="center" wrapText="1"/>
    </xf>
    <xf numFmtId="38" fontId="13" fillId="0" borderId="0" xfId="0" applyNumberFormat="1" applyFont="1"/>
    <xf numFmtId="38" fontId="0" fillId="0" borderId="0" xfId="0" applyNumberFormat="1" applyAlignment="1">
      <alignment horizontal="center" vertical="center"/>
    </xf>
    <xf numFmtId="38" fontId="0" fillId="0" borderId="0" xfId="0" applyNumberFormat="1" applyAlignment="1">
      <alignment horizontal="right" vertical="center"/>
    </xf>
    <xf numFmtId="38" fontId="0" fillId="0" borderId="0" xfId="0" applyNumberFormat="1" applyAlignment="1">
      <alignment vertical="center"/>
    </xf>
    <xf numFmtId="49" fontId="14" fillId="0" borderId="33" xfId="0" applyNumberFormat="1" applyFont="1" applyBorder="1" applyAlignment="1">
      <alignment vertical="center"/>
    </xf>
    <xf numFmtId="42" fontId="22" fillId="0" borderId="33" xfId="0" applyNumberFormat="1" applyFont="1" applyBorder="1" applyAlignment="1">
      <alignment horizontal="center" vertical="center" wrapText="1"/>
    </xf>
    <xf numFmtId="38" fontId="0" fillId="0" borderId="0" xfId="0" applyNumberFormat="1" applyAlignment="1">
      <alignment horizontal="right" vertical="center" wrapText="1"/>
    </xf>
    <xf numFmtId="49" fontId="22" fillId="0" borderId="0" xfId="0" applyNumberFormat="1" applyFont="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Font="1"/>
    <xf numFmtId="0" fontId="5" fillId="0" borderId="0" xfId="0" applyFont="1"/>
    <xf numFmtId="0" fontId="20" fillId="0" borderId="0" xfId="0"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Alignment="1">
      <alignment horizontal="center" vertical="center"/>
    </xf>
    <xf numFmtId="40" fontId="8" fillId="0" borderId="0" xfId="0" applyNumberFormat="1" applyFont="1" applyAlignment="1">
      <alignment horizontal="center" vertical="center"/>
    </xf>
    <xf numFmtId="0" fontId="17" fillId="0" borderId="55" xfId="0" applyFont="1" applyBorder="1" applyAlignment="1">
      <alignment vertical="center"/>
    </xf>
    <xf numFmtId="40" fontId="17" fillId="0" borderId="0" xfId="0" applyNumberFormat="1" applyFont="1" applyAlignment="1">
      <alignment vertical="center"/>
    </xf>
    <xf numFmtId="14" fontId="17" fillId="0" borderId="0" xfId="0" applyNumberFormat="1" applyFont="1" applyAlignment="1">
      <alignment horizontal="center" vertical="center"/>
    </xf>
    <xf numFmtId="40" fontId="8" fillId="0" borderId="0" xfId="0" applyNumberFormat="1" applyFont="1" applyAlignment="1">
      <alignment vertical="center"/>
    </xf>
    <xf numFmtId="8" fontId="6" fillId="0" borderId="0" xfId="0" applyNumberFormat="1" applyFont="1" applyAlignment="1">
      <alignment horizontal="center" vertical="center" wrapText="1"/>
    </xf>
    <xf numFmtId="6" fontId="18" fillId="0" borderId="0" xfId="0" applyNumberFormat="1" applyFont="1" applyAlignment="1">
      <alignment horizontal="right" vertical="center"/>
    </xf>
    <xf numFmtId="172" fontId="18" fillId="0" borderId="19" xfId="0" applyNumberFormat="1" applyFont="1" applyBorder="1" applyAlignment="1">
      <alignment vertical="center"/>
    </xf>
    <xf numFmtId="172" fontId="18" fillId="0" borderId="0" xfId="0" applyNumberFormat="1" applyFont="1" applyAlignment="1">
      <alignment vertical="center"/>
    </xf>
    <xf numFmtId="49" fontId="73" fillId="0" borderId="0" xfId="0" applyNumberFormat="1" applyFont="1" applyAlignment="1">
      <alignment vertical="center"/>
    </xf>
    <xf numFmtId="5" fontId="14" fillId="0" borderId="0" xfId="0" applyNumberFormat="1" applyFont="1" applyAlignment="1">
      <alignment vertical="center"/>
    </xf>
    <xf numFmtId="8" fontId="74" fillId="0" borderId="0" xfId="0" applyNumberFormat="1" applyFont="1" applyAlignment="1">
      <alignment vertical="center"/>
    </xf>
    <xf numFmtId="5" fontId="14" fillId="0" borderId="31" xfId="0" applyNumberFormat="1" applyFont="1" applyBorder="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8" fontId="14" fillId="0" borderId="0" xfId="0" applyNumberFormat="1" applyFont="1" applyAlignment="1">
      <alignment vertical="center"/>
    </xf>
    <xf numFmtId="40" fontId="15" fillId="0" borderId="0" xfId="0" applyNumberFormat="1" applyFont="1" applyAlignment="1">
      <alignment vertical="center"/>
    </xf>
    <xf numFmtId="14" fontId="15" fillId="0" borderId="0" xfId="0" applyNumberFormat="1" applyFont="1" applyAlignment="1">
      <alignment horizontal="center" vertical="center"/>
    </xf>
    <xf numFmtId="40" fontId="21" fillId="0" borderId="0" xfId="0" applyNumberFormat="1" applyFont="1" applyAlignment="1">
      <alignment vertical="center"/>
    </xf>
    <xf numFmtId="41" fontId="74" fillId="0" borderId="0" xfId="0" applyNumberFormat="1" applyFont="1"/>
    <xf numFmtId="38" fontId="74" fillId="0" borderId="0" xfId="0" applyNumberFormat="1" applyFont="1"/>
    <xf numFmtId="8" fontId="74" fillId="0" borderId="0" xfId="0" applyNumberFormat="1" applyFont="1"/>
    <xf numFmtId="0" fontId="6" fillId="3" borderId="42" xfId="0" applyFont="1" applyFill="1" applyBorder="1" applyAlignment="1">
      <alignment horizontal="center" vertical="center"/>
    </xf>
    <xf numFmtId="0" fontId="11"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38" fontId="0" fillId="0" borderId="0" xfId="0" applyNumberFormat="1" applyAlignment="1">
      <alignment horizontal="left" vertical="center"/>
    </xf>
    <xf numFmtId="0" fontId="0" fillId="0" borderId="16" xfId="0" applyBorder="1"/>
    <xf numFmtId="0" fontId="0" fillId="0" borderId="24" xfId="0" applyBorder="1"/>
    <xf numFmtId="0" fontId="0" fillId="0" borderId="69" xfId="0" applyBorder="1"/>
    <xf numFmtId="0" fontId="61" fillId="0" borderId="16" xfId="0" applyFont="1" applyBorder="1"/>
    <xf numFmtId="0" fontId="0" fillId="0" borderId="16" xfId="0" applyBorder="1" applyAlignment="1">
      <alignment vertical="center"/>
    </xf>
    <xf numFmtId="0" fontId="0" fillId="0" borderId="24" xfId="0" applyBorder="1" applyAlignment="1">
      <alignment vertical="center"/>
    </xf>
    <xf numFmtId="0" fontId="0" fillId="0" borderId="35" xfId="0" applyBorder="1"/>
    <xf numFmtId="0" fontId="0" fillId="0" borderId="48" xfId="0" applyBorder="1" applyAlignment="1">
      <alignment horizontal="left"/>
    </xf>
    <xf numFmtId="0" fontId="0" fillId="0" borderId="57" xfId="0" applyBorder="1" applyAlignment="1">
      <alignment horizontal="left"/>
    </xf>
    <xf numFmtId="0" fontId="0" fillId="0" borderId="49" xfId="0" applyBorder="1" applyAlignment="1">
      <alignment horizontal="left" vertical="center"/>
    </xf>
    <xf numFmtId="0" fontId="0" fillId="0" borderId="48" xfId="0" applyBorder="1" applyAlignment="1">
      <alignment horizontal="left" vertical="center"/>
    </xf>
    <xf numFmtId="14" fontId="0" fillId="0" borderId="29" xfId="0" applyNumberFormat="1" applyBorder="1" applyAlignment="1">
      <alignment horizont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3" fontId="53" fillId="0" borderId="11" xfId="1" applyNumberFormat="1" applyFont="1" applyFill="1" applyBorder="1" applyAlignment="1">
      <alignment horizontal="center" vertical="center" wrapText="1"/>
    </xf>
    <xf numFmtId="3" fontId="52" fillId="0" borderId="0" xfId="0" applyNumberFormat="1" applyFont="1" applyAlignment="1">
      <alignment horizontal="left" vertical="top" wrapText="1"/>
    </xf>
    <xf numFmtId="5" fontId="0" fillId="0" borderId="10" xfId="0" applyNumberFormat="1" applyBorder="1" applyAlignment="1">
      <alignment horizontal="right" vertical="top" wrapText="1"/>
    </xf>
    <xf numFmtId="5" fontId="61" fillId="0" borderId="11" xfId="0" applyNumberFormat="1" applyFont="1" applyBorder="1" applyAlignment="1">
      <alignment horizontal="right" vertical="center" wrapText="1"/>
    </xf>
    <xf numFmtId="173" fontId="0" fillId="0" borderId="0" xfId="0" applyNumberFormat="1"/>
    <xf numFmtId="42" fontId="18" fillId="2" borderId="0" xfId="0" applyNumberFormat="1" applyFont="1" applyFill="1" applyAlignment="1">
      <alignment vertical="center"/>
    </xf>
    <xf numFmtId="0" fontId="75" fillId="0" borderId="0" xfId="0" applyFont="1" applyAlignment="1">
      <alignment horizontal="center" vertical="center"/>
    </xf>
    <xf numFmtId="37" fontId="18" fillId="0" borderId="0" xfId="0" applyNumberFormat="1" applyFont="1" applyAlignment="1">
      <alignment vertical="center"/>
    </xf>
    <xf numFmtId="42" fontId="18" fillId="2" borderId="27" xfId="0" applyNumberFormat="1" applyFont="1" applyFill="1" applyBorder="1" applyAlignment="1">
      <alignment vertical="center"/>
    </xf>
    <xf numFmtId="6" fontId="37" fillId="0" borderId="0" xfId="0" applyNumberFormat="1" applyFont="1" applyAlignment="1">
      <alignment horizontal="left" vertical="top" wrapText="1"/>
    </xf>
    <xf numFmtId="49" fontId="18" fillId="0" borderId="0" xfId="0" applyNumberFormat="1" applyFont="1"/>
    <xf numFmtId="170" fontId="29" fillId="0" borderId="0" xfId="0" applyNumberFormat="1" applyFont="1" applyAlignment="1">
      <alignment horizontal="right"/>
    </xf>
    <xf numFmtId="3" fontId="29" fillId="0" borderId="0" xfId="0" applyNumberFormat="1" applyFont="1" applyAlignment="1">
      <alignment horizontal="right"/>
    </xf>
    <xf numFmtId="3" fontId="18" fillId="0" borderId="0" xfId="0" applyNumberFormat="1" applyFont="1" applyAlignment="1">
      <alignment horizontal="right" vertical="center"/>
    </xf>
    <xf numFmtId="3" fontId="18" fillId="0" borderId="19" xfId="0" applyNumberFormat="1" applyFont="1" applyBorder="1" applyAlignment="1">
      <alignment vertical="center"/>
    </xf>
    <xf numFmtId="3" fontId="18" fillId="0" borderId="0" xfId="0" applyNumberFormat="1" applyFont="1" applyAlignment="1">
      <alignment vertical="center"/>
    </xf>
    <xf numFmtId="3" fontId="18" fillId="0" borderId="27" xfId="0" applyNumberFormat="1" applyFont="1" applyBorder="1" applyAlignment="1">
      <alignment vertical="center"/>
    </xf>
    <xf numFmtId="3" fontId="14" fillId="0" borderId="3" xfId="0" applyNumberFormat="1" applyFont="1" applyBorder="1" applyAlignment="1">
      <alignment vertical="center"/>
    </xf>
    <xf numFmtId="49" fontId="14" fillId="0" borderId="6" xfId="0" applyNumberFormat="1" applyFont="1" applyBorder="1" applyAlignment="1">
      <alignment vertical="center"/>
    </xf>
    <xf numFmtId="0" fontId="0" fillId="0" borderId="45" xfId="0" applyBorder="1" applyAlignment="1">
      <alignment horizontal="left"/>
    </xf>
    <xf numFmtId="42" fontId="9" fillId="3" borderId="51" xfId="1" applyNumberFormat="1" applyFont="1" applyFill="1" applyBorder="1" applyAlignment="1"/>
    <xf numFmtId="41" fontId="0" fillId="0" borderId="48" xfId="1" applyNumberFormat="1" applyFont="1" applyFill="1" applyBorder="1" applyAlignment="1">
      <alignment horizontal="center"/>
    </xf>
    <xf numFmtId="41" fontId="0" fillId="0" borderId="57" xfId="1" applyNumberFormat="1" applyFont="1" applyFill="1" applyBorder="1" applyAlignment="1"/>
    <xf numFmtId="43" fontId="0" fillId="0" borderId="49" xfId="1" applyNumberFormat="1" applyFont="1" applyFill="1" applyBorder="1" applyAlignment="1"/>
    <xf numFmtId="41" fontId="0" fillId="0" borderId="49" xfId="1" applyNumberFormat="1" applyFont="1" applyFill="1" applyBorder="1" applyAlignment="1">
      <alignment vertical="center"/>
    </xf>
    <xf numFmtId="14" fontId="0" fillId="0" borderId="16" xfId="0" applyNumberFormat="1" applyBorder="1" applyAlignment="1">
      <alignment horizontal="left"/>
    </xf>
    <xf numFmtId="41" fontId="0" fillId="0" borderId="0" xfId="1" applyNumberFormat="1" applyFont="1" applyFill="1" applyBorder="1" applyAlignment="1">
      <alignment horizontal="center"/>
    </xf>
    <xf numFmtId="0" fontId="0" fillId="0" borderId="45" xfId="0" applyBorder="1" applyAlignment="1">
      <alignment horizontal="center"/>
    </xf>
    <xf numFmtId="0" fontId="0" fillId="0" borderId="48" xfId="0" applyBorder="1" applyAlignment="1">
      <alignment horizontal="center"/>
    </xf>
    <xf numFmtId="0" fontId="0" fillId="0" borderId="57" xfId="0" applyBorder="1" applyAlignment="1">
      <alignment horizont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xf>
    <xf numFmtId="38" fontId="33" fillId="0" borderId="0" xfId="1" applyNumberFormat="1" applyFont="1" applyFill="1" applyBorder="1" applyAlignment="1"/>
    <xf numFmtId="38" fontId="33" fillId="0" borderId="2" xfId="1" applyNumberFormat="1" applyFont="1" applyFill="1" applyBorder="1" applyAlignment="1"/>
    <xf numFmtId="38" fontId="33" fillId="0" borderId="0" xfId="1" applyNumberFormat="1" applyFont="1" applyFill="1" applyBorder="1" applyAlignment="1">
      <alignment horizontal="right"/>
    </xf>
    <xf numFmtId="38" fontId="33" fillId="0" borderId="2" xfId="1" applyNumberFormat="1" applyFont="1" applyFill="1" applyBorder="1" applyAlignment="1">
      <alignment horizontal="right"/>
    </xf>
    <xf numFmtId="38" fontId="0" fillId="0" borderId="2" xfId="1" applyNumberFormat="1" applyFont="1" applyFill="1" applyBorder="1" applyAlignment="1"/>
    <xf numFmtId="38" fontId="0" fillId="0" borderId="3" xfId="1" applyNumberFormat="1" applyFont="1" applyFill="1" applyBorder="1" applyAlignment="1"/>
    <xf numFmtId="38" fontId="0" fillId="0" borderId="0" xfId="1" applyNumberFormat="1" applyFont="1" applyFill="1" applyBorder="1" applyAlignment="1">
      <alignment horizontal="right"/>
    </xf>
    <xf numFmtId="38" fontId="0" fillId="0" borderId="0" xfId="1" applyNumberFormat="1" applyFont="1" applyFill="1" applyBorder="1" applyAlignment="1">
      <alignment horizontal="right" vertical="center"/>
    </xf>
    <xf numFmtId="38" fontId="0" fillId="0" borderId="2" xfId="1" applyNumberFormat="1" applyFont="1" applyFill="1" applyBorder="1" applyAlignment="1">
      <alignment horizontal="right" vertical="center"/>
    </xf>
    <xf numFmtId="41" fontId="0" fillId="0" borderId="27" xfId="1" applyNumberFormat="1" applyFont="1" applyFill="1" applyBorder="1" applyAlignment="1">
      <alignment horizontal="center"/>
    </xf>
    <xf numFmtId="41" fontId="0" fillId="0" borderId="48" xfId="1" applyNumberFormat="1" applyFont="1" applyFill="1" applyBorder="1" applyAlignment="1">
      <alignment vertical="center"/>
    </xf>
    <xf numFmtId="38" fontId="0" fillId="0" borderId="0" xfId="1" applyNumberFormat="1" applyFont="1" applyFill="1" applyBorder="1" applyAlignment="1">
      <alignment vertical="center"/>
    </xf>
    <xf numFmtId="38" fontId="0" fillId="0" borderId="2" xfId="1" applyNumberFormat="1" applyFont="1" applyFill="1" applyBorder="1" applyAlignment="1">
      <alignment vertical="center"/>
    </xf>
    <xf numFmtId="38" fontId="0" fillId="0" borderId="27" xfId="1" applyNumberFormat="1" applyFont="1" applyFill="1" applyBorder="1" applyAlignment="1"/>
    <xf numFmtId="41" fontId="5" fillId="0" borderId="49" xfId="1" applyNumberFormat="1" applyFont="1" applyFill="1" applyBorder="1" applyAlignment="1"/>
    <xf numFmtId="41" fontId="0" fillId="0" borderId="45" xfId="1" applyNumberFormat="1" applyFont="1" applyFill="1" applyBorder="1" applyAlignment="1">
      <alignment horizontal="center"/>
    </xf>
    <xf numFmtId="49" fontId="70" fillId="16" borderId="16" xfId="0" applyNumberFormat="1" applyFont="1" applyFill="1" applyBorder="1" applyAlignment="1">
      <alignment vertical="center"/>
    </xf>
    <xf numFmtId="49" fontId="70" fillId="16" borderId="0" xfId="0" applyNumberFormat="1" applyFont="1" applyFill="1" applyAlignment="1">
      <alignment vertical="center"/>
    </xf>
    <xf numFmtId="6" fontId="70" fillId="16" borderId="9" xfId="1" applyNumberFormat="1" applyFont="1" applyFill="1" applyBorder="1" applyAlignment="1">
      <alignment horizontal="right"/>
    </xf>
    <xf numFmtId="38" fontId="70" fillId="16" borderId="29" xfId="1" applyNumberFormat="1" applyFont="1" applyFill="1" applyBorder="1" applyAlignment="1">
      <alignment horizontal="right"/>
    </xf>
    <xf numFmtId="49" fontId="70" fillId="16" borderId="32" xfId="0" applyNumberFormat="1" applyFont="1" applyFill="1" applyBorder="1" applyAlignment="1">
      <alignment vertical="center"/>
    </xf>
    <xf numFmtId="49" fontId="70" fillId="16" borderId="33" xfId="0" applyNumberFormat="1" applyFont="1" applyFill="1" applyBorder="1" applyAlignment="1">
      <alignment horizontal="center" vertical="center"/>
    </xf>
    <xf numFmtId="6" fontId="70" fillId="16" borderId="38" xfId="1" applyNumberFormat="1" applyFont="1" applyFill="1" applyBorder="1" applyAlignment="1">
      <alignment horizontal="right"/>
    </xf>
    <xf numFmtId="6" fontId="70" fillId="16" borderId="42" xfId="1" applyNumberFormat="1" applyFont="1" applyFill="1" applyBorder="1" applyAlignment="1">
      <alignment horizontal="right"/>
    </xf>
    <xf numFmtId="41" fontId="27" fillId="0" borderId="2" xfId="0" applyNumberFormat="1" applyFont="1" applyBorder="1" applyAlignment="1">
      <alignment vertical="center"/>
    </xf>
    <xf numFmtId="38" fontId="0" fillId="0" borderId="48" xfId="1" applyNumberFormat="1" applyFont="1" applyFill="1" applyBorder="1" applyAlignment="1"/>
    <xf numFmtId="3" fontId="0" fillId="0" borderId="0" xfId="0" applyNumberFormat="1" applyAlignment="1">
      <alignment horizontal="center"/>
    </xf>
    <xf numFmtId="3" fontId="0" fillId="0" borderId="0" xfId="0" applyNumberFormat="1"/>
    <xf numFmtId="40" fontId="13" fillId="0" borderId="0" xfId="0" applyNumberFormat="1" applyFont="1"/>
    <xf numFmtId="40" fontId="11" fillId="0" borderId="0" xfId="0" applyNumberFormat="1" applyFont="1" applyAlignment="1">
      <alignment vertical="center"/>
    </xf>
    <xf numFmtId="38" fontId="5" fillId="0" borderId="2" xfId="1" applyNumberFormat="1" applyFont="1" applyFill="1" applyBorder="1" applyAlignment="1">
      <alignment horizontal="right"/>
    </xf>
    <xf numFmtId="4" fontId="53" fillId="0" borderId="0" xfId="0" applyNumberFormat="1" applyFont="1"/>
    <xf numFmtId="42" fontId="6" fillId="3" borderId="46" xfId="0" applyNumberFormat="1" applyFont="1" applyFill="1" applyBorder="1"/>
    <xf numFmtId="3" fontId="21" fillId="9" borderId="21" xfId="1" applyNumberFormat="1" applyFont="1" applyFill="1" applyBorder="1" applyAlignment="1">
      <alignment horizontal="right"/>
    </xf>
    <xf numFmtId="40" fontId="7" fillId="0" borderId="0" xfId="0" applyNumberFormat="1" applyFont="1" applyAlignment="1">
      <alignment horizontal="center"/>
    </xf>
    <xf numFmtId="0" fontId="6" fillId="0" borderId="0" xfId="0" applyFont="1" applyAlignment="1">
      <alignment horizontal="center"/>
    </xf>
    <xf numFmtId="41" fontId="6" fillId="0" borderId="0" xfId="0" applyNumberFormat="1" applyFont="1" applyAlignment="1">
      <alignment horizontal="center"/>
    </xf>
    <xf numFmtId="6" fontId="6" fillId="0" borderId="0" xfId="0" applyNumberFormat="1" applyFont="1" applyAlignment="1">
      <alignment horizontal="center"/>
    </xf>
    <xf numFmtId="167" fontId="6" fillId="0" borderId="0" xfId="0" applyNumberFormat="1" applyFont="1" applyAlignment="1">
      <alignment horizontal="center"/>
    </xf>
    <xf numFmtId="38" fontId="6" fillId="0" borderId="0" xfId="0" applyNumberFormat="1" applyFont="1" applyAlignment="1">
      <alignment horizontal="center"/>
    </xf>
    <xf numFmtId="6" fontId="21" fillId="9" borderId="20" xfId="0" applyNumberFormat="1" applyFont="1" applyFill="1" applyBorder="1" applyAlignment="1">
      <alignment horizontal="right"/>
    </xf>
    <xf numFmtId="6" fontId="21" fillId="9" borderId="19" xfId="0" applyNumberFormat="1" applyFont="1" applyFill="1" applyBorder="1" applyAlignment="1">
      <alignment horizontal="right"/>
    </xf>
    <xf numFmtId="49" fontId="21" fillId="17" borderId="52" xfId="0" applyNumberFormat="1" applyFont="1" applyFill="1" applyBorder="1" applyAlignment="1">
      <alignment vertical="center"/>
    </xf>
    <xf numFmtId="49" fontId="21" fillId="17" borderId="53" xfId="0" applyNumberFormat="1" applyFont="1" applyFill="1" applyBorder="1" applyAlignment="1">
      <alignment vertical="center"/>
    </xf>
    <xf numFmtId="38" fontId="21" fillId="17" borderId="53" xfId="1" applyNumberFormat="1" applyFont="1" applyFill="1" applyBorder="1" applyAlignment="1">
      <alignment horizontal="right"/>
    </xf>
    <xf numFmtId="49" fontId="21" fillId="17" borderId="26" xfId="0" applyNumberFormat="1" applyFont="1" applyFill="1" applyBorder="1" applyAlignment="1">
      <alignment vertical="center"/>
    </xf>
    <xf numFmtId="49" fontId="21" fillId="17" borderId="20" xfId="0" applyNumberFormat="1" applyFont="1" applyFill="1" applyBorder="1" applyAlignment="1">
      <alignment vertical="center"/>
    </xf>
    <xf numFmtId="6" fontId="21" fillId="17" borderId="20" xfId="1" applyNumberFormat="1" applyFont="1" applyFill="1" applyBorder="1" applyAlignment="1">
      <alignment horizontal="right"/>
    </xf>
    <xf numFmtId="38" fontId="21" fillId="17" borderId="20" xfId="1" applyNumberFormat="1" applyFont="1" applyFill="1" applyBorder="1" applyAlignment="1">
      <alignment horizontal="right"/>
    </xf>
    <xf numFmtId="3" fontId="21" fillId="17" borderId="21" xfId="1" applyNumberFormat="1" applyFont="1" applyFill="1" applyBorder="1" applyAlignment="1">
      <alignment horizontal="right"/>
    </xf>
    <xf numFmtId="49" fontId="21" fillId="18" borderId="34" xfId="0" applyNumberFormat="1" applyFont="1" applyFill="1" applyBorder="1" applyAlignment="1">
      <alignment horizontal="left"/>
    </xf>
    <xf numFmtId="49" fontId="21" fillId="18" borderId="28" xfId="0" applyNumberFormat="1" applyFont="1" applyFill="1" applyBorder="1" applyAlignment="1">
      <alignment horizontal="center"/>
    </xf>
    <xf numFmtId="38" fontId="21" fillId="18" borderId="37" xfId="1" applyNumberFormat="1" applyFont="1" applyFill="1" applyBorder="1" applyAlignment="1">
      <alignment horizontal="right"/>
    </xf>
    <xf numFmtId="38" fontId="21" fillId="18" borderId="39" xfId="1" applyNumberFormat="1" applyFont="1" applyFill="1" applyBorder="1" applyAlignment="1">
      <alignment horizontal="right"/>
    </xf>
    <xf numFmtId="3" fontId="21" fillId="18" borderId="36" xfId="1" applyNumberFormat="1" applyFont="1" applyFill="1" applyBorder="1" applyAlignment="1">
      <alignment horizontal="right"/>
    </xf>
    <xf numFmtId="0" fontId="8" fillId="18" borderId="16" xfId="0" applyFont="1" applyFill="1" applyBorder="1" applyAlignment="1">
      <alignment horizontal="center"/>
    </xf>
    <xf numFmtId="49" fontId="22" fillId="18" borderId="0" xfId="0" applyNumberFormat="1" applyFont="1" applyFill="1" applyAlignment="1">
      <alignment horizontal="left"/>
    </xf>
    <xf numFmtId="38" fontId="77" fillId="18" borderId="1" xfId="1" applyNumberFormat="1" applyFont="1" applyFill="1" applyBorder="1" applyAlignment="1">
      <alignment horizontal="right"/>
    </xf>
    <xf numFmtId="38" fontId="22" fillId="18" borderId="9" xfId="1" applyNumberFormat="1" applyFont="1" applyFill="1" applyBorder="1" applyAlignment="1">
      <alignment horizontal="right"/>
    </xf>
    <xf numFmtId="3" fontId="22" fillId="18" borderId="17" xfId="1" applyNumberFormat="1" applyFont="1" applyFill="1" applyBorder="1" applyAlignment="1">
      <alignment horizontal="right"/>
    </xf>
    <xf numFmtId="38" fontId="76" fillId="18" borderId="1" xfId="1" applyNumberFormat="1" applyFont="1" applyFill="1" applyBorder="1" applyAlignment="1">
      <alignment horizontal="right"/>
    </xf>
    <xf numFmtId="38" fontId="22" fillId="18" borderId="1" xfId="1" applyNumberFormat="1" applyFont="1" applyFill="1" applyBorder="1" applyAlignment="1">
      <alignment horizontal="right"/>
    </xf>
    <xf numFmtId="49" fontId="22" fillId="18" borderId="0" xfId="0" applyNumberFormat="1" applyFont="1" applyFill="1"/>
    <xf numFmtId="6" fontId="0" fillId="18" borderId="18" xfId="0" applyNumberFormat="1" applyFill="1" applyBorder="1" applyAlignment="1">
      <alignment horizontal="center"/>
    </xf>
    <xf numFmtId="6" fontId="7" fillId="18" borderId="19" xfId="0" applyNumberFormat="1" applyFont="1" applyFill="1" applyBorder="1" applyAlignment="1">
      <alignment horizontal="center"/>
    </xf>
    <xf numFmtId="6" fontId="21" fillId="18" borderId="25" xfId="1" applyNumberFormat="1" applyFont="1" applyFill="1" applyBorder="1" applyAlignment="1">
      <alignment horizontal="right"/>
    </xf>
    <xf numFmtId="6" fontId="21" fillId="18" borderId="21" xfId="1" applyNumberFormat="1" applyFont="1" applyFill="1" applyBorder="1" applyAlignment="1">
      <alignment horizontal="right"/>
    </xf>
    <xf numFmtId="6" fontId="21" fillId="19" borderId="32" xfId="0" applyNumberFormat="1" applyFont="1" applyFill="1" applyBorder="1"/>
    <xf numFmtId="6" fontId="21" fillId="19" borderId="33" xfId="0" applyNumberFormat="1" applyFont="1" applyFill="1" applyBorder="1" applyAlignment="1">
      <alignment horizontal="center" vertical="center"/>
    </xf>
    <xf numFmtId="170" fontId="7" fillId="19" borderId="38" xfId="1" applyNumberFormat="1" applyFont="1" applyFill="1" applyBorder="1" applyAlignment="1">
      <alignment horizontal="right"/>
    </xf>
    <xf numFmtId="49" fontId="70" fillId="12" borderId="32" xfId="0" applyNumberFormat="1" applyFont="1" applyFill="1" applyBorder="1" applyAlignment="1">
      <alignment vertical="center"/>
    </xf>
    <xf numFmtId="49" fontId="70" fillId="12" borderId="33" xfId="0" applyNumberFormat="1" applyFont="1" applyFill="1" applyBorder="1" applyAlignment="1">
      <alignment vertical="center"/>
    </xf>
    <xf numFmtId="6" fontId="70" fillId="12" borderId="66" xfId="1" applyNumberFormat="1" applyFont="1" applyFill="1" applyBorder="1" applyAlignment="1">
      <alignment horizontal="right"/>
    </xf>
    <xf numFmtId="38" fontId="70" fillId="12" borderId="66" xfId="1" applyNumberFormat="1" applyFont="1" applyFill="1" applyBorder="1" applyAlignment="1">
      <alignment horizontal="right"/>
    </xf>
    <xf numFmtId="3" fontId="70" fillId="12" borderId="59" xfId="1" applyNumberFormat="1" applyFont="1" applyFill="1" applyBorder="1" applyAlignment="1">
      <alignment horizontal="right"/>
    </xf>
    <xf numFmtId="38" fontId="22" fillId="17" borderId="53" xfId="1" applyNumberFormat="1" applyFont="1" applyFill="1" applyBorder="1" applyAlignment="1">
      <alignment horizontal="right"/>
    </xf>
    <xf numFmtId="38" fontId="22" fillId="17" borderId="20" xfId="1" applyNumberFormat="1" applyFont="1" applyFill="1" applyBorder="1" applyAlignment="1">
      <alignment horizontal="right"/>
    </xf>
    <xf numFmtId="38" fontId="22" fillId="0" borderId="0" xfId="1" applyNumberFormat="1" applyFont="1" applyFill="1" applyBorder="1" applyAlignment="1">
      <alignment horizontal="right"/>
    </xf>
    <xf numFmtId="38" fontId="77" fillId="12" borderId="66" xfId="1" applyNumberFormat="1" applyFont="1" applyFill="1" applyBorder="1" applyAlignment="1">
      <alignment horizontal="right"/>
    </xf>
    <xf numFmtId="6" fontId="21" fillId="17" borderId="9" xfId="1" applyNumberFormat="1" applyFont="1" applyFill="1" applyBorder="1" applyAlignment="1">
      <alignment horizontal="right"/>
    </xf>
    <xf numFmtId="38" fontId="21" fillId="17" borderId="9" xfId="1" applyNumberFormat="1" applyFont="1" applyFill="1" applyBorder="1" applyAlignment="1">
      <alignment horizontal="right"/>
    </xf>
    <xf numFmtId="38" fontId="22" fillId="17" borderId="9" xfId="1" applyNumberFormat="1" applyFont="1" applyFill="1" applyBorder="1" applyAlignment="1">
      <alignment horizontal="right"/>
    </xf>
    <xf numFmtId="3" fontId="21" fillId="17" borderId="17" xfId="1" applyNumberFormat="1" applyFont="1" applyFill="1" applyBorder="1" applyAlignment="1">
      <alignment horizontal="right"/>
    </xf>
    <xf numFmtId="164" fontId="0" fillId="0" borderId="0" xfId="0" applyNumberFormat="1"/>
    <xf numFmtId="49" fontId="21" fillId="17" borderId="24" xfId="0" applyNumberFormat="1" applyFont="1" applyFill="1" applyBorder="1" applyAlignment="1">
      <alignment vertical="center"/>
    </xf>
    <xf numFmtId="49" fontId="21" fillId="17" borderId="65" xfId="0" applyNumberFormat="1" applyFont="1" applyFill="1" applyBorder="1" applyAlignment="1">
      <alignment vertical="center"/>
    </xf>
    <xf numFmtId="6" fontId="21" fillId="17" borderId="11" xfId="1" applyNumberFormat="1" applyFont="1" applyFill="1" applyBorder="1" applyAlignment="1">
      <alignment horizontal="right"/>
    </xf>
    <xf numFmtId="38" fontId="21" fillId="17" borderId="11" xfId="1" applyNumberFormat="1" applyFont="1" applyFill="1" applyBorder="1" applyAlignment="1">
      <alignment horizontal="right"/>
    </xf>
    <xf numFmtId="38" fontId="22" fillId="17" borderId="11" xfId="1" applyNumberFormat="1" applyFont="1" applyFill="1" applyBorder="1" applyAlignment="1">
      <alignment horizontal="right"/>
    </xf>
    <xf numFmtId="3" fontId="21" fillId="17" borderId="36" xfId="1" applyNumberFormat="1" applyFont="1" applyFill="1" applyBorder="1" applyAlignment="1">
      <alignment horizontal="right"/>
    </xf>
    <xf numFmtId="3" fontId="21" fillId="17" borderId="56" xfId="1" applyNumberFormat="1" applyFont="1" applyFill="1" applyBorder="1" applyAlignment="1">
      <alignment horizontal="right"/>
    </xf>
    <xf numFmtId="6" fontId="22" fillId="17" borderId="53" xfId="1" applyNumberFormat="1" applyFont="1" applyFill="1" applyBorder="1" applyAlignment="1">
      <alignment horizontal="right"/>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Alignment="1">
      <alignment horizontal="left" vertical="center"/>
    </xf>
    <xf numFmtId="0" fontId="59" fillId="0" borderId="0" xfId="0" applyFont="1" applyAlignment="1">
      <alignment horizontal="left" vertical="center" wrapText="1"/>
    </xf>
    <xf numFmtId="0" fontId="28" fillId="0" borderId="0" xfId="0" applyFont="1" applyAlignment="1">
      <alignment horizontal="left" vertical="center" wrapText="1"/>
    </xf>
    <xf numFmtId="49" fontId="14" fillId="0" borderId="0" xfId="0" applyNumberFormat="1" applyFont="1" applyAlignment="1">
      <alignment horizontal="center" vertical="center"/>
    </xf>
    <xf numFmtId="0" fontId="41"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left" vertical="top" wrapText="1"/>
    </xf>
    <xf numFmtId="0" fontId="37" fillId="0" borderId="0" xfId="0" applyFont="1" applyAlignment="1">
      <alignment horizontal="left" wrapText="1"/>
    </xf>
    <xf numFmtId="0" fontId="63" fillId="0" borderId="0" xfId="0" applyFont="1" applyAlignment="1">
      <alignment horizontal="center" vertical="center" wrapText="1"/>
    </xf>
    <xf numFmtId="0" fontId="41" fillId="0" borderId="0" xfId="0" applyFont="1" applyAlignment="1">
      <alignment horizontal="left" vertical="center" wrapText="1"/>
    </xf>
    <xf numFmtId="0" fontId="38" fillId="0" borderId="0" xfId="0" applyFont="1" applyAlignment="1">
      <alignment horizontal="left" vertical="center" wrapText="1" indent="2"/>
    </xf>
    <xf numFmtId="0" fontId="41" fillId="0" borderId="0" xfId="0" applyFont="1" applyAlignment="1">
      <alignment horizontal="right" vertical="center" wrapText="1"/>
    </xf>
    <xf numFmtId="0" fontId="38" fillId="0" borderId="0" xfId="0" applyFont="1" applyAlignment="1">
      <alignment horizontal="center" vertical="center" wrapText="1"/>
    </xf>
    <xf numFmtId="0" fontId="38" fillId="0" borderId="0" xfId="0" applyFont="1" applyAlignment="1">
      <alignment horizontal="right" vertical="center" wrapText="1"/>
    </xf>
    <xf numFmtId="0" fontId="38" fillId="0" borderId="0" xfId="0" applyFont="1" applyAlignment="1">
      <alignment horizontal="left" vertical="center" wrapText="1"/>
    </xf>
    <xf numFmtId="0" fontId="63"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xf>
    <xf numFmtId="0" fontId="0" fillId="0" borderId="11" xfId="0" applyBorder="1" applyAlignment="1">
      <alignment horizontal="left" vertical="top" wrapText="1"/>
    </xf>
    <xf numFmtId="0" fontId="0" fillId="0" borderId="11" xfId="0" applyBorder="1" applyAlignment="1">
      <alignment horizontal="left" vertical="top"/>
    </xf>
    <xf numFmtId="17" fontId="0" fillId="0" borderId="2" xfId="0" applyNumberFormat="1" applyBorder="1" applyAlignment="1">
      <alignment horizontal="left" vertical="center" wrapText="1"/>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24" fillId="0" borderId="5" xfId="0" applyFont="1" applyBorder="1" applyAlignment="1">
      <alignment horizontal="center" vertical="top" wrapText="1"/>
    </xf>
    <xf numFmtId="0" fontId="24" fillId="0" borderId="7" xfId="0" applyFont="1" applyBorder="1" applyAlignment="1">
      <alignment horizontal="center" vertical="top" wrapText="1"/>
    </xf>
    <xf numFmtId="0" fontId="3" fillId="0" borderId="11" xfId="0" applyFont="1" applyBorder="1" applyAlignment="1">
      <alignment horizontal="left" vertical="top" wrapText="1"/>
    </xf>
    <xf numFmtId="0" fontId="38" fillId="0" borderId="0" xfId="0" applyFont="1" applyAlignment="1">
      <alignment horizontal="left" vertical="top" wrapText="1"/>
    </xf>
    <xf numFmtId="0" fontId="37" fillId="0" borderId="2" xfId="0" applyFont="1" applyBorder="1" applyAlignment="1">
      <alignment horizontal="left" vertical="top" wrapText="1"/>
    </xf>
    <xf numFmtId="0" fontId="38" fillId="0" borderId="0" xfId="0" applyFont="1" applyAlignment="1">
      <alignment horizontal="center" vertical="top" wrapText="1"/>
    </xf>
    <xf numFmtId="0" fontId="36" fillId="0" borderId="0" xfId="0" applyFont="1" applyAlignment="1">
      <alignment horizontal="center" vertical="center"/>
    </xf>
    <xf numFmtId="168" fontId="36" fillId="0" borderId="0" xfId="0" applyNumberFormat="1" applyFont="1" applyAlignment="1">
      <alignment horizontal="center" vertical="center"/>
    </xf>
    <xf numFmtId="0" fontId="44" fillId="0" borderId="0" xfId="0" applyFont="1" applyAlignment="1">
      <alignment horizontal="center" vertical="center" wrapText="1"/>
    </xf>
    <xf numFmtId="0" fontId="53" fillId="0" borderId="11"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7" xfId="0" applyFont="1" applyBorder="1" applyAlignment="1">
      <alignment horizontal="center" vertical="center" wrapText="1"/>
    </xf>
    <xf numFmtId="41" fontId="38" fillId="0" borderId="0" xfId="0" applyNumberFormat="1" applyFont="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0" fontId="6" fillId="3" borderId="42" xfId="0" applyFont="1" applyFill="1" applyBorder="1" applyAlignment="1">
      <alignment horizontal="center" vertical="center"/>
    </xf>
    <xf numFmtId="0" fontId="0" fillId="0" borderId="23" xfId="0" applyBorder="1" applyAlignment="1">
      <alignment horizontal="left"/>
    </xf>
    <xf numFmtId="0" fontId="0" fillId="0" borderId="1" xfId="0" applyBorder="1" applyAlignment="1">
      <alignment horizontal="left"/>
    </xf>
    <xf numFmtId="0" fontId="0" fillId="0" borderId="68" xfId="0" applyBorder="1" applyAlignment="1">
      <alignment horizontal="left"/>
    </xf>
    <xf numFmtId="0" fontId="0" fillId="0" borderId="20" xfId="0" applyBorder="1" applyAlignment="1">
      <alignment horizontal="left"/>
    </xf>
    <xf numFmtId="0" fontId="33" fillId="0" borderId="16" xfId="0" applyFont="1" applyBorder="1" applyAlignment="1">
      <alignment horizontal="left"/>
    </xf>
    <xf numFmtId="0" fontId="33" fillId="0" borderId="0" xfId="0" applyFont="1" applyAlignment="1">
      <alignment horizontal="left"/>
    </xf>
    <xf numFmtId="0" fontId="33" fillId="0" borderId="29" xfId="0" applyFont="1" applyBorder="1" applyAlignment="1">
      <alignment horizontal="left"/>
    </xf>
    <xf numFmtId="0" fontId="0" fillId="0" borderId="11" xfId="0" applyBorder="1" applyAlignment="1">
      <alignment horizontal="left"/>
    </xf>
    <xf numFmtId="0" fontId="0" fillId="0" borderId="5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0" xfId="0" applyNumberFormat="1" applyFont="1" applyFill="1" applyBorder="1" applyAlignment="1">
      <alignment horizontal="center" vertical="center"/>
    </xf>
    <xf numFmtId="49" fontId="21" fillId="17" borderId="70" xfId="0" applyNumberFormat="1" applyFont="1" applyFill="1" applyBorder="1" applyAlignment="1">
      <alignment horizontal="left" vertical="center"/>
    </xf>
    <xf numFmtId="49" fontId="21" fillId="17" borderId="7" xfId="0" applyNumberFormat="1" applyFont="1" applyFill="1" applyBorder="1" applyAlignment="1">
      <alignment horizontal="left" vertical="center"/>
    </xf>
    <xf numFmtId="49" fontId="20" fillId="0" borderId="0" xfId="0" applyNumberFormat="1" applyFont="1" applyAlignment="1">
      <alignment horizontal="center"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42" fontId="0" fillId="0" borderId="9" xfId="0" applyNumberFormat="1" applyBorder="1" applyAlignment="1">
      <alignment horizontal="left" vertical="top" wrapText="1"/>
    </xf>
    <xf numFmtId="0" fontId="0" fillId="0" borderId="5" xfId="0" applyBorder="1" applyAlignment="1">
      <alignment horizontal="center" vertical="center" wrapText="1"/>
    </xf>
    <xf numFmtId="0" fontId="0" fillId="0" borderId="7" xfId="0" applyBorder="1" applyAlignment="1">
      <alignment horizontal="center" vertical="center" wrapText="1"/>
    </xf>
  </cellXfs>
  <cellStyles count="7">
    <cellStyle name="Currency" xfId="1" builtinId="4"/>
    <cellStyle name="Currency 2" xfId="3"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Data!$A$1840:$A$2280</c:f>
              <c:numCache>
                <c:formatCode>[$-F800]dddd\,\ mmmm\ dd\,\ yyyy</c:formatCode>
                <c:ptCount val="441"/>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45164</c:v>
                </c:pt>
                <c:pt idx="171">
                  <c:v>45165</c:v>
                </c:pt>
                <c:pt idx="172">
                  <c:v>45166</c:v>
                </c:pt>
                <c:pt idx="173">
                  <c:v>45167</c:v>
                </c:pt>
                <c:pt idx="174">
                  <c:v>45168</c:v>
                </c:pt>
                <c:pt idx="175">
                  <c:v>45169</c:v>
                </c:pt>
                <c:pt idx="176">
                  <c:v>45170</c:v>
                </c:pt>
                <c:pt idx="177">
                  <c:v>45171</c:v>
                </c:pt>
                <c:pt idx="178">
                  <c:v>45172</c:v>
                </c:pt>
                <c:pt idx="179">
                  <c:v>45173</c:v>
                </c:pt>
                <c:pt idx="180">
                  <c:v>45174</c:v>
                </c:pt>
                <c:pt idx="181">
                  <c:v>45175</c:v>
                </c:pt>
                <c:pt idx="182">
                  <c:v>45176</c:v>
                </c:pt>
                <c:pt idx="183">
                  <c:v>45177</c:v>
                </c:pt>
                <c:pt idx="184">
                  <c:v>45180</c:v>
                </c:pt>
                <c:pt idx="185">
                  <c:v>45181</c:v>
                </c:pt>
                <c:pt idx="186">
                  <c:v>45182</c:v>
                </c:pt>
                <c:pt idx="187">
                  <c:v>45183</c:v>
                </c:pt>
                <c:pt idx="188">
                  <c:v>45184</c:v>
                </c:pt>
                <c:pt idx="189">
                  <c:v>45187</c:v>
                </c:pt>
                <c:pt idx="190">
                  <c:v>45188</c:v>
                </c:pt>
                <c:pt idx="191">
                  <c:v>45189</c:v>
                </c:pt>
                <c:pt idx="192">
                  <c:v>45190</c:v>
                </c:pt>
                <c:pt idx="193">
                  <c:v>45191</c:v>
                </c:pt>
                <c:pt idx="194">
                  <c:v>45194</c:v>
                </c:pt>
                <c:pt idx="195">
                  <c:v>45195</c:v>
                </c:pt>
                <c:pt idx="196">
                  <c:v>45196</c:v>
                </c:pt>
                <c:pt idx="197">
                  <c:v>45197</c:v>
                </c:pt>
                <c:pt idx="198">
                  <c:v>45198</c:v>
                </c:pt>
                <c:pt idx="199">
                  <c:v>45201</c:v>
                </c:pt>
                <c:pt idx="200">
                  <c:v>45202</c:v>
                </c:pt>
                <c:pt idx="201">
                  <c:v>45203</c:v>
                </c:pt>
                <c:pt idx="202">
                  <c:v>45204</c:v>
                </c:pt>
                <c:pt idx="203">
                  <c:v>45205</c:v>
                </c:pt>
                <c:pt idx="204">
                  <c:v>45208</c:v>
                </c:pt>
                <c:pt idx="205">
                  <c:v>45209</c:v>
                </c:pt>
                <c:pt idx="206">
                  <c:v>45210</c:v>
                </c:pt>
                <c:pt idx="207">
                  <c:v>45211</c:v>
                </c:pt>
                <c:pt idx="208">
                  <c:v>45212</c:v>
                </c:pt>
                <c:pt idx="209">
                  <c:v>45215</c:v>
                </c:pt>
                <c:pt idx="210">
                  <c:v>45216</c:v>
                </c:pt>
                <c:pt idx="211">
                  <c:v>45217</c:v>
                </c:pt>
                <c:pt idx="212">
                  <c:v>45218</c:v>
                </c:pt>
                <c:pt idx="213">
                  <c:v>45219</c:v>
                </c:pt>
                <c:pt idx="214">
                  <c:v>45222</c:v>
                </c:pt>
                <c:pt idx="215">
                  <c:v>45223</c:v>
                </c:pt>
                <c:pt idx="216">
                  <c:v>45224</c:v>
                </c:pt>
                <c:pt idx="217">
                  <c:v>45225</c:v>
                </c:pt>
                <c:pt idx="218">
                  <c:v>45226</c:v>
                </c:pt>
                <c:pt idx="219">
                  <c:v>45229</c:v>
                </c:pt>
                <c:pt idx="220">
                  <c:v>45230</c:v>
                </c:pt>
                <c:pt idx="221">
                  <c:v>45231</c:v>
                </c:pt>
                <c:pt idx="222">
                  <c:v>45232</c:v>
                </c:pt>
                <c:pt idx="223">
                  <c:v>45233</c:v>
                </c:pt>
                <c:pt idx="224">
                  <c:v>45236</c:v>
                </c:pt>
                <c:pt idx="225">
                  <c:v>45237</c:v>
                </c:pt>
                <c:pt idx="226">
                  <c:v>45238</c:v>
                </c:pt>
                <c:pt idx="227">
                  <c:v>45239</c:v>
                </c:pt>
                <c:pt idx="228">
                  <c:v>45240</c:v>
                </c:pt>
                <c:pt idx="229">
                  <c:v>45243</c:v>
                </c:pt>
                <c:pt idx="230">
                  <c:v>45244</c:v>
                </c:pt>
                <c:pt idx="231">
                  <c:v>45245</c:v>
                </c:pt>
                <c:pt idx="232">
                  <c:v>45246</c:v>
                </c:pt>
                <c:pt idx="233">
                  <c:v>45247</c:v>
                </c:pt>
                <c:pt idx="234">
                  <c:v>45250</c:v>
                </c:pt>
                <c:pt idx="235">
                  <c:v>45251</c:v>
                </c:pt>
                <c:pt idx="236">
                  <c:v>45252</c:v>
                </c:pt>
                <c:pt idx="237">
                  <c:v>45253</c:v>
                </c:pt>
                <c:pt idx="238">
                  <c:v>45254</c:v>
                </c:pt>
                <c:pt idx="239">
                  <c:v>45257</c:v>
                </c:pt>
                <c:pt idx="240">
                  <c:v>45258</c:v>
                </c:pt>
                <c:pt idx="241">
                  <c:v>45259</c:v>
                </c:pt>
                <c:pt idx="242">
                  <c:v>45260</c:v>
                </c:pt>
                <c:pt idx="243">
                  <c:v>45261</c:v>
                </c:pt>
                <c:pt idx="244">
                  <c:v>45264</c:v>
                </c:pt>
                <c:pt idx="245">
                  <c:v>45265</c:v>
                </c:pt>
                <c:pt idx="246">
                  <c:v>45266</c:v>
                </c:pt>
                <c:pt idx="247">
                  <c:v>45267</c:v>
                </c:pt>
                <c:pt idx="248">
                  <c:v>45268</c:v>
                </c:pt>
                <c:pt idx="249">
                  <c:v>45271</c:v>
                </c:pt>
                <c:pt idx="250">
                  <c:v>45272</c:v>
                </c:pt>
                <c:pt idx="251">
                  <c:v>45273</c:v>
                </c:pt>
                <c:pt idx="252">
                  <c:v>45274</c:v>
                </c:pt>
                <c:pt idx="253">
                  <c:v>45275</c:v>
                </c:pt>
                <c:pt idx="254">
                  <c:v>45278</c:v>
                </c:pt>
                <c:pt idx="255">
                  <c:v>45279</c:v>
                </c:pt>
                <c:pt idx="256">
                  <c:v>45280</c:v>
                </c:pt>
                <c:pt idx="257">
                  <c:v>45281</c:v>
                </c:pt>
                <c:pt idx="258">
                  <c:v>45282</c:v>
                </c:pt>
                <c:pt idx="259">
                  <c:v>45285</c:v>
                </c:pt>
                <c:pt idx="260">
                  <c:v>45286</c:v>
                </c:pt>
                <c:pt idx="261">
                  <c:v>45287</c:v>
                </c:pt>
                <c:pt idx="262">
                  <c:v>45288</c:v>
                </c:pt>
                <c:pt idx="263">
                  <c:v>45289</c:v>
                </c:pt>
                <c:pt idx="264">
                  <c:v>45290</c:v>
                </c:pt>
                <c:pt idx="265">
                  <c:v>45291</c:v>
                </c:pt>
                <c:pt idx="266">
                  <c:v>45292</c:v>
                </c:pt>
                <c:pt idx="267">
                  <c:v>45293</c:v>
                </c:pt>
                <c:pt idx="268">
                  <c:v>45294</c:v>
                </c:pt>
                <c:pt idx="269">
                  <c:v>45295</c:v>
                </c:pt>
                <c:pt idx="270">
                  <c:v>45296</c:v>
                </c:pt>
                <c:pt idx="271">
                  <c:v>45299</c:v>
                </c:pt>
                <c:pt idx="272">
                  <c:v>45300</c:v>
                </c:pt>
                <c:pt idx="273">
                  <c:v>45301</c:v>
                </c:pt>
                <c:pt idx="274">
                  <c:v>45302</c:v>
                </c:pt>
                <c:pt idx="275">
                  <c:v>45303</c:v>
                </c:pt>
                <c:pt idx="276">
                  <c:v>45306</c:v>
                </c:pt>
                <c:pt idx="277">
                  <c:v>45307</c:v>
                </c:pt>
                <c:pt idx="278">
                  <c:v>45308</c:v>
                </c:pt>
                <c:pt idx="279">
                  <c:v>45309</c:v>
                </c:pt>
                <c:pt idx="280">
                  <c:v>45310</c:v>
                </c:pt>
                <c:pt idx="281">
                  <c:v>45313</c:v>
                </c:pt>
                <c:pt idx="282">
                  <c:v>45314</c:v>
                </c:pt>
                <c:pt idx="283">
                  <c:v>45315</c:v>
                </c:pt>
                <c:pt idx="284">
                  <c:v>45316</c:v>
                </c:pt>
                <c:pt idx="285">
                  <c:v>45317</c:v>
                </c:pt>
                <c:pt idx="286">
                  <c:v>45320</c:v>
                </c:pt>
                <c:pt idx="287">
                  <c:v>45321</c:v>
                </c:pt>
                <c:pt idx="288">
                  <c:v>45322</c:v>
                </c:pt>
                <c:pt idx="289">
                  <c:v>45323</c:v>
                </c:pt>
                <c:pt idx="290">
                  <c:v>45324</c:v>
                </c:pt>
                <c:pt idx="291">
                  <c:v>45327</c:v>
                </c:pt>
                <c:pt idx="292">
                  <c:v>45328</c:v>
                </c:pt>
                <c:pt idx="293">
                  <c:v>45329</c:v>
                </c:pt>
                <c:pt idx="294">
                  <c:v>45330</c:v>
                </c:pt>
                <c:pt idx="295">
                  <c:v>45331</c:v>
                </c:pt>
                <c:pt idx="296">
                  <c:v>45334</c:v>
                </c:pt>
                <c:pt idx="297">
                  <c:v>45335</c:v>
                </c:pt>
                <c:pt idx="298">
                  <c:v>45336</c:v>
                </c:pt>
                <c:pt idx="299">
                  <c:v>45337</c:v>
                </c:pt>
                <c:pt idx="300">
                  <c:v>45338</c:v>
                </c:pt>
                <c:pt idx="301">
                  <c:v>45341</c:v>
                </c:pt>
                <c:pt idx="302">
                  <c:v>45342</c:v>
                </c:pt>
                <c:pt idx="303">
                  <c:v>45343</c:v>
                </c:pt>
                <c:pt idx="304">
                  <c:v>45344</c:v>
                </c:pt>
                <c:pt idx="305">
                  <c:v>45345</c:v>
                </c:pt>
                <c:pt idx="306">
                  <c:v>45348</c:v>
                </c:pt>
                <c:pt idx="307">
                  <c:v>45349</c:v>
                </c:pt>
                <c:pt idx="308">
                  <c:v>45350</c:v>
                </c:pt>
                <c:pt idx="309">
                  <c:v>45351</c:v>
                </c:pt>
                <c:pt idx="310">
                  <c:v>45352</c:v>
                </c:pt>
                <c:pt idx="311">
                  <c:v>45355</c:v>
                </c:pt>
                <c:pt idx="312">
                  <c:v>45356</c:v>
                </c:pt>
                <c:pt idx="313">
                  <c:v>45357</c:v>
                </c:pt>
                <c:pt idx="314">
                  <c:v>45358</c:v>
                </c:pt>
                <c:pt idx="315">
                  <c:v>45359</c:v>
                </c:pt>
                <c:pt idx="316">
                  <c:v>45362</c:v>
                </c:pt>
                <c:pt idx="317">
                  <c:v>45363</c:v>
                </c:pt>
                <c:pt idx="318">
                  <c:v>45364</c:v>
                </c:pt>
                <c:pt idx="319">
                  <c:v>45365</c:v>
                </c:pt>
                <c:pt idx="320">
                  <c:v>45366</c:v>
                </c:pt>
                <c:pt idx="321">
                  <c:v>45369</c:v>
                </c:pt>
                <c:pt idx="322">
                  <c:v>45370</c:v>
                </c:pt>
                <c:pt idx="323">
                  <c:v>45371</c:v>
                </c:pt>
                <c:pt idx="324">
                  <c:v>45372</c:v>
                </c:pt>
                <c:pt idx="325">
                  <c:v>45373</c:v>
                </c:pt>
                <c:pt idx="326">
                  <c:v>45376</c:v>
                </c:pt>
                <c:pt idx="327">
                  <c:v>45377</c:v>
                </c:pt>
                <c:pt idx="328">
                  <c:v>45378</c:v>
                </c:pt>
                <c:pt idx="329">
                  <c:v>45379</c:v>
                </c:pt>
                <c:pt idx="330">
                  <c:v>45380</c:v>
                </c:pt>
                <c:pt idx="331">
                  <c:v>45383</c:v>
                </c:pt>
                <c:pt idx="332">
                  <c:v>45384</c:v>
                </c:pt>
                <c:pt idx="333">
                  <c:v>45385</c:v>
                </c:pt>
                <c:pt idx="334">
                  <c:v>45386</c:v>
                </c:pt>
                <c:pt idx="335">
                  <c:v>45387</c:v>
                </c:pt>
                <c:pt idx="336">
                  <c:v>45390</c:v>
                </c:pt>
                <c:pt idx="337">
                  <c:v>45391</c:v>
                </c:pt>
                <c:pt idx="338">
                  <c:v>45392</c:v>
                </c:pt>
                <c:pt idx="339">
                  <c:v>45393</c:v>
                </c:pt>
                <c:pt idx="340">
                  <c:v>45394</c:v>
                </c:pt>
                <c:pt idx="341">
                  <c:v>45397</c:v>
                </c:pt>
                <c:pt idx="342">
                  <c:v>45398</c:v>
                </c:pt>
                <c:pt idx="343">
                  <c:v>45399</c:v>
                </c:pt>
                <c:pt idx="344">
                  <c:v>45400</c:v>
                </c:pt>
                <c:pt idx="345">
                  <c:v>45401</c:v>
                </c:pt>
                <c:pt idx="346">
                  <c:v>45404</c:v>
                </c:pt>
                <c:pt idx="347">
                  <c:v>45405</c:v>
                </c:pt>
                <c:pt idx="348">
                  <c:v>45406</c:v>
                </c:pt>
                <c:pt idx="349">
                  <c:v>45407</c:v>
                </c:pt>
                <c:pt idx="350">
                  <c:v>45408</c:v>
                </c:pt>
                <c:pt idx="351">
                  <c:v>45411</c:v>
                </c:pt>
                <c:pt idx="352">
                  <c:v>45412</c:v>
                </c:pt>
                <c:pt idx="353">
                  <c:v>45413</c:v>
                </c:pt>
                <c:pt idx="354">
                  <c:v>45414</c:v>
                </c:pt>
                <c:pt idx="355">
                  <c:v>45415</c:v>
                </c:pt>
                <c:pt idx="356">
                  <c:v>45418</c:v>
                </c:pt>
                <c:pt idx="357">
                  <c:v>45419</c:v>
                </c:pt>
                <c:pt idx="358">
                  <c:v>45420</c:v>
                </c:pt>
                <c:pt idx="359">
                  <c:v>45421</c:v>
                </c:pt>
                <c:pt idx="360">
                  <c:v>45422</c:v>
                </c:pt>
                <c:pt idx="361">
                  <c:v>45425</c:v>
                </c:pt>
                <c:pt idx="362">
                  <c:v>45426</c:v>
                </c:pt>
                <c:pt idx="363">
                  <c:v>45427</c:v>
                </c:pt>
                <c:pt idx="364">
                  <c:v>45428</c:v>
                </c:pt>
                <c:pt idx="365">
                  <c:v>45429</c:v>
                </c:pt>
                <c:pt idx="366">
                  <c:v>45432</c:v>
                </c:pt>
                <c:pt idx="367">
                  <c:v>45433</c:v>
                </c:pt>
                <c:pt idx="368">
                  <c:v>45434</c:v>
                </c:pt>
                <c:pt idx="369">
                  <c:v>45435</c:v>
                </c:pt>
                <c:pt idx="370">
                  <c:v>45436</c:v>
                </c:pt>
                <c:pt idx="371">
                  <c:v>45439</c:v>
                </c:pt>
                <c:pt idx="372">
                  <c:v>45440</c:v>
                </c:pt>
                <c:pt idx="373">
                  <c:v>45441</c:v>
                </c:pt>
                <c:pt idx="374">
                  <c:v>45442</c:v>
                </c:pt>
                <c:pt idx="375">
                  <c:v>45443</c:v>
                </c:pt>
                <c:pt idx="376">
                  <c:v>45446</c:v>
                </c:pt>
                <c:pt idx="377">
                  <c:v>45447</c:v>
                </c:pt>
                <c:pt idx="378">
                  <c:v>45448</c:v>
                </c:pt>
                <c:pt idx="379">
                  <c:v>45449</c:v>
                </c:pt>
                <c:pt idx="380">
                  <c:v>45450</c:v>
                </c:pt>
                <c:pt idx="381">
                  <c:v>45453</c:v>
                </c:pt>
                <c:pt idx="382">
                  <c:v>45454</c:v>
                </c:pt>
                <c:pt idx="383">
                  <c:v>45455</c:v>
                </c:pt>
                <c:pt idx="384">
                  <c:v>45456</c:v>
                </c:pt>
                <c:pt idx="385">
                  <c:v>45457</c:v>
                </c:pt>
                <c:pt idx="386">
                  <c:v>45460</c:v>
                </c:pt>
                <c:pt idx="387">
                  <c:v>45461</c:v>
                </c:pt>
                <c:pt idx="388">
                  <c:v>45462</c:v>
                </c:pt>
                <c:pt idx="389">
                  <c:v>45463</c:v>
                </c:pt>
                <c:pt idx="390">
                  <c:v>45464</c:v>
                </c:pt>
                <c:pt idx="391">
                  <c:v>45467</c:v>
                </c:pt>
                <c:pt idx="392">
                  <c:v>45468</c:v>
                </c:pt>
                <c:pt idx="393">
                  <c:v>45469</c:v>
                </c:pt>
                <c:pt idx="394">
                  <c:v>45470</c:v>
                </c:pt>
                <c:pt idx="395">
                  <c:v>45471</c:v>
                </c:pt>
                <c:pt idx="396">
                  <c:v>45474</c:v>
                </c:pt>
                <c:pt idx="397">
                  <c:v>45475</c:v>
                </c:pt>
                <c:pt idx="398">
                  <c:v>45476</c:v>
                </c:pt>
                <c:pt idx="399">
                  <c:v>45477</c:v>
                </c:pt>
                <c:pt idx="400">
                  <c:v>45478</c:v>
                </c:pt>
                <c:pt idx="401">
                  <c:v>45481</c:v>
                </c:pt>
                <c:pt idx="402">
                  <c:v>45482</c:v>
                </c:pt>
                <c:pt idx="403">
                  <c:v>45483</c:v>
                </c:pt>
                <c:pt idx="404">
                  <c:v>45484</c:v>
                </c:pt>
                <c:pt idx="405">
                  <c:v>45485</c:v>
                </c:pt>
                <c:pt idx="406">
                  <c:v>45488</c:v>
                </c:pt>
                <c:pt idx="407">
                  <c:v>45489</c:v>
                </c:pt>
                <c:pt idx="408">
                  <c:v>45490</c:v>
                </c:pt>
                <c:pt idx="409">
                  <c:v>45491</c:v>
                </c:pt>
                <c:pt idx="410">
                  <c:v>45492</c:v>
                </c:pt>
                <c:pt idx="411">
                  <c:v>45495</c:v>
                </c:pt>
                <c:pt idx="412">
                  <c:v>45496</c:v>
                </c:pt>
                <c:pt idx="413">
                  <c:v>45497</c:v>
                </c:pt>
                <c:pt idx="414">
                  <c:v>45498</c:v>
                </c:pt>
                <c:pt idx="415">
                  <c:v>45499</c:v>
                </c:pt>
                <c:pt idx="416">
                  <c:v>45502</c:v>
                </c:pt>
                <c:pt idx="417">
                  <c:v>45503</c:v>
                </c:pt>
                <c:pt idx="418">
                  <c:v>45504</c:v>
                </c:pt>
                <c:pt idx="419">
                  <c:v>45505</c:v>
                </c:pt>
                <c:pt idx="420">
                  <c:v>45506</c:v>
                </c:pt>
                <c:pt idx="421">
                  <c:v>45509</c:v>
                </c:pt>
                <c:pt idx="422">
                  <c:v>45510</c:v>
                </c:pt>
                <c:pt idx="423">
                  <c:v>45511</c:v>
                </c:pt>
                <c:pt idx="424">
                  <c:v>45512</c:v>
                </c:pt>
                <c:pt idx="425">
                  <c:v>45513</c:v>
                </c:pt>
                <c:pt idx="426">
                  <c:v>45516</c:v>
                </c:pt>
                <c:pt idx="427">
                  <c:v>45517</c:v>
                </c:pt>
                <c:pt idx="428">
                  <c:v>45518</c:v>
                </c:pt>
                <c:pt idx="429">
                  <c:v>45519</c:v>
                </c:pt>
                <c:pt idx="430">
                  <c:v>45520</c:v>
                </c:pt>
                <c:pt idx="431">
                  <c:v>45523</c:v>
                </c:pt>
                <c:pt idx="432">
                  <c:v>45524</c:v>
                </c:pt>
                <c:pt idx="433">
                  <c:v>45525</c:v>
                </c:pt>
                <c:pt idx="434">
                  <c:v>45526</c:v>
                </c:pt>
                <c:pt idx="435">
                  <c:v>45527</c:v>
                </c:pt>
                <c:pt idx="436">
                  <c:v>45530</c:v>
                </c:pt>
                <c:pt idx="437">
                  <c:v>45531</c:v>
                </c:pt>
                <c:pt idx="438">
                  <c:v>45532</c:v>
                </c:pt>
                <c:pt idx="439">
                  <c:v>45533</c:v>
                </c:pt>
                <c:pt idx="440">
                  <c:v>45534</c:v>
                </c:pt>
              </c:numCache>
            </c:numRef>
          </c:cat>
          <c:val>
            <c:numRef>
              <c:f>Data!$B$1840:$B$2280</c:f>
              <c:numCache>
                <c:formatCode>#,##0_);[Red]\(#,##0\)</c:formatCode>
                <c:ptCount val="441"/>
                <c:pt idx="0">
                  <c:v>432698.4</c:v>
                </c:pt>
                <c:pt idx="1">
                  <c:v>432648.4</c:v>
                </c:pt>
                <c:pt idx="2">
                  <c:v>432648.4</c:v>
                </c:pt>
                <c:pt idx="3">
                  <c:v>376288.8</c:v>
                </c:pt>
                <c:pt idx="4">
                  <c:v>375846.51</c:v>
                </c:pt>
                <c:pt idx="5">
                  <c:v>375246.51</c:v>
                </c:pt>
                <c:pt idx="6">
                  <c:v>375703.51</c:v>
                </c:pt>
                <c:pt idx="7">
                  <c:v>375837.32</c:v>
                </c:pt>
                <c:pt idx="8">
                  <c:v>358313.37</c:v>
                </c:pt>
                <c:pt idx="9">
                  <c:v>362655.36</c:v>
                </c:pt>
                <c:pt idx="10">
                  <c:v>362655.36</c:v>
                </c:pt>
                <c:pt idx="11">
                  <c:v>296234.34999999998</c:v>
                </c:pt>
                <c:pt idx="12">
                  <c:v>309641.15000000002</c:v>
                </c:pt>
                <c:pt idx="13">
                  <c:v>316446.05</c:v>
                </c:pt>
                <c:pt idx="14">
                  <c:v>315066.78000000003</c:v>
                </c:pt>
                <c:pt idx="15">
                  <c:v>314907.93</c:v>
                </c:pt>
                <c:pt idx="16">
                  <c:v>314907.93</c:v>
                </c:pt>
                <c:pt idx="17">
                  <c:v>314907.93</c:v>
                </c:pt>
                <c:pt idx="18">
                  <c:v>315650.68</c:v>
                </c:pt>
                <c:pt idx="19">
                  <c:v>291355.65000000002</c:v>
                </c:pt>
                <c:pt idx="20">
                  <c:v>270294.52</c:v>
                </c:pt>
                <c:pt idx="21">
                  <c:v>269684.28999999998</c:v>
                </c:pt>
                <c:pt idx="22">
                  <c:v>269684.28999999998</c:v>
                </c:pt>
                <c:pt idx="23">
                  <c:v>259972.42</c:v>
                </c:pt>
                <c:pt idx="24">
                  <c:v>282694.13</c:v>
                </c:pt>
                <c:pt idx="25">
                  <c:v>282636.44</c:v>
                </c:pt>
                <c:pt idx="26">
                  <c:v>298296.44</c:v>
                </c:pt>
                <c:pt idx="27">
                  <c:v>298259.44</c:v>
                </c:pt>
                <c:pt idx="28">
                  <c:v>286670.99</c:v>
                </c:pt>
                <c:pt idx="29">
                  <c:v>329121.65000000002</c:v>
                </c:pt>
                <c:pt idx="30">
                  <c:v>287265.95</c:v>
                </c:pt>
                <c:pt idx="31">
                  <c:v>291765.95</c:v>
                </c:pt>
                <c:pt idx="32">
                  <c:v>291800.28000000003</c:v>
                </c:pt>
                <c:pt idx="33">
                  <c:v>298342.23</c:v>
                </c:pt>
                <c:pt idx="34">
                  <c:v>292633.62</c:v>
                </c:pt>
                <c:pt idx="35">
                  <c:v>292633.62</c:v>
                </c:pt>
                <c:pt idx="36">
                  <c:v>320810.26</c:v>
                </c:pt>
                <c:pt idx="37">
                  <c:v>320810.26</c:v>
                </c:pt>
                <c:pt idx="38">
                  <c:v>341705.89</c:v>
                </c:pt>
                <c:pt idx="39">
                  <c:v>341754.4</c:v>
                </c:pt>
                <c:pt idx="40">
                  <c:v>330670.37</c:v>
                </c:pt>
                <c:pt idx="41">
                  <c:v>338045.7</c:v>
                </c:pt>
                <c:pt idx="42">
                  <c:v>338604.7</c:v>
                </c:pt>
                <c:pt idx="43">
                  <c:v>329491.15000000002</c:v>
                </c:pt>
                <c:pt idx="44">
                  <c:v>329106.55</c:v>
                </c:pt>
                <c:pt idx="45">
                  <c:v>329106.55</c:v>
                </c:pt>
                <c:pt idx="46">
                  <c:v>366692.56</c:v>
                </c:pt>
                <c:pt idx="47">
                  <c:v>368956.85</c:v>
                </c:pt>
                <c:pt idx="48">
                  <c:v>390880.67</c:v>
                </c:pt>
                <c:pt idx="49">
                  <c:v>414120.74</c:v>
                </c:pt>
                <c:pt idx="50">
                  <c:v>424130.52</c:v>
                </c:pt>
                <c:pt idx="51">
                  <c:v>424130.52</c:v>
                </c:pt>
                <c:pt idx="52">
                  <c:v>424163.34</c:v>
                </c:pt>
                <c:pt idx="53">
                  <c:v>422350.37</c:v>
                </c:pt>
                <c:pt idx="54">
                  <c:v>421965.77</c:v>
                </c:pt>
                <c:pt idx="55">
                  <c:v>419047.88</c:v>
                </c:pt>
                <c:pt idx="56">
                  <c:v>425165.2</c:v>
                </c:pt>
                <c:pt idx="57">
                  <c:v>415468.61</c:v>
                </c:pt>
                <c:pt idx="58">
                  <c:v>444345.89</c:v>
                </c:pt>
                <c:pt idx="59">
                  <c:v>444345.89</c:v>
                </c:pt>
                <c:pt idx="60">
                  <c:v>472758.17</c:v>
                </c:pt>
                <c:pt idx="61">
                  <c:v>431931.97</c:v>
                </c:pt>
                <c:pt idx="62">
                  <c:v>435079.42</c:v>
                </c:pt>
                <c:pt idx="63">
                  <c:v>424040.9</c:v>
                </c:pt>
                <c:pt idx="64">
                  <c:v>449683.31</c:v>
                </c:pt>
                <c:pt idx="65">
                  <c:v>449683.31</c:v>
                </c:pt>
                <c:pt idx="66">
                  <c:v>449683.31</c:v>
                </c:pt>
                <c:pt idx="67">
                  <c:v>449683.31</c:v>
                </c:pt>
                <c:pt idx="68">
                  <c:v>425038.75</c:v>
                </c:pt>
                <c:pt idx="69">
                  <c:v>425038.75</c:v>
                </c:pt>
                <c:pt idx="70">
                  <c:v>381899.02</c:v>
                </c:pt>
                <c:pt idx="71">
                  <c:v>403291.29</c:v>
                </c:pt>
                <c:pt idx="72">
                  <c:v>398523.39</c:v>
                </c:pt>
                <c:pt idx="73">
                  <c:v>405256.29</c:v>
                </c:pt>
                <c:pt idx="74">
                  <c:v>404915.18</c:v>
                </c:pt>
                <c:pt idx="75">
                  <c:v>403828.39</c:v>
                </c:pt>
                <c:pt idx="76">
                  <c:v>403828.39</c:v>
                </c:pt>
                <c:pt idx="77">
                  <c:v>434721.04</c:v>
                </c:pt>
                <c:pt idx="78">
                  <c:v>421127.98</c:v>
                </c:pt>
                <c:pt idx="79">
                  <c:v>420969.13</c:v>
                </c:pt>
                <c:pt idx="80">
                  <c:v>420969.13</c:v>
                </c:pt>
                <c:pt idx="81">
                  <c:v>379345</c:v>
                </c:pt>
                <c:pt idx="82">
                  <c:v>379345</c:v>
                </c:pt>
                <c:pt idx="83">
                  <c:v>379345</c:v>
                </c:pt>
                <c:pt idx="84">
                  <c:v>402733.09</c:v>
                </c:pt>
                <c:pt idx="85">
                  <c:v>403316.09</c:v>
                </c:pt>
                <c:pt idx="86">
                  <c:v>403316.09</c:v>
                </c:pt>
                <c:pt idx="87">
                  <c:v>385876.12</c:v>
                </c:pt>
                <c:pt idx="88">
                  <c:v>351812.45</c:v>
                </c:pt>
                <c:pt idx="89">
                  <c:v>351812.45</c:v>
                </c:pt>
                <c:pt idx="90">
                  <c:v>368195.43</c:v>
                </c:pt>
                <c:pt idx="91">
                  <c:v>368195.43</c:v>
                </c:pt>
                <c:pt idx="92">
                  <c:v>368195.43</c:v>
                </c:pt>
                <c:pt idx="93">
                  <c:v>368195.43</c:v>
                </c:pt>
                <c:pt idx="94">
                  <c:v>367810.83</c:v>
                </c:pt>
                <c:pt idx="95">
                  <c:v>367851.39</c:v>
                </c:pt>
                <c:pt idx="96">
                  <c:v>367851.39</c:v>
                </c:pt>
                <c:pt idx="97">
                  <c:v>367851.39</c:v>
                </c:pt>
                <c:pt idx="98">
                  <c:v>356642.57</c:v>
                </c:pt>
                <c:pt idx="99">
                  <c:v>356642.57</c:v>
                </c:pt>
                <c:pt idx="100">
                  <c:v>308974.21000000002</c:v>
                </c:pt>
                <c:pt idx="101">
                  <c:v>338753.05</c:v>
                </c:pt>
                <c:pt idx="102">
                  <c:v>391263.14</c:v>
                </c:pt>
                <c:pt idx="103">
                  <c:v>391263.14</c:v>
                </c:pt>
                <c:pt idx="104">
                  <c:v>449119.47</c:v>
                </c:pt>
                <c:pt idx="105">
                  <c:v>449119.47</c:v>
                </c:pt>
                <c:pt idx="106">
                  <c:v>448869.47</c:v>
                </c:pt>
                <c:pt idx="107">
                  <c:v>448869.47</c:v>
                </c:pt>
                <c:pt idx="108">
                  <c:v>438853.17</c:v>
                </c:pt>
                <c:pt idx="109">
                  <c:v>439117.17</c:v>
                </c:pt>
                <c:pt idx="110">
                  <c:v>407163.47</c:v>
                </c:pt>
                <c:pt idx="111">
                  <c:v>415855.1</c:v>
                </c:pt>
                <c:pt idx="112">
                  <c:v>415855.1</c:v>
                </c:pt>
                <c:pt idx="113">
                  <c:v>412361.18</c:v>
                </c:pt>
                <c:pt idx="114">
                  <c:v>411976.58</c:v>
                </c:pt>
                <c:pt idx="115">
                  <c:v>412491.58</c:v>
                </c:pt>
                <c:pt idx="116">
                  <c:v>412491.58</c:v>
                </c:pt>
                <c:pt idx="117">
                  <c:v>412491.58</c:v>
                </c:pt>
                <c:pt idx="118">
                  <c:v>421884.75</c:v>
                </c:pt>
                <c:pt idx="119">
                  <c:v>421884.75</c:v>
                </c:pt>
                <c:pt idx="120">
                  <c:v>422030.75</c:v>
                </c:pt>
                <c:pt idx="121">
                  <c:v>384440.18</c:v>
                </c:pt>
                <c:pt idx="122">
                  <c:v>383701.41</c:v>
                </c:pt>
                <c:pt idx="123">
                  <c:v>384859.49</c:v>
                </c:pt>
                <c:pt idx="124">
                  <c:v>412308.62</c:v>
                </c:pt>
                <c:pt idx="125">
                  <c:v>412308.62</c:v>
                </c:pt>
                <c:pt idx="126">
                  <c:v>412282.92</c:v>
                </c:pt>
                <c:pt idx="127">
                  <c:v>402422.58</c:v>
                </c:pt>
                <c:pt idx="128">
                  <c:v>402266.7</c:v>
                </c:pt>
                <c:pt idx="129">
                  <c:v>407981.99</c:v>
                </c:pt>
                <c:pt idx="130">
                  <c:v>373219.37</c:v>
                </c:pt>
                <c:pt idx="131">
                  <c:v>373219.37</c:v>
                </c:pt>
                <c:pt idx="132">
                  <c:v>373219.37</c:v>
                </c:pt>
                <c:pt idx="133">
                  <c:v>376696.27</c:v>
                </c:pt>
                <c:pt idx="134">
                  <c:v>376906.67</c:v>
                </c:pt>
                <c:pt idx="135">
                  <c:v>377111.67</c:v>
                </c:pt>
                <c:pt idx="136">
                  <c:v>378617.91</c:v>
                </c:pt>
                <c:pt idx="137">
                  <c:v>378999.91</c:v>
                </c:pt>
                <c:pt idx="138">
                  <c:v>399013.52</c:v>
                </c:pt>
                <c:pt idx="139">
                  <c:v>399052</c:v>
                </c:pt>
                <c:pt idx="140">
                  <c:v>398802</c:v>
                </c:pt>
                <c:pt idx="141">
                  <c:v>415884.95</c:v>
                </c:pt>
                <c:pt idx="142">
                  <c:v>416084.95</c:v>
                </c:pt>
                <c:pt idx="143">
                  <c:v>409180.98</c:v>
                </c:pt>
                <c:pt idx="144">
                  <c:v>411006.01</c:v>
                </c:pt>
                <c:pt idx="145">
                  <c:v>411445.54</c:v>
                </c:pt>
                <c:pt idx="146">
                  <c:v>412425.15</c:v>
                </c:pt>
                <c:pt idx="147">
                  <c:v>412425.15</c:v>
                </c:pt>
                <c:pt idx="148">
                  <c:v>387088.04</c:v>
                </c:pt>
                <c:pt idx="149">
                  <c:v>405857.22</c:v>
                </c:pt>
                <c:pt idx="150">
                  <c:v>404076.54</c:v>
                </c:pt>
                <c:pt idx="151">
                  <c:v>390920.58</c:v>
                </c:pt>
                <c:pt idx="152">
                  <c:v>390920.58</c:v>
                </c:pt>
                <c:pt idx="153">
                  <c:v>386738.53</c:v>
                </c:pt>
                <c:pt idx="154">
                  <c:v>384493.66</c:v>
                </c:pt>
                <c:pt idx="155">
                  <c:v>385493.66</c:v>
                </c:pt>
                <c:pt idx="156">
                  <c:v>385493.66</c:v>
                </c:pt>
                <c:pt idx="157">
                  <c:v>385493.66</c:v>
                </c:pt>
                <c:pt idx="158">
                  <c:v>385493.66</c:v>
                </c:pt>
                <c:pt idx="159">
                  <c:v>386021.66</c:v>
                </c:pt>
                <c:pt idx="160">
                  <c:v>406742.83</c:v>
                </c:pt>
                <c:pt idx="161">
                  <c:v>370565.1</c:v>
                </c:pt>
                <c:pt idx="162">
                  <c:v>370565.1</c:v>
                </c:pt>
                <c:pt idx="163">
                  <c:v>396789.54</c:v>
                </c:pt>
                <c:pt idx="164">
                  <c:v>396404.94</c:v>
                </c:pt>
                <c:pt idx="165">
                  <c:v>394335.05</c:v>
                </c:pt>
                <c:pt idx="166">
                  <c:v>394335.05</c:v>
                </c:pt>
                <c:pt idx="167">
                  <c:v>394359.06</c:v>
                </c:pt>
                <c:pt idx="168">
                  <c:v>388296.14</c:v>
                </c:pt>
                <c:pt idx="169">
                  <c:v>388621.14</c:v>
                </c:pt>
                <c:pt idx="170">
                  <c:v>388621.14</c:v>
                </c:pt>
                <c:pt idx="171">
                  <c:v>388621.14</c:v>
                </c:pt>
                <c:pt idx="172">
                  <c:v>350982.96</c:v>
                </c:pt>
                <c:pt idx="173">
                  <c:v>451232.96</c:v>
                </c:pt>
                <c:pt idx="174">
                  <c:v>499724.02</c:v>
                </c:pt>
                <c:pt idx="175">
                  <c:v>519129.97</c:v>
                </c:pt>
                <c:pt idx="176">
                  <c:v>494825.52</c:v>
                </c:pt>
                <c:pt idx="177">
                  <c:v>494825.52</c:v>
                </c:pt>
                <c:pt idx="178">
                  <c:v>494825.52</c:v>
                </c:pt>
                <c:pt idx="179">
                  <c:v>494825.52</c:v>
                </c:pt>
                <c:pt idx="180">
                  <c:v>494875.52</c:v>
                </c:pt>
                <c:pt idx="181">
                  <c:v>492868.56</c:v>
                </c:pt>
                <c:pt idx="182">
                  <c:v>492868.56</c:v>
                </c:pt>
                <c:pt idx="183">
                  <c:v>492868.56</c:v>
                </c:pt>
                <c:pt idx="184">
                  <c:v>494218.56</c:v>
                </c:pt>
                <c:pt idx="185">
                  <c:v>452326.96</c:v>
                </c:pt>
                <c:pt idx="186">
                  <c:v>475248.53</c:v>
                </c:pt>
                <c:pt idx="187">
                  <c:v>485579.7</c:v>
                </c:pt>
                <c:pt idx="188">
                  <c:v>483237.86</c:v>
                </c:pt>
                <c:pt idx="189">
                  <c:v>482174.8</c:v>
                </c:pt>
                <c:pt idx="190">
                  <c:v>482199.8</c:v>
                </c:pt>
                <c:pt idx="191">
                  <c:v>479406.91</c:v>
                </c:pt>
                <c:pt idx="192">
                  <c:v>470500.67</c:v>
                </c:pt>
                <c:pt idx="193">
                  <c:v>472716.17</c:v>
                </c:pt>
                <c:pt idx="194">
                  <c:v>433269.34</c:v>
                </c:pt>
                <c:pt idx="195">
                  <c:v>433243.64</c:v>
                </c:pt>
                <c:pt idx="196">
                  <c:v>469337.63</c:v>
                </c:pt>
                <c:pt idx="197">
                  <c:v>469337.63</c:v>
                </c:pt>
                <c:pt idx="198">
                  <c:v>468953.03</c:v>
                </c:pt>
                <c:pt idx="199">
                  <c:v>459905.29</c:v>
                </c:pt>
                <c:pt idx="200">
                  <c:v>459905.29</c:v>
                </c:pt>
                <c:pt idx="201">
                  <c:v>459905.29</c:v>
                </c:pt>
                <c:pt idx="202">
                  <c:v>459905.29</c:v>
                </c:pt>
                <c:pt idx="203">
                  <c:v>459905.29</c:v>
                </c:pt>
                <c:pt idx="204">
                  <c:v>459905.29</c:v>
                </c:pt>
                <c:pt idx="205">
                  <c:v>423446.93</c:v>
                </c:pt>
                <c:pt idx="206">
                  <c:v>423446.93</c:v>
                </c:pt>
                <c:pt idx="207">
                  <c:v>407711.69</c:v>
                </c:pt>
                <c:pt idx="208">
                  <c:v>407733.05</c:v>
                </c:pt>
                <c:pt idx="209">
                  <c:v>409787.27</c:v>
                </c:pt>
                <c:pt idx="210">
                  <c:v>409787.27</c:v>
                </c:pt>
                <c:pt idx="211">
                  <c:v>410017.27</c:v>
                </c:pt>
                <c:pt idx="212">
                  <c:v>418625.7</c:v>
                </c:pt>
                <c:pt idx="213">
                  <c:v>418550.7</c:v>
                </c:pt>
                <c:pt idx="214">
                  <c:v>381523.11</c:v>
                </c:pt>
                <c:pt idx="215">
                  <c:v>381523.11</c:v>
                </c:pt>
                <c:pt idx="216">
                  <c:v>381523.11</c:v>
                </c:pt>
                <c:pt idx="217">
                  <c:v>381909.52</c:v>
                </c:pt>
                <c:pt idx="218">
                  <c:v>381524.92</c:v>
                </c:pt>
                <c:pt idx="219">
                  <c:v>381524.92</c:v>
                </c:pt>
                <c:pt idx="220">
                  <c:v>403601.43</c:v>
                </c:pt>
                <c:pt idx="221">
                  <c:v>403601.43</c:v>
                </c:pt>
                <c:pt idx="222">
                  <c:v>388696.73</c:v>
                </c:pt>
                <c:pt idx="223">
                  <c:v>388696.73</c:v>
                </c:pt>
                <c:pt idx="224">
                  <c:v>354074.98</c:v>
                </c:pt>
                <c:pt idx="225">
                  <c:v>354074.98</c:v>
                </c:pt>
                <c:pt idx="226">
                  <c:v>412115.27</c:v>
                </c:pt>
                <c:pt idx="227">
                  <c:v>421170.44</c:v>
                </c:pt>
                <c:pt idx="228">
                  <c:v>443466.68</c:v>
                </c:pt>
                <c:pt idx="229">
                  <c:v>443466.68</c:v>
                </c:pt>
                <c:pt idx="230">
                  <c:v>443467.28</c:v>
                </c:pt>
                <c:pt idx="231">
                  <c:v>467133.83</c:v>
                </c:pt>
                <c:pt idx="232">
                  <c:v>457231.63</c:v>
                </c:pt>
                <c:pt idx="233">
                  <c:v>457180.17</c:v>
                </c:pt>
                <c:pt idx="234">
                  <c:v>413685.69</c:v>
                </c:pt>
                <c:pt idx="235">
                  <c:v>413685.69</c:v>
                </c:pt>
                <c:pt idx="236">
                  <c:v>414169.69</c:v>
                </c:pt>
                <c:pt idx="237">
                  <c:v>414169.69</c:v>
                </c:pt>
                <c:pt idx="238">
                  <c:v>413785.09</c:v>
                </c:pt>
                <c:pt idx="239">
                  <c:v>413785.09</c:v>
                </c:pt>
                <c:pt idx="240">
                  <c:v>413647.44</c:v>
                </c:pt>
                <c:pt idx="241">
                  <c:v>413647.44</c:v>
                </c:pt>
                <c:pt idx="242">
                  <c:v>456909.26</c:v>
                </c:pt>
                <c:pt idx="243">
                  <c:v>456909.26</c:v>
                </c:pt>
                <c:pt idx="244">
                  <c:v>420452.25</c:v>
                </c:pt>
                <c:pt idx="245">
                  <c:v>420452.25</c:v>
                </c:pt>
                <c:pt idx="246">
                  <c:v>545432.25</c:v>
                </c:pt>
                <c:pt idx="247">
                  <c:v>545590.84</c:v>
                </c:pt>
                <c:pt idx="248">
                  <c:v>525679.43000000005</c:v>
                </c:pt>
                <c:pt idx="249">
                  <c:v>545765.34</c:v>
                </c:pt>
                <c:pt idx="250">
                  <c:v>546390.34</c:v>
                </c:pt>
                <c:pt idx="251">
                  <c:v>546489.65</c:v>
                </c:pt>
                <c:pt idx="252">
                  <c:v>540866.25</c:v>
                </c:pt>
                <c:pt idx="253">
                  <c:v>540913.56000000006</c:v>
                </c:pt>
                <c:pt idx="254">
                  <c:v>533274.25</c:v>
                </c:pt>
                <c:pt idx="255">
                  <c:v>618886.13</c:v>
                </c:pt>
                <c:pt idx="256">
                  <c:v>614102.62</c:v>
                </c:pt>
                <c:pt idx="257">
                  <c:v>624405.25</c:v>
                </c:pt>
                <c:pt idx="258">
                  <c:v>626377.68000000005</c:v>
                </c:pt>
                <c:pt idx="259">
                  <c:v>626377.68000000005</c:v>
                </c:pt>
                <c:pt idx="260">
                  <c:v>643671.14</c:v>
                </c:pt>
                <c:pt idx="261">
                  <c:v>644766.57999999996</c:v>
                </c:pt>
                <c:pt idx="262">
                  <c:v>638881.80000000005</c:v>
                </c:pt>
                <c:pt idx="263">
                  <c:v>661874.81999999995</c:v>
                </c:pt>
                <c:pt idx="264">
                  <c:v>661874.81999999995</c:v>
                </c:pt>
                <c:pt idx="265">
                  <c:v>661874.81999999995</c:v>
                </c:pt>
                <c:pt idx="266">
                  <c:v>661874.81999999995</c:v>
                </c:pt>
                <c:pt idx="267">
                  <c:v>612116.59</c:v>
                </c:pt>
                <c:pt idx="268">
                  <c:v>611802.93999999994</c:v>
                </c:pt>
                <c:pt idx="269">
                  <c:v>611802.93999999994</c:v>
                </c:pt>
                <c:pt idx="270">
                  <c:v>611802.93999999994</c:v>
                </c:pt>
                <c:pt idx="271">
                  <c:v>597286.13</c:v>
                </c:pt>
                <c:pt idx="272">
                  <c:v>597286.13</c:v>
                </c:pt>
                <c:pt idx="273">
                  <c:v>597286.13</c:v>
                </c:pt>
                <c:pt idx="274">
                  <c:v>608030.19999999995</c:v>
                </c:pt>
                <c:pt idx="275">
                  <c:v>608078.04</c:v>
                </c:pt>
                <c:pt idx="276">
                  <c:v>608078.04</c:v>
                </c:pt>
                <c:pt idx="277">
                  <c:v>586838.57999999996</c:v>
                </c:pt>
                <c:pt idx="278">
                  <c:v>582760.27</c:v>
                </c:pt>
                <c:pt idx="279">
                  <c:v>591268.14</c:v>
                </c:pt>
                <c:pt idx="280">
                  <c:v>606839.55000000005</c:v>
                </c:pt>
                <c:pt idx="281">
                  <c:v>594580.53</c:v>
                </c:pt>
                <c:pt idx="282">
                  <c:v>593705.04</c:v>
                </c:pt>
                <c:pt idx="283">
                  <c:v>593705.04</c:v>
                </c:pt>
                <c:pt idx="284">
                  <c:v>587304.93000000005</c:v>
                </c:pt>
                <c:pt idx="285">
                  <c:v>587269.94999999995</c:v>
                </c:pt>
                <c:pt idx="286">
                  <c:v>586679.74</c:v>
                </c:pt>
                <c:pt idx="287">
                  <c:v>553504.59</c:v>
                </c:pt>
                <c:pt idx="288">
                  <c:v>553504.59</c:v>
                </c:pt>
                <c:pt idx="289">
                  <c:v>553504.59</c:v>
                </c:pt>
                <c:pt idx="290">
                  <c:v>592925.96</c:v>
                </c:pt>
                <c:pt idx="291">
                  <c:v>579325.18999999994</c:v>
                </c:pt>
                <c:pt idx="292">
                  <c:v>579515.18999999994</c:v>
                </c:pt>
                <c:pt idx="293">
                  <c:v>580657.82999999996</c:v>
                </c:pt>
                <c:pt idx="294">
                  <c:v>579328.14</c:v>
                </c:pt>
                <c:pt idx="295">
                  <c:v>579328.14</c:v>
                </c:pt>
                <c:pt idx="296">
                  <c:v>543891.63</c:v>
                </c:pt>
                <c:pt idx="297">
                  <c:v>543891.63</c:v>
                </c:pt>
                <c:pt idx="298">
                  <c:v>579929.61</c:v>
                </c:pt>
                <c:pt idx="299">
                  <c:v>566140.77</c:v>
                </c:pt>
                <c:pt idx="300">
                  <c:v>566424.71</c:v>
                </c:pt>
                <c:pt idx="301">
                  <c:v>566424.71</c:v>
                </c:pt>
                <c:pt idx="302">
                  <c:v>585835.32999999996</c:v>
                </c:pt>
                <c:pt idx="303">
                  <c:v>585835.32999999996</c:v>
                </c:pt>
                <c:pt idx="304">
                  <c:v>587749.09</c:v>
                </c:pt>
                <c:pt idx="305">
                  <c:v>587703.09</c:v>
                </c:pt>
                <c:pt idx="306">
                  <c:v>553831.01</c:v>
                </c:pt>
                <c:pt idx="307">
                  <c:v>553831.01</c:v>
                </c:pt>
                <c:pt idx="308">
                  <c:v>553831.01</c:v>
                </c:pt>
                <c:pt idx="309">
                  <c:v>553927.51</c:v>
                </c:pt>
                <c:pt idx="310">
                  <c:v>639044.65</c:v>
                </c:pt>
                <c:pt idx="311">
                  <c:v>639286.35</c:v>
                </c:pt>
                <c:pt idx="312">
                  <c:v>639286.35</c:v>
                </c:pt>
                <c:pt idx="313">
                  <c:v>639286.35</c:v>
                </c:pt>
                <c:pt idx="314">
                  <c:v>616931.9</c:v>
                </c:pt>
                <c:pt idx="315">
                  <c:v>616931.9</c:v>
                </c:pt>
                <c:pt idx="316">
                  <c:v>616931.9</c:v>
                </c:pt>
                <c:pt idx="317">
                  <c:v>580620.53</c:v>
                </c:pt>
                <c:pt idx="318">
                  <c:v>589303.47</c:v>
                </c:pt>
                <c:pt idx="319">
                  <c:v>573439.49</c:v>
                </c:pt>
                <c:pt idx="320">
                  <c:v>573173.1</c:v>
                </c:pt>
                <c:pt idx="321">
                  <c:v>597404.67000000004</c:v>
                </c:pt>
                <c:pt idx="322">
                  <c:v>597454.31999999995</c:v>
                </c:pt>
                <c:pt idx="323">
                  <c:v>594610.32999999996</c:v>
                </c:pt>
                <c:pt idx="324">
                  <c:v>599459.89</c:v>
                </c:pt>
                <c:pt idx="325">
                  <c:v>621376.56999999995</c:v>
                </c:pt>
                <c:pt idx="326">
                  <c:v>639731.09</c:v>
                </c:pt>
                <c:pt idx="327">
                  <c:v>603296.46</c:v>
                </c:pt>
                <c:pt idx="328">
                  <c:v>602128.03</c:v>
                </c:pt>
                <c:pt idx="329">
                  <c:v>610877.03</c:v>
                </c:pt>
                <c:pt idx="330">
                  <c:v>629664.21</c:v>
                </c:pt>
                <c:pt idx="331">
                  <c:v>629664.21</c:v>
                </c:pt>
                <c:pt idx="332">
                  <c:v>629664.21</c:v>
                </c:pt>
                <c:pt idx="333">
                  <c:v>629904.21</c:v>
                </c:pt>
                <c:pt idx="334">
                  <c:v>629904.21</c:v>
                </c:pt>
                <c:pt idx="335">
                  <c:v>630020.39</c:v>
                </c:pt>
                <c:pt idx="336">
                  <c:v>630714.61</c:v>
                </c:pt>
                <c:pt idx="337">
                  <c:v>573875.92000000004</c:v>
                </c:pt>
                <c:pt idx="338">
                  <c:v>590385.61</c:v>
                </c:pt>
                <c:pt idx="339">
                  <c:v>590798.61</c:v>
                </c:pt>
                <c:pt idx="340">
                  <c:v>590447.57999999996</c:v>
                </c:pt>
                <c:pt idx="341">
                  <c:v>589784.82999999996</c:v>
                </c:pt>
                <c:pt idx="342">
                  <c:v>591275.29</c:v>
                </c:pt>
                <c:pt idx="343">
                  <c:v>591604.29</c:v>
                </c:pt>
                <c:pt idx="344">
                  <c:v>595308.17000000004</c:v>
                </c:pt>
                <c:pt idx="345">
                  <c:v>595308.17000000004</c:v>
                </c:pt>
                <c:pt idx="346">
                  <c:v>592390.28</c:v>
                </c:pt>
                <c:pt idx="347">
                  <c:v>554571.62</c:v>
                </c:pt>
                <c:pt idx="348">
                  <c:v>555118.31999999995</c:v>
                </c:pt>
                <c:pt idx="349">
                  <c:v>545445.69999999995</c:v>
                </c:pt>
                <c:pt idx="350">
                  <c:v>557177.62</c:v>
                </c:pt>
                <c:pt idx="351">
                  <c:v>557177.62</c:v>
                </c:pt>
                <c:pt idx="352">
                  <c:v>557177.62</c:v>
                </c:pt>
                <c:pt idx="353">
                  <c:v>557177.62</c:v>
                </c:pt>
                <c:pt idx="354">
                  <c:v>553656.31999999995</c:v>
                </c:pt>
                <c:pt idx="355">
                  <c:v>576179.18000000005</c:v>
                </c:pt>
                <c:pt idx="356">
                  <c:v>561372.46</c:v>
                </c:pt>
                <c:pt idx="357">
                  <c:v>524111.97</c:v>
                </c:pt>
                <c:pt idx="358">
                  <c:v>524111.97</c:v>
                </c:pt>
                <c:pt idx="359">
                  <c:v>518915.42</c:v>
                </c:pt>
                <c:pt idx="360">
                  <c:v>518564.39</c:v>
                </c:pt>
                <c:pt idx="361">
                  <c:v>518564.39</c:v>
                </c:pt>
                <c:pt idx="362">
                  <c:v>518564.39</c:v>
                </c:pt>
                <c:pt idx="363">
                  <c:v>518615.52</c:v>
                </c:pt>
                <c:pt idx="364">
                  <c:v>521662.04</c:v>
                </c:pt>
                <c:pt idx="365">
                  <c:v>555436.06999999995</c:v>
                </c:pt>
                <c:pt idx="366">
                  <c:v>553235.18000000005</c:v>
                </c:pt>
                <c:pt idx="367">
                  <c:v>516429.69</c:v>
                </c:pt>
                <c:pt idx="368">
                  <c:v>574828.56999999995</c:v>
                </c:pt>
                <c:pt idx="369">
                  <c:v>574828.56999999995</c:v>
                </c:pt>
                <c:pt idx="370">
                  <c:v>574828.56999999995</c:v>
                </c:pt>
                <c:pt idx="371">
                  <c:v>574828.56999999995</c:v>
                </c:pt>
                <c:pt idx="372">
                  <c:v>574828.56999999995</c:v>
                </c:pt>
                <c:pt idx="373">
                  <c:v>574797.69999999995</c:v>
                </c:pt>
                <c:pt idx="374">
                  <c:v>574797.69999999995</c:v>
                </c:pt>
                <c:pt idx="375">
                  <c:v>581217.82999999996</c:v>
                </c:pt>
                <c:pt idx="376">
                  <c:v>581797.82999999996</c:v>
                </c:pt>
                <c:pt idx="377">
                  <c:v>581797.82999999996</c:v>
                </c:pt>
                <c:pt idx="378">
                  <c:v>547045.46</c:v>
                </c:pt>
                <c:pt idx="379">
                  <c:v>547045.46</c:v>
                </c:pt>
                <c:pt idx="380">
                  <c:v>545941.55000000005</c:v>
                </c:pt>
                <c:pt idx="381">
                  <c:v>546153.55000000005</c:v>
                </c:pt>
                <c:pt idx="382">
                  <c:v>546153.55000000005</c:v>
                </c:pt>
                <c:pt idx="383">
                  <c:v>545553.55000000005</c:v>
                </c:pt>
                <c:pt idx="384">
                  <c:v>548862.66999999993</c:v>
                </c:pt>
                <c:pt idx="385">
                  <c:v>549142.23</c:v>
                </c:pt>
                <c:pt idx="386">
                  <c:v>549142.23</c:v>
                </c:pt>
                <c:pt idx="387">
                  <c:v>514004.18</c:v>
                </c:pt>
                <c:pt idx="388">
                  <c:v>514004.18</c:v>
                </c:pt>
                <c:pt idx="389">
                  <c:v>511182.78</c:v>
                </c:pt>
                <c:pt idx="390">
                  <c:v>510853.66000000003</c:v>
                </c:pt>
                <c:pt idx="391">
                  <c:v>507819.97</c:v>
                </c:pt>
                <c:pt idx="392">
                  <c:v>507789.1</c:v>
                </c:pt>
                <c:pt idx="393">
                  <c:v>507391.61</c:v>
                </c:pt>
                <c:pt idx="394">
                  <c:v>518580.22</c:v>
                </c:pt>
                <c:pt idx="395">
                  <c:v>550978.54</c:v>
                </c:pt>
                <c:pt idx="396">
                  <c:v>517674.89</c:v>
                </c:pt>
                <c:pt idx="397">
                  <c:v>517674.89</c:v>
                </c:pt>
                <c:pt idx="398">
                  <c:v>505993.19999999995</c:v>
                </c:pt>
                <c:pt idx="399">
                  <c:v>505993.19999999995</c:v>
                </c:pt>
                <c:pt idx="400">
                  <c:v>506811.4</c:v>
                </c:pt>
                <c:pt idx="401">
                  <c:v>506811.4</c:v>
                </c:pt>
                <c:pt idx="402">
                  <c:v>507710.06</c:v>
                </c:pt>
                <c:pt idx="403">
                  <c:v>507810.06</c:v>
                </c:pt>
                <c:pt idx="404">
                  <c:v>507906.56</c:v>
                </c:pt>
                <c:pt idx="405">
                  <c:v>508693.88</c:v>
                </c:pt>
                <c:pt idx="406">
                  <c:v>509039.89</c:v>
                </c:pt>
                <c:pt idx="407">
                  <c:v>480741.11</c:v>
                </c:pt>
                <c:pt idx="408">
                  <c:v>492793.56999999995</c:v>
                </c:pt>
                <c:pt idx="409">
                  <c:v>490184.68</c:v>
                </c:pt>
                <c:pt idx="410">
                  <c:v>490825.35</c:v>
                </c:pt>
                <c:pt idx="411">
                  <c:v>487953.12</c:v>
                </c:pt>
                <c:pt idx="412">
                  <c:v>488049.62</c:v>
                </c:pt>
                <c:pt idx="413">
                  <c:v>488084.28</c:v>
                </c:pt>
                <c:pt idx="414">
                  <c:v>489260.69</c:v>
                </c:pt>
                <c:pt idx="415">
                  <c:v>487504.65</c:v>
                </c:pt>
                <c:pt idx="416">
                  <c:v>493139.31</c:v>
                </c:pt>
                <c:pt idx="417">
                  <c:v>460235.4</c:v>
                </c:pt>
                <c:pt idx="418">
                  <c:v>461284.12</c:v>
                </c:pt>
                <c:pt idx="419">
                  <c:v>459321.21</c:v>
                </c:pt>
                <c:pt idx="420">
                  <c:v>457084.76</c:v>
                </c:pt>
                <c:pt idx="421">
                  <c:v>463766.42000000004</c:v>
                </c:pt>
                <c:pt idx="422">
                  <c:v>463766.42000000004</c:v>
                </c:pt>
                <c:pt idx="423">
                  <c:v>469122.74</c:v>
                </c:pt>
                <c:pt idx="424">
                  <c:v>469122.74</c:v>
                </c:pt>
                <c:pt idx="425">
                  <c:v>492677.1</c:v>
                </c:pt>
                <c:pt idx="426">
                  <c:v>471079.96</c:v>
                </c:pt>
                <c:pt idx="427">
                  <c:v>471079.96</c:v>
                </c:pt>
                <c:pt idx="428">
                  <c:v>441990.52</c:v>
                </c:pt>
                <c:pt idx="429">
                  <c:v>442836.98</c:v>
                </c:pt>
                <c:pt idx="430">
                  <c:v>442485.95</c:v>
                </c:pt>
                <c:pt idx="431">
                  <c:v>433080.95</c:v>
                </c:pt>
                <c:pt idx="432">
                  <c:v>430333.06000000006</c:v>
                </c:pt>
                <c:pt idx="433">
                  <c:v>427774.19</c:v>
                </c:pt>
                <c:pt idx="434">
                  <c:v>444122.88</c:v>
                </c:pt>
                <c:pt idx="435">
                  <c:v>444122.88</c:v>
                </c:pt>
                <c:pt idx="436">
                  <c:v>444122.88</c:v>
                </c:pt>
                <c:pt idx="437">
                  <c:v>444092.01</c:v>
                </c:pt>
                <c:pt idx="438">
                  <c:v>409823.26</c:v>
                </c:pt>
                <c:pt idx="439">
                  <c:v>409823.26</c:v>
                </c:pt>
                <c:pt idx="440">
                  <c:v>431469.19</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700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Data!$F$598:$F$629</c:f>
              <c:numCache>
                <c:formatCode>mmm\-yy</c:formatCode>
                <c:ptCount val="3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numCache>
            </c:numRef>
          </c:cat>
          <c:val>
            <c:numRef>
              <c:f>Data!$G$598:$G$629</c:f>
              <c:numCache>
                <c:formatCode>"$"#,##0_);[Red]\("$"#,##0\)</c:formatCode>
                <c:ptCount val="32"/>
                <c:pt idx="0">
                  <c:v>483670.84</c:v>
                </c:pt>
                <c:pt idx="1">
                  <c:v>403181.63</c:v>
                </c:pt>
                <c:pt idx="2">
                  <c:v>315833.28999999998</c:v>
                </c:pt>
                <c:pt idx="3">
                  <c:v>327170</c:v>
                </c:pt>
                <c:pt idx="4">
                  <c:v>246847.16</c:v>
                </c:pt>
                <c:pt idx="5">
                  <c:v>274391.32</c:v>
                </c:pt>
                <c:pt idx="6">
                  <c:v>311473.07</c:v>
                </c:pt>
                <c:pt idx="7">
                  <c:v>246923.1</c:v>
                </c:pt>
                <c:pt idx="8">
                  <c:v>214783.77</c:v>
                </c:pt>
                <c:pt idx="9">
                  <c:v>264786.40999999997</c:v>
                </c:pt>
                <c:pt idx="10">
                  <c:v>290727.87</c:v>
                </c:pt>
                <c:pt idx="11">
                  <c:v>362006.45</c:v>
                </c:pt>
                <c:pt idx="12">
                  <c:v>494072.83</c:v>
                </c:pt>
                <c:pt idx="13">
                  <c:v>399857.44</c:v>
                </c:pt>
                <c:pt idx="14">
                  <c:v>279188.34999999998</c:v>
                </c:pt>
                <c:pt idx="15">
                  <c:v>302008.53000000003</c:v>
                </c:pt>
                <c:pt idx="16">
                  <c:v>222544.3</c:v>
                </c:pt>
                <c:pt idx="17">
                  <c:v>303528.63</c:v>
                </c:pt>
                <c:pt idx="18">
                  <c:v>279453.21999999997</c:v>
                </c:pt>
                <c:pt idx="19">
                  <c:v>235427.62</c:v>
                </c:pt>
                <c:pt idx="20">
                  <c:v>301323.59999999998</c:v>
                </c:pt>
                <c:pt idx="21">
                  <c:v>355947.69</c:v>
                </c:pt>
                <c:pt idx="22">
                  <c:v>269865.12</c:v>
                </c:pt>
                <c:pt idx="23">
                  <c:v>266721.90000000002</c:v>
                </c:pt>
                <c:pt idx="24">
                  <c:v>413322.14</c:v>
                </c:pt>
                <c:pt idx="25">
                  <c:v>390662.21</c:v>
                </c:pt>
                <c:pt idx="26">
                  <c:v>280467.3</c:v>
                </c:pt>
                <c:pt idx="27">
                  <c:v>323205.53000000003</c:v>
                </c:pt>
                <c:pt idx="28">
                  <c:v>275004.96000000002</c:v>
                </c:pt>
                <c:pt idx="29">
                  <c:v>296378.64</c:v>
                </c:pt>
                <c:pt idx="30">
                  <c:v>336121.66</c:v>
                </c:pt>
                <c:pt idx="31">
                  <c:v>323670.74</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7700178694655129"/>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6350">
                <a:solidFill>
                  <a:schemeClr val="accent1"/>
                </a:solidFill>
              </a:ln>
              <a:effectLst/>
            </c:spPr>
          </c:marker>
          <c:xVal>
            <c:numRef>
              <c:f>Data!$J$526:$J$626</c:f>
              <c:numCache>
                <c:formatCode>mmm\-yy</c:formatCode>
                <c:ptCount val="101"/>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pt idx="89">
                  <c:v>45170</c:v>
                </c:pt>
                <c:pt idx="90">
                  <c:v>45200</c:v>
                </c:pt>
                <c:pt idx="91">
                  <c:v>45231</c:v>
                </c:pt>
                <c:pt idx="92">
                  <c:v>45261</c:v>
                </c:pt>
                <c:pt idx="93">
                  <c:v>45292</c:v>
                </c:pt>
                <c:pt idx="94">
                  <c:v>45323</c:v>
                </c:pt>
                <c:pt idx="95">
                  <c:v>45352</c:v>
                </c:pt>
                <c:pt idx="96">
                  <c:v>45383</c:v>
                </c:pt>
                <c:pt idx="97">
                  <c:v>45413</c:v>
                </c:pt>
                <c:pt idx="98">
                  <c:v>45444</c:v>
                </c:pt>
                <c:pt idx="99">
                  <c:v>45474</c:v>
                </c:pt>
                <c:pt idx="100">
                  <c:v>45505</c:v>
                </c:pt>
              </c:numCache>
            </c:numRef>
          </c:xVal>
          <c:yVal>
            <c:numRef>
              <c:f>Data!$K$526:$K$626</c:f>
              <c:numCache>
                <c:formatCode>_("$"* #,##0_);_("$"* \(#,##0\);_("$"* "-"_);_(@_)</c:formatCode>
                <c:ptCount val="101"/>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pt idx="89">
                  <c:v>396973.48</c:v>
                </c:pt>
                <c:pt idx="90">
                  <c:v>389315.86</c:v>
                </c:pt>
                <c:pt idx="91">
                  <c:v>415432.2</c:v>
                </c:pt>
                <c:pt idx="92">
                  <c:v>434275.6</c:v>
                </c:pt>
                <c:pt idx="93">
                  <c:v>437155.38</c:v>
                </c:pt>
                <c:pt idx="94">
                  <c:v>449092.16</c:v>
                </c:pt>
                <c:pt idx="95">
                  <c:v>465124.12</c:v>
                </c:pt>
                <c:pt idx="96">
                  <c:v>451645.99</c:v>
                </c:pt>
                <c:pt idx="97">
                  <c:v>467250.63</c:v>
                </c:pt>
                <c:pt idx="98">
                  <c:v>470492.77</c:v>
                </c:pt>
                <c:pt idx="99">
                  <c:v>484002.05</c:v>
                </c:pt>
                <c:pt idx="100">
                  <c:v>493219.34</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5800"/>
          <c:min val="4243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ajorUnit val="365"/>
        <c:minorUnit val="30"/>
      </c:valAx>
      <c:valAx>
        <c:axId val="416924224"/>
        <c:scaling>
          <c:orientation val="minMax"/>
          <c:max val="510000"/>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majorUnit val="60000"/>
        <c:min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'August''24 AR Aging '!$B$230</c:f>
              <c:strCache>
                <c:ptCount val="1"/>
                <c:pt idx="0">
                  <c:v>Current Month</c:v>
                </c:pt>
              </c:strCache>
            </c:strRef>
          </c:tx>
          <c:spPr>
            <a:solidFill>
              <a:srgbClr val="0070C0"/>
            </a:solidFill>
          </c:spPr>
          <c:invertIfNegative val="0"/>
          <c:val>
            <c:numRef>
              <c:f>'August''24 AR Aging '!$C$230:$N$230</c:f>
            </c:numRef>
          </c:val>
          <c:extLst>
            <c:ext xmlns:c15="http://schemas.microsoft.com/office/drawing/2012/chart" uri="{02D57815-91ED-43cb-92C2-25804820EDAC}">
              <c15:filteredCategoryTitle>
                <c15:cat>
                  <c:multiLvlStrRef>
                    <c:extLst>
                      <c:ext uri="{02D57815-91ED-43cb-92C2-25804820EDAC}">
                        <c15:formulaRef>
                          <c15:sqref>'August''24 AR Aging '!$C$229:$N$229</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'August''24 AR Aging '!$B$231</c:f>
              <c:strCache>
                <c:ptCount val="1"/>
                <c:pt idx="0">
                  <c:v>Previous Month</c:v>
                </c:pt>
              </c:strCache>
            </c:strRef>
          </c:tx>
          <c:spPr>
            <a:solidFill>
              <a:schemeClr val="accent6">
                <a:lumMod val="40000"/>
                <a:lumOff val="60000"/>
              </a:schemeClr>
            </a:solidFill>
          </c:spPr>
          <c:invertIfNegative val="0"/>
          <c:val>
            <c:numRef>
              <c:f>'August''24 AR Aging '!$C$231:$N$231</c:f>
            </c:numRef>
          </c:val>
          <c:extLst>
            <c:ext xmlns:c15="http://schemas.microsoft.com/office/drawing/2012/chart" uri="{02D57815-91ED-43cb-92C2-25804820EDAC}">
              <c15:filteredCategoryTitle>
                <c15:cat>
                  <c:multiLvlStrRef>
                    <c:extLst>
                      <c:ext uri="{02D57815-91ED-43cb-92C2-25804820EDAC}">
                        <c15:formulaRef>
                          <c15:sqref>'August''24 AR Aging '!$C$229:$N$229</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'August''24 AR Aging '!$B$232</c:f>
              <c:strCache>
                <c:ptCount val="1"/>
                <c:pt idx="0">
                  <c:v>Three Months Ago</c:v>
                </c:pt>
              </c:strCache>
            </c:strRef>
          </c:tx>
          <c:spPr>
            <a:solidFill>
              <a:schemeClr val="accent3">
                <a:lumMod val="75000"/>
              </a:schemeClr>
            </a:solidFill>
          </c:spPr>
          <c:invertIfNegative val="0"/>
          <c:val>
            <c:numRef>
              <c:f>'August''24 AR Aging '!$C$232:$N$232</c:f>
            </c:numRef>
          </c:val>
          <c:extLst>
            <c:ext xmlns:c15="http://schemas.microsoft.com/office/drawing/2012/chart" uri="{02D57815-91ED-43cb-92C2-25804820EDAC}">
              <c15:filteredCategoryTitle>
                <c15:cat>
                  <c:multiLvlStrRef>
                    <c:extLst>
                      <c:ext uri="{02D57815-91ED-43cb-92C2-25804820EDAC}">
                        <c15:formulaRef>
                          <c15:sqref>'August''24 AR Aging '!$C$229:$N$229</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'August''24 AR Aging '!$B$233</c:f>
              <c:strCache>
                <c:ptCount val="1"/>
                <c:pt idx="0">
                  <c:v>Older than Three Months</c:v>
                </c:pt>
              </c:strCache>
            </c:strRef>
          </c:tx>
          <c:spPr>
            <a:solidFill>
              <a:schemeClr val="accent4">
                <a:lumMod val="40000"/>
                <a:lumOff val="60000"/>
              </a:schemeClr>
            </a:solidFill>
          </c:spPr>
          <c:invertIfNegative val="0"/>
          <c:val>
            <c:numRef>
              <c:f>'August''24 AR Aging '!$C$233:$N$233</c:f>
            </c:numRef>
          </c:val>
          <c:extLst>
            <c:ext xmlns:c15="http://schemas.microsoft.com/office/drawing/2012/chart" uri="{02D57815-91ED-43cb-92C2-25804820EDAC}">
              <c15:filteredCategoryTitle>
                <c15:cat>
                  <c:multiLvlStrRef>
                    <c:extLst>
                      <c:ext uri="{02D57815-91ED-43cb-92C2-25804820EDAC}">
                        <c15:formulaRef>
                          <c15:sqref>'August''24 AR Aging '!$C$229:$N$229</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17</xdr:row>
      <xdr:rowOff>180976</xdr:rowOff>
    </xdr:from>
    <xdr:to>
      <xdr:col>7</xdr:col>
      <xdr:colOff>981075</xdr:colOff>
      <xdr:row>20</xdr:row>
      <xdr:rowOff>1028701</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57149</xdr:colOff>
      <xdr:row>24</xdr:row>
      <xdr:rowOff>28575</xdr:rowOff>
    </xdr:from>
    <xdr:to>
      <xdr:col>7</xdr:col>
      <xdr:colOff>1076324</xdr:colOff>
      <xdr:row>31</xdr:row>
      <xdr:rowOff>171450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223</xdr:row>
      <xdr:rowOff>47625</xdr:rowOff>
    </xdr:from>
    <xdr:to>
      <xdr:col>8</xdr:col>
      <xdr:colOff>523875</xdr:colOff>
      <xdr:row>260</xdr:row>
      <xdr:rowOff>19049</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2"/>
  <sheetViews>
    <sheetView topLeftCell="A4" zoomScale="70" zoomScaleNormal="70" workbookViewId="0">
      <selection activeCell="K8" sqref="K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6.875" customWidth="1"/>
    <col min="10" max="10" width="1.75" customWidth="1"/>
    <col min="11" max="11" width="26.8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92</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405</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428</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106</v>
      </c>
      <c r="B5" s="51"/>
      <c r="C5" s="51"/>
      <c r="D5" s="51"/>
      <c r="E5" s="51"/>
      <c r="F5" s="51"/>
      <c r="G5" s="801" t="s">
        <v>48</v>
      </c>
      <c r="H5" s="801"/>
      <c r="I5" s="801"/>
      <c r="J5" s="801"/>
      <c r="K5" s="801"/>
      <c r="L5" s="321" t="s">
        <v>179</v>
      </c>
      <c r="M5" s="318" t="s">
        <v>191</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98</v>
      </c>
      <c r="C7" s="66"/>
      <c r="D7" s="66"/>
      <c r="E7" s="66"/>
      <c r="F7" s="66"/>
      <c r="G7" s="315" t="s">
        <v>429</v>
      </c>
      <c r="H7" s="599" t="s">
        <v>430</v>
      </c>
      <c r="I7" s="599" t="s">
        <v>431</v>
      </c>
      <c r="J7" s="599"/>
      <c r="K7" s="600" t="s">
        <v>436</v>
      </c>
      <c r="L7" s="802" t="s">
        <v>409</v>
      </c>
      <c r="M7" s="802"/>
    </row>
    <row r="8" spans="1:57" s="55" customFormat="1" ht="20.25" x14ac:dyDescent="0.2">
      <c r="A8" s="54"/>
      <c r="B8" s="54"/>
      <c r="C8" s="58" t="s">
        <v>99</v>
      </c>
      <c r="D8" s="58"/>
      <c r="E8" s="58"/>
      <c r="F8" s="54"/>
      <c r="G8" s="189">
        <v>200992</v>
      </c>
      <c r="H8" s="189">
        <v>507048</v>
      </c>
      <c r="I8" s="189">
        <f>G8+H8</f>
        <v>708040</v>
      </c>
      <c r="J8" s="189"/>
      <c r="K8" s="189">
        <v>700893</v>
      </c>
      <c r="L8" s="302">
        <f>I8-K8</f>
        <v>7147</v>
      </c>
      <c r="M8" s="319">
        <f>(I8-K8)/K8</f>
        <v>1.0196991552205544E-2</v>
      </c>
    </row>
    <row r="9" spans="1:57" s="55" customFormat="1" ht="20.25" x14ac:dyDescent="0.2">
      <c r="A9" s="54"/>
      <c r="B9" s="54"/>
      <c r="C9" s="58" t="s">
        <v>148</v>
      </c>
      <c r="D9" s="58"/>
      <c r="E9" s="58"/>
      <c r="F9" s="54"/>
      <c r="G9" s="180">
        <v>18908</v>
      </c>
      <c r="H9" s="180">
        <v>61000</v>
      </c>
      <c r="I9" s="180">
        <f>G9+H9</f>
        <v>79908</v>
      </c>
      <c r="J9" s="180"/>
      <c r="K9" s="180">
        <v>90000</v>
      </c>
      <c r="L9" s="390">
        <f>I9-K9</f>
        <v>-10092</v>
      </c>
      <c r="M9" s="319">
        <f t="shared" ref="M9:M28" si="0">(I9-K9)/K9</f>
        <v>-0.11213333333333333</v>
      </c>
    </row>
    <row r="10" spans="1:57" s="55" customFormat="1" ht="20.25" x14ac:dyDescent="0.2">
      <c r="A10" s="54"/>
      <c r="B10" s="54"/>
      <c r="C10" s="58" t="s">
        <v>177</v>
      </c>
      <c r="D10" s="58"/>
      <c r="E10" s="58"/>
      <c r="F10" s="54"/>
      <c r="G10" s="180">
        <v>16159</v>
      </c>
      <c r="H10" s="180">
        <v>25547</v>
      </c>
      <c r="I10" s="180">
        <f>G10+H10</f>
        <v>41706</v>
      </c>
      <c r="J10" s="180"/>
      <c r="K10" s="180">
        <v>50397</v>
      </c>
      <c r="L10" s="390">
        <f>I10-K10</f>
        <v>-8691</v>
      </c>
      <c r="M10" s="319">
        <f t="shared" si="0"/>
        <v>-0.17245074111554259</v>
      </c>
    </row>
    <row r="11" spans="1:57" s="55" customFormat="1" ht="20.25" x14ac:dyDescent="0.2">
      <c r="A11" s="54"/>
      <c r="B11" s="54"/>
      <c r="C11" s="58" t="s">
        <v>100</v>
      </c>
      <c r="D11" s="58"/>
      <c r="E11" s="58"/>
      <c r="F11" s="54"/>
      <c r="G11" s="180"/>
      <c r="H11" s="180"/>
      <c r="I11" s="180">
        <f t="shared" ref="I11:I28" si="1">G11+H11</f>
        <v>0</v>
      </c>
      <c r="J11" s="180"/>
      <c r="K11" s="180"/>
      <c r="L11" s="390"/>
      <c r="M11" s="319"/>
    </row>
    <row r="12" spans="1:57" s="55" customFormat="1" ht="20.25" x14ac:dyDescent="0.2">
      <c r="A12" s="54"/>
      <c r="B12" s="54"/>
      <c r="D12" s="58" t="s">
        <v>137</v>
      </c>
      <c r="E12" s="58"/>
      <c r="F12" s="54"/>
      <c r="G12" s="180">
        <v>78605</v>
      </c>
      <c r="H12" s="180">
        <f>239968-H10-H13-H14</f>
        <v>121781</v>
      </c>
      <c r="I12" s="180">
        <f t="shared" si="1"/>
        <v>200386</v>
      </c>
      <c r="J12" s="180"/>
      <c r="K12" s="180">
        <v>169789</v>
      </c>
      <c r="L12" s="390">
        <f t="shared" ref="L12:L28" si="2">I12-K12</f>
        <v>30597</v>
      </c>
      <c r="M12" s="319">
        <f t="shared" si="0"/>
        <v>0.18020602041357214</v>
      </c>
      <c r="O12" s="367"/>
      <c r="P12" s="366"/>
      <c r="Q12" s="366"/>
    </row>
    <row r="13" spans="1:57" s="55" customFormat="1" ht="20.25" x14ac:dyDescent="0.2">
      <c r="A13" s="54"/>
      <c r="B13" s="54"/>
      <c r="D13" s="58" t="s">
        <v>157</v>
      </c>
      <c r="E13" s="58"/>
      <c r="F13" s="54"/>
      <c r="G13" s="180">
        <v>6000</v>
      </c>
      <c r="H13" s="180">
        <f>1500*8</f>
        <v>12000</v>
      </c>
      <c r="I13" s="180">
        <f t="shared" si="1"/>
        <v>18000</v>
      </c>
      <c r="J13" s="180"/>
      <c r="K13" s="180">
        <v>18000</v>
      </c>
      <c r="L13" s="390">
        <f t="shared" si="2"/>
        <v>0</v>
      </c>
      <c r="M13" s="319">
        <f t="shared" si="0"/>
        <v>0</v>
      </c>
      <c r="O13" s="303"/>
      <c r="P13" s="368"/>
      <c r="Q13" s="290"/>
    </row>
    <row r="14" spans="1:57" s="55" customFormat="1" ht="20.25" x14ac:dyDescent="0.2">
      <c r="A14" s="54"/>
      <c r="B14" s="54"/>
      <c r="C14" s="58"/>
      <c r="D14" s="58" t="s">
        <v>398</v>
      </c>
      <c r="E14" s="58"/>
      <c r="F14" s="54"/>
      <c r="G14" s="180">
        <v>39088</v>
      </c>
      <c r="H14" s="180">
        <v>80640</v>
      </c>
      <c r="I14" s="180">
        <f t="shared" si="1"/>
        <v>119728</v>
      </c>
      <c r="J14" s="180"/>
      <c r="K14" s="180">
        <v>114072</v>
      </c>
      <c r="L14" s="390">
        <f t="shared" si="2"/>
        <v>5656</v>
      </c>
      <c r="M14" s="319">
        <f t="shared" si="0"/>
        <v>4.9582719685812467E-2</v>
      </c>
      <c r="O14" s="303"/>
      <c r="P14" s="368"/>
      <c r="Q14" s="290"/>
    </row>
    <row r="15" spans="1:57" s="55" customFormat="1" ht="20.25" x14ac:dyDescent="0.2">
      <c r="A15" s="54"/>
      <c r="B15" s="54"/>
      <c r="C15" s="58" t="s">
        <v>373</v>
      </c>
      <c r="D15" s="58"/>
      <c r="E15" s="58"/>
      <c r="F15" s="54"/>
      <c r="G15" s="180">
        <v>5511</v>
      </c>
      <c r="H15" s="180">
        <f>17000-G15</f>
        <v>11489</v>
      </c>
      <c r="I15" s="180">
        <f t="shared" si="1"/>
        <v>17000</v>
      </c>
      <c r="J15" s="180"/>
      <c r="K15" s="180">
        <v>17000</v>
      </c>
      <c r="L15" s="390">
        <f t="shared" si="2"/>
        <v>0</v>
      </c>
      <c r="M15" s="319">
        <f t="shared" si="0"/>
        <v>0</v>
      </c>
      <c r="O15" s="303"/>
      <c r="P15" s="368"/>
      <c r="Q15" s="290"/>
    </row>
    <row r="16" spans="1:57" s="55" customFormat="1" ht="20.25" x14ac:dyDescent="0.2">
      <c r="A16" s="54"/>
      <c r="B16" s="54"/>
      <c r="C16" s="58" t="s">
        <v>108</v>
      </c>
      <c r="D16" s="58"/>
      <c r="E16" s="58"/>
      <c r="F16" s="54"/>
      <c r="G16" s="180">
        <v>228</v>
      </c>
      <c r="H16" s="180">
        <v>684</v>
      </c>
      <c r="I16" s="180">
        <f t="shared" si="1"/>
        <v>912</v>
      </c>
      <c r="J16" s="180"/>
      <c r="K16" s="180">
        <v>1200</v>
      </c>
      <c r="L16" s="390">
        <f t="shared" si="2"/>
        <v>-288</v>
      </c>
      <c r="M16" s="319">
        <f t="shared" si="0"/>
        <v>-0.24</v>
      </c>
      <c r="O16" s="303"/>
      <c r="P16" s="368"/>
      <c r="Q16" s="290"/>
    </row>
    <row r="17" spans="1:17" s="55" customFormat="1" ht="20.25" x14ac:dyDescent="0.2">
      <c r="A17" s="54"/>
      <c r="B17" s="54"/>
      <c r="C17" s="58" t="s">
        <v>235</v>
      </c>
      <c r="D17" s="58"/>
      <c r="E17" s="58"/>
      <c r="F17" s="54"/>
      <c r="G17" s="180">
        <v>-405</v>
      </c>
      <c r="H17" s="180">
        <f>400*8-1000</f>
        <v>2200</v>
      </c>
      <c r="I17" s="180">
        <f t="shared" si="1"/>
        <v>1795</v>
      </c>
      <c r="J17" s="180"/>
      <c r="K17" s="180">
        <v>4680</v>
      </c>
      <c r="L17" s="390">
        <f t="shared" si="2"/>
        <v>-2885</v>
      </c>
      <c r="M17" s="319">
        <f t="shared" si="0"/>
        <v>-0.61645299145299148</v>
      </c>
      <c r="O17" s="303"/>
      <c r="P17" s="368"/>
      <c r="Q17" s="290"/>
    </row>
    <row r="18" spans="1:17" s="55" customFormat="1" ht="20.25" x14ac:dyDescent="0.2">
      <c r="A18" s="54"/>
      <c r="B18" s="54"/>
      <c r="C18" s="58" t="s">
        <v>317</v>
      </c>
      <c r="D18" s="58"/>
      <c r="E18" s="58"/>
      <c r="F18" s="54"/>
      <c r="G18" s="180">
        <v>12304</v>
      </c>
      <c r="H18" s="180">
        <v>1500</v>
      </c>
      <c r="I18" s="180">
        <f t="shared" si="1"/>
        <v>13804</v>
      </c>
      <c r="J18" s="180"/>
      <c r="K18" s="180">
        <v>1500</v>
      </c>
      <c r="L18" s="390">
        <f t="shared" si="2"/>
        <v>12304</v>
      </c>
      <c r="M18" s="319">
        <f t="shared" si="0"/>
        <v>8.2026666666666674</v>
      </c>
      <c r="O18" s="303"/>
      <c r="P18" s="368"/>
      <c r="Q18" s="290"/>
    </row>
    <row r="19" spans="1:17" s="55" customFormat="1" ht="20.25" x14ac:dyDescent="0.2">
      <c r="A19" s="54"/>
      <c r="B19" s="54"/>
      <c r="C19" s="58" t="s">
        <v>410</v>
      </c>
      <c r="D19" s="58"/>
      <c r="E19" s="58"/>
      <c r="F19" s="54"/>
      <c r="G19" s="180"/>
      <c r="H19" s="180"/>
      <c r="I19" s="180">
        <f t="shared" si="1"/>
        <v>0</v>
      </c>
      <c r="J19" s="180"/>
      <c r="K19" s="180"/>
      <c r="L19" s="390">
        <f t="shared" si="2"/>
        <v>0</v>
      </c>
      <c r="M19" s="319"/>
      <c r="O19" s="303"/>
      <c r="P19" s="368"/>
      <c r="Q19" s="290"/>
    </row>
    <row r="20" spans="1:17" s="55" customFormat="1" ht="20.25" x14ac:dyDescent="0.2">
      <c r="A20" s="54"/>
      <c r="B20" s="54"/>
      <c r="C20" s="58"/>
      <c r="D20" s="58" t="s">
        <v>11</v>
      </c>
      <c r="E20" s="58"/>
      <c r="F20" s="54"/>
      <c r="G20" s="180">
        <f>10047-3000</f>
        <v>7047</v>
      </c>
      <c r="H20" s="180">
        <f>65179-H21-12000</f>
        <v>21179</v>
      </c>
      <c r="I20" s="180">
        <f t="shared" si="1"/>
        <v>28226</v>
      </c>
      <c r="J20" s="180"/>
      <c r="K20" s="180">
        <f>79293-48000</f>
        <v>31293</v>
      </c>
      <c r="L20" s="390">
        <f t="shared" si="2"/>
        <v>-3067</v>
      </c>
      <c r="M20" s="319">
        <f t="shared" si="0"/>
        <v>-9.8009139424152361E-2</v>
      </c>
      <c r="O20" s="303"/>
      <c r="P20" s="368"/>
      <c r="Q20" s="290"/>
    </row>
    <row r="21" spans="1:17" s="55" customFormat="1" ht="20.25" x14ac:dyDescent="0.2">
      <c r="A21" s="54"/>
      <c r="B21" s="54"/>
      <c r="C21" s="560"/>
      <c r="D21" s="58" t="s">
        <v>17</v>
      </c>
      <c r="E21" s="560"/>
      <c r="F21" s="560"/>
      <c r="G21" s="180">
        <f>48000/12*4</f>
        <v>16000</v>
      </c>
      <c r="H21" s="180">
        <f>48000-G21</f>
        <v>32000</v>
      </c>
      <c r="I21" s="180">
        <f t="shared" si="1"/>
        <v>48000</v>
      </c>
      <c r="J21" s="180"/>
      <c r="K21" s="180">
        <v>48000</v>
      </c>
      <c r="L21" s="390">
        <f t="shared" si="2"/>
        <v>0</v>
      </c>
      <c r="M21" s="319">
        <f t="shared" si="0"/>
        <v>0</v>
      </c>
      <c r="O21" s="303"/>
      <c r="P21" s="368"/>
      <c r="Q21" s="290"/>
    </row>
    <row r="22" spans="1:17" s="55" customFormat="1" ht="20.25" x14ac:dyDescent="0.2">
      <c r="A22" s="54"/>
      <c r="B22" s="54"/>
      <c r="C22" s="560"/>
      <c r="D22" s="58" t="s">
        <v>432</v>
      </c>
      <c r="E22" s="560"/>
      <c r="F22" s="560"/>
      <c r="G22" s="180">
        <v>3000</v>
      </c>
      <c r="H22" s="180">
        <v>12000</v>
      </c>
      <c r="I22" s="180">
        <f t="shared" si="1"/>
        <v>15000</v>
      </c>
      <c r="J22" s="180"/>
      <c r="K22" s="180">
        <v>0</v>
      </c>
      <c r="L22" s="390">
        <f t="shared" si="2"/>
        <v>15000</v>
      </c>
      <c r="M22" s="319"/>
      <c r="O22" s="303"/>
      <c r="P22" s="368"/>
      <c r="Q22" s="290"/>
    </row>
    <row r="23" spans="1:17" s="55" customFormat="1" ht="20.25" x14ac:dyDescent="0.2">
      <c r="A23" s="54"/>
      <c r="B23" s="54"/>
      <c r="C23" s="58" t="s">
        <v>319</v>
      </c>
      <c r="D23" s="560"/>
      <c r="E23" s="560"/>
      <c r="F23" s="560"/>
      <c r="G23" s="180">
        <v>3150</v>
      </c>
      <c r="H23" s="180">
        <v>0</v>
      </c>
      <c r="I23" s="180">
        <f t="shared" si="1"/>
        <v>3150</v>
      </c>
      <c r="J23" s="180"/>
      <c r="K23" s="180"/>
      <c r="L23" s="390">
        <f t="shared" si="2"/>
        <v>3150</v>
      </c>
      <c r="M23" s="319"/>
      <c r="O23" s="303"/>
      <c r="P23" s="368"/>
      <c r="Q23" s="290"/>
    </row>
    <row r="24" spans="1:17" s="55" customFormat="1" ht="20.25" x14ac:dyDescent="0.2">
      <c r="A24" s="54"/>
      <c r="B24" s="54"/>
      <c r="C24" s="58" t="s">
        <v>107</v>
      </c>
      <c r="D24" s="560"/>
      <c r="E24" s="560"/>
      <c r="F24" s="560"/>
      <c r="G24" s="180">
        <v>17580</v>
      </c>
      <c r="H24" s="180">
        <f>H35</f>
        <v>35160</v>
      </c>
      <c r="I24" s="180">
        <f t="shared" si="1"/>
        <v>52740</v>
      </c>
      <c r="J24" s="180"/>
      <c r="K24" s="180">
        <v>46576</v>
      </c>
      <c r="L24" s="390">
        <f t="shared" si="2"/>
        <v>6164</v>
      </c>
      <c r="M24" s="319">
        <f t="shared" si="0"/>
        <v>0.13234283751288217</v>
      </c>
      <c r="O24" s="303"/>
      <c r="P24" s="368"/>
      <c r="Q24" s="290"/>
    </row>
    <row r="25" spans="1:17" s="55" customFormat="1" ht="20.25" x14ac:dyDescent="0.2">
      <c r="A25" s="54"/>
      <c r="B25" s="54"/>
      <c r="C25" s="58" t="s">
        <v>413</v>
      </c>
      <c r="D25" s="560"/>
      <c r="E25" s="560"/>
      <c r="F25" s="560"/>
      <c r="G25" s="180">
        <v>5055</v>
      </c>
      <c r="H25" s="180">
        <f>15000+250</f>
        <v>15250</v>
      </c>
      <c r="I25" s="180">
        <f t="shared" si="1"/>
        <v>20305</v>
      </c>
      <c r="J25" s="180"/>
      <c r="K25" s="180">
        <v>21600</v>
      </c>
      <c r="L25" s="390">
        <f t="shared" si="2"/>
        <v>-1295</v>
      </c>
      <c r="M25" s="319">
        <f t="shared" si="0"/>
        <v>-5.9953703703703703E-2</v>
      </c>
      <c r="O25" s="303"/>
      <c r="P25" s="368"/>
      <c r="Q25" s="290"/>
    </row>
    <row r="26" spans="1:17" s="55" customFormat="1" ht="20.25" x14ac:dyDescent="0.2">
      <c r="A26" s="54"/>
      <c r="B26" s="54"/>
      <c r="C26" s="58" t="s">
        <v>100</v>
      </c>
      <c r="D26" s="560"/>
      <c r="E26" s="560"/>
      <c r="F26" s="560"/>
      <c r="G26" s="180">
        <f>18500/12*4</f>
        <v>6166.666666666667</v>
      </c>
      <c r="H26" s="180">
        <f>18500-G26</f>
        <v>12333.333333333332</v>
      </c>
      <c r="I26" s="180">
        <f t="shared" si="1"/>
        <v>18500</v>
      </c>
      <c r="J26" s="180"/>
      <c r="K26" s="180">
        <v>19000</v>
      </c>
      <c r="L26" s="390">
        <f t="shared" si="2"/>
        <v>-500</v>
      </c>
      <c r="M26" s="319">
        <f t="shared" si="0"/>
        <v>-2.6315789473684209E-2</v>
      </c>
      <c r="O26" s="303"/>
      <c r="P26" s="368"/>
      <c r="Q26" s="290"/>
    </row>
    <row r="27" spans="1:17" s="55" customFormat="1" ht="20.25" x14ac:dyDescent="0.2">
      <c r="A27" s="54"/>
      <c r="B27" s="54"/>
      <c r="C27" s="58" t="s">
        <v>316</v>
      </c>
      <c r="D27" s="560"/>
      <c r="E27" s="560"/>
      <c r="F27" s="560"/>
      <c r="G27" s="180">
        <f>41600/12*4</f>
        <v>13866.666666666666</v>
      </c>
      <c r="H27" s="180">
        <f>3466.67*8</f>
        <v>27733.360000000001</v>
      </c>
      <c r="I27" s="180">
        <f t="shared" si="1"/>
        <v>41600.026666666665</v>
      </c>
      <c r="J27" s="180"/>
      <c r="K27" s="180">
        <v>50000</v>
      </c>
      <c r="L27" s="390">
        <f t="shared" si="2"/>
        <v>-8399.9733333333352</v>
      </c>
      <c r="M27" s="319">
        <f t="shared" si="0"/>
        <v>-0.16799946666666671</v>
      </c>
      <c r="O27" s="303"/>
      <c r="P27" s="368"/>
      <c r="Q27" s="290"/>
    </row>
    <row r="28" spans="1:17" s="55" customFormat="1" ht="20.25" x14ac:dyDescent="0.2">
      <c r="A28" s="54"/>
      <c r="B28" s="54"/>
      <c r="C28" s="58" t="s">
        <v>318</v>
      </c>
      <c r="D28" s="560"/>
      <c r="E28" s="560"/>
      <c r="F28" s="560"/>
      <c r="G28" s="180">
        <f>27832-G26-G27</f>
        <v>7798.6666666666661</v>
      </c>
      <c r="H28" s="180">
        <v>11317</v>
      </c>
      <c r="I28" s="180">
        <f t="shared" si="1"/>
        <v>19115.666666666664</v>
      </c>
      <c r="J28" s="180"/>
      <c r="K28" s="180">
        <v>16835</v>
      </c>
      <c r="L28" s="390">
        <f t="shared" si="2"/>
        <v>2280.6666666666642</v>
      </c>
      <c r="M28" s="319">
        <f t="shared" si="0"/>
        <v>0.13547173547173533</v>
      </c>
      <c r="O28" s="303"/>
      <c r="P28" s="368"/>
      <c r="Q28" s="290"/>
    </row>
    <row r="29" spans="1:17" s="55" customFormat="1" ht="20.25" x14ac:dyDescent="0.2">
      <c r="A29" s="54"/>
      <c r="B29" s="54"/>
      <c r="C29" s="58"/>
      <c r="D29" s="54" t="s">
        <v>103</v>
      </c>
      <c r="E29" s="58"/>
      <c r="F29" s="54"/>
      <c r="G29" s="188">
        <f>SUM(G8:G28)</f>
        <v>457054.00000000006</v>
      </c>
      <c r="H29" s="188">
        <f>SUM(H8:H28)</f>
        <v>990861.69333333336</v>
      </c>
      <c r="I29" s="188">
        <f>SUM(I8:I28)</f>
        <v>1447915.6933333334</v>
      </c>
      <c r="J29" s="188"/>
      <c r="K29" s="188">
        <f>SUM(K8:K28)</f>
        <v>1400835</v>
      </c>
      <c r="L29" s="567">
        <f>SUM(L8:L28)</f>
        <v>47080.693333333329</v>
      </c>
      <c r="M29" s="568">
        <f>L29/K29</f>
        <v>3.3609021286113872E-2</v>
      </c>
    </row>
    <row r="30" spans="1:17" s="55" customFormat="1" ht="20.25" x14ac:dyDescent="0.2">
      <c r="A30" s="54"/>
      <c r="B30" s="54"/>
      <c r="C30" s="58"/>
      <c r="D30" s="54"/>
      <c r="E30" s="58"/>
      <c r="F30" s="54"/>
      <c r="G30" s="180"/>
      <c r="H30" s="180"/>
      <c r="I30" s="180"/>
      <c r="J30" s="180"/>
      <c r="K30" s="461"/>
    </row>
    <row r="31" spans="1:17" s="55" customFormat="1" ht="21" thickBot="1" x14ac:dyDescent="0.25">
      <c r="A31" s="54"/>
      <c r="B31" s="66" t="s">
        <v>109</v>
      </c>
      <c r="C31" s="66"/>
      <c r="D31" s="66"/>
      <c r="E31" s="66"/>
      <c r="F31" s="66"/>
      <c r="G31" s="180"/>
      <c r="H31" s="180"/>
      <c r="I31" s="180"/>
      <c r="J31" s="180"/>
    </row>
    <row r="32" spans="1:17" s="55" customFormat="1" ht="20.25" x14ac:dyDescent="0.2">
      <c r="A32" s="54"/>
      <c r="B32" s="54"/>
      <c r="C32" s="58" t="s">
        <v>110</v>
      </c>
      <c r="D32" s="58"/>
      <c r="E32" s="58"/>
      <c r="F32" s="58"/>
      <c r="G32" s="180">
        <v>276045.51</v>
      </c>
      <c r="H32" s="180">
        <v>641500</v>
      </c>
      <c r="I32" s="180">
        <f>SUM(G32:H32)</f>
        <v>917545.51</v>
      </c>
      <c r="J32" s="180"/>
      <c r="K32" s="569">
        <v>932770</v>
      </c>
      <c r="L32" s="390">
        <f>I32-K32</f>
        <v>-15224.489999999991</v>
      </c>
      <c r="M32" s="337">
        <f>L32/K32</f>
        <v>-1.6321804946557019E-2</v>
      </c>
    </row>
    <row r="33" spans="1:15" s="55" customFormat="1" ht="20.25" x14ac:dyDescent="0.2">
      <c r="A33" s="54"/>
      <c r="B33" s="54"/>
      <c r="C33" s="58" t="s">
        <v>111</v>
      </c>
      <c r="D33" s="58"/>
      <c r="E33" s="58"/>
      <c r="F33" s="58"/>
      <c r="G33" s="180">
        <f>60096.8</f>
        <v>60096.800000000003</v>
      </c>
      <c r="H33" s="180">
        <v>131256</v>
      </c>
      <c r="I33" s="180">
        <f>SUM(G33:H33)</f>
        <v>191352.8</v>
      </c>
      <c r="J33" s="180"/>
      <c r="K33" s="216">
        <v>181856</v>
      </c>
      <c r="L33" s="390">
        <f>I33-K33</f>
        <v>9496.7999999999884</v>
      </c>
      <c r="M33" s="337">
        <f>L33/K33</f>
        <v>5.2221537920112554E-2</v>
      </c>
    </row>
    <row r="34" spans="1:15" s="55" customFormat="1" ht="20.25" x14ac:dyDescent="0.2">
      <c r="A34" s="54"/>
      <c r="B34" s="54"/>
      <c r="C34" s="58" t="s">
        <v>112</v>
      </c>
      <c r="D34" s="58"/>
      <c r="E34" s="58"/>
      <c r="F34" s="58"/>
      <c r="G34" s="180">
        <v>600</v>
      </c>
      <c r="H34" s="180">
        <f>150*8</f>
        <v>1200</v>
      </c>
      <c r="I34" s="180">
        <f t="shared" ref="I34:K49" si="3">SUM(G34:H34)</f>
        <v>1800</v>
      </c>
      <c r="J34" s="180"/>
      <c r="K34" s="216">
        <v>1800</v>
      </c>
      <c r="L34" s="390">
        <f t="shared" ref="L34:L49" si="4">I34-K34</f>
        <v>0</v>
      </c>
      <c r="M34" s="337">
        <f t="shared" ref="M34:M49" si="5">L34/K34</f>
        <v>0</v>
      </c>
    </row>
    <row r="35" spans="1:15" s="55" customFormat="1" ht="20.25" x14ac:dyDescent="0.2">
      <c r="A35" s="54"/>
      <c r="B35" s="54"/>
      <c r="C35" s="58" t="s">
        <v>102</v>
      </c>
      <c r="D35" s="58"/>
      <c r="E35" s="58"/>
      <c r="F35" s="58"/>
      <c r="G35" s="180">
        <v>17580</v>
      </c>
      <c r="H35" s="180">
        <f>G35/4*8</f>
        <v>35160</v>
      </c>
      <c r="I35" s="180">
        <f t="shared" si="3"/>
        <v>52740</v>
      </c>
      <c r="J35" s="180"/>
      <c r="K35" s="216">
        <v>46576</v>
      </c>
      <c r="L35" s="390">
        <f t="shared" si="4"/>
        <v>6164</v>
      </c>
      <c r="M35" s="337">
        <f t="shared" si="5"/>
        <v>0.13234283751288217</v>
      </c>
    </row>
    <row r="36" spans="1:15" s="55" customFormat="1" ht="20.25" x14ac:dyDescent="0.2">
      <c r="A36" s="54"/>
      <c r="B36" s="54"/>
      <c r="C36" s="58" t="s">
        <v>113</v>
      </c>
      <c r="D36" s="58"/>
      <c r="E36" s="58"/>
      <c r="F36" s="58"/>
      <c r="G36" s="180">
        <v>6970</v>
      </c>
      <c r="H36" s="180">
        <v>13232</v>
      </c>
      <c r="I36" s="180">
        <f t="shared" si="3"/>
        <v>20202</v>
      </c>
      <c r="J36" s="180"/>
      <c r="K36" s="216">
        <v>19873</v>
      </c>
      <c r="L36" s="390">
        <f t="shared" si="4"/>
        <v>329</v>
      </c>
      <c r="M36" s="337">
        <f t="shared" si="5"/>
        <v>1.6555125044029589E-2</v>
      </c>
    </row>
    <row r="37" spans="1:15" s="55" customFormat="1" ht="20.25" x14ac:dyDescent="0.2">
      <c r="A37" s="54"/>
      <c r="B37" s="54"/>
      <c r="C37" s="58" t="s">
        <v>114</v>
      </c>
      <c r="D37" s="58"/>
      <c r="E37" s="58"/>
      <c r="F37" s="58"/>
      <c r="G37" s="180">
        <v>983</v>
      </c>
      <c r="H37" s="180">
        <f>2736-983</f>
        <v>1753</v>
      </c>
      <c r="I37" s="180">
        <f t="shared" si="3"/>
        <v>2736</v>
      </c>
      <c r="J37" s="180"/>
      <c r="K37" s="216">
        <v>2736</v>
      </c>
      <c r="L37" s="390">
        <f t="shared" si="4"/>
        <v>0</v>
      </c>
      <c r="M37" s="337">
        <f t="shared" si="5"/>
        <v>0</v>
      </c>
      <c r="O37" s="546"/>
    </row>
    <row r="38" spans="1:15" s="55" customFormat="1" ht="20.25" x14ac:dyDescent="0.2">
      <c r="A38" s="54"/>
      <c r="B38" s="54"/>
      <c r="C38" s="58" t="s">
        <v>115</v>
      </c>
      <c r="D38" s="58"/>
      <c r="E38" s="58"/>
      <c r="F38" s="58"/>
      <c r="G38" s="180">
        <v>1426</v>
      </c>
      <c r="H38" s="180">
        <v>4352</v>
      </c>
      <c r="I38" s="180">
        <f t="shared" si="3"/>
        <v>5778</v>
      </c>
      <c r="J38" s="180"/>
      <c r="K38" s="216">
        <v>5022</v>
      </c>
      <c r="L38" s="390">
        <f t="shared" si="4"/>
        <v>756</v>
      </c>
      <c r="M38" s="337">
        <f t="shared" si="5"/>
        <v>0.15053763440860216</v>
      </c>
    </row>
    <row r="39" spans="1:15" s="55" customFormat="1" ht="20.25" x14ac:dyDescent="0.2">
      <c r="A39" s="54"/>
      <c r="B39" s="54"/>
      <c r="C39" s="58" t="s">
        <v>116</v>
      </c>
      <c r="D39" s="58"/>
      <c r="E39" s="58"/>
      <c r="F39" s="58"/>
      <c r="G39" s="180">
        <v>286</v>
      </c>
      <c r="H39" s="180">
        <v>7958</v>
      </c>
      <c r="I39" s="180">
        <f t="shared" si="3"/>
        <v>8244</v>
      </c>
      <c r="J39" s="180"/>
      <c r="K39" s="216">
        <v>6244</v>
      </c>
      <c r="L39" s="390">
        <f t="shared" si="4"/>
        <v>2000</v>
      </c>
      <c r="M39" s="337">
        <f t="shared" si="5"/>
        <v>0.32030749519538759</v>
      </c>
    </row>
    <row r="40" spans="1:15" s="55" customFormat="1" ht="20.25" x14ac:dyDescent="0.2">
      <c r="A40" s="54"/>
      <c r="B40" s="54"/>
      <c r="C40" s="58" t="s">
        <v>117</v>
      </c>
      <c r="D40" s="58"/>
      <c r="E40" s="58"/>
      <c r="F40" s="58"/>
      <c r="G40" s="180">
        <v>14139</v>
      </c>
      <c r="H40" s="180">
        <f>27582</f>
        <v>27582</v>
      </c>
      <c r="I40" s="180">
        <f t="shared" si="3"/>
        <v>41721</v>
      </c>
      <c r="J40" s="180"/>
      <c r="K40" s="216">
        <v>40180</v>
      </c>
      <c r="L40" s="390">
        <f t="shared" si="4"/>
        <v>1541</v>
      </c>
      <c r="M40" s="337">
        <f t="shared" si="5"/>
        <v>3.8352414136386265E-2</v>
      </c>
      <c r="O40" s="191"/>
    </row>
    <row r="41" spans="1:15" s="55" customFormat="1" ht="20.25" x14ac:dyDescent="0.2">
      <c r="A41" s="54"/>
      <c r="B41" s="54"/>
      <c r="C41" s="58" t="s">
        <v>118</v>
      </c>
      <c r="D41" s="58"/>
      <c r="E41" s="58"/>
      <c r="F41" s="58"/>
      <c r="G41" s="180">
        <v>2253</v>
      </c>
      <c r="H41" s="180">
        <v>2960</v>
      </c>
      <c r="I41" s="180">
        <f t="shared" si="3"/>
        <v>5213</v>
      </c>
      <c r="J41" s="180"/>
      <c r="K41" s="216">
        <v>4270</v>
      </c>
      <c r="L41" s="390">
        <f t="shared" si="4"/>
        <v>943</v>
      </c>
      <c r="M41" s="337">
        <f t="shared" si="5"/>
        <v>0.2208430913348946</v>
      </c>
    </row>
    <row r="42" spans="1:15" s="55" customFormat="1" ht="20.25" x14ac:dyDescent="0.2">
      <c r="A42" s="54"/>
      <c r="B42" s="54"/>
      <c r="C42" s="58" t="s">
        <v>119</v>
      </c>
      <c r="D42" s="58"/>
      <c r="E42" s="58"/>
      <c r="F42" s="58"/>
      <c r="G42" s="180">
        <v>386</v>
      </c>
      <c r="H42" s="180">
        <f>1020-G42</f>
        <v>634</v>
      </c>
      <c r="I42" s="180">
        <f t="shared" si="3"/>
        <v>1020</v>
      </c>
      <c r="J42" s="180"/>
      <c r="K42" s="216">
        <v>1020</v>
      </c>
      <c r="L42" s="390">
        <f t="shared" si="4"/>
        <v>0</v>
      </c>
      <c r="M42" s="337">
        <f t="shared" si="5"/>
        <v>0</v>
      </c>
    </row>
    <row r="43" spans="1:15" s="55" customFormat="1" ht="20.25" x14ac:dyDescent="0.2">
      <c r="A43" s="54"/>
      <c r="B43" s="54"/>
      <c r="C43" s="58" t="s">
        <v>164</v>
      </c>
      <c r="D43" s="58"/>
      <c r="E43" s="58"/>
      <c r="F43" s="58"/>
      <c r="G43" s="180">
        <v>10200</v>
      </c>
      <c r="H43" s="180">
        <f>2800+125+25</f>
        <v>2950</v>
      </c>
      <c r="I43" s="180">
        <f t="shared" si="3"/>
        <v>13150</v>
      </c>
      <c r="J43" s="180"/>
      <c r="K43" s="216">
        <v>13618</v>
      </c>
      <c r="L43" s="390">
        <f t="shared" si="4"/>
        <v>-468</v>
      </c>
      <c r="M43" s="337">
        <f t="shared" si="5"/>
        <v>-3.4366279923630491E-2</v>
      </c>
    </row>
    <row r="44" spans="1:15" s="55" customFormat="1" ht="20.25" x14ac:dyDescent="0.2">
      <c r="A44" s="54"/>
      <c r="B44" s="54"/>
      <c r="C44" s="803" t="s">
        <v>321</v>
      </c>
      <c r="D44" s="803"/>
      <c r="E44" s="803"/>
      <c r="F44" s="803"/>
      <c r="G44" s="180"/>
      <c r="H44" s="180">
        <f>SUM([1]Transportaton!N46:S46)</f>
        <v>0</v>
      </c>
      <c r="I44" s="180">
        <f t="shared" si="3"/>
        <v>0</v>
      </c>
      <c r="J44" s="180"/>
      <c r="K44" s="180">
        <f t="shared" si="3"/>
        <v>0</v>
      </c>
      <c r="L44" s="390">
        <f t="shared" si="4"/>
        <v>0</v>
      </c>
      <c r="M44" s="337"/>
      <c r="O44" s="548"/>
    </row>
    <row r="45" spans="1:15" s="55" customFormat="1" ht="20.25" x14ac:dyDescent="0.2">
      <c r="A45" s="54"/>
      <c r="B45" s="54"/>
      <c r="C45" s="58" t="s">
        <v>120</v>
      </c>
      <c r="D45" s="58"/>
      <c r="E45" s="58"/>
      <c r="F45" s="58"/>
      <c r="G45" s="180">
        <v>7626</v>
      </c>
      <c r="H45" s="180">
        <v>7740</v>
      </c>
      <c r="I45" s="180">
        <f t="shared" si="3"/>
        <v>15366</v>
      </c>
      <c r="J45" s="180"/>
      <c r="K45" s="216">
        <v>13802</v>
      </c>
      <c r="L45" s="390">
        <f t="shared" si="4"/>
        <v>1564</v>
      </c>
      <c r="M45" s="337">
        <f t="shared" si="5"/>
        <v>0.11331691059266773</v>
      </c>
    </row>
    <row r="46" spans="1:15" s="55" customFormat="1" ht="20.25" x14ac:dyDescent="0.2">
      <c r="A46" s="54"/>
      <c r="B46" s="54"/>
      <c r="C46" s="58" t="s">
        <v>121</v>
      </c>
      <c r="D46" s="58"/>
      <c r="E46" s="58"/>
      <c r="F46" s="58"/>
      <c r="G46" s="180">
        <v>3742</v>
      </c>
      <c r="H46" s="180">
        <v>7566</v>
      </c>
      <c r="I46" s="180">
        <f t="shared" si="3"/>
        <v>11308</v>
      </c>
      <c r="J46" s="180"/>
      <c r="K46" s="216">
        <v>10740</v>
      </c>
      <c r="L46" s="390">
        <f t="shared" si="4"/>
        <v>568</v>
      </c>
      <c r="M46" s="337">
        <f t="shared" si="5"/>
        <v>5.2886405959031657E-2</v>
      </c>
      <c r="O46" s="548"/>
    </row>
    <row r="47" spans="1:15" s="55" customFormat="1" ht="20.25" x14ac:dyDescent="0.2">
      <c r="A47" s="54"/>
      <c r="B47" s="54"/>
      <c r="C47" s="58" t="s">
        <v>128</v>
      </c>
      <c r="D47" s="58"/>
      <c r="E47" s="58"/>
      <c r="F47" s="58"/>
      <c r="G47" s="180">
        <v>340</v>
      </c>
      <c r="H47" s="180">
        <v>1140</v>
      </c>
      <c r="I47" s="180">
        <f t="shared" si="3"/>
        <v>1480</v>
      </c>
      <c r="J47" s="180"/>
      <c r="K47" s="216">
        <v>1470</v>
      </c>
      <c r="L47" s="390">
        <f t="shared" si="4"/>
        <v>10</v>
      </c>
      <c r="M47" s="337">
        <f t="shared" si="5"/>
        <v>6.8027210884353739E-3</v>
      </c>
    </row>
    <row r="48" spans="1:15" s="55" customFormat="1" ht="20.25" x14ac:dyDescent="0.2">
      <c r="A48" s="54"/>
      <c r="B48" s="54"/>
      <c r="C48" s="58" t="s">
        <v>122</v>
      </c>
      <c r="D48" s="58"/>
      <c r="E48" s="58"/>
      <c r="F48" s="58"/>
      <c r="G48" s="180"/>
      <c r="H48" s="180">
        <v>2500</v>
      </c>
      <c r="I48" s="180">
        <f t="shared" si="3"/>
        <v>2500</v>
      </c>
      <c r="J48" s="180"/>
      <c r="K48" s="216">
        <v>3000</v>
      </c>
      <c r="L48" s="390">
        <f t="shared" si="4"/>
        <v>-500</v>
      </c>
      <c r="M48" s="337">
        <f t="shared" si="5"/>
        <v>-0.16666666666666666</v>
      </c>
      <c r="O48" s="548"/>
    </row>
    <row r="49" spans="1:17" s="55" customFormat="1" ht="20.25" customHeight="1" x14ac:dyDescent="0.2">
      <c r="A49" s="54"/>
      <c r="B49" s="54"/>
      <c r="C49" s="58" t="s">
        <v>197</v>
      </c>
      <c r="D49" s="58"/>
      <c r="E49" s="58"/>
      <c r="F49" s="58"/>
      <c r="G49" s="180">
        <v>462</v>
      </c>
      <c r="H49" s="180">
        <v>4500</v>
      </c>
      <c r="I49" s="180">
        <f t="shared" si="3"/>
        <v>4962</v>
      </c>
      <c r="J49" s="180"/>
      <c r="K49" s="216">
        <v>9980</v>
      </c>
      <c r="L49" s="390">
        <f t="shared" si="4"/>
        <v>-5018</v>
      </c>
      <c r="M49" s="337">
        <f t="shared" si="5"/>
        <v>-0.50280561122244494</v>
      </c>
    </row>
    <row r="50" spans="1:17" s="55" customFormat="1" ht="20.25" x14ac:dyDescent="0.2">
      <c r="A50" s="58"/>
      <c r="B50" s="58"/>
      <c r="C50" s="58" t="s">
        <v>124</v>
      </c>
      <c r="D50" s="58"/>
      <c r="E50" s="58"/>
      <c r="F50" s="58"/>
      <c r="G50" s="180">
        <v>5810</v>
      </c>
      <c r="H50" s="180">
        <v>21380</v>
      </c>
      <c r="I50" s="180">
        <f>G50+H50</f>
        <v>27190</v>
      </c>
      <c r="J50" s="180"/>
      <c r="K50" s="216">
        <v>8437</v>
      </c>
      <c r="L50" s="390">
        <f>I50-K50</f>
        <v>18753</v>
      </c>
      <c r="M50" s="337">
        <f>L50/K50</f>
        <v>2.2227094938959344</v>
      </c>
    </row>
    <row r="51" spans="1:17" s="55" customFormat="1" ht="20.25" x14ac:dyDescent="0.2">
      <c r="A51" s="54"/>
      <c r="B51" s="54"/>
      <c r="C51" s="58" t="s">
        <v>163</v>
      </c>
      <c r="D51" s="58"/>
      <c r="E51" s="58"/>
      <c r="F51" s="58"/>
      <c r="G51" s="180">
        <v>18022</v>
      </c>
      <c r="H51" s="180">
        <v>39426</v>
      </c>
      <c r="I51" s="180">
        <f t="shared" ref="I51:I53" si="6">G51+H51</f>
        <v>57448</v>
      </c>
      <c r="J51" s="180"/>
      <c r="K51" s="216">
        <v>54075</v>
      </c>
      <c r="L51" s="390">
        <f t="shared" ref="L51:L53" si="7">I51-K51</f>
        <v>3373</v>
      </c>
      <c r="M51" s="337">
        <f t="shared" ref="M51:M54" si="8">L51/K51</f>
        <v>6.2376329172445677E-2</v>
      </c>
      <c r="Q51" s="271"/>
    </row>
    <row r="52" spans="1:17" s="55" customFormat="1" ht="20.25" x14ac:dyDescent="0.2">
      <c r="A52" s="54"/>
      <c r="B52" s="54"/>
      <c r="C52" s="58" t="s">
        <v>125</v>
      </c>
      <c r="D52" s="58"/>
      <c r="E52" s="58"/>
      <c r="F52" s="58"/>
      <c r="G52" s="180">
        <v>39998</v>
      </c>
      <c r="H52" s="180">
        <v>31489</v>
      </c>
      <c r="I52" s="180">
        <f t="shared" si="6"/>
        <v>71487</v>
      </c>
      <c r="J52" s="180"/>
      <c r="K52" s="216">
        <v>42592</v>
      </c>
      <c r="L52" s="390">
        <f t="shared" si="7"/>
        <v>28895</v>
      </c>
      <c r="M52" s="337">
        <f t="shared" si="8"/>
        <v>0.67841378662659657</v>
      </c>
    </row>
    <row r="53" spans="1:17" s="55" customFormat="1" ht="21" thickBot="1" x14ac:dyDescent="0.25">
      <c r="A53" s="54"/>
      <c r="B53" s="54"/>
      <c r="C53" s="58" t="s">
        <v>400</v>
      </c>
      <c r="D53" s="58"/>
      <c r="E53" s="58"/>
      <c r="F53" s="58"/>
      <c r="G53" s="187">
        <v>660</v>
      </c>
      <c r="H53" s="182">
        <f>660/4*5</f>
        <v>825</v>
      </c>
      <c r="I53" s="182">
        <f t="shared" si="6"/>
        <v>1485</v>
      </c>
      <c r="J53" s="182"/>
      <c r="K53" s="570">
        <v>1980</v>
      </c>
      <c r="L53" s="393">
        <f t="shared" si="7"/>
        <v>-495</v>
      </c>
      <c r="M53" s="337">
        <f t="shared" si="8"/>
        <v>-0.25</v>
      </c>
    </row>
    <row r="54" spans="1:17" s="55" customFormat="1" ht="20.25" x14ac:dyDescent="0.2">
      <c r="A54" s="58"/>
      <c r="B54" s="58"/>
      <c r="C54" s="54"/>
      <c r="D54" s="54"/>
      <c r="G54" s="180">
        <f>SUM(G32:G53)</f>
        <v>467625.31</v>
      </c>
      <c r="H54" s="180">
        <f>SUM(H32:H53)</f>
        <v>987103</v>
      </c>
      <c r="I54" s="180">
        <f>SUM(I32:I53)</f>
        <v>1454728.31</v>
      </c>
      <c r="J54" s="180"/>
      <c r="K54" s="180">
        <f>SUM(K32:K53)</f>
        <v>1402041</v>
      </c>
      <c r="L54" s="180">
        <f>SUM(L32:L53)</f>
        <v>52687.31</v>
      </c>
      <c r="M54" s="568">
        <f t="shared" si="8"/>
        <v>3.7579008031862121E-2</v>
      </c>
    </row>
    <row r="55" spans="1:17" s="55" customFormat="1" ht="8.25" customHeight="1" x14ac:dyDescent="0.2">
      <c r="A55" s="58"/>
      <c r="B55" s="58"/>
      <c r="C55" s="54"/>
      <c r="D55" s="54"/>
      <c r="G55" s="180"/>
      <c r="H55" s="180"/>
      <c r="I55" s="180"/>
      <c r="J55" s="180"/>
      <c r="K55" s="180"/>
    </row>
    <row r="56" spans="1:17" s="55" customFormat="1" ht="20.25" x14ac:dyDescent="0.2">
      <c r="A56" s="58"/>
      <c r="B56" s="58"/>
      <c r="C56" s="571" t="s">
        <v>414</v>
      </c>
      <c r="D56"/>
      <c r="E56" s="54"/>
      <c r="F56" s="54"/>
      <c r="G56" s="188">
        <f>G29-G54</f>
        <v>-10571.309999999939</v>
      </c>
      <c r="H56" s="188">
        <f>H29-H54</f>
        <v>3758.6933333333582</v>
      </c>
      <c r="I56" s="188">
        <f>G56+H56</f>
        <v>-6812.6166666665813</v>
      </c>
      <c r="J56" s="180"/>
      <c r="K56" s="188">
        <f>K29-K54</f>
        <v>-1206</v>
      </c>
      <c r="L56" s="572">
        <f t="shared" ref="L56" si="9">I56-K56</f>
        <v>-5606.6166666665813</v>
      </c>
      <c r="M56" s="568">
        <f t="shared" ref="M56" si="10">L56/K56</f>
        <v>4.6489358761746118</v>
      </c>
    </row>
    <row r="57" spans="1:17" s="55" customFormat="1" ht="9" customHeight="1" x14ac:dyDescent="0.2">
      <c r="A57" s="58"/>
      <c r="B57" s="58"/>
      <c r="C57" s="58"/>
      <c r="D57" s="58"/>
      <c r="E57" s="58"/>
      <c r="F57" s="58"/>
      <c r="G57" s="180"/>
      <c r="H57" s="180"/>
      <c r="I57" s="180"/>
      <c r="J57" s="180"/>
      <c r="K57" s="180"/>
    </row>
    <row r="58" spans="1:17" s="55" customFormat="1" ht="20.25" x14ac:dyDescent="0.2">
      <c r="A58" s="58"/>
      <c r="B58" s="58"/>
      <c r="C58" s="58" t="s">
        <v>123</v>
      </c>
      <c r="D58" s="58"/>
      <c r="F58" s="58"/>
      <c r="G58" s="180">
        <v>12820</v>
      </c>
      <c r="H58" s="180">
        <f>25640+6</f>
        <v>25646</v>
      </c>
      <c r="I58" s="180">
        <f>G58+H58</f>
        <v>38466</v>
      </c>
      <c r="J58" s="180"/>
      <c r="K58" s="180">
        <v>34092</v>
      </c>
    </row>
    <row r="59" spans="1:17" s="55" customFormat="1" ht="9" customHeight="1" x14ac:dyDescent="0.2">
      <c r="A59" s="58"/>
      <c r="B59" s="58"/>
      <c r="C59" s="58"/>
      <c r="D59" s="58"/>
      <c r="E59" s="58"/>
      <c r="F59" s="58"/>
      <c r="G59" s="180"/>
      <c r="H59" s="180"/>
      <c r="I59" s="180"/>
      <c r="J59" s="180"/>
      <c r="K59" s="180"/>
    </row>
    <row r="60" spans="1:17" s="55" customFormat="1" ht="21" thickBot="1" x14ac:dyDescent="0.25">
      <c r="A60" s="54"/>
      <c r="B60" s="54"/>
      <c r="C60" s="571" t="s">
        <v>415</v>
      </c>
      <c r="D60"/>
      <c r="E60"/>
      <c r="F60"/>
      <c r="G60" s="573">
        <f>G56-G58</f>
        <v>-23391.309999999939</v>
      </c>
      <c r="H60" s="573">
        <f>H56-H58</f>
        <v>-21887.306666666642</v>
      </c>
      <c r="I60" s="573">
        <f>I56-I58</f>
        <v>-45278.616666666581</v>
      </c>
      <c r="J60" s="183"/>
      <c r="K60" s="573">
        <f>K56-K58</f>
        <v>-35298</v>
      </c>
    </row>
    <row r="61" spans="1:17" s="55" customFormat="1" ht="21" thickTop="1" x14ac:dyDescent="0.2">
      <c r="A61" s="54"/>
      <c r="B61" s="54"/>
      <c r="C61" s="54"/>
      <c r="D61" s="54"/>
      <c r="E61" s="54"/>
      <c r="F61" s="54"/>
      <c r="G61" s="183"/>
      <c r="H61" s="183"/>
      <c r="I61" s="183"/>
      <c r="J61" s="183"/>
      <c r="K61" s="183"/>
    </row>
    <row r="62" spans="1:17" s="55" customFormat="1" ht="23.25" x14ac:dyDescent="0.2">
      <c r="A62" s="54"/>
      <c r="B62" s="209"/>
      <c r="C62" s="54"/>
      <c r="D62" s="54"/>
      <c r="E62" s="54"/>
      <c r="F62" s="54"/>
      <c r="G62" s="180"/>
      <c r="H62" s="180"/>
      <c r="I62" s="180"/>
      <c r="J62" s="180"/>
      <c r="K62" s="180"/>
    </row>
    <row r="63" spans="1:17" s="55" customFormat="1" ht="20.25" x14ac:dyDescent="0.2">
      <c r="A63" s="58"/>
      <c r="B63" s="58"/>
      <c r="D63" s="58"/>
      <c r="E63" s="58"/>
      <c r="F63" s="58"/>
      <c r="G63" s="180"/>
      <c r="H63" s="180"/>
      <c r="I63" s="180"/>
      <c r="J63" s="180"/>
      <c r="K63" s="180"/>
    </row>
    <row r="64" spans="1:17" s="55" customFormat="1" ht="20.25" x14ac:dyDescent="0.2">
      <c r="A64" s="58"/>
      <c r="B64" s="58"/>
      <c r="D64" s="58"/>
      <c r="E64" s="58"/>
      <c r="F64" s="54" t="s">
        <v>416</v>
      </c>
      <c r="G64" s="180"/>
      <c r="H64" s="180"/>
      <c r="I64" s="180"/>
      <c r="J64" s="180"/>
      <c r="K64" s="180"/>
    </row>
    <row r="65" spans="1:11" s="55" customFormat="1" ht="20.25" x14ac:dyDescent="0.2">
      <c r="A65" s="54"/>
      <c r="B65" s="54"/>
      <c r="D65" s="58"/>
      <c r="E65" s="54"/>
      <c r="F65" s="601" t="s">
        <v>433</v>
      </c>
      <c r="G65" s="180"/>
      <c r="H65" s="180"/>
      <c r="I65" s="180"/>
      <c r="J65" s="180"/>
      <c r="K65" s="180"/>
    </row>
    <row r="66" spans="1:11" s="55" customFormat="1" ht="23.25" x14ac:dyDescent="0.2">
      <c r="A66" s="54"/>
      <c r="B66" s="209"/>
      <c r="C66" s="54"/>
      <c r="D66" s="54"/>
      <c r="E66" s="54"/>
      <c r="F66" s="601" t="s">
        <v>434</v>
      </c>
      <c r="G66" s="183"/>
      <c r="H66" s="183"/>
      <c r="I66" s="183"/>
      <c r="J66" s="183"/>
      <c r="K66" s="183"/>
    </row>
    <row r="67" spans="1:11" s="55" customFormat="1" ht="20.25" x14ac:dyDescent="0.2">
      <c r="A67" s="54"/>
      <c r="B67" s="54"/>
      <c r="C67" s="54"/>
      <c r="D67" s="54"/>
      <c r="E67" s="54"/>
      <c r="F67" s="601" t="s">
        <v>435</v>
      </c>
      <c r="G67" s="180"/>
      <c r="H67" s="180"/>
      <c r="I67" s="180"/>
      <c r="J67" s="180"/>
      <c r="K67" s="180"/>
    </row>
    <row r="68" spans="1:11" s="62" customFormat="1" ht="26.25" x14ac:dyDescent="0.2">
      <c r="A68" s="206"/>
      <c r="B68" s="206"/>
      <c r="C68" s="206"/>
      <c r="D68" s="206"/>
      <c r="E68" s="206"/>
      <c r="F68" s="206"/>
      <c r="G68" s="183"/>
      <c r="H68" s="183"/>
      <c r="I68" s="183"/>
      <c r="J68" s="183"/>
      <c r="K68" s="183"/>
    </row>
    <row r="69" spans="1:11" ht="20.25" x14ac:dyDescent="0.3">
      <c r="G69" s="214"/>
      <c r="H69" s="214"/>
      <c r="I69" s="214"/>
      <c r="J69" s="214"/>
      <c r="K69" s="214"/>
    </row>
    <row r="70" spans="1:11" ht="20.25" x14ac:dyDescent="0.3">
      <c r="G70" s="214"/>
      <c r="H70" s="214"/>
      <c r="I70" s="214"/>
      <c r="J70" s="214"/>
      <c r="K70" s="214"/>
    </row>
    <row r="71" spans="1:11" ht="20.25" x14ac:dyDescent="0.3">
      <c r="G71" s="214"/>
      <c r="H71" s="214"/>
      <c r="I71" s="214"/>
      <c r="J71" s="214"/>
      <c r="K71" s="214"/>
    </row>
    <row r="72" spans="1:11" ht="20.25" x14ac:dyDescent="0.3">
      <c r="G72" s="211"/>
      <c r="H72" s="211"/>
      <c r="I72" s="211"/>
      <c r="J72" s="211"/>
      <c r="K72" s="211"/>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112"/>
  <sheetViews>
    <sheetView topLeftCell="A55" zoomScale="80" zoomScaleNormal="80" workbookViewId="0">
      <selection activeCell="G79" sqref="G78:G79"/>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44"/>
    <col min="12" max="12" width="11.5" style="148" bestFit="1" customWidth="1"/>
    <col min="13" max="13" width="9" style="244"/>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92</v>
      </c>
      <c r="B1" s="47"/>
      <c r="C1" s="48"/>
      <c r="D1" s="48"/>
      <c r="E1" s="48"/>
      <c r="F1" s="47"/>
      <c r="G1" s="47"/>
      <c r="H1" s="47"/>
      <c r="I1" s="47"/>
      <c r="J1" s="47"/>
      <c r="K1" s="616"/>
      <c r="M1" s="616"/>
      <c r="N1" s="47"/>
      <c r="O1" s="47"/>
      <c r="P1" s="47"/>
      <c r="Q1" s="47"/>
      <c r="R1" s="47"/>
      <c r="S1" s="47"/>
      <c r="T1" s="47"/>
      <c r="U1" s="47"/>
      <c r="V1" s="47"/>
      <c r="W1" s="47"/>
      <c r="X1" s="47"/>
      <c r="Y1" s="47"/>
      <c r="Z1" s="47"/>
      <c r="AA1" s="47"/>
      <c r="AB1" s="47"/>
      <c r="AC1" s="47"/>
      <c r="AD1" s="47"/>
    </row>
    <row r="2" spans="1:30" ht="22.5" customHeight="1" x14ac:dyDescent="0.4">
      <c r="A2" s="46" t="s">
        <v>465</v>
      </c>
      <c r="B2" s="47"/>
      <c r="C2" s="48"/>
      <c r="D2" s="48"/>
      <c r="E2" s="48"/>
      <c r="F2" s="47"/>
      <c r="G2" s="47"/>
      <c r="H2" s="47"/>
      <c r="I2" s="47"/>
      <c r="J2" s="47"/>
      <c r="K2" s="616"/>
      <c r="M2" s="616"/>
      <c r="N2" s="47"/>
      <c r="O2" s="47"/>
      <c r="P2" s="47"/>
      <c r="Q2" s="47"/>
      <c r="R2" s="47"/>
      <c r="S2" s="47"/>
      <c r="T2" s="47"/>
      <c r="U2" s="47"/>
      <c r="V2" s="47"/>
      <c r="W2" s="47"/>
      <c r="X2" s="47"/>
      <c r="Y2" s="47"/>
      <c r="Z2" s="47"/>
      <c r="AA2" s="47"/>
      <c r="AB2" s="47"/>
      <c r="AC2" s="47"/>
      <c r="AD2" s="47"/>
    </row>
    <row r="3" spans="1:30" ht="22.5" customHeight="1" x14ac:dyDescent="0.4">
      <c r="A3" s="46" t="s">
        <v>466</v>
      </c>
      <c r="B3" s="47"/>
      <c r="C3" s="48"/>
      <c r="D3" s="48"/>
      <c r="E3" s="48"/>
      <c r="F3" s="47"/>
      <c r="G3" s="47"/>
      <c r="H3" s="47"/>
      <c r="I3" s="47"/>
      <c r="J3" s="47"/>
      <c r="K3" s="616"/>
      <c r="M3" s="616"/>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17"/>
      <c r="L4" s="618"/>
      <c r="M4" s="617"/>
    </row>
    <row r="5" spans="1:30" s="55" customFormat="1" ht="8.25" customHeight="1" thickBot="1" x14ac:dyDescent="0.25">
      <c r="A5" s="54"/>
      <c r="B5" s="54"/>
      <c r="C5" s="54"/>
      <c r="D5" s="54"/>
      <c r="E5" s="54"/>
      <c r="F5" s="54"/>
      <c r="K5" s="619"/>
      <c r="L5" s="618"/>
      <c r="M5" s="619"/>
    </row>
    <row r="6" spans="1:30" s="55" customFormat="1" ht="48" customHeight="1" thickBot="1" x14ac:dyDescent="0.25">
      <c r="A6" s="54"/>
      <c r="B6" s="620" t="s">
        <v>98</v>
      </c>
      <c r="C6" s="620"/>
      <c r="D6" s="620"/>
      <c r="E6" s="620"/>
      <c r="F6" s="620"/>
      <c r="G6" s="621" t="s">
        <v>467</v>
      </c>
      <c r="H6" s="621"/>
      <c r="I6" s="621" t="s">
        <v>468</v>
      </c>
      <c r="K6" s="619"/>
      <c r="L6" s="618"/>
      <c r="M6" s="619"/>
    </row>
    <row r="7" spans="1:30" s="55" customFormat="1" ht="20.25" x14ac:dyDescent="0.2">
      <c r="A7" s="54"/>
      <c r="B7" s="54"/>
      <c r="C7" s="58" t="s">
        <v>99</v>
      </c>
      <c r="D7" s="58"/>
      <c r="E7" s="58"/>
      <c r="F7" s="54"/>
      <c r="G7" s="189">
        <v>768013</v>
      </c>
      <c r="H7" s="189"/>
      <c r="I7" s="189">
        <v>795100</v>
      </c>
      <c r="K7" s="619"/>
      <c r="L7" s="618"/>
      <c r="M7" s="619"/>
    </row>
    <row r="8" spans="1:30" s="55" customFormat="1" ht="20.25" x14ac:dyDescent="0.2">
      <c r="A8" s="54"/>
      <c r="B8" s="54"/>
      <c r="C8" s="58" t="s">
        <v>148</v>
      </c>
      <c r="D8" s="58"/>
      <c r="E8" s="58"/>
      <c r="F8" s="54"/>
      <c r="G8" s="180">
        <v>92000</v>
      </c>
      <c r="H8" s="180"/>
      <c r="I8" s="180">
        <v>88160</v>
      </c>
      <c r="K8" s="619"/>
      <c r="L8" s="618"/>
      <c r="M8" s="619"/>
    </row>
    <row r="9" spans="1:30" s="55" customFormat="1" ht="20.25" x14ac:dyDescent="0.2">
      <c r="A9" s="54"/>
      <c r="B9" s="54"/>
      <c r="C9" s="58" t="s">
        <v>177</v>
      </c>
      <c r="D9" s="58"/>
      <c r="E9" s="58"/>
      <c r="F9" s="54"/>
      <c r="G9" s="180">
        <v>42167</v>
      </c>
      <c r="H9" s="180"/>
      <c r="I9" s="180">
        <v>32100</v>
      </c>
      <c r="K9" s="619"/>
      <c r="L9" s="618"/>
      <c r="M9" s="619"/>
    </row>
    <row r="10" spans="1:30" s="55" customFormat="1" ht="20.25" x14ac:dyDescent="0.2">
      <c r="A10" s="54"/>
      <c r="B10" s="54"/>
      <c r="C10" s="58" t="s">
        <v>100</v>
      </c>
      <c r="D10" s="58"/>
      <c r="E10" s="58"/>
      <c r="F10" s="54"/>
      <c r="G10" s="180">
        <v>0</v>
      </c>
      <c r="H10" s="180"/>
      <c r="I10" s="180"/>
      <c r="K10" s="619"/>
      <c r="L10" s="618"/>
      <c r="M10" s="619"/>
    </row>
    <row r="11" spans="1:30" s="55" customFormat="1" ht="20.25" x14ac:dyDescent="0.2">
      <c r="A11" s="54"/>
      <c r="B11" s="54"/>
      <c r="D11" s="58" t="s">
        <v>137</v>
      </c>
      <c r="E11" s="58"/>
      <c r="F11" s="54"/>
      <c r="G11" s="180">
        <f>148159+47500+3687</f>
        <v>199346</v>
      </c>
      <c r="H11" s="180"/>
      <c r="I11" s="180">
        <v>204910</v>
      </c>
      <c r="J11" s="367"/>
      <c r="K11" s="619"/>
      <c r="L11" s="622"/>
      <c r="M11" s="619"/>
    </row>
    <row r="12" spans="1:30" s="55" customFormat="1" ht="20.25" x14ac:dyDescent="0.2">
      <c r="A12" s="54"/>
      <c r="B12" s="54"/>
      <c r="D12" s="58" t="s">
        <v>157</v>
      </c>
      <c r="E12" s="58"/>
      <c r="F12" s="54"/>
      <c r="G12" s="180">
        <v>18000</v>
      </c>
      <c r="H12" s="180"/>
      <c r="I12" s="180">
        <v>18000</v>
      </c>
      <c r="J12" s="307"/>
      <c r="K12" s="619"/>
      <c r="L12" s="618"/>
      <c r="M12" s="619"/>
    </row>
    <row r="13" spans="1:30" s="55" customFormat="1" ht="20.25" x14ac:dyDescent="0.2">
      <c r="A13" s="54"/>
      <c r="B13" s="54"/>
      <c r="C13" s="58"/>
      <c r="D13" s="58" t="s">
        <v>398</v>
      </c>
      <c r="E13" s="58"/>
      <c r="F13" s="54"/>
      <c r="G13" s="180">
        <v>30439</v>
      </c>
      <c r="H13" s="180"/>
      <c r="I13" s="180">
        <v>265600</v>
      </c>
      <c r="J13" s="307"/>
      <c r="K13" s="619"/>
      <c r="L13" s="618"/>
      <c r="M13" s="619"/>
    </row>
    <row r="14" spans="1:30" s="55" customFormat="1" ht="20.25" x14ac:dyDescent="0.2">
      <c r="A14" s="54"/>
      <c r="B14" s="54"/>
      <c r="C14" s="58" t="s">
        <v>373</v>
      </c>
      <c r="D14" s="58"/>
      <c r="E14" s="58"/>
      <c r="F14" s="54"/>
      <c r="G14" s="180">
        <v>20000</v>
      </c>
      <c r="H14" s="180"/>
      <c r="I14" s="180">
        <v>17600</v>
      </c>
      <c r="J14" s="307"/>
      <c r="K14" s="619"/>
      <c r="L14" s="618"/>
      <c r="M14" s="619"/>
    </row>
    <row r="15" spans="1:30" s="55" customFormat="1" ht="20.25" x14ac:dyDescent="0.2">
      <c r="A15" s="54"/>
      <c r="B15" s="54"/>
      <c r="C15" s="58" t="s">
        <v>108</v>
      </c>
      <c r="D15" s="58"/>
      <c r="E15" s="58"/>
      <c r="F15" s="54"/>
      <c r="G15" s="180">
        <v>684</v>
      </c>
      <c r="H15" s="180"/>
      <c r="I15" s="180">
        <v>420</v>
      </c>
      <c r="J15" s="307"/>
      <c r="K15" s="619"/>
      <c r="L15" s="618"/>
      <c r="M15" s="619"/>
    </row>
    <row r="16" spans="1:30" s="55" customFormat="1" ht="20.25" x14ac:dyDescent="0.2">
      <c r="A16" s="54"/>
      <c r="B16" s="54"/>
      <c r="C16" s="58" t="s">
        <v>235</v>
      </c>
      <c r="D16" s="58"/>
      <c r="E16" s="58"/>
      <c r="F16" s="54"/>
      <c r="G16" s="180">
        <v>1200</v>
      </c>
      <c r="H16" s="180"/>
      <c r="I16" s="180">
        <v>1000</v>
      </c>
      <c r="J16" s="307"/>
      <c r="K16" s="619"/>
      <c r="L16" s="618"/>
      <c r="M16" s="619"/>
    </row>
    <row r="17" spans="1:13" s="55" customFormat="1" ht="20.25" x14ac:dyDescent="0.2">
      <c r="A17" s="54"/>
      <c r="B17" s="54"/>
      <c r="C17" s="630" t="s">
        <v>317</v>
      </c>
      <c r="D17" s="630"/>
      <c r="E17" s="630"/>
      <c r="F17" s="631"/>
      <c r="G17" s="180">
        <v>-3000</v>
      </c>
      <c r="H17" s="180"/>
      <c r="I17" s="614">
        <v>-48000</v>
      </c>
      <c r="J17" s="307"/>
      <c r="K17" s="619"/>
      <c r="L17" s="618"/>
      <c r="M17" s="619"/>
    </row>
    <row r="18" spans="1:13" s="55" customFormat="1" ht="20.25" x14ac:dyDescent="0.2">
      <c r="A18" s="54"/>
      <c r="B18" s="54"/>
      <c r="C18" s="58" t="s">
        <v>410</v>
      </c>
      <c r="D18" s="58"/>
      <c r="E18" s="58"/>
      <c r="F18" s="54"/>
      <c r="G18" s="180">
        <v>282538</v>
      </c>
      <c r="H18" s="180"/>
      <c r="I18" s="180">
        <v>159000</v>
      </c>
      <c r="J18" s="303"/>
      <c r="K18" s="619"/>
      <c r="L18" s="618"/>
      <c r="M18" s="619"/>
    </row>
    <row r="19" spans="1:13" s="55" customFormat="1" ht="20.25" x14ac:dyDescent="0.2">
      <c r="A19" s="54"/>
      <c r="B19" s="54"/>
      <c r="C19" s="58" t="s">
        <v>107</v>
      </c>
      <c r="D19" s="560"/>
      <c r="E19" s="560"/>
      <c r="F19" s="560"/>
      <c r="G19" s="180">
        <v>52740</v>
      </c>
      <c r="H19" s="180"/>
      <c r="I19" s="180">
        <v>52740</v>
      </c>
      <c r="J19" s="303"/>
      <c r="K19" s="619"/>
      <c r="L19" s="618"/>
      <c r="M19" s="619"/>
    </row>
    <row r="20" spans="1:13" s="55" customFormat="1" ht="20.25" x14ac:dyDescent="0.2">
      <c r="A20" s="54"/>
      <c r="B20" s="54"/>
      <c r="C20" s="58" t="s">
        <v>413</v>
      </c>
      <c r="D20" s="560"/>
      <c r="E20" s="560"/>
      <c r="F20" s="560"/>
      <c r="G20" s="180">
        <v>10250</v>
      </c>
      <c r="H20" s="180"/>
      <c r="I20" s="180">
        <v>31710</v>
      </c>
      <c r="J20" s="303"/>
      <c r="K20" s="619"/>
      <c r="L20" s="618"/>
      <c r="M20" s="619"/>
    </row>
    <row r="21" spans="1:13" s="55" customFormat="1" ht="20.25" x14ac:dyDescent="0.2">
      <c r="A21" s="54"/>
      <c r="B21" s="54"/>
      <c r="C21" s="58" t="s">
        <v>100</v>
      </c>
      <c r="D21" s="560"/>
      <c r="E21" s="560"/>
      <c r="F21" s="560"/>
      <c r="G21" s="180">
        <v>20000</v>
      </c>
      <c r="H21" s="180"/>
      <c r="I21" s="180">
        <v>20000</v>
      </c>
      <c r="J21" s="303"/>
      <c r="K21" s="619"/>
      <c r="L21" s="618"/>
      <c r="M21" s="619"/>
    </row>
    <row r="22" spans="1:13" s="55" customFormat="1" ht="20.25" x14ac:dyDescent="0.2">
      <c r="A22" s="54"/>
      <c r="B22" s="54"/>
      <c r="C22" s="58" t="s">
        <v>316</v>
      </c>
      <c r="D22" s="560"/>
      <c r="E22" s="560"/>
      <c r="F22" s="560"/>
      <c r="G22" s="180">
        <v>52000</v>
      </c>
      <c r="H22" s="180"/>
      <c r="I22" s="180">
        <v>62400</v>
      </c>
      <c r="J22" s="303"/>
      <c r="K22" s="619"/>
      <c r="L22" s="618"/>
      <c r="M22" s="619"/>
    </row>
    <row r="23" spans="1:13" s="55" customFormat="1" ht="20.25" x14ac:dyDescent="0.2">
      <c r="A23" s="54"/>
      <c r="B23" s="54"/>
      <c r="C23" s="58" t="s">
        <v>318</v>
      </c>
      <c r="D23" s="560"/>
      <c r="E23" s="560"/>
      <c r="F23" s="560"/>
      <c r="G23" s="180">
        <v>18537</v>
      </c>
      <c r="H23" s="180"/>
      <c r="I23" s="180">
        <v>18600</v>
      </c>
      <c r="J23" s="303"/>
      <c r="K23" s="619"/>
      <c r="L23" s="618"/>
      <c r="M23" s="619"/>
    </row>
    <row r="24" spans="1:13" s="55" customFormat="1" ht="20.25" x14ac:dyDescent="0.2">
      <c r="A24" s="54"/>
      <c r="B24" s="54"/>
      <c r="C24" s="58"/>
      <c r="D24" s="54" t="s">
        <v>103</v>
      </c>
      <c r="E24" s="58"/>
      <c r="F24" s="54"/>
      <c r="G24" s="188">
        <f>SUM(G7:G23)</f>
        <v>1604914</v>
      </c>
      <c r="H24" s="188"/>
      <c r="I24" s="188">
        <f>SUM(I7:I23)</f>
        <v>1719340</v>
      </c>
      <c r="K24" s="619"/>
      <c r="L24" s="618"/>
      <c r="M24" s="619"/>
    </row>
    <row r="25" spans="1:13" s="55" customFormat="1" ht="21" thickBot="1" x14ac:dyDescent="0.25">
      <c r="A25" s="54"/>
      <c r="B25" s="54"/>
      <c r="C25" s="58"/>
      <c r="D25" s="54"/>
      <c r="E25" s="58"/>
      <c r="F25" s="54"/>
      <c r="G25" s="180"/>
      <c r="H25" s="180"/>
      <c r="I25" s="180"/>
      <c r="K25" s="619"/>
      <c r="L25" s="618"/>
      <c r="M25" s="619"/>
    </row>
    <row r="26" spans="1:13" s="55" customFormat="1" ht="54.75" thickBot="1" x14ac:dyDescent="0.25">
      <c r="A26" s="54"/>
      <c r="B26" s="620" t="s">
        <v>109</v>
      </c>
      <c r="C26" s="620"/>
      <c r="D26" s="620"/>
      <c r="E26" s="620"/>
      <c r="F26" s="620"/>
      <c r="G26" s="621" t="s">
        <v>467</v>
      </c>
      <c r="H26" s="621"/>
      <c r="I26" s="621" t="s">
        <v>468</v>
      </c>
      <c r="K26" s="619"/>
      <c r="L26" s="618"/>
      <c r="M26" s="619"/>
    </row>
    <row r="27" spans="1:13" s="55" customFormat="1" ht="20.25" x14ac:dyDescent="0.2">
      <c r="A27" s="54"/>
      <c r="B27" s="54"/>
      <c r="C27" s="58" t="s">
        <v>110</v>
      </c>
      <c r="D27" s="58"/>
      <c r="E27" s="58"/>
      <c r="F27" s="58"/>
      <c r="G27" s="180">
        <v>1121855</v>
      </c>
      <c r="H27" s="180"/>
      <c r="I27" s="180">
        <v>994800</v>
      </c>
      <c r="K27" s="619"/>
      <c r="L27" s="618"/>
      <c r="M27" s="619"/>
    </row>
    <row r="28" spans="1:13" s="55" customFormat="1" ht="20.25" x14ac:dyDescent="0.2">
      <c r="A28" s="54"/>
      <c r="B28" s="54"/>
      <c r="C28" s="58" t="s">
        <v>111</v>
      </c>
      <c r="D28" s="58"/>
      <c r="E28" s="58"/>
      <c r="F28" s="58"/>
      <c r="G28" s="180">
        <v>256895</v>
      </c>
      <c r="H28" s="180"/>
      <c r="I28" s="180">
        <f>199118+20000</f>
        <v>219118</v>
      </c>
      <c r="K28" s="619"/>
      <c r="L28" s="618"/>
      <c r="M28" s="619"/>
    </row>
    <row r="29" spans="1:13" s="55" customFormat="1" ht="20.25" x14ac:dyDescent="0.2">
      <c r="A29" s="54"/>
      <c r="B29" s="54"/>
      <c r="C29" s="58" t="s">
        <v>112</v>
      </c>
      <c r="D29" s="58"/>
      <c r="E29" s="58"/>
      <c r="F29" s="58"/>
      <c r="G29" s="180">
        <v>1800</v>
      </c>
      <c r="H29" s="180"/>
      <c r="I29" s="180">
        <v>1800</v>
      </c>
      <c r="K29" s="619"/>
      <c r="L29" s="618"/>
      <c r="M29" s="619"/>
    </row>
    <row r="30" spans="1:13" s="55" customFormat="1" ht="20.25" x14ac:dyDescent="0.2">
      <c r="A30" s="54"/>
      <c r="B30" s="54"/>
      <c r="C30" s="58" t="s">
        <v>102</v>
      </c>
      <c r="D30" s="58"/>
      <c r="E30" s="58"/>
      <c r="F30" s="58"/>
      <c r="G30" s="180">
        <v>52740</v>
      </c>
      <c r="H30" s="180"/>
      <c r="I30" s="180">
        <v>52740</v>
      </c>
      <c r="K30" s="619"/>
      <c r="L30" s="618"/>
      <c r="M30" s="619"/>
    </row>
    <row r="31" spans="1:13" s="55" customFormat="1" ht="20.25" x14ac:dyDescent="0.2">
      <c r="A31" s="54"/>
      <c r="B31" s="54"/>
      <c r="C31" s="58" t="s">
        <v>113</v>
      </c>
      <c r="D31" s="58"/>
      <c r="E31" s="58"/>
      <c r="F31" s="58"/>
      <c r="G31" s="180">
        <v>22940</v>
      </c>
      <c r="H31" s="180"/>
      <c r="I31" s="180">
        <v>21250</v>
      </c>
      <c r="K31" s="619"/>
      <c r="L31" s="618"/>
      <c r="M31" s="619"/>
    </row>
    <row r="32" spans="1:13" s="55" customFormat="1" ht="20.25" x14ac:dyDescent="0.2">
      <c r="A32" s="54"/>
      <c r="B32" s="54"/>
      <c r="C32" s="58" t="s">
        <v>114</v>
      </c>
      <c r="D32" s="58"/>
      <c r="E32" s="58"/>
      <c r="F32" s="58"/>
      <c r="G32" s="180">
        <v>2385</v>
      </c>
      <c r="H32" s="180"/>
      <c r="I32" s="180">
        <v>2520</v>
      </c>
      <c r="K32" s="619"/>
      <c r="L32" s="618"/>
      <c r="M32" s="619"/>
    </row>
    <row r="33" spans="1:14" s="55" customFormat="1" ht="20.25" x14ac:dyDescent="0.2">
      <c r="A33" s="54"/>
      <c r="B33" s="54"/>
      <c r="C33" s="58" t="s">
        <v>115</v>
      </c>
      <c r="D33" s="58"/>
      <c r="E33" s="58"/>
      <c r="F33" s="58"/>
      <c r="G33" s="180">
        <v>4620</v>
      </c>
      <c r="H33" s="180"/>
      <c r="I33" s="180">
        <v>3720</v>
      </c>
      <c r="K33" s="619"/>
      <c r="L33" s="618"/>
      <c r="M33" s="619"/>
    </row>
    <row r="34" spans="1:14" s="55" customFormat="1" ht="20.25" x14ac:dyDescent="0.2">
      <c r="A34" s="54"/>
      <c r="B34" s="54"/>
      <c r="C34" s="58" t="s">
        <v>116</v>
      </c>
      <c r="D34" s="58"/>
      <c r="E34" s="58"/>
      <c r="F34" s="58"/>
      <c r="G34" s="180">
        <v>13333</v>
      </c>
      <c r="H34" s="180"/>
      <c r="I34" s="180">
        <v>11230</v>
      </c>
      <c r="K34" s="619"/>
      <c r="L34" s="618"/>
      <c r="M34" s="619"/>
    </row>
    <row r="35" spans="1:14" s="55" customFormat="1" ht="20.25" x14ac:dyDescent="0.2">
      <c r="A35" s="54"/>
      <c r="B35" s="54"/>
      <c r="C35" s="58" t="s">
        <v>117</v>
      </c>
      <c r="D35" s="58"/>
      <c r="E35" s="58"/>
      <c r="F35" s="58"/>
      <c r="G35" s="180">
        <f>25674+15000</f>
        <v>40674</v>
      </c>
      <c r="H35" s="180"/>
      <c r="I35" s="180">
        <v>39910</v>
      </c>
      <c r="K35" s="619"/>
      <c r="L35" s="618"/>
      <c r="M35" s="619"/>
    </row>
    <row r="36" spans="1:14" s="55" customFormat="1" ht="20.25" x14ac:dyDescent="0.2">
      <c r="A36" s="54"/>
      <c r="B36" s="54"/>
      <c r="C36" s="58" t="s">
        <v>118</v>
      </c>
      <c r="D36" s="58"/>
      <c r="E36" s="58"/>
      <c r="F36" s="58"/>
      <c r="G36" s="180">
        <v>2918</v>
      </c>
      <c r="H36" s="180"/>
      <c r="I36" s="180">
        <v>3920</v>
      </c>
      <c r="K36" s="619"/>
      <c r="L36" s="618"/>
      <c r="M36" s="619"/>
    </row>
    <row r="37" spans="1:14" s="55" customFormat="1" ht="20.25" x14ac:dyDescent="0.2">
      <c r="A37" s="54"/>
      <c r="B37" s="54"/>
      <c r="C37" s="58" t="s">
        <v>119</v>
      </c>
      <c r="D37" s="58"/>
      <c r="E37" s="58"/>
      <c r="F37" s="58"/>
      <c r="G37" s="180">
        <v>1300</v>
      </c>
      <c r="H37" s="180"/>
      <c r="I37" s="180">
        <f>940+360</f>
        <v>1300</v>
      </c>
      <c r="K37" s="619"/>
      <c r="L37" s="618"/>
      <c r="M37" s="619"/>
    </row>
    <row r="38" spans="1:14" s="55" customFormat="1" ht="20.25" x14ac:dyDescent="0.2">
      <c r="A38" s="54"/>
      <c r="B38" s="54"/>
      <c r="C38" s="58" t="s">
        <v>164</v>
      </c>
      <c r="D38" s="58"/>
      <c r="E38" s="58"/>
      <c r="F38" s="58"/>
      <c r="G38" s="180">
        <v>15125</v>
      </c>
      <c r="H38" s="180"/>
      <c r="I38" s="180">
        <v>16375</v>
      </c>
      <c r="K38" s="619"/>
      <c r="L38" s="618"/>
      <c r="M38" s="619"/>
    </row>
    <row r="39" spans="1:14" s="55" customFormat="1" ht="20.25" x14ac:dyDescent="0.2">
      <c r="A39" s="54"/>
      <c r="B39" s="54"/>
      <c r="C39" s="803" t="s">
        <v>321</v>
      </c>
      <c r="D39" s="803"/>
      <c r="E39" s="803"/>
      <c r="F39" s="803"/>
      <c r="G39" s="180">
        <v>0</v>
      </c>
      <c r="H39" s="180"/>
      <c r="I39" s="180"/>
      <c r="J39" s="548"/>
      <c r="K39" s="619"/>
      <c r="L39" s="618"/>
      <c r="M39" s="619"/>
    </row>
    <row r="40" spans="1:14" s="55" customFormat="1" ht="20.25" x14ac:dyDescent="0.2">
      <c r="A40" s="54"/>
      <c r="B40" s="54"/>
      <c r="C40" s="58" t="s">
        <v>120</v>
      </c>
      <c r="D40" s="58"/>
      <c r="E40" s="58"/>
      <c r="F40" s="58"/>
      <c r="G40" s="180">
        <v>23851</v>
      </c>
      <c r="H40" s="180"/>
      <c r="I40" s="180">
        <v>22610</v>
      </c>
      <c r="K40" s="619"/>
      <c r="L40" s="618"/>
      <c r="M40" s="619"/>
      <c r="N40" s="619"/>
    </row>
    <row r="41" spans="1:14" s="55" customFormat="1" ht="20.25" x14ac:dyDescent="0.2">
      <c r="A41" s="54"/>
      <c r="B41" s="54"/>
      <c r="C41" s="58" t="s">
        <v>121</v>
      </c>
      <c r="D41" s="58"/>
      <c r="E41" s="58"/>
      <c r="F41" s="58"/>
      <c r="G41" s="180">
        <v>13155</v>
      </c>
      <c r="H41" s="180"/>
      <c r="I41" s="180">
        <v>12600</v>
      </c>
      <c r="J41" s="548"/>
      <c r="K41" s="619"/>
      <c r="L41" s="618"/>
      <c r="M41" s="619"/>
    </row>
    <row r="42" spans="1:14" s="55" customFormat="1" ht="20.25" x14ac:dyDescent="0.2">
      <c r="A42" s="54"/>
      <c r="B42" s="54"/>
      <c r="C42" s="58" t="s">
        <v>128</v>
      </c>
      <c r="D42" s="58"/>
      <c r="E42" s="58"/>
      <c r="F42" s="58"/>
      <c r="G42" s="180">
        <v>1320</v>
      </c>
      <c r="H42" s="180"/>
      <c r="I42" s="180">
        <v>900</v>
      </c>
      <c r="K42" s="619"/>
      <c r="L42" s="618"/>
      <c r="M42" s="619"/>
    </row>
    <row r="43" spans="1:14" s="55" customFormat="1" ht="20.25" x14ac:dyDescent="0.2">
      <c r="A43" s="54"/>
      <c r="B43" s="54"/>
      <c r="C43" s="58" t="s">
        <v>122</v>
      </c>
      <c r="D43" s="58"/>
      <c r="E43" s="58"/>
      <c r="F43" s="58"/>
      <c r="G43" s="180">
        <f>1500+4750</f>
        <v>6250</v>
      </c>
      <c r="H43" s="180"/>
      <c r="I43" s="180">
        <v>6750</v>
      </c>
      <c r="J43" s="548"/>
      <c r="K43" s="619"/>
      <c r="L43" s="618"/>
      <c r="M43" s="619"/>
    </row>
    <row r="44" spans="1:14" s="55" customFormat="1" ht="20.25" customHeight="1" x14ac:dyDescent="0.2">
      <c r="A44" s="54"/>
      <c r="B44" s="54"/>
      <c r="C44" s="58" t="s">
        <v>197</v>
      </c>
      <c r="D44" s="58"/>
      <c r="E44" s="58"/>
      <c r="F44" s="58"/>
      <c r="G44" s="180">
        <v>8812</v>
      </c>
      <c r="H44" s="180"/>
      <c r="I44" s="180">
        <v>8840</v>
      </c>
      <c r="K44" s="619"/>
      <c r="L44" s="618"/>
      <c r="M44" s="619"/>
    </row>
    <row r="45" spans="1:14" s="55" customFormat="1" ht="20.25" x14ac:dyDescent="0.2">
      <c r="A45" s="58"/>
      <c r="B45" s="58"/>
      <c r="C45" s="58" t="s">
        <v>124</v>
      </c>
      <c r="D45" s="58"/>
      <c r="E45" s="58"/>
      <c r="F45" s="58"/>
      <c r="G45" s="180">
        <v>13980</v>
      </c>
      <c r="H45" s="180"/>
      <c r="I45" s="180">
        <v>150220</v>
      </c>
      <c r="K45" s="619"/>
      <c r="L45" s="618"/>
      <c r="M45" s="619"/>
    </row>
    <row r="46" spans="1:14" s="55" customFormat="1" ht="20.25" x14ac:dyDescent="0.2">
      <c r="A46" s="54"/>
      <c r="B46" s="54"/>
      <c r="C46" s="58" t="s">
        <v>163</v>
      </c>
      <c r="D46" s="58"/>
      <c r="E46" s="58"/>
      <c r="F46" s="58"/>
      <c r="G46" s="180">
        <v>71775</v>
      </c>
      <c r="H46" s="180"/>
      <c r="I46" s="180">
        <v>75200</v>
      </c>
      <c r="K46" s="619"/>
      <c r="L46" s="618"/>
      <c r="M46" s="619"/>
    </row>
    <row r="47" spans="1:14" s="55" customFormat="1" ht="20.25" x14ac:dyDescent="0.2">
      <c r="A47" s="54"/>
      <c r="B47" s="54"/>
      <c r="C47" s="58" t="s">
        <v>125</v>
      </c>
      <c r="D47" s="58"/>
      <c r="E47" s="58"/>
      <c r="F47" s="58"/>
      <c r="G47" s="180">
        <f>3750+38808</f>
        <v>42558</v>
      </c>
      <c r="H47" s="180"/>
      <c r="I47" s="180">
        <v>79050</v>
      </c>
      <c r="K47" s="619"/>
      <c r="L47" s="618"/>
      <c r="M47" s="619"/>
    </row>
    <row r="48" spans="1:14" s="55" customFormat="1" ht="20.25" x14ac:dyDescent="0.2">
      <c r="A48" s="58"/>
      <c r="B48" s="58"/>
      <c r="D48" s="54" t="s">
        <v>126</v>
      </c>
      <c r="G48" s="180">
        <f>SUM(G27:G47)</f>
        <v>1718286</v>
      </c>
      <c r="H48" s="180"/>
      <c r="I48" s="180">
        <f>SUM(I27:I47)</f>
        <v>1724853</v>
      </c>
      <c r="K48" s="619"/>
      <c r="L48" s="618"/>
      <c r="M48" s="619"/>
    </row>
    <row r="49" spans="1:13" s="55" customFormat="1" ht="8.25" customHeight="1" x14ac:dyDescent="0.2">
      <c r="A49" s="58"/>
      <c r="B49" s="58"/>
      <c r="C49" s="54"/>
      <c r="D49" s="54"/>
      <c r="G49" s="180"/>
      <c r="H49" s="180"/>
      <c r="I49" s="180"/>
      <c r="K49" s="619"/>
      <c r="L49" s="618"/>
      <c r="M49" s="619"/>
    </row>
    <row r="50" spans="1:13" s="55" customFormat="1" ht="20.25" x14ac:dyDescent="0.2">
      <c r="A50" s="58"/>
      <c r="B50" s="58"/>
      <c r="C50" s="623" t="s">
        <v>414</v>
      </c>
      <c r="D50"/>
      <c r="E50" s="54"/>
      <c r="F50" s="54"/>
      <c r="G50" s="188">
        <f>G24-G48</f>
        <v>-113372</v>
      </c>
      <c r="H50" s="180"/>
      <c r="I50" s="188">
        <f>I24-I48</f>
        <v>-5513</v>
      </c>
      <c r="K50" s="619"/>
      <c r="L50" s="618"/>
      <c r="M50" s="619"/>
    </row>
    <row r="51" spans="1:13" s="55" customFormat="1" ht="9" customHeight="1" x14ac:dyDescent="0.2">
      <c r="A51" s="58"/>
      <c r="B51" s="58"/>
      <c r="C51" s="58"/>
      <c r="D51" s="58"/>
      <c r="E51" s="58"/>
      <c r="F51" s="58"/>
      <c r="G51" s="180"/>
      <c r="H51" s="180"/>
      <c r="I51" s="180"/>
      <c r="K51" s="619"/>
      <c r="L51" s="618"/>
      <c r="M51" s="619"/>
    </row>
    <row r="52" spans="1:13" s="55" customFormat="1" ht="23.25" customHeight="1" x14ac:dyDescent="0.2">
      <c r="A52" s="58"/>
      <c r="B52" s="58"/>
      <c r="C52" s="58" t="s">
        <v>459</v>
      </c>
      <c r="D52" s="58"/>
      <c r="F52" s="58"/>
      <c r="G52" s="180">
        <v>48285</v>
      </c>
      <c r="H52" s="180"/>
      <c r="I52" s="180">
        <v>39540</v>
      </c>
      <c r="K52" s="619"/>
      <c r="L52" s="618"/>
      <c r="M52" s="619"/>
    </row>
    <row r="53" spans="1:13" s="55" customFormat="1" ht="20.25" x14ac:dyDescent="0.2">
      <c r="A53" s="58"/>
      <c r="B53" s="58"/>
      <c r="C53" s="58" t="s">
        <v>32</v>
      </c>
      <c r="D53" s="58"/>
      <c r="F53" s="58"/>
      <c r="G53" s="180">
        <v>5933</v>
      </c>
      <c r="H53" s="180"/>
      <c r="I53" s="180">
        <v>465</v>
      </c>
      <c r="K53" s="619"/>
      <c r="L53" s="618"/>
      <c r="M53" s="619"/>
    </row>
    <row r="54" spans="1:13" s="55" customFormat="1" ht="9" customHeight="1" thickBot="1" x14ac:dyDescent="0.25">
      <c r="A54" s="58"/>
      <c r="B54" s="58"/>
      <c r="C54" s="58"/>
      <c r="D54" s="58"/>
      <c r="E54" s="58"/>
      <c r="F54" s="58"/>
      <c r="G54" s="180"/>
      <c r="H54" s="180"/>
      <c r="I54" s="180"/>
      <c r="K54" s="619"/>
      <c r="L54" s="618"/>
      <c r="M54" s="619"/>
    </row>
    <row r="55" spans="1:13" s="55" customFormat="1" ht="21.75" thickTop="1" thickBot="1" x14ac:dyDescent="0.25">
      <c r="A55" s="54"/>
      <c r="B55" s="54"/>
      <c r="C55" s="624" t="s">
        <v>415</v>
      </c>
      <c r="D55" s="625"/>
      <c r="E55" s="625"/>
      <c r="F55" s="625"/>
      <c r="G55" s="626">
        <f>G50-G53-G52</f>
        <v>-167590</v>
      </c>
      <c r="H55" s="626"/>
      <c r="I55" s="626">
        <f>I50-I53-I52</f>
        <v>-45518</v>
      </c>
      <c r="K55" s="619"/>
      <c r="L55" s="618"/>
      <c r="M55" s="619"/>
    </row>
    <row r="56" spans="1:13" s="55" customFormat="1" ht="21" thickTop="1" x14ac:dyDescent="0.2">
      <c r="A56" s="54"/>
      <c r="B56" s="54"/>
      <c r="C56" s="54"/>
      <c r="D56" s="54"/>
      <c r="E56" s="54"/>
      <c r="F56" s="54"/>
      <c r="G56" s="183"/>
      <c r="H56" s="183"/>
      <c r="K56" s="619"/>
      <c r="L56" s="618"/>
      <c r="M56" s="619"/>
    </row>
    <row r="57" spans="1:13" ht="20.25" x14ac:dyDescent="0.3">
      <c r="B57" s="627" t="s">
        <v>469</v>
      </c>
      <c r="C57" s="628"/>
      <c r="F57" s="576"/>
      <c r="G57" s="214"/>
      <c r="H57" s="214"/>
      <c r="I57" s="628"/>
    </row>
    <row r="58" spans="1:13" ht="9.75" customHeight="1" x14ac:dyDescent="0.3">
      <c r="B58" s="627"/>
      <c r="C58" s="628"/>
      <c r="F58" s="576"/>
      <c r="G58" s="214"/>
      <c r="H58" s="214"/>
      <c r="I58" s="628"/>
    </row>
    <row r="59" spans="1:13" ht="20.25" x14ac:dyDescent="0.3">
      <c r="B59" s="627"/>
      <c r="C59" s="30" t="s">
        <v>470</v>
      </c>
      <c r="F59" s="576"/>
      <c r="G59" s="214"/>
      <c r="H59" s="214"/>
      <c r="I59" s="628"/>
    </row>
    <row r="60" spans="1:13" ht="20.25" x14ac:dyDescent="0.3">
      <c r="B60" s="627"/>
      <c r="C60" s="422" t="s">
        <v>471</v>
      </c>
      <c r="F60" s="576"/>
      <c r="G60" s="214"/>
      <c r="H60" s="214"/>
      <c r="I60" s="628"/>
    </row>
    <row r="61" spans="1:13" ht="33.75" customHeight="1" x14ac:dyDescent="0.3">
      <c r="B61" s="627"/>
      <c r="C61" s="804" t="s">
        <v>521</v>
      </c>
      <c r="D61" s="804"/>
      <c r="E61" s="804"/>
      <c r="F61" s="804"/>
      <c r="G61" s="804"/>
      <c r="H61" s="804"/>
      <c r="I61" s="804"/>
    </row>
    <row r="62" spans="1:13" s="658" customFormat="1" ht="39" customHeight="1" x14ac:dyDescent="0.2">
      <c r="A62" s="656"/>
      <c r="B62" s="657"/>
      <c r="C62" s="805" t="s">
        <v>520</v>
      </c>
      <c r="D62" s="805"/>
      <c r="E62" s="805"/>
      <c r="F62" s="805"/>
      <c r="G62" s="805"/>
      <c r="H62" s="805"/>
      <c r="I62" s="805"/>
      <c r="K62" s="659"/>
      <c r="L62" s="659"/>
      <c r="M62" s="659"/>
    </row>
    <row r="63" spans="1:13" ht="20.25" x14ac:dyDescent="0.3">
      <c r="B63" s="627"/>
      <c r="C63" s="422" t="s">
        <v>517</v>
      </c>
      <c r="F63" s="576"/>
      <c r="G63" s="214"/>
      <c r="H63" s="214"/>
      <c r="I63" s="628"/>
    </row>
    <row r="64" spans="1:13" ht="20.25" x14ac:dyDescent="0.3">
      <c r="B64" s="627"/>
      <c r="C64">
        <v>1</v>
      </c>
      <c r="D64" s="422" t="s">
        <v>502</v>
      </c>
      <c r="F64" s="576"/>
      <c r="G64" s="214"/>
      <c r="H64" s="214"/>
      <c r="I64" s="628"/>
    </row>
    <row r="65" spans="2:9" ht="20.25" x14ac:dyDescent="0.3">
      <c r="B65" s="627"/>
      <c r="C65" s="422">
        <v>2</v>
      </c>
      <c r="D65" s="422" t="s">
        <v>503</v>
      </c>
      <c r="F65" s="576"/>
      <c r="G65" s="214"/>
      <c r="H65" s="214"/>
      <c r="I65" s="628"/>
    </row>
    <row r="66" spans="2:9" ht="20.25" x14ac:dyDescent="0.3">
      <c r="B66" s="627"/>
      <c r="C66" s="422">
        <v>3</v>
      </c>
      <c r="D66" s="422" t="s">
        <v>504</v>
      </c>
      <c r="F66" s="576"/>
      <c r="G66" s="214"/>
      <c r="H66" s="214"/>
      <c r="I66" s="628"/>
    </row>
    <row r="67" spans="2:9" ht="20.25" x14ac:dyDescent="0.3">
      <c r="B67" s="627"/>
      <c r="C67" s="422" t="s">
        <v>518</v>
      </c>
      <c r="D67" s="422"/>
      <c r="F67" s="576"/>
      <c r="G67" s="214"/>
      <c r="H67" s="214"/>
      <c r="I67" s="628"/>
    </row>
    <row r="68" spans="2:9" ht="39.75" customHeight="1" x14ac:dyDescent="0.3">
      <c r="B68" s="627"/>
      <c r="C68" s="804" t="s">
        <v>519</v>
      </c>
      <c r="D68" s="804"/>
      <c r="E68" s="804"/>
      <c r="F68" s="804"/>
      <c r="G68" s="804"/>
      <c r="H68" s="804"/>
      <c r="I68" s="804"/>
    </row>
    <row r="69" spans="2:9" ht="20.25" customHeight="1" x14ac:dyDescent="0.2">
      <c r="C69" s="804" t="s">
        <v>522</v>
      </c>
      <c r="D69" s="804"/>
      <c r="E69" s="804"/>
      <c r="F69" s="804"/>
      <c r="G69" s="804"/>
      <c r="H69" s="804"/>
      <c r="I69" s="804"/>
    </row>
    <row r="70" spans="2:9" ht="11.25" customHeight="1" x14ac:dyDescent="0.3">
      <c r="C70" s="422"/>
      <c r="F70" s="576"/>
      <c r="G70" s="214"/>
      <c r="H70" s="214"/>
      <c r="I70" s="628"/>
    </row>
    <row r="71" spans="2:9" ht="20.25" x14ac:dyDescent="0.3">
      <c r="C71" s="629" t="s">
        <v>472</v>
      </c>
      <c r="F71" s="576"/>
      <c r="G71" s="214"/>
      <c r="H71" s="214"/>
      <c r="I71" s="628"/>
    </row>
    <row r="72" spans="2:9" ht="38.25" customHeight="1" x14ac:dyDescent="0.2">
      <c r="C72" s="804" t="s">
        <v>473</v>
      </c>
      <c r="D72" s="804"/>
      <c r="E72" s="804"/>
      <c r="F72" s="804"/>
      <c r="G72" s="804"/>
      <c r="H72" s="804"/>
      <c r="I72" s="804"/>
    </row>
    <row r="73" spans="2:9" ht="37.5" customHeight="1" x14ac:dyDescent="0.2">
      <c r="C73" s="805" t="s">
        <v>516</v>
      </c>
      <c r="D73" s="805"/>
      <c r="E73" s="805"/>
      <c r="F73" s="805"/>
      <c r="G73" s="805"/>
      <c r="H73" s="805"/>
      <c r="I73" s="805"/>
    </row>
    <row r="74" spans="2:9" ht="18" x14ac:dyDescent="0.25">
      <c r="C74" s="422" t="s">
        <v>474</v>
      </c>
      <c r="F74" s="576"/>
      <c r="G74" s="628"/>
      <c r="H74" s="628"/>
      <c r="I74" s="628"/>
    </row>
    <row r="75" spans="2:9" ht="18" x14ac:dyDescent="0.25">
      <c r="C75" s="422" t="s">
        <v>514</v>
      </c>
      <c r="F75" s="576"/>
      <c r="G75" s="628"/>
      <c r="H75" s="628"/>
      <c r="I75" s="628"/>
    </row>
    <row r="76" spans="2:9" ht="29.25" customHeight="1" x14ac:dyDescent="0.2">
      <c r="C76" s="804" t="s">
        <v>515</v>
      </c>
      <c r="D76" s="804"/>
      <c r="E76" s="804"/>
      <c r="F76" s="804"/>
      <c r="G76" s="804"/>
      <c r="H76" s="804"/>
      <c r="I76" s="804"/>
    </row>
    <row r="77" spans="2:9" ht="18" x14ac:dyDescent="0.25">
      <c r="C77" s="215" t="s">
        <v>505</v>
      </c>
      <c r="F77" s="576"/>
      <c r="G77" s="628"/>
      <c r="H77" s="628"/>
      <c r="I77" s="628"/>
    </row>
    <row r="78" spans="2:9" ht="18" x14ac:dyDescent="0.25">
      <c r="C78" s="215">
        <v>1</v>
      </c>
      <c r="D78" s="215" t="s">
        <v>506</v>
      </c>
      <c r="F78" s="576"/>
      <c r="G78" s="628"/>
      <c r="H78" s="628"/>
      <c r="I78" s="628"/>
    </row>
    <row r="79" spans="2:9" ht="18" x14ac:dyDescent="0.25">
      <c r="C79" s="215">
        <v>2</v>
      </c>
      <c r="D79" s="215" t="s">
        <v>512</v>
      </c>
      <c r="F79" s="576"/>
    </row>
    <row r="80" spans="2:9" ht="18" x14ac:dyDescent="0.25">
      <c r="C80" s="215">
        <v>3</v>
      </c>
      <c r="D80" s="215" t="s">
        <v>513</v>
      </c>
      <c r="F80" s="576"/>
    </row>
    <row r="81" spans="3:6" ht="18" x14ac:dyDescent="0.25">
      <c r="C81" s="215">
        <v>4</v>
      </c>
      <c r="D81" s="215" t="s">
        <v>508</v>
      </c>
      <c r="F81" s="576"/>
    </row>
    <row r="82" spans="3:6" ht="18" x14ac:dyDescent="0.25">
      <c r="C82" s="215" t="s">
        <v>507</v>
      </c>
      <c r="D82" s="215"/>
      <c r="F82" s="576"/>
    </row>
    <row r="83" spans="3:6" ht="18" x14ac:dyDescent="0.25">
      <c r="C83" s="215" t="s">
        <v>510</v>
      </c>
      <c r="D83" s="215"/>
      <c r="F83" s="576"/>
    </row>
    <row r="84" spans="3:6" ht="18" x14ac:dyDescent="0.25">
      <c r="C84" s="215">
        <v>1</v>
      </c>
      <c r="D84" s="215" t="s">
        <v>509</v>
      </c>
      <c r="F84" s="87"/>
    </row>
    <row r="85" spans="3:6" ht="18" x14ac:dyDescent="0.25">
      <c r="C85" s="215">
        <v>2</v>
      </c>
      <c r="D85" s="215" t="s">
        <v>511</v>
      </c>
      <c r="F85" s="87"/>
    </row>
    <row r="86" spans="3:6" x14ac:dyDescent="0.2">
      <c r="C86" s="215" t="s">
        <v>507</v>
      </c>
      <c r="D86" s="215"/>
    </row>
    <row r="87" spans="3:6" x14ac:dyDescent="0.2">
      <c r="C87" s="215" t="s">
        <v>523</v>
      </c>
      <c r="D87" s="215"/>
    </row>
    <row r="88" spans="3:6" x14ac:dyDescent="0.2">
      <c r="C88" s="215" t="s">
        <v>524</v>
      </c>
      <c r="D88" s="215"/>
    </row>
    <row r="89" spans="3:6" x14ac:dyDescent="0.2">
      <c r="C89" s="215"/>
      <c r="D89" s="215"/>
    </row>
    <row r="90" spans="3:6" x14ac:dyDescent="0.2">
      <c r="C90" s="215"/>
      <c r="D90" s="215"/>
    </row>
    <row r="91" spans="3:6" x14ac:dyDescent="0.2">
      <c r="C91" s="215"/>
      <c r="D91" s="215"/>
    </row>
    <row r="92" spans="3:6" x14ac:dyDescent="0.2">
      <c r="C92" s="215"/>
      <c r="D92" s="215"/>
    </row>
    <row r="93" spans="3:6" x14ac:dyDescent="0.2">
      <c r="C93" s="215"/>
      <c r="D93" s="215"/>
    </row>
    <row r="94" spans="3:6" x14ac:dyDescent="0.2">
      <c r="C94" s="215"/>
      <c r="D94" s="215"/>
    </row>
    <row r="95" spans="3:6" x14ac:dyDescent="0.2">
      <c r="C95" s="215"/>
      <c r="D95" s="215"/>
    </row>
    <row r="96" spans="3:6" x14ac:dyDescent="0.2">
      <c r="C96" s="215"/>
      <c r="D96" s="215"/>
    </row>
    <row r="97" spans="3:4" x14ac:dyDescent="0.2">
      <c r="C97" s="215"/>
      <c r="D97" s="215"/>
    </row>
    <row r="98" spans="3:4" x14ac:dyDescent="0.2">
      <c r="C98" s="215"/>
    </row>
    <row r="99" spans="3:4" x14ac:dyDescent="0.2">
      <c r="C99" s="215"/>
    </row>
    <row r="100" spans="3:4" x14ac:dyDescent="0.2">
      <c r="C100" s="215"/>
    </row>
    <row r="101" spans="3:4" x14ac:dyDescent="0.2">
      <c r="C101" s="215"/>
    </row>
    <row r="102" spans="3:4" x14ac:dyDescent="0.2">
      <c r="C102" s="215"/>
    </row>
    <row r="103" spans="3:4" x14ac:dyDescent="0.2">
      <c r="C103" s="215"/>
    </row>
    <row r="104" spans="3:4" x14ac:dyDescent="0.2">
      <c r="C104" s="215"/>
    </row>
    <row r="105" spans="3:4" x14ac:dyDescent="0.2">
      <c r="C105" s="215"/>
    </row>
    <row r="106" spans="3:4" x14ac:dyDescent="0.2">
      <c r="C106" s="215"/>
    </row>
    <row r="107" spans="3:4" x14ac:dyDescent="0.2">
      <c r="C107" s="215"/>
    </row>
    <row r="108" spans="3:4" x14ac:dyDescent="0.2">
      <c r="C108" s="215"/>
    </row>
    <row r="109" spans="3:4" x14ac:dyDescent="0.2">
      <c r="C109" s="215"/>
    </row>
    <row r="110" spans="3:4" x14ac:dyDescent="0.2">
      <c r="C110" s="215"/>
    </row>
    <row r="111" spans="3:4" x14ac:dyDescent="0.2">
      <c r="C111" s="215"/>
    </row>
    <row r="112" spans="3:4" x14ac:dyDescent="0.2">
      <c r="C112" s="215"/>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M117"/>
  <sheetViews>
    <sheetView zoomScale="70" zoomScaleNormal="70" workbookViewId="0">
      <selection activeCell="F41" sqref="F41"/>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51.375" style="45" bestFit="1" customWidth="1"/>
    <col min="7" max="7" width="24.25" style="45" customWidth="1"/>
    <col min="8" max="9" width="24.125" style="45" customWidth="1"/>
    <col min="10" max="10" width="24.125" customWidth="1"/>
    <col min="11" max="11" width="22.875" bestFit="1" customWidth="1"/>
    <col min="12" max="12" width="10.25" style="291" bestFit="1" customWidth="1"/>
    <col min="13" max="13" width="10.875" bestFit="1" customWidth="1"/>
    <col min="14" max="15" width="10.875" customWidth="1"/>
    <col min="16" max="16" width="10.5" bestFit="1" customWidth="1"/>
    <col min="17" max="17" width="15.25" customWidth="1"/>
    <col min="18" max="18" width="14.625" style="21" customWidth="1"/>
    <col min="23" max="23" width="13.125" style="4" customWidth="1"/>
    <col min="24" max="24" width="18" customWidth="1"/>
    <col min="25" max="25" width="11.375" style="20" bestFit="1" customWidth="1"/>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39" ht="22.5" customHeight="1" x14ac:dyDescent="0.4">
      <c r="A1" s="46" t="s">
        <v>92</v>
      </c>
      <c r="B1" s="47"/>
      <c r="C1" s="48"/>
      <c r="D1" s="48"/>
      <c r="E1" s="48"/>
      <c r="F1" s="47"/>
      <c r="G1" s="47"/>
      <c r="H1" s="47"/>
      <c r="I1" s="47"/>
      <c r="J1" s="47"/>
      <c r="K1" s="47"/>
      <c r="L1" s="287"/>
      <c r="M1" s="47"/>
      <c r="N1" s="47"/>
      <c r="O1" s="47"/>
      <c r="P1" s="47"/>
      <c r="Q1" s="47"/>
    </row>
    <row r="2" spans="1:39" ht="22.5" customHeight="1" x14ac:dyDescent="0.4">
      <c r="A2" s="46" t="s">
        <v>211</v>
      </c>
      <c r="B2" s="47"/>
      <c r="C2" s="48"/>
      <c r="D2" s="48"/>
      <c r="E2" s="48"/>
      <c r="F2" s="47"/>
      <c r="G2" s="47"/>
      <c r="H2" s="47"/>
      <c r="I2" s="47"/>
      <c r="J2" s="47"/>
      <c r="K2" s="47"/>
      <c r="L2" s="287"/>
      <c r="M2" s="47"/>
      <c r="N2" s="47"/>
      <c r="O2" s="47"/>
      <c r="P2" s="47"/>
      <c r="Q2" s="47"/>
    </row>
    <row r="3" spans="1:39" ht="21.75" hidden="1" customHeight="1" x14ac:dyDescent="0.4">
      <c r="A3" s="46" t="str">
        <f>'[2]August''22 State of Activities'!A3</f>
        <v>Eight Months Ended August 31, 2022 and 2021</v>
      </c>
      <c r="B3" s="47"/>
      <c r="C3" s="48"/>
      <c r="D3" s="48"/>
      <c r="E3" s="48"/>
      <c r="F3" s="47"/>
      <c r="G3" s="47"/>
      <c r="H3" s="47"/>
      <c r="I3" s="47"/>
      <c r="J3" s="47"/>
      <c r="K3" s="47"/>
      <c r="L3" s="287"/>
      <c r="M3" s="47"/>
      <c r="N3" s="47"/>
      <c r="O3" s="47"/>
      <c r="P3" s="47"/>
      <c r="Q3" s="47"/>
    </row>
    <row r="4" spans="1:39" ht="22.5" customHeight="1" x14ac:dyDescent="0.4">
      <c r="A4" s="46" t="s">
        <v>475</v>
      </c>
      <c r="B4" s="47"/>
      <c r="C4" s="48"/>
      <c r="D4" s="48"/>
      <c r="E4" s="48"/>
      <c r="F4" s="47"/>
      <c r="G4" s="47"/>
      <c r="H4" s="47"/>
      <c r="I4" s="47"/>
      <c r="J4" s="47"/>
      <c r="K4" s="47"/>
      <c r="L4" s="287"/>
      <c r="M4" s="47"/>
      <c r="N4" s="47"/>
      <c r="O4" s="47"/>
      <c r="P4" s="47"/>
      <c r="Q4" s="47"/>
    </row>
    <row r="5" spans="1:39" s="50" customFormat="1" ht="8.25" customHeight="1" thickBot="1" x14ac:dyDescent="0.25">
      <c r="A5" s="49"/>
      <c r="B5" s="49"/>
      <c r="C5" s="49"/>
      <c r="D5" s="49"/>
      <c r="E5" s="49"/>
      <c r="F5" s="49"/>
      <c r="G5" s="49"/>
      <c r="H5" s="49"/>
      <c r="I5" s="49"/>
      <c r="K5" s="255"/>
      <c r="L5" s="288"/>
      <c r="R5" s="632"/>
      <c r="W5" s="595"/>
      <c r="Y5" s="633"/>
    </row>
    <row r="6" spans="1:39" s="53" customFormat="1" ht="24.75" customHeight="1" thickTop="1" thickBot="1" x14ac:dyDescent="0.25">
      <c r="A6" s="51" t="s">
        <v>106</v>
      </c>
      <c r="B6" s="51"/>
      <c r="C6" s="51"/>
      <c r="D6" s="51"/>
      <c r="E6" s="51"/>
      <c r="F6" s="51"/>
      <c r="G6" s="51"/>
      <c r="H6" s="51"/>
      <c r="I6" s="51"/>
      <c r="J6" s="312"/>
      <c r="K6" s="634"/>
      <c r="L6" s="289"/>
      <c r="M6" s="52"/>
      <c r="N6" s="52"/>
      <c r="O6" s="52"/>
      <c r="P6" s="52"/>
      <c r="Q6" s="52"/>
      <c r="R6" s="635"/>
      <c r="S6" s="52"/>
      <c r="T6" s="52"/>
      <c r="U6" s="52"/>
      <c r="V6" s="52"/>
      <c r="W6" s="636"/>
      <c r="X6" s="52"/>
      <c r="Y6" s="637"/>
      <c r="Z6" s="52"/>
      <c r="AA6" s="52"/>
      <c r="AB6" s="52"/>
      <c r="AC6" s="52"/>
      <c r="AD6" s="52"/>
      <c r="AE6" s="52"/>
      <c r="AF6" s="52"/>
      <c r="AG6" s="52"/>
      <c r="AH6" s="52"/>
      <c r="AI6" s="52"/>
      <c r="AJ6" s="52"/>
      <c r="AK6" s="52"/>
      <c r="AL6" s="52"/>
      <c r="AM6" s="52"/>
    </row>
    <row r="7" spans="1:39" s="55" customFormat="1" ht="8.25" customHeight="1" thickTop="1" x14ac:dyDescent="0.2">
      <c r="A7" s="54"/>
      <c r="B7" s="54"/>
      <c r="C7" s="54"/>
      <c r="D7" s="54"/>
      <c r="E7" s="54"/>
      <c r="F7" s="54"/>
      <c r="G7" s="54"/>
      <c r="H7" s="54"/>
      <c r="I7" s="54"/>
      <c r="L7" s="290"/>
      <c r="R7" s="547"/>
      <c r="W7" s="595"/>
      <c r="Y7" s="637"/>
    </row>
    <row r="8" spans="1:39" ht="21" thickBot="1" x14ac:dyDescent="0.35">
      <c r="A8" s="56"/>
      <c r="B8" s="115" t="s">
        <v>98</v>
      </c>
      <c r="C8" s="115"/>
      <c r="D8" s="115"/>
      <c r="E8" s="115"/>
      <c r="F8" s="115"/>
      <c r="G8" s="517">
        <v>43465</v>
      </c>
      <c r="H8" s="517">
        <v>43830</v>
      </c>
      <c r="I8" s="517">
        <v>44196</v>
      </c>
      <c r="J8" s="517">
        <v>44561</v>
      </c>
      <c r="K8" s="517">
        <v>44926</v>
      </c>
    </row>
    <row r="9" spans="1:39" s="55" customFormat="1" ht="20.25" x14ac:dyDescent="0.2">
      <c r="A9" s="54"/>
      <c r="B9" s="54"/>
      <c r="C9" s="58" t="s">
        <v>148</v>
      </c>
      <c r="D9" s="58"/>
      <c r="E9" s="58"/>
      <c r="F9" s="54"/>
      <c r="G9" s="189">
        <f>153461+3123</f>
        <v>156584</v>
      </c>
      <c r="H9" s="189">
        <v>158721</v>
      </c>
      <c r="I9" s="189">
        <f>68070.06</f>
        <v>68070.06</v>
      </c>
      <c r="J9" s="189">
        <v>85646.89</v>
      </c>
      <c r="K9" s="189">
        <f>57601.72+8000*2+14508</f>
        <v>88109.72</v>
      </c>
      <c r="L9" s="290"/>
      <c r="R9" s="547"/>
      <c r="W9" s="595"/>
      <c r="Y9" s="637"/>
    </row>
    <row r="10" spans="1:39" s="55" customFormat="1" ht="20.25" x14ac:dyDescent="0.2">
      <c r="A10" s="54"/>
      <c r="B10" s="54"/>
      <c r="C10" s="58" t="s">
        <v>212</v>
      </c>
      <c r="D10" s="58"/>
      <c r="E10" s="58"/>
      <c r="F10" s="54"/>
      <c r="G10" s="180">
        <v>20332</v>
      </c>
      <c r="H10" s="180">
        <v>12278.42</v>
      </c>
      <c r="I10" s="180">
        <v>16169.1</v>
      </c>
      <c r="J10" s="180">
        <v>34505.879999999997</v>
      </c>
      <c r="K10" s="180">
        <v>13825</v>
      </c>
      <c r="L10" s="290"/>
      <c r="R10" s="547"/>
      <c r="W10" s="595"/>
      <c r="Y10" s="637"/>
    </row>
    <row r="11" spans="1:39" s="55" customFormat="1" ht="20.25" x14ac:dyDescent="0.2">
      <c r="A11" s="54"/>
      <c r="B11" s="54"/>
      <c r="C11" s="58" t="s">
        <v>386</v>
      </c>
      <c r="D11" s="58"/>
      <c r="E11" s="58"/>
      <c r="F11" s="54"/>
      <c r="G11" s="180"/>
      <c r="H11" s="180">
        <v>10616</v>
      </c>
      <c r="I11" s="180">
        <v>3260</v>
      </c>
      <c r="J11" s="180">
        <v>0</v>
      </c>
      <c r="K11" s="180">
        <f>29668+15301</f>
        <v>44969</v>
      </c>
      <c r="L11" s="290"/>
      <c r="R11" s="547"/>
      <c r="W11" s="595"/>
      <c r="Y11" s="637"/>
    </row>
    <row r="12" spans="1:39" s="55" customFormat="1" ht="20.25" x14ac:dyDescent="0.2">
      <c r="A12" s="54"/>
      <c r="B12" s="54"/>
      <c r="C12" s="58" t="s">
        <v>100</v>
      </c>
      <c r="D12" s="58"/>
      <c r="E12" s="58"/>
      <c r="F12" s="54"/>
      <c r="G12" s="180"/>
      <c r="H12" s="180"/>
      <c r="I12" s="180"/>
      <c r="J12" s="180"/>
      <c r="K12" s="180"/>
      <c r="L12" s="290"/>
      <c r="R12" s="547"/>
      <c r="W12" s="595"/>
      <c r="Y12" s="637"/>
    </row>
    <row r="13" spans="1:39" s="55" customFormat="1" ht="20.25" x14ac:dyDescent="0.2">
      <c r="A13" s="54"/>
      <c r="B13" s="54"/>
      <c r="D13" s="58" t="s">
        <v>213</v>
      </c>
      <c r="E13" s="58"/>
      <c r="F13" s="54"/>
      <c r="G13" s="180">
        <v>42500</v>
      </c>
      <c r="H13" s="180">
        <v>44499.96</v>
      </c>
      <c r="I13" s="180">
        <f>3750*12</f>
        <v>45000</v>
      </c>
      <c r="J13" s="180">
        <v>45500</v>
      </c>
      <c r="K13" s="180">
        <v>46000</v>
      </c>
      <c r="L13" s="638"/>
      <c r="M13" s="366"/>
      <c r="N13" s="366"/>
      <c r="O13" s="366"/>
      <c r="P13" s="366"/>
      <c r="R13" s="547"/>
      <c r="W13" s="595"/>
      <c r="Y13" s="637"/>
    </row>
    <row r="14" spans="1:39" s="55" customFormat="1" ht="20.25" x14ac:dyDescent="0.2">
      <c r="A14" s="54"/>
      <c r="B14" s="54"/>
      <c r="D14" s="58" t="s">
        <v>157</v>
      </c>
      <c r="E14" s="58"/>
      <c r="F14" s="54"/>
      <c r="G14" s="180">
        <v>9000</v>
      </c>
      <c r="H14" s="180">
        <v>13000</v>
      </c>
      <c r="I14" s="180">
        <v>18000</v>
      </c>
      <c r="J14" s="180">
        <v>18000</v>
      </c>
      <c r="K14" s="180">
        <v>18000</v>
      </c>
      <c r="L14" s="290"/>
      <c r="M14" s="368"/>
      <c r="N14" s="368"/>
      <c r="O14" s="368"/>
      <c r="P14" s="58"/>
      <c r="R14" s="547"/>
      <c r="W14" s="595"/>
      <c r="Y14" s="637"/>
    </row>
    <row r="15" spans="1:39" s="55" customFormat="1" ht="20.25" x14ac:dyDescent="0.2">
      <c r="A15" s="54"/>
      <c r="B15" s="54"/>
      <c r="C15" s="58" t="s">
        <v>101</v>
      </c>
      <c r="D15" s="58"/>
      <c r="E15" s="58"/>
      <c r="F15" s="54"/>
      <c r="G15" s="180">
        <v>12796</v>
      </c>
      <c r="H15" s="180">
        <v>13071.46</v>
      </c>
      <c r="I15" s="180">
        <v>12695.06</v>
      </c>
      <c r="J15" s="180">
        <v>17445.740000000002</v>
      </c>
      <c r="K15" s="180">
        <v>17500</v>
      </c>
      <c r="L15" s="290"/>
      <c r="M15" s="368"/>
      <c r="N15" s="368"/>
      <c r="O15" s="368"/>
      <c r="P15" s="290"/>
      <c r="R15" s="547"/>
      <c r="W15" s="595"/>
      <c r="Y15" s="637"/>
    </row>
    <row r="16" spans="1:39" s="55" customFormat="1" ht="20.25" x14ac:dyDescent="0.2">
      <c r="A16" s="54"/>
      <c r="B16" s="54"/>
      <c r="C16" s="58" t="s">
        <v>476</v>
      </c>
      <c r="D16" s="58"/>
      <c r="E16" s="58"/>
      <c r="F16" s="54"/>
      <c r="G16" s="180">
        <f>25000</f>
        <v>25000</v>
      </c>
      <c r="H16" s="180">
        <v>71886</v>
      </c>
      <c r="I16" s="180">
        <v>77911.459999999992</v>
      </c>
      <c r="J16" s="180">
        <v>80378.48</v>
      </c>
      <c r="K16" s="180">
        <v>34118</v>
      </c>
      <c r="L16" s="290"/>
      <c r="M16" s="368"/>
      <c r="N16" s="368"/>
      <c r="O16" s="368"/>
      <c r="P16" s="290"/>
      <c r="R16" s="547"/>
      <c r="W16" s="595"/>
      <c r="Y16" s="637"/>
    </row>
    <row r="17" spans="1:25" s="55" customFormat="1" ht="20.25" x14ac:dyDescent="0.2">
      <c r="A17" s="54"/>
      <c r="B17" s="54"/>
      <c r="C17" s="58" t="s">
        <v>347</v>
      </c>
      <c r="D17" s="58"/>
      <c r="E17" s="58"/>
      <c r="F17" s="54"/>
      <c r="G17" s="180">
        <f>659</f>
        <v>659</v>
      </c>
      <c r="H17" s="180">
        <v>7946</v>
      </c>
      <c r="I17" s="180">
        <v>255.74</v>
      </c>
      <c r="J17" s="180">
        <v>3312.47</v>
      </c>
      <c r="K17" s="180">
        <v>180</v>
      </c>
      <c r="L17" s="290"/>
      <c r="M17" s="368"/>
      <c r="N17" s="368"/>
      <c r="O17" s="368"/>
      <c r="P17" s="290"/>
      <c r="R17" s="547"/>
      <c r="W17" s="595"/>
      <c r="Y17" s="637"/>
    </row>
    <row r="18" spans="1:25" s="55" customFormat="1" ht="21" thickBot="1" x14ac:dyDescent="0.25">
      <c r="A18" s="54"/>
      <c r="B18" s="54"/>
      <c r="C18" s="58" t="s">
        <v>215</v>
      </c>
      <c r="D18" s="58"/>
      <c r="E18" s="58"/>
      <c r="F18" s="54"/>
      <c r="G18" s="187">
        <v>9315</v>
      </c>
      <c r="H18" s="187">
        <v>9315</v>
      </c>
      <c r="I18" s="187">
        <v>9315</v>
      </c>
      <c r="J18" s="187">
        <v>10548</v>
      </c>
      <c r="K18" s="187">
        <v>10548</v>
      </c>
      <c r="L18" s="290"/>
      <c r="W18" s="595"/>
      <c r="Y18" s="637"/>
    </row>
    <row r="19" spans="1:25" s="55" customFormat="1" ht="20.25" x14ac:dyDescent="0.2">
      <c r="A19" s="54"/>
      <c r="B19" s="54"/>
      <c r="C19" s="58"/>
      <c r="D19" s="54" t="s">
        <v>103</v>
      </c>
      <c r="E19" s="58"/>
      <c r="F19" s="54"/>
      <c r="G19" s="180">
        <f>SUM(G9:G18)</f>
        <v>276186</v>
      </c>
      <c r="H19" s="180">
        <f>SUM(H9:H18)</f>
        <v>341333.83999999997</v>
      </c>
      <c r="I19" s="180">
        <f>SUM(I9:I18)</f>
        <v>250676.41999999998</v>
      </c>
      <c r="J19" s="180">
        <f>SUM(J9:J18)</f>
        <v>295337.45999999996</v>
      </c>
      <c r="K19" s="180">
        <f>SUM(K9:K18)</f>
        <v>273249.71999999997</v>
      </c>
      <c r="L19" s="290"/>
      <c r="W19" s="595"/>
      <c r="Y19" s="637"/>
    </row>
    <row r="20" spans="1:25" s="55" customFormat="1" ht="20.25" x14ac:dyDescent="0.2">
      <c r="A20" s="54"/>
      <c r="B20" s="54"/>
      <c r="C20" s="54" t="s">
        <v>216</v>
      </c>
      <c r="D20" s="58"/>
      <c r="E20" s="58"/>
      <c r="F20" s="54"/>
      <c r="G20" s="180">
        <v>19000</v>
      </c>
      <c r="H20" s="180">
        <v>19000</v>
      </c>
      <c r="I20" s="180">
        <v>19000</v>
      </c>
      <c r="J20" s="180">
        <v>18500</v>
      </c>
      <c r="K20" s="180">
        <f>13333/8*12</f>
        <v>19999.5</v>
      </c>
      <c r="L20" s="290"/>
      <c r="R20" s="547"/>
      <c r="W20" s="595"/>
      <c r="Y20" s="637"/>
    </row>
    <row r="21" spans="1:25" s="55" customFormat="1" ht="21" thickBot="1" x14ac:dyDescent="0.25">
      <c r="A21" s="54"/>
      <c r="B21" s="54"/>
      <c r="C21" s="54" t="s">
        <v>217</v>
      </c>
      <c r="D21" s="58"/>
      <c r="E21" s="58"/>
      <c r="F21" s="54"/>
      <c r="G21" s="187">
        <v>37641</v>
      </c>
      <c r="H21" s="187">
        <v>37834</v>
      </c>
      <c r="I21" s="187">
        <v>34669.31</v>
      </c>
      <c r="J21" s="187">
        <v>26400.720000000001</v>
      </c>
      <c r="K21" s="187">
        <v>43300</v>
      </c>
      <c r="L21" s="290"/>
      <c r="R21" s="547"/>
      <c r="W21" s="595"/>
      <c r="Y21" s="637"/>
    </row>
    <row r="22" spans="1:25" s="55" customFormat="1" ht="20.25" x14ac:dyDescent="0.2">
      <c r="A22" s="54"/>
      <c r="B22" s="54"/>
      <c r="C22" s="58"/>
      <c r="D22" s="54" t="s">
        <v>105</v>
      </c>
      <c r="E22" s="58"/>
      <c r="F22" s="54"/>
      <c r="G22" s="180">
        <f>SUM(G19:G21)</f>
        <v>332827</v>
      </c>
      <c r="H22" s="180">
        <f>SUM(H19:H21)</f>
        <v>398167.83999999997</v>
      </c>
      <c r="I22" s="180">
        <f>SUM(I19:I21)</f>
        <v>304345.73</v>
      </c>
      <c r="J22" s="180">
        <f>SUM(J19:J21)</f>
        <v>340238.17999999993</v>
      </c>
      <c r="K22" s="180">
        <f>SUM(K19:K21)</f>
        <v>336549.22</v>
      </c>
      <c r="L22" s="290"/>
      <c r="R22" s="547"/>
      <c r="W22" s="595"/>
      <c r="Y22" s="637"/>
    </row>
    <row r="23" spans="1:25" s="55" customFormat="1" ht="20.25" x14ac:dyDescent="0.2">
      <c r="A23" s="54"/>
      <c r="B23" s="54"/>
      <c r="C23" s="58"/>
      <c r="D23" s="54"/>
      <c r="E23" s="58"/>
      <c r="F23" s="54" t="s">
        <v>477</v>
      </c>
      <c r="G23" s="180"/>
      <c r="H23" s="180">
        <v>-46886</v>
      </c>
      <c r="I23" s="180"/>
      <c r="J23" s="180"/>
      <c r="K23" s="180"/>
      <c r="L23" s="290"/>
      <c r="R23" s="547"/>
      <c r="W23" s="595"/>
      <c r="Y23" s="637"/>
    </row>
    <row r="24" spans="1:25" s="55" customFormat="1" ht="20.25" x14ac:dyDescent="0.2">
      <c r="A24" s="54"/>
      <c r="B24" s="54"/>
      <c r="C24" s="58"/>
      <c r="D24" s="54" t="s">
        <v>478</v>
      </c>
      <c r="E24" s="58"/>
      <c r="F24" s="54"/>
      <c r="G24" s="180"/>
      <c r="H24" s="180">
        <f>SUM(H22:H23)</f>
        <v>351281.83999999997</v>
      </c>
      <c r="I24" s="180"/>
      <c r="J24" s="180"/>
      <c r="K24" s="180"/>
      <c r="L24" s="290"/>
      <c r="R24" s="547"/>
      <c r="W24" s="595"/>
      <c r="Y24" s="637"/>
    </row>
    <row r="25" spans="1:25" s="55" customFormat="1" ht="20.25" x14ac:dyDescent="0.2">
      <c r="A25" s="54"/>
      <c r="B25" s="54"/>
      <c r="C25" s="58"/>
      <c r="D25" s="54"/>
      <c r="E25" s="58"/>
      <c r="F25" s="54"/>
      <c r="G25" s="54"/>
      <c r="H25" s="54"/>
      <c r="I25" s="54"/>
      <c r="J25" s="461"/>
      <c r="K25" s="461"/>
      <c r="L25" s="290"/>
      <c r="R25" s="547"/>
      <c r="W25" s="595"/>
      <c r="Y25" s="637"/>
    </row>
    <row r="26" spans="1:25" s="55" customFormat="1" ht="21" thickBot="1" x14ac:dyDescent="0.25">
      <c r="A26" s="54"/>
      <c r="B26" s="66" t="s">
        <v>109</v>
      </c>
      <c r="C26" s="66"/>
      <c r="D26" s="66"/>
      <c r="E26" s="66"/>
      <c r="F26" s="66"/>
      <c r="G26" s="54"/>
      <c r="H26" s="54"/>
      <c r="I26" s="54"/>
      <c r="L26" s="290"/>
      <c r="R26" s="547"/>
      <c r="W26" s="595"/>
      <c r="Y26" s="637"/>
    </row>
    <row r="27" spans="1:25" s="55" customFormat="1" ht="20.25" x14ac:dyDescent="0.2">
      <c r="A27" s="54"/>
      <c r="B27" s="54"/>
      <c r="C27" s="58" t="s">
        <v>218</v>
      </c>
      <c r="D27" s="58"/>
      <c r="E27" s="58"/>
      <c r="F27" s="58"/>
      <c r="G27" s="58"/>
      <c r="H27" s="58"/>
      <c r="I27" s="58"/>
      <c r="J27" s="212"/>
      <c r="K27" s="212"/>
      <c r="L27" s="290"/>
      <c r="R27" s="547"/>
      <c r="W27" s="595"/>
      <c r="Y27" s="637"/>
    </row>
    <row r="28" spans="1:25" s="55" customFormat="1" ht="20.25" x14ac:dyDescent="0.2">
      <c r="A28" s="54"/>
      <c r="B28" s="54"/>
      <c r="C28" s="58"/>
      <c r="D28" s="803" t="s">
        <v>219</v>
      </c>
      <c r="E28" s="803"/>
      <c r="F28" s="803"/>
      <c r="G28" s="614">
        <v>146508</v>
      </c>
      <c r="H28" s="614">
        <v>162253.75</v>
      </c>
      <c r="I28" s="614">
        <v>133830.65</v>
      </c>
      <c r="J28" s="614">
        <v>155035.70000000001</v>
      </c>
      <c r="K28" s="614">
        <v>203000</v>
      </c>
      <c r="L28" s="290" t="s">
        <v>479</v>
      </c>
      <c r="R28" s="547"/>
      <c r="W28" s="595"/>
      <c r="Y28" s="637"/>
    </row>
    <row r="29" spans="1:25" s="55" customFormat="1" ht="20.25" x14ac:dyDescent="0.2">
      <c r="A29" s="54"/>
      <c r="B29" s="54"/>
      <c r="C29" s="58"/>
      <c r="D29" s="803" t="s">
        <v>220</v>
      </c>
      <c r="E29" s="803"/>
      <c r="F29" s="803"/>
      <c r="G29" s="180">
        <v>59928</v>
      </c>
      <c r="H29" s="180">
        <f>37966.12+23862.63+605.03+106.59</f>
        <v>62540.369999999995</v>
      </c>
      <c r="I29" s="180">
        <f>44061.17+21220.39</f>
        <v>65281.56</v>
      </c>
      <c r="J29" s="180">
        <f>43631.85+27917.65</f>
        <v>71549.5</v>
      </c>
      <c r="K29" s="180">
        <f>49205+29027</f>
        <v>78232</v>
      </c>
      <c r="L29" s="290"/>
      <c r="M29" s="271"/>
      <c r="R29" s="547"/>
      <c r="W29" s="595"/>
      <c r="Y29" s="637"/>
    </row>
    <row r="30" spans="1:25" s="55" customFormat="1" ht="20.25" x14ac:dyDescent="0.2">
      <c r="A30" s="54"/>
      <c r="B30" s="54"/>
      <c r="C30" s="58"/>
      <c r="D30" s="803" t="s">
        <v>111</v>
      </c>
      <c r="E30" s="803"/>
      <c r="F30" s="803"/>
      <c r="G30" s="180">
        <v>39636</v>
      </c>
      <c r="H30" s="180">
        <v>42279.58</v>
      </c>
      <c r="I30" s="180">
        <v>36601</v>
      </c>
      <c r="J30" s="180">
        <f>J28*0.213+J29*0.14</f>
        <v>43039.534100000004</v>
      </c>
      <c r="K30" s="180">
        <f>K28*0.213+K29*0.14</f>
        <v>54191.48</v>
      </c>
      <c r="L30" s="290"/>
      <c r="M30" s="271"/>
      <c r="N30" s="271"/>
      <c r="P30" s="271"/>
      <c r="R30" s="547"/>
      <c r="W30" s="595"/>
      <c r="Y30" s="637"/>
    </row>
    <row r="31" spans="1:25" s="55" customFormat="1" ht="20.25" x14ac:dyDescent="0.2">
      <c r="A31" s="54"/>
      <c r="B31" s="54"/>
      <c r="C31" s="58" t="s">
        <v>276</v>
      </c>
      <c r="D31" s="58"/>
      <c r="E31" s="58"/>
      <c r="F31" s="58"/>
      <c r="G31" s="580"/>
      <c r="H31" s="580"/>
      <c r="I31" s="580"/>
      <c r="J31" s="580"/>
      <c r="K31" s="580"/>
      <c r="L31" s="290"/>
      <c r="R31" s="547"/>
      <c r="W31" s="595"/>
      <c r="Y31" s="637"/>
    </row>
    <row r="32" spans="1:25" s="55" customFormat="1" ht="20.25" x14ac:dyDescent="0.2">
      <c r="A32" s="54"/>
      <c r="B32" s="54"/>
      <c r="C32" s="58"/>
      <c r="D32" s="803" t="s">
        <v>221</v>
      </c>
      <c r="E32" s="803"/>
      <c r="F32" s="803"/>
      <c r="G32" s="614">
        <v>27184</v>
      </c>
      <c r="H32" s="614">
        <v>25472.83</v>
      </c>
      <c r="I32" s="614">
        <v>15135.29</v>
      </c>
      <c r="J32" s="614">
        <v>25112.19</v>
      </c>
      <c r="K32" s="614">
        <v>38000</v>
      </c>
      <c r="L32" s="290" t="s">
        <v>479</v>
      </c>
      <c r="R32" s="547"/>
      <c r="W32" s="595"/>
      <c r="Y32" s="637"/>
    </row>
    <row r="33" spans="1:25" s="55" customFormat="1" ht="20.25" x14ac:dyDescent="0.2">
      <c r="A33" s="54"/>
      <c r="B33" s="54"/>
      <c r="C33" s="58"/>
      <c r="D33" s="803" t="s">
        <v>222</v>
      </c>
      <c r="E33" s="803"/>
      <c r="F33" s="803"/>
      <c r="G33" s="180">
        <v>15511</v>
      </c>
      <c r="H33" s="180">
        <v>17989.87</v>
      </c>
      <c r="I33" s="180">
        <v>22636.98</v>
      </c>
      <c r="J33" s="180">
        <v>23957.25</v>
      </c>
      <c r="K33" s="180">
        <f>24654.76+600</f>
        <v>25254.76</v>
      </c>
      <c r="L33" s="290"/>
      <c r="R33" s="547"/>
      <c r="W33" s="595"/>
      <c r="Y33" s="637"/>
    </row>
    <row r="34" spans="1:25" s="55" customFormat="1" ht="20.25" x14ac:dyDescent="0.2">
      <c r="A34" s="54"/>
      <c r="B34" s="54"/>
      <c r="C34" s="58"/>
      <c r="D34" s="803" t="s">
        <v>302</v>
      </c>
      <c r="E34" s="803"/>
      <c r="F34" s="803"/>
      <c r="G34" s="614">
        <v>12450</v>
      </c>
      <c r="H34" s="614">
        <v>16090.9</v>
      </c>
      <c r="I34" s="614">
        <v>11030.88</v>
      </c>
      <c r="J34" s="614">
        <v>19504.66</v>
      </c>
      <c r="K34" s="614">
        <v>8800</v>
      </c>
      <c r="L34" s="290" t="s">
        <v>479</v>
      </c>
      <c r="R34" s="547"/>
      <c r="W34" s="595"/>
      <c r="Y34" s="637"/>
    </row>
    <row r="35" spans="1:25" s="55" customFormat="1" ht="20.25" x14ac:dyDescent="0.2">
      <c r="A35" s="54"/>
      <c r="B35" s="54"/>
      <c r="C35" s="58"/>
      <c r="D35" s="803" t="s">
        <v>223</v>
      </c>
      <c r="E35" s="803"/>
      <c r="F35" s="803"/>
      <c r="G35" s="180">
        <v>377</v>
      </c>
      <c r="H35" s="180">
        <v>1427.75</v>
      </c>
      <c r="I35" s="180">
        <v>397</v>
      </c>
      <c r="J35" s="180">
        <v>663</v>
      </c>
      <c r="K35" s="180">
        <v>750</v>
      </c>
      <c r="L35" s="290"/>
      <c r="R35" s="547"/>
      <c r="W35" s="595"/>
      <c r="Y35" s="637"/>
    </row>
    <row r="36" spans="1:25" s="55" customFormat="1" ht="20.25" x14ac:dyDescent="0.2">
      <c r="A36" s="54"/>
      <c r="B36" s="54"/>
      <c r="C36" s="58" t="s">
        <v>461</v>
      </c>
      <c r="D36" s="58"/>
      <c r="E36" s="58"/>
      <c r="F36" s="58"/>
      <c r="G36" s="180">
        <v>25080</v>
      </c>
      <c r="H36" s="180">
        <f>22438.68+1591</f>
        <v>24029.68</v>
      </c>
      <c r="I36" s="180">
        <f>29909+1860</f>
        <v>31769</v>
      </c>
      <c r="J36" s="180">
        <f>1903+28481</f>
        <v>30384</v>
      </c>
      <c r="K36" s="180">
        <f>20556/8*12</f>
        <v>30834</v>
      </c>
      <c r="L36" s="290"/>
      <c r="R36" s="547"/>
      <c r="W36" s="595"/>
      <c r="Y36" s="637"/>
    </row>
    <row r="37" spans="1:25" s="55" customFormat="1" ht="20.25" x14ac:dyDescent="0.2">
      <c r="A37" s="54"/>
      <c r="B37" s="54"/>
      <c r="C37" s="58" t="s">
        <v>102</v>
      </c>
      <c r="D37" s="58"/>
      <c r="E37" s="58"/>
      <c r="F37" s="58"/>
      <c r="G37" s="180">
        <f>G18</f>
        <v>9315</v>
      </c>
      <c r="H37" s="180">
        <f>H18</f>
        <v>9315</v>
      </c>
      <c r="I37" s="180">
        <f>I18</f>
        <v>9315</v>
      </c>
      <c r="J37" s="180">
        <f>J18</f>
        <v>10548</v>
      </c>
      <c r="K37" s="180">
        <f>K18</f>
        <v>10548</v>
      </c>
      <c r="L37" s="290"/>
      <c r="R37" s="547"/>
      <c r="W37" s="595"/>
      <c r="Y37" s="637"/>
    </row>
    <row r="38" spans="1:25" s="55" customFormat="1" ht="20.25" x14ac:dyDescent="0.2">
      <c r="A38" s="54"/>
      <c r="B38" s="54"/>
      <c r="C38" s="58" t="s">
        <v>311</v>
      </c>
      <c r="D38" s="58"/>
      <c r="E38" s="58"/>
      <c r="F38" s="58"/>
      <c r="G38" s="180">
        <v>4075</v>
      </c>
      <c r="H38" s="180">
        <v>4497</v>
      </c>
      <c r="I38" s="180">
        <v>4682.25</v>
      </c>
      <c r="J38" s="180">
        <v>4231.88</v>
      </c>
      <c r="K38" s="180">
        <f>3948.9+400+400</f>
        <v>4748.8999999999996</v>
      </c>
      <c r="L38" s="290"/>
      <c r="R38" s="547"/>
      <c r="W38" s="595"/>
      <c r="Y38" s="637"/>
    </row>
    <row r="39" spans="1:25" s="55" customFormat="1" ht="20.25" x14ac:dyDescent="0.2">
      <c r="A39" s="54"/>
      <c r="B39" s="54"/>
      <c r="C39" s="58" t="s">
        <v>225</v>
      </c>
      <c r="D39" s="58"/>
      <c r="E39" s="58"/>
      <c r="F39" s="58"/>
      <c r="G39" s="180">
        <v>1496</v>
      </c>
      <c r="H39" s="180">
        <f>75+874</f>
        <v>949</v>
      </c>
      <c r="I39" s="180">
        <v>982</v>
      </c>
      <c r="J39" s="180">
        <f>99+937</f>
        <v>1036</v>
      </c>
      <c r="K39" s="180">
        <v>1314</v>
      </c>
      <c r="L39" s="290"/>
      <c r="R39" s="547"/>
      <c r="W39" s="595"/>
      <c r="Y39" s="637"/>
    </row>
    <row r="40" spans="1:25" s="55" customFormat="1" ht="20.25" x14ac:dyDescent="0.2">
      <c r="A40" s="54"/>
      <c r="B40" s="54"/>
      <c r="C40" s="58" t="s">
        <v>379</v>
      </c>
      <c r="D40" s="58"/>
      <c r="E40" s="58"/>
      <c r="F40" s="58"/>
      <c r="G40" s="180">
        <v>3430</v>
      </c>
      <c r="H40" s="180">
        <v>4436.1400000000003</v>
      </c>
      <c r="I40" s="180">
        <v>7774.44</v>
      </c>
      <c r="J40" s="180">
        <f>7884.62+184.74</f>
        <v>8069.36</v>
      </c>
      <c r="K40" s="180">
        <v>8600</v>
      </c>
      <c r="L40" s="290"/>
      <c r="R40" s="547"/>
      <c r="W40" s="595"/>
      <c r="Y40" s="637"/>
    </row>
    <row r="41" spans="1:25" s="55" customFormat="1" ht="20.25" x14ac:dyDescent="0.2">
      <c r="A41" s="54"/>
      <c r="B41" s="54"/>
      <c r="C41" s="58" t="s">
        <v>226</v>
      </c>
      <c r="D41" s="58"/>
      <c r="E41" s="58"/>
      <c r="F41" s="58"/>
      <c r="G41" s="180">
        <v>459</v>
      </c>
      <c r="H41" s="180">
        <f>223.01+568.51</f>
        <v>791.52</v>
      </c>
      <c r="I41" s="180">
        <v>636.94000000000005</v>
      </c>
      <c r="J41" s="180">
        <f>958.23+28.31+10.3+36.4+4907.37</f>
        <v>5940.61</v>
      </c>
      <c r="K41" s="180">
        <v>1811</v>
      </c>
      <c r="L41" s="290"/>
      <c r="R41" s="547"/>
      <c r="W41" s="595"/>
      <c r="Y41" s="637"/>
    </row>
    <row r="42" spans="1:25" s="55" customFormat="1" ht="20.25" x14ac:dyDescent="0.2">
      <c r="A42" s="54"/>
      <c r="B42" s="54"/>
      <c r="C42" s="58" t="s">
        <v>120</v>
      </c>
      <c r="D42" s="58"/>
      <c r="E42" s="58"/>
      <c r="F42" s="58"/>
      <c r="G42" s="180">
        <v>1041</v>
      </c>
      <c r="H42" s="180">
        <v>1826.56</v>
      </c>
      <c r="I42" s="180">
        <v>2528.2399999999998</v>
      </c>
      <c r="J42" s="180">
        <v>3426.72</v>
      </c>
      <c r="K42" s="180">
        <f>235.23+4801.81</f>
        <v>5037.04</v>
      </c>
      <c r="L42" s="290"/>
      <c r="R42" s="547"/>
      <c r="W42" s="595"/>
      <c r="Y42" s="637"/>
    </row>
    <row r="43" spans="1:25" s="55" customFormat="1" ht="20.25" x14ac:dyDescent="0.2">
      <c r="A43" s="54"/>
      <c r="B43" s="54"/>
      <c r="C43" s="58" t="s">
        <v>118</v>
      </c>
      <c r="D43" s="58"/>
      <c r="E43" s="58"/>
      <c r="F43" s="58"/>
      <c r="G43" s="180">
        <v>436</v>
      </c>
      <c r="H43" s="180">
        <v>396.82</v>
      </c>
      <c r="I43" s="180">
        <v>385.18</v>
      </c>
      <c r="J43" s="180">
        <v>420.52</v>
      </c>
      <c r="K43" s="180">
        <f>421/10*12+125</f>
        <v>630.20000000000005</v>
      </c>
      <c r="L43" s="290"/>
      <c r="R43" s="547"/>
      <c r="W43" s="595"/>
      <c r="Y43" s="637"/>
    </row>
    <row r="44" spans="1:25" s="55" customFormat="1" ht="20.25" hidden="1" x14ac:dyDescent="0.2">
      <c r="A44" s="54"/>
      <c r="B44" s="54"/>
      <c r="C44" s="58" t="s">
        <v>227</v>
      </c>
      <c r="D44" s="58"/>
      <c r="E44" s="58"/>
      <c r="F44" s="58"/>
      <c r="G44" s="180"/>
      <c r="H44" s="180"/>
      <c r="I44" s="180"/>
      <c r="J44" s="180"/>
      <c r="K44" s="180"/>
      <c r="L44" s="290"/>
      <c r="R44" s="547"/>
      <c r="W44" s="595"/>
      <c r="Y44" s="637"/>
    </row>
    <row r="45" spans="1:25" s="55" customFormat="1" ht="20.25" x14ac:dyDescent="0.2">
      <c r="A45" s="58"/>
      <c r="B45" s="58"/>
      <c r="C45" s="58" t="s">
        <v>114</v>
      </c>
      <c r="D45" s="58"/>
      <c r="E45" s="58"/>
      <c r="F45" s="58"/>
      <c r="G45" s="180">
        <v>205</v>
      </c>
      <c r="H45" s="180">
        <v>422.62</v>
      </c>
      <c r="I45" s="180">
        <v>265.58</v>
      </c>
      <c r="J45" s="180">
        <v>225.92</v>
      </c>
      <c r="K45" s="180">
        <f>226/8*12</f>
        <v>339</v>
      </c>
      <c r="L45" s="290"/>
      <c r="R45" s="547"/>
      <c r="W45" s="595"/>
      <c r="Y45" s="637"/>
    </row>
    <row r="46" spans="1:25" s="55" customFormat="1" ht="20.25" x14ac:dyDescent="0.2">
      <c r="A46" s="58"/>
      <c r="B46" s="58"/>
      <c r="C46" s="58" t="s">
        <v>228</v>
      </c>
      <c r="D46" s="58"/>
      <c r="E46" s="58"/>
      <c r="F46" s="58"/>
      <c r="G46" s="182">
        <v>542</v>
      </c>
      <c r="H46" s="182">
        <f>248.22+18.56+28.25+5</f>
        <v>300.02999999999997</v>
      </c>
      <c r="I46" s="182">
        <v>938.98</v>
      </c>
      <c r="J46" s="182">
        <f>292.24+4514.12-J38+84.23</f>
        <v>658.70999999999958</v>
      </c>
      <c r="K46" s="182">
        <v>225</v>
      </c>
      <c r="L46" s="290"/>
      <c r="R46" s="547"/>
      <c r="W46" s="595"/>
      <c r="Y46" s="637"/>
    </row>
    <row r="47" spans="1:25" s="55" customFormat="1" ht="21" thickBot="1" x14ac:dyDescent="0.25">
      <c r="A47" s="54"/>
      <c r="B47" s="54"/>
      <c r="C47" s="54"/>
      <c r="D47" s="54" t="s">
        <v>126</v>
      </c>
      <c r="E47" s="54"/>
      <c r="F47" s="54"/>
      <c r="G47" s="363">
        <f>SUM(G28:G46)</f>
        <v>347673</v>
      </c>
      <c r="H47" s="363">
        <f>SUM(H28:H46)</f>
        <v>375019.4200000001</v>
      </c>
      <c r="I47" s="363">
        <f>SUM(I28:I46)</f>
        <v>344190.97</v>
      </c>
      <c r="J47" s="363">
        <f>SUM(J28:J46)</f>
        <v>403803.55409999995</v>
      </c>
      <c r="K47" s="363">
        <f>SUM(K28:K46)</f>
        <v>472315.38</v>
      </c>
      <c r="L47" s="290"/>
      <c r="R47" s="547"/>
      <c r="W47" s="595"/>
      <c r="Y47" s="637"/>
    </row>
    <row r="48" spans="1:25" s="55" customFormat="1" ht="21" thickBot="1" x14ac:dyDescent="0.25">
      <c r="A48" s="54"/>
      <c r="B48" s="54"/>
      <c r="C48" s="54"/>
      <c r="D48" s="54" t="s">
        <v>127</v>
      </c>
      <c r="E48" s="54"/>
      <c r="F48" s="54"/>
      <c r="G48" s="364">
        <f>G22-G47</f>
        <v>-14846</v>
      </c>
      <c r="H48" s="364">
        <f>H22-H47</f>
        <v>23148.419999999867</v>
      </c>
      <c r="I48" s="364">
        <f>I22-I47</f>
        <v>-39845.239999999991</v>
      </c>
      <c r="J48" s="364">
        <f>J22-J47</f>
        <v>-63565.374100000015</v>
      </c>
      <c r="K48" s="364">
        <f>K22-K47</f>
        <v>-135766.16000000003</v>
      </c>
      <c r="L48" s="290"/>
      <c r="R48" s="547"/>
      <c r="W48" s="595"/>
      <c r="Y48" s="637"/>
    </row>
    <row r="49" spans="1:25" s="55" customFormat="1" ht="20.25" x14ac:dyDescent="0.2">
      <c r="A49" s="54"/>
      <c r="B49" s="54"/>
      <c r="C49" s="54"/>
      <c r="D49" s="54"/>
      <c r="E49" s="54"/>
      <c r="F49" s="54"/>
      <c r="G49" s="54"/>
      <c r="H49" s="54"/>
      <c r="I49" s="180"/>
      <c r="J49" s="180"/>
      <c r="K49" s="180"/>
      <c r="L49" s="290"/>
      <c r="R49" s="547"/>
      <c r="W49" s="595"/>
      <c r="Y49" s="637"/>
    </row>
    <row r="50" spans="1:25" s="52" customFormat="1" ht="26.25" x14ac:dyDescent="0.2">
      <c r="A50" s="206"/>
      <c r="B50" s="206"/>
      <c r="C50" s="58" t="s">
        <v>263</v>
      </c>
      <c r="E50" s="58"/>
      <c r="F50" s="58"/>
      <c r="G50" s="639"/>
      <c r="H50" s="639">
        <f>-69500</f>
        <v>-69500</v>
      </c>
      <c r="I50" s="58"/>
      <c r="J50" s="180"/>
      <c r="K50" s="180"/>
      <c r="L50" s="289"/>
      <c r="R50" s="635"/>
      <c r="W50" s="636"/>
      <c r="Y50" s="637"/>
    </row>
    <row r="51" spans="1:25" s="55" customFormat="1" ht="20.25" x14ac:dyDescent="0.2">
      <c r="A51" s="54"/>
      <c r="B51" s="54"/>
      <c r="C51" s="58" t="s">
        <v>446</v>
      </c>
      <c r="E51" s="54"/>
      <c r="G51" s="180">
        <f>G36</f>
        <v>25080</v>
      </c>
      <c r="H51" s="180">
        <f>H36</f>
        <v>24029.68</v>
      </c>
      <c r="I51" s="180">
        <f>I36</f>
        <v>31769</v>
      </c>
      <c r="J51" s="180">
        <f>J36</f>
        <v>30384</v>
      </c>
      <c r="K51" s="180">
        <f>K36</f>
        <v>30834</v>
      </c>
      <c r="L51" s="290"/>
      <c r="R51" s="547"/>
      <c r="W51" s="595"/>
      <c r="Y51" s="637"/>
    </row>
    <row r="52" spans="1:25" s="55" customFormat="1" ht="24" thickBot="1" x14ac:dyDescent="0.25">
      <c r="A52" s="54"/>
      <c r="B52" s="209"/>
      <c r="C52" s="54"/>
      <c r="D52" s="806" t="s">
        <v>230</v>
      </c>
      <c r="E52" s="806"/>
      <c r="F52" s="806"/>
      <c r="G52" s="365">
        <f>G48+G50+G51</f>
        <v>10234</v>
      </c>
      <c r="H52" s="365">
        <f>H48+H50+H51</f>
        <v>-22321.900000000132</v>
      </c>
      <c r="I52" s="365">
        <f>I48+I50+I51</f>
        <v>-8076.2399999999907</v>
      </c>
      <c r="J52" s="365">
        <f>J48+J50+J51</f>
        <v>-33181.374100000015</v>
      </c>
      <c r="K52" s="365">
        <f>K48+K50+K51</f>
        <v>-104932.16000000003</v>
      </c>
      <c r="L52" s="290"/>
      <c r="R52" s="547"/>
      <c r="W52" s="595"/>
      <c r="Y52" s="637"/>
    </row>
    <row r="53" spans="1:25" s="55" customFormat="1" ht="42" customHeight="1" thickTop="1" x14ac:dyDescent="0.2">
      <c r="A53" s="54"/>
      <c r="B53" s="54"/>
      <c r="C53" s="54"/>
      <c r="D53" s="54"/>
      <c r="E53" s="54"/>
      <c r="F53" s="54"/>
      <c r="G53" s="54"/>
      <c r="H53" s="54"/>
      <c r="I53" s="54"/>
      <c r="J53" s="180"/>
      <c r="K53" s="180"/>
      <c r="L53" s="290"/>
      <c r="R53" s="547"/>
      <c r="W53" s="595"/>
      <c r="Y53" s="637"/>
    </row>
    <row r="54" spans="1:25" s="55" customFormat="1" ht="20.25" x14ac:dyDescent="0.2">
      <c r="A54" s="58"/>
      <c r="B54" s="58"/>
      <c r="C54" s="58"/>
      <c r="D54" s="58"/>
      <c r="F54" s="58" t="s">
        <v>307</v>
      </c>
      <c r="G54" s="180">
        <v>225930</v>
      </c>
      <c r="H54" s="180">
        <v>227723</v>
      </c>
      <c r="I54" s="180">
        <v>178666</v>
      </c>
      <c r="J54" s="180">
        <v>206080</v>
      </c>
      <c r="K54" s="180">
        <v>226000</v>
      </c>
      <c r="L54" s="290"/>
      <c r="R54" s="547"/>
      <c r="W54" s="595"/>
      <c r="Y54" s="637"/>
    </row>
    <row r="55" spans="1:25" s="55" customFormat="1" ht="21" thickBot="1" x14ac:dyDescent="0.25">
      <c r="A55" s="58"/>
      <c r="B55" s="58"/>
      <c r="C55" s="58"/>
      <c r="D55" s="58"/>
      <c r="F55" s="58" t="s">
        <v>312</v>
      </c>
      <c r="G55" s="471">
        <f>(G47-G36-G37)/G54</f>
        <v>1.386615323330235</v>
      </c>
      <c r="H55" s="471">
        <f>(H47-H36-H37)/H54</f>
        <v>1.5003962709080774</v>
      </c>
      <c r="I55" s="471">
        <f>(I47-I36-I37)/I54</f>
        <v>1.6965005653006167</v>
      </c>
      <c r="J55" s="471">
        <f>(J47-J36-J37)/J54</f>
        <v>1.7608285816187885</v>
      </c>
      <c r="K55" s="471">
        <f>(K47-K36-K37)/K54</f>
        <v>1.9067848672566372</v>
      </c>
      <c r="L55" s="290"/>
      <c r="R55" s="547"/>
      <c r="W55" s="595"/>
      <c r="Y55" s="637"/>
    </row>
    <row r="56" spans="1:25" s="55" customFormat="1" ht="20.25" x14ac:dyDescent="0.2">
      <c r="A56" s="58"/>
      <c r="B56" s="58"/>
      <c r="C56" s="58"/>
      <c r="D56" s="58"/>
      <c r="F56" s="58"/>
      <c r="G56" s="58"/>
      <c r="H56" s="180"/>
      <c r="I56" s="180"/>
      <c r="J56" s="180"/>
      <c r="K56" s="180"/>
      <c r="L56" s="290"/>
      <c r="R56" s="547"/>
      <c r="W56" s="595"/>
      <c r="Y56" s="637"/>
    </row>
    <row r="57" spans="1:25" s="55" customFormat="1" ht="20.25" x14ac:dyDescent="0.2">
      <c r="A57" s="58"/>
      <c r="B57" s="58"/>
      <c r="C57" s="58"/>
      <c r="D57" s="58"/>
      <c r="F57" s="58" t="s">
        <v>308</v>
      </c>
      <c r="G57" s="180">
        <v>15755</v>
      </c>
      <c r="H57" s="180">
        <v>16457</v>
      </c>
      <c r="I57" s="180">
        <v>10151</v>
      </c>
      <c r="J57" s="180">
        <v>10428</v>
      </c>
      <c r="K57" s="180">
        <v>11740</v>
      </c>
      <c r="L57" s="290"/>
      <c r="R57" s="547"/>
      <c r="W57" s="595"/>
      <c r="Y57" s="637"/>
    </row>
    <row r="58" spans="1:25" s="55" customFormat="1" ht="21" thickBot="1" x14ac:dyDescent="0.25">
      <c r="A58" s="58"/>
      <c r="B58" s="58"/>
      <c r="C58" s="58"/>
      <c r="D58" s="58"/>
      <c r="F58" s="58" t="s">
        <v>368</v>
      </c>
      <c r="G58" s="471">
        <f>(G47-G36-G37)/G57</f>
        <v>19.884354173278325</v>
      </c>
      <c r="H58" s="471">
        <f>(H47-H36-H37)/H57</f>
        <v>20.761666160296535</v>
      </c>
      <c r="I58" s="471">
        <f>(I47-I36-I37)/I57</f>
        <v>29.859813811447147</v>
      </c>
      <c r="J58" s="471">
        <f>(J47-J36-J37)/J57</f>
        <v>34.797809177215186</v>
      </c>
      <c r="K58" s="471">
        <f>(K47-K36-K37)/K57</f>
        <v>36.706420783645655</v>
      </c>
      <c r="L58" s="290"/>
      <c r="R58" s="547"/>
      <c r="W58" s="595"/>
      <c r="Y58" s="637"/>
    </row>
    <row r="59" spans="1:25" s="55" customFormat="1" ht="20.25" x14ac:dyDescent="0.2">
      <c r="A59" s="58"/>
      <c r="B59" s="58"/>
      <c r="C59" s="58"/>
      <c r="D59" s="58"/>
      <c r="F59" s="58"/>
      <c r="G59" s="58"/>
      <c r="H59" s="180"/>
      <c r="I59" s="180"/>
      <c r="J59" s="180"/>
      <c r="K59" s="180"/>
      <c r="L59" s="290"/>
      <c r="R59" s="547"/>
      <c r="W59" s="595"/>
      <c r="Y59" s="637"/>
    </row>
    <row r="60" spans="1:25" s="55" customFormat="1" ht="20.25" hidden="1" x14ac:dyDescent="0.2">
      <c r="A60" s="58"/>
      <c r="B60" s="58"/>
      <c r="C60" s="54"/>
      <c r="D60" s="58"/>
      <c r="F60" s="58" t="s">
        <v>309</v>
      </c>
      <c r="G60" s="58"/>
      <c r="H60" s="180">
        <v>2102</v>
      </c>
      <c r="I60" s="180">
        <v>2696</v>
      </c>
      <c r="J60" s="180">
        <v>2714</v>
      </c>
      <c r="K60" s="180">
        <v>2714</v>
      </c>
      <c r="L60" s="290"/>
      <c r="R60" s="547"/>
      <c r="W60" s="595"/>
      <c r="Y60" s="637"/>
    </row>
    <row r="61" spans="1:25" s="55" customFormat="1" ht="21" hidden="1" thickBot="1" x14ac:dyDescent="0.25">
      <c r="A61" s="58"/>
      <c r="B61" s="58"/>
      <c r="C61" s="58"/>
      <c r="D61" s="58"/>
      <c r="E61" s="58"/>
      <c r="F61" s="58" t="s">
        <v>369</v>
      </c>
      <c r="G61" s="58"/>
      <c r="H61" s="471">
        <f>H10/H60</f>
        <v>5.8413035204567079</v>
      </c>
      <c r="I61" s="471">
        <f>I9/I60</f>
        <v>25.248538575667656</v>
      </c>
      <c r="J61" s="471">
        <f>J9/J60</f>
        <v>31.557439204126752</v>
      </c>
      <c r="K61" s="471">
        <f>K9/K60</f>
        <v>32.464893146647015</v>
      </c>
      <c r="L61" s="290"/>
      <c r="R61" s="547"/>
      <c r="W61" s="595"/>
      <c r="Y61" s="637"/>
    </row>
    <row r="62" spans="1:25" s="55" customFormat="1" ht="20.25" hidden="1" x14ac:dyDescent="0.2">
      <c r="A62" s="58"/>
      <c r="B62" s="58"/>
      <c r="C62" s="54"/>
      <c r="D62" s="54"/>
      <c r="I62" s="180"/>
      <c r="J62" s="180"/>
      <c r="K62" s="180"/>
      <c r="L62" s="290"/>
      <c r="R62" s="547"/>
      <c r="W62" s="595"/>
      <c r="Y62" s="637"/>
    </row>
    <row r="63" spans="1:25" s="55" customFormat="1" ht="20.25" hidden="1" x14ac:dyDescent="0.2">
      <c r="A63" s="58"/>
      <c r="B63" s="58"/>
      <c r="C63" s="58"/>
      <c r="D63" s="58"/>
      <c r="E63" s="58"/>
      <c r="F63" s="58" t="s">
        <v>480</v>
      </c>
      <c r="G63" s="58"/>
      <c r="H63" s="180">
        <v>195138</v>
      </c>
      <c r="I63" s="180">
        <v>104281</v>
      </c>
      <c r="J63" s="180">
        <v>114885</v>
      </c>
      <c r="K63" s="180">
        <v>134000</v>
      </c>
      <c r="L63" s="290"/>
      <c r="R63" s="547"/>
      <c r="W63" s="595"/>
      <c r="Y63" s="637"/>
    </row>
    <row r="64" spans="1:25" s="55" customFormat="1" ht="21" hidden="1" thickBot="1" x14ac:dyDescent="0.25">
      <c r="A64" s="58"/>
      <c r="B64" s="58"/>
      <c r="C64" s="58"/>
      <c r="D64" s="58"/>
      <c r="E64" s="58"/>
      <c r="F64" s="58" t="s">
        <v>312</v>
      </c>
      <c r="G64" s="58"/>
      <c r="H64" s="471">
        <f>(H47-H36-H37)/H63</f>
        <v>1.7509390277649668</v>
      </c>
      <c r="I64" s="471">
        <f>(I47-I36-I37)/I63</f>
        <v>2.9066365876813607</v>
      </c>
      <c r="J64" s="471">
        <f>(J47-J36-J37)/J63</f>
        <v>3.1585633816425118</v>
      </c>
      <c r="K64" s="471">
        <f>(K47-K36-K37)/K63</f>
        <v>3.2159207462686568</v>
      </c>
      <c r="L64" s="290"/>
      <c r="R64" s="547"/>
      <c r="W64" s="595"/>
      <c r="Y64" s="637"/>
    </row>
    <row r="65" spans="1:25" s="55" customFormat="1" ht="20.25" hidden="1" x14ac:dyDescent="0.2">
      <c r="A65" s="58"/>
      <c r="B65" s="58"/>
      <c r="C65" s="54"/>
      <c r="D65" s="58"/>
      <c r="F65" s="58"/>
      <c r="G65" s="58"/>
      <c r="H65" s="58"/>
      <c r="I65" s="180"/>
      <c r="J65" s="180"/>
      <c r="K65" s="180"/>
      <c r="L65" s="290"/>
      <c r="R65" s="547"/>
      <c r="W65" s="595"/>
      <c r="Y65" s="637"/>
    </row>
    <row r="66" spans="1:25" s="55" customFormat="1" ht="20.25" hidden="1" x14ac:dyDescent="0.2">
      <c r="A66" s="58"/>
      <c r="B66" s="58"/>
      <c r="C66" s="54"/>
      <c r="D66" s="58"/>
      <c r="F66" s="58" t="s">
        <v>480</v>
      </c>
      <c r="G66" s="58"/>
      <c r="H66" s="180">
        <v>195138</v>
      </c>
      <c r="I66" s="180">
        <v>104281</v>
      </c>
      <c r="J66" s="180">
        <v>114885</v>
      </c>
      <c r="K66" s="180">
        <f>K63</f>
        <v>134000</v>
      </c>
      <c r="L66" s="290"/>
      <c r="R66" s="547"/>
      <c r="W66" s="595"/>
      <c r="Y66" s="637"/>
    </row>
    <row r="67" spans="1:25" s="55" customFormat="1" ht="20.25" hidden="1" x14ac:dyDescent="0.2">
      <c r="A67" s="58"/>
      <c r="B67" s="58"/>
      <c r="C67" s="54"/>
      <c r="D67" s="58"/>
      <c r="F67" s="58" t="s">
        <v>308</v>
      </c>
      <c r="G67" s="58"/>
      <c r="H67" s="180">
        <v>16457</v>
      </c>
      <c r="I67" s="180">
        <v>10151</v>
      </c>
      <c r="J67" s="180">
        <v>10428</v>
      </c>
      <c r="K67" s="180">
        <f>K57</f>
        <v>11740</v>
      </c>
      <c r="L67" s="290"/>
      <c r="R67" s="547"/>
      <c r="W67" s="595"/>
      <c r="Y67" s="637"/>
    </row>
    <row r="68" spans="1:25" s="55" customFormat="1" ht="21" hidden="1" thickBot="1" x14ac:dyDescent="0.25">
      <c r="A68" s="58"/>
      <c r="B68" s="58"/>
      <c r="C68" s="58"/>
      <c r="D68" s="58"/>
      <c r="E68" s="58"/>
      <c r="F68" s="58" t="s">
        <v>481</v>
      </c>
      <c r="G68" s="58"/>
      <c r="H68" s="640">
        <f>H66/H67</f>
        <v>11.857446679224646</v>
      </c>
      <c r="I68" s="640">
        <f>I66/I67</f>
        <v>10.272978031721014</v>
      </c>
      <c r="J68" s="640">
        <f>J66/J67</f>
        <v>11.016973532796317</v>
      </c>
      <c r="K68" s="640">
        <f>K66/K67</f>
        <v>11.41396933560477</v>
      </c>
      <c r="L68" s="290"/>
      <c r="R68" s="547"/>
      <c r="W68" s="595"/>
      <c r="Y68" s="637"/>
    </row>
    <row r="69" spans="1:25" s="55" customFormat="1" ht="20.25" hidden="1" x14ac:dyDescent="0.2">
      <c r="A69" s="54"/>
      <c r="B69" s="54"/>
      <c r="C69" s="54"/>
      <c r="D69" s="54"/>
      <c r="E69" s="54"/>
      <c r="F69" s="54"/>
      <c r="G69" s="54"/>
      <c r="H69" s="54"/>
      <c r="I69" s="183"/>
      <c r="J69" s="183"/>
      <c r="K69" s="183"/>
      <c r="L69" s="290"/>
      <c r="R69" s="547"/>
      <c r="W69" s="595"/>
      <c r="Y69" s="637"/>
    </row>
    <row r="70" spans="1:25" s="55" customFormat="1" ht="20.25" hidden="1" x14ac:dyDescent="0.2">
      <c r="A70" s="54"/>
      <c r="B70" s="54"/>
      <c r="C70" s="54"/>
      <c r="D70" s="54"/>
      <c r="E70" s="54"/>
      <c r="F70" s="58" t="s">
        <v>482</v>
      </c>
      <c r="G70" s="58"/>
      <c r="H70" s="180">
        <v>227723</v>
      </c>
      <c r="I70" s="180">
        <v>178666</v>
      </c>
      <c r="J70" s="180">
        <v>206080</v>
      </c>
      <c r="K70" s="180">
        <f>K54</f>
        <v>226000</v>
      </c>
      <c r="L70" s="290"/>
      <c r="R70" s="547"/>
      <c r="W70" s="595"/>
      <c r="Y70" s="637"/>
    </row>
    <row r="71" spans="1:25" s="55" customFormat="1" ht="20.25" hidden="1" x14ac:dyDescent="0.2">
      <c r="A71" s="54"/>
      <c r="B71" s="54"/>
      <c r="C71" s="54"/>
      <c r="D71" s="54"/>
      <c r="E71" s="54"/>
      <c r="F71" s="58" t="s">
        <v>308</v>
      </c>
      <c r="G71" s="58"/>
      <c r="H71" s="180">
        <v>16457</v>
      </c>
      <c r="I71" s="180">
        <v>10151</v>
      </c>
      <c r="J71" s="180">
        <v>10428</v>
      </c>
      <c r="K71" s="180">
        <f>K57</f>
        <v>11740</v>
      </c>
      <c r="L71" s="290"/>
      <c r="R71" s="547"/>
      <c r="W71" s="595"/>
      <c r="Y71" s="637"/>
    </row>
    <row r="72" spans="1:25" s="55" customFormat="1" ht="21" hidden="1" thickBot="1" x14ac:dyDescent="0.25">
      <c r="A72" s="54"/>
      <c r="B72" s="54"/>
      <c r="C72" s="54"/>
      <c r="D72" s="54"/>
      <c r="E72" s="54"/>
      <c r="F72" s="58" t="s">
        <v>483</v>
      </c>
      <c r="G72" s="58"/>
      <c r="H72" s="640">
        <f>H70/H71</f>
        <v>13.837455186242936</v>
      </c>
      <c r="I72" s="640">
        <f>I70/I71</f>
        <v>17.600827504679341</v>
      </c>
      <c r="J72" s="640">
        <f>J70/J71</f>
        <v>19.762178749520523</v>
      </c>
      <c r="K72" s="640">
        <f>K70/K71</f>
        <v>19.250425894378193</v>
      </c>
      <c r="L72" s="290"/>
      <c r="R72" s="547"/>
      <c r="W72" s="595"/>
      <c r="Y72" s="637"/>
    </row>
    <row r="73" spans="1:25" s="55" customFormat="1" ht="20.25" hidden="1" x14ac:dyDescent="0.2">
      <c r="A73" s="54"/>
      <c r="B73" s="54"/>
      <c r="C73" s="54"/>
      <c r="D73" s="54"/>
      <c r="E73" s="54"/>
      <c r="F73" s="58"/>
      <c r="G73" s="58"/>
      <c r="H73" s="641"/>
      <c r="I73" s="641"/>
      <c r="J73" s="641"/>
      <c r="K73" s="641"/>
      <c r="L73" s="290"/>
      <c r="R73" s="547"/>
      <c r="W73" s="595"/>
      <c r="Y73" s="637"/>
    </row>
    <row r="74" spans="1:25" s="55" customFormat="1" ht="20.25" hidden="1" x14ac:dyDescent="0.2">
      <c r="A74" s="54"/>
      <c r="B74" s="54"/>
      <c r="C74" s="54"/>
      <c r="D74" s="54"/>
      <c r="E74" s="54"/>
      <c r="F74" s="642" t="s">
        <v>484</v>
      </c>
      <c r="G74" s="642"/>
      <c r="H74" s="54"/>
      <c r="I74" s="54"/>
      <c r="J74" s="183"/>
      <c r="K74" s="183"/>
      <c r="L74" s="290"/>
      <c r="R74" s="547"/>
      <c r="W74" s="595"/>
      <c r="Y74" s="637"/>
    </row>
    <row r="75" spans="1:25" s="55" customFormat="1" ht="20.25" hidden="1" x14ac:dyDescent="0.2">
      <c r="A75" s="54"/>
      <c r="B75" s="54"/>
      <c r="C75" s="54"/>
      <c r="D75" s="54"/>
      <c r="E75" s="54"/>
      <c r="F75" s="54" t="s">
        <v>485</v>
      </c>
      <c r="G75" s="54"/>
      <c r="H75" s="643">
        <f t="shared" ref="H75:J75" si="0">H28+(H28*0.21)+H32+H34</f>
        <v>237890.76749999999</v>
      </c>
      <c r="I75" s="643">
        <f t="shared" si="0"/>
        <v>188101.25649999999</v>
      </c>
      <c r="J75" s="643">
        <f t="shared" si="0"/>
        <v>232210.04700000002</v>
      </c>
      <c r="K75" s="643">
        <f>K28+(K28*0.2)+K32+K34</f>
        <v>290400</v>
      </c>
      <c r="L75" s="644"/>
      <c r="R75" s="547"/>
      <c r="W75" s="595"/>
      <c r="Y75" s="637"/>
    </row>
    <row r="76" spans="1:25" s="55" customFormat="1" ht="23.25" hidden="1" x14ac:dyDescent="0.2">
      <c r="A76" s="54"/>
      <c r="B76" s="209"/>
      <c r="C76" s="54"/>
      <c r="D76" s="54"/>
      <c r="E76" s="54"/>
      <c r="F76" s="54" t="s">
        <v>486</v>
      </c>
      <c r="G76" s="54"/>
      <c r="H76" s="183">
        <f>H47-H75-H77</f>
        <v>103783.97250000012</v>
      </c>
      <c r="I76" s="183">
        <f>I47-I75-I77</f>
        <v>115005.71349999998</v>
      </c>
      <c r="J76" s="183">
        <f>J47-J75-J77</f>
        <v>130661.50709999993</v>
      </c>
      <c r="K76" s="183">
        <f>K47-K75-K77</f>
        <v>140533.38</v>
      </c>
      <c r="L76" s="644"/>
      <c r="R76" s="547"/>
      <c r="W76" s="595"/>
      <c r="Y76" s="637"/>
    </row>
    <row r="77" spans="1:25" s="55" customFormat="1" ht="20.25" hidden="1" x14ac:dyDescent="0.2">
      <c r="A77" s="58"/>
      <c r="B77" s="58"/>
      <c r="D77" s="58"/>
      <c r="E77" s="58"/>
      <c r="F77" s="54" t="s">
        <v>487</v>
      </c>
      <c r="G77" s="54"/>
      <c r="H77" s="183">
        <f>H36+H37</f>
        <v>33344.68</v>
      </c>
      <c r="I77" s="183">
        <f>I36+I37</f>
        <v>41084</v>
      </c>
      <c r="J77" s="183">
        <f>J36+J37</f>
        <v>40932</v>
      </c>
      <c r="K77" s="183">
        <f>K36+K37</f>
        <v>41382</v>
      </c>
      <c r="L77" s="644"/>
      <c r="R77" s="547"/>
      <c r="W77" s="595"/>
      <c r="Y77" s="637"/>
    </row>
    <row r="78" spans="1:25" s="55" customFormat="1" ht="21" hidden="1" thickBot="1" x14ac:dyDescent="0.25">
      <c r="A78" s="58"/>
      <c r="B78" s="58"/>
      <c r="D78" s="58"/>
      <c r="E78" s="58"/>
      <c r="F78" s="54" t="s">
        <v>488</v>
      </c>
      <c r="G78" s="54"/>
      <c r="H78" s="645">
        <f>SUM(H75:H77)</f>
        <v>375019.4200000001</v>
      </c>
      <c r="I78" s="645">
        <f>SUM(I75:I77)</f>
        <v>344190.97</v>
      </c>
      <c r="J78" s="645">
        <f>SUM(J75:J77)</f>
        <v>403803.55409999995</v>
      </c>
      <c r="K78" s="645">
        <f>SUM(K75:K77)</f>
        <v>472315.38</v>
      </c>
      <c r="L78" s="644"/>
      <c r="R78" s="547"/>
      <c r="W78" s="595"/>
      <c r="Y78" s="637"/>
    </row>
    <row r="79" spans="1:25" s="55" customFormat="1" ht="20.25" hidden="1" x14ac:dyDescent="0.2">
      <c r="A79" s="58"/>
      <c r="B79" s="58"/>
      <c r="D79" s="58"/>
      <c r="E79" s="58"/>
      <c r="F79" s="54" t="s">
        <v>489</v>
      </c>
      <c r="G79" s="54"/>
      <c r="H79" s="646">
        <v>195138</v>
      </c>
      <c r="I79" s="646">
        <v>104281</v>
      </c>
      <c r="J79" s="647">
        <f>J63</f>
        <v>114885</v>
      </c>
      <c r="K79" s="647">
        <f>K63</f>
        <v>134000</v>
      </c>
      <c r="L79" s="644"/>
      <c r="R79" s="547"/>
      <c r="W79" s="595"/>
      <c r="Y79" s="637"/>
    </row>
    <row r="80" spans="1:25" s="55" customFormat="1" ht="20.25" hidden="1" x14ac:dyDescent="0.2">
      <c r="A80" s="58"/>
      <c r="B80" s="58"/>
      <c r="D80" s="58"/>
      <c r="E80" s="58"/>
      <c r="F80" s="54" t="s">
        <v>490</v>
      </c>
      <c r="G80" s="54"/>
      <c r="H80" s="648">
        <f>H75/H79</f>
        <v>1.2190899132921316</v>
      </c>
      <c r="I80" s="648">
        <f>I75/I79</f>
        <v>1.8037922200592629</v>
      </c>
      <c r="J80" s="648">
        <f>J75/J79</f>
        <v>2.0212390390390391</v>
      </c>
      <c r="K80" s="648">
        <f>K75/K79</f>
        <v>2.1671641791044776</v>
      </c>
      <c r="L80" s="644"/>
      <c r="R80" s="547"/>
      <c r="W80" s="595"/>
      <c r="Y80" s="637"/>
    </row>
    <row r="81" spans="1:25" s="55" customFormat="1" ht="20.25" hidden="1" x14ac:dyDescent="0.2">
      <c r="A81" s="58"/>
      <c r="B81" s="58"/>
      <c r="D81" s="58"/>
      <c r="E81" s="58"/>
      <c r="F81" s="54" t="s">
        <v>491</v>
      </c>
      <c r="G81" s="54"/>
      <c r="H81" s="648">
        <f>H76/H57</f>
        <v>6.3063725162544886</v>
      </c>
      <c r="I81" s="648">
        <f>I76/I57</f>
        <v>11.329495960989064</v>
      </c>
      <c r="J81" s="648">
        <f>J76/J57</f>
        <v>12.529872180667427</v>
      </c>
      <c r="K81" s="648">
        <f>K76/K57</f>
        <v>11.970475298126065</v>
      </c>
      <c r="L81" s="644"/>
      <c r="R81" s="547"/>
      <c r="W81" s="595"/>
      <c r="Y81" s="637"/>
    </row>
    <row r="82" spans="1:25" s="55" customFormat="1" ht="20.25" hidden="1" x14ac:dyDescent="0.2">
      <c r="A82" s="58"/>
      <c r="B82" s="58"/>
      <c r="D82" s="58"/>
      <c r="E82" s="58"/>
      <c r="F82" s="54"/>
      <c r="G82" s="54"/>
      <c r="H82" s="54"/>
      <c r="I82" s="648"/>
      <c r="J82" s="648"/>
      <c r="K82" s="648"/>
      <c r="L82" s="644"/>
      <c r="R82" s="547"/>
      <c r="W82" s="595"/>
      <c r="Y82" s="637"/>
    </row>
    <row r="83" spans="1:25" s="55" customFormat="1" ht="20.25" hidden="1" x14ac:dyDescent="0.2">
      <c r="A83" s="58"/>
      <c r="B83" s="58"/>
      <c r="D83" s="58"/>
      <c r="E83" s="58"/>
      <c r="H83" s="58"/>
      <c r="I83" s="58"/>
      <c r="J83" s="180"/>
      <c r="K83" s="180"/>
      <c r="L83" s="290"/>
      <c r="R83" s="547"/>
      <c r="W83" s="595"/>
      <c r="Y83" s="637"/>
    </row>
    <row r="84" spans="1:25" s="55" customFormat="1" ht="20.25" hidden="1" x14ac:dyDescent="0.2">
      <c r="A84" s="54"/>
      <c r="B84" s="54"/>
      <c r="D84" s="58"/>
      <c r="E84" s="54"/>
      <c r="F84" s="54" t="s">
        <v>485</v>
      </c>
      <c r="G84" s="54"/>
      <c r="H84" s="183">
        <f>H24-H85-H86</f>
        <v>238182.86749999985</v>
      </c>
      <c r="I84" s="183">
        <f>I22-I85-I86</f>
        <v>180025.0165</v>
      </c>
      <c r="J84" s="183">
        <f>J22-J85-J86</f>
        <v>199028.67290000001</v>
      </c>
      <c r="K84" s="183">
        <f>K22-K85-K86</f>
        <v>185467.83999999997</v>
      </c>
      <c r="L84" s="644"/>
      <c r="R84" s="547"/>
      <c r="W84" s="595"/>
      <c r="Y84" s="637"/>
    </row>
    <row r="85" spans="1:25" s="55" customFormat="1" ht="23.25" hidden="1" x14ac:dyDescent="0.2">
      <c r="A85" s="54"/>
      <c r="B85" s="209"/>
      <c r="C85" s="54"/>
      <c r="D85" s="54"/>
      <c r="E85" s="54"/>
      <c r="F85" s="54" t="s">
        <v>486</v>
      </c>
      <c r="G85" s="54"/>
      <c r="H85" s="646">
        <f>H76</f>
        <v>103783.97250000012</v>
      </c>
      <c r="I85" s="646">
        <f>I76</f>
        <v>115005.71349999998</v>
      </c>
      <c r="J85" s="183">
        <f>J76</f>
        <v>130661.50709999993</v>
      </c>
      <c r="K85" s="183">
        <f>K76</f>
        <v>140533.38</v>
      </c>
      <c r="L85" s="644"/>
      <c r="R85" s="547"/>
      <c r="W85" s="595"/>
      <c r="Y85" s="637"/>
    </row>
    <row r="86" spans="1:25" s="55" customFormat="1" ht="20.25" hidden="1" x14ac:dyDescent="0.2">
      <c r="A86" s="54"/>
      <c r="B86" s="54"/>
      <c r="C86" s="54"/>
      <c r="D86" s="54"/>
      <c r="E86" s="54"/>
      <c r="F86" s="54" t="s">
        <v>492</v>
      </c>
      <c r="G86" s="54"/>
      <c r="H86" s="646">
        <f>H18</f>
        <v>9315</v>
      </c>
      <c r="I86" s="646">
        <f>I18</f>
        <v>9315</v>
      </c>
      <c r="J86" s="183">
        <f>J37</f>
        <v>10548</v>
      </c>
      <c r="K86" s="183">
        <f>K37</f>
        <v>10548</v>
      </c>
      <c r="L86" s="644"/>
      <c r="R86" s="547"/>
      <c r="W86" s="595"/>
      <c r="Y86" s="637"/>
    </row>
    <row r="87" spans="1:25" s="62" customFormat="1" ht="27" hidden="1" thickBot="1" x14ac:dyDescent="0.25">
      <c r="A87" s="206"/>
      <c r="B87" s="206"/>
      <c r="C87" s="206"/>
      <c r="D87" s="206"/>
      <c r="E87" s="206"/>
      <c r="F87" s="54" t="s">
        <v>493</v>
      </c>
      <c r="G87" s="54"/>
      <c r="H87" s="573">
        <f>SUM(H84:H86)</f>
        <v>351281.83999999997</v>
      </c>
      <c r="I87" s="573">
        <f>SUM(I84:I86)</f>
        <v>304345.73</v>
      </c>
      <c r="J87" s="573">
        <f>SUM(J84:J86)</f>
        <v>340238.17999999993</v>
      </c>
      <c r="K87" s="573">
        <f>SUM(K84:K86)</f>
        <v>336549.22</v>
      </c>
      <c r="L87" s="292"/>
      <c r="R87" s="649"/>
      <c r="W87" s="650"/>
      <c r="Y87" s="651"/>
    </row>
    <row r="88" spans="1:25" s="62" customFormat="1" ht="26.25" hidden="1" x14ac:dyDescent="0.2">
      <c r="A88" s="206"/>
      <c r="B88" s="206"/>
      <c r="C88" s="206"/>
      <c r="D88" s="206"/>
      <c r="E88" s="206"/>
      <c r="F88" s="54" t="s">
        <v>494</v>
      </c>
      <c r="G88" s="54"/>
      <c r="H88" s="183">
        <f>H67</f>
        <v>16457</v>
      </c>
      <c r="I88" s="183">
        <f>I67</f>
        <v>10151</v>
      </c>
      <c r="J88" s="183">
        <f>J57</f>
        <v>10428</v>
      </c>
      <c r="K88" s="183">
        <v>11740</v>
      </c>
      <c r="L88" s="292"/>
      <c r="R88" s="649"/>
      <c r="W88" s="650"/>
      <c r="Y88" s="651"/>
    </row>
    <row r="89" spans="1:25" ht="20.25" hidden="1" x14ac:dyDescent="0.3">
      <c r="F89" s="54" t="s">
        <v>495</v>
      </c>
      <c r="G89" s="54"/>
      <c r="H89" s="652">
        <f>H84/H80/H68</f>
        <v>16477.207130148494</v>
      </c>
      <c r="I89" s="652">
        <f>I84/I80/I68</f>
        <v>9715.1607410527849</v>
      </c>
      <c r="J89" s="652">
        <f>J84/J80/J68</f>
        <v>8937.9035395535666</v>
      </c>
      <c r="K89" s="652">
        <f>K84/K80/K68</f>
        <v>7497.9078567493098</v>
      </c>
    </row>
    <row r="90" spans="1:25" ht="20.25" hidden="1" x14ac:dyDescent="0.3">
      <c r="F90" s="54" t="s">
        <v>496</v>
      </c>
      <c r="G90" s="54"/>
      <c r="H90" s="653">
        <f>H89-H88</f>
        <v>20.207130148493889</v>
      </c>
      <c r="I90" s="653">
        <f>I89-I88</f>
        <v>-435.83925894721506</v>
      </c>
      <c r="J90" s="653">
        <f>J89-J88</f>
        <v>-1490.0964604464334</v>
      </c>
      <c r="K90" s="653">
        <f>K89-K88</f>
        <v>-4242.0921432506902</v>
      </c>
    </row>
    <row r="91" spans="1:25" ht="20.25" hidden="1" x14ac:dyDescent="0.3">
      <c r="F91" s="54" t="s">
        <v>490</v>
      </c>
      <c r="G91" s="54"/>
      <c r="H91" s="654">
        <f>H84/(H89*H68)</f>
        <v>1.2190899132921318</v>
      </c>
      <c r="I91" s="654">
        <f>I84/(I89*I68)</f>
        <v>1.8037922200592629</v>
      </c>
      <c r="J91" s="654">
        <f>J84/(J89*J68)</f>
        <v>2.0212390390390391</v>
      </c>
      <c r="K91" s="654">
        <f>K84/(K89*K68)</f>
        <v>2.1671641791044776</v>
      </c>
    </row>
    <row r="92" spans="1:25" ht="20.25" hidden="1" x14ac:dyDescent="0.3">
      <c r="F92" s="54" t="s">
        <v>491</v>
      </c>
      <c r="G92" s="54"/>
      <c r="H92" s="654">
        <f>H85/H89</f>
        <v>6.2986385787495296</v>
      </c>
      <c r="I92" s="654">
        <f>I85/I89</f>
        <v>11.837757147344673</v>
      </c>
      <c r="J92" s="654">
        <f>J85/J89</f>
        <v>14.618809267942297</v>
      </c>
      <c r="K92" s="654">
        <f>K85/K89</f>
        <v>18.743012408921192</v>
      </c>
    </row>
    <row r="93" spans="1:25" ht="20.25" hidden="1" x14ac:dyDescent="0.3">
      <c r="F93" s="54"/>
      <c r="G93" s="54"/>
      <c r="H93" s="54"/>
      <c r="I93" s="654"/>
      <c r="J93" s="654"/>
      <c r="K93" s="654"/>
    </row>
    <row r="94" spans="1:25" ht="20.25" hidden="1" x14ac:dyDescent="0.3">
      <c r="J94" s="214"/>
      <c r="K94" s="214"/>
    </row>
    <row r="95" spans="1:25" ht="20.25" hidden="1" x14ac:dyDescent="0.3">
      <c r="J95" s="214"/>
      <c r="K95" s="214"/>
    </row>
    <row r="96" spans="1:25" ht="20.25" hidden="1" x14ac:dyDescent="0.3">
      <c r="F96" s="642" t="s">
        <v>497</v>
      </c>
      <c r="G96" s="642"/>
      <c r="J96" s="214"/>
      <c r="K96" s="214"/>
    </row>
    <row r="97" spans="6:12" ht="20.25" hidden="1" x14ac:dyDescent="0.25">
      <c r="F97" s="54" t="s">
        <v>485</v>
      </c>
      <c r="G97" s="54"/>
      <c r="H97" s="643">
        <f t="shared" ref="H97:J99" si="1">H75</f>
        <v>237890.76749999999</v>
      </c>
      <c r="I97" s="643">
        <f t="shared" si="1"/>
        <v>188101.25649999999</v>
      </c>
      <c r="J97" s="643">
        <f t="shared" si="1"/>
        <v>232210.04700000002</v>
      </c>
      <c r="K97" s="643">
        <f>K75</f>
        <v>290400</v>
      </c>
      <c r="L97" s="644"/>
    </row>
    <row r="98" spans="6:12" ht="20.25" hidden="1" x14ac:dyDescent="0.25">
      <c r="F98" s="54" t="s">
        <v>486</v>
      </c>
      <c r="G98" s="54"/>
      <c r="H98" s="183">
        <f t="shared" si="1"/>
        <v>103783.97250000012</v>
      </c>
      <c r="I98" s="183">
        <f t="shared" si="1"/>
        <v>115005.71349999998</v>
      </c>
      <c r="J98" s="183">
        <f t="shared" si="1"/>
        <v>130661.50709999993</v>
      </c>
      <c r="K98" s="183">
        <f>K76</f>
        <v>140533.38</v>
      </c>
      <c r="L98" s="644"/>
    </row>
    <row r="99" spans="6:12" ht="20.25" hidden="1" x14ac:dyDescent="0.25">
      <c r="F99" s="54" t="s">
        <v>487</v>
      </c>
      <c r="G99" s="54"/>
      <c r="H99" s="183">
        <f t="shared" si="1"/>
        <v>33344.68</v>
      </c>
      <c r="I99" s="183">
        <f t="shared" si="1"/>
        <v>41084</v>
      </c>
      <c r="J99" s="183">
        <f t="shared" si="1"/>
        <v>40932</v>
      </c>
      <c r="K99" s="183">
        <f>K77</f>
        <v>41382</v>
      </c>
      <c r="L99" s="644"/>
    </row>
    <row r="100" spans="6:12" ht="21" hidden="1" thickBot="1" x14ac:dyDescent="0.3">
      <c r="F100" s="54" t="s">
        <v>488</v>
      </c>
      <c r="G100" s="54"/>
      <c r="H100" s="645">
        <f>SUM(H97:H99)</f>
        <v>375019.4200000001</v>
      </c>
      <c r="I100" s="645">
        <f>SUM(I97:I99)</f>
        <v>344190.97</v>
      </c>
      <c r="J100" s="645">
        <f>SUM(J97:J99)</f>
        <v>403803.55409999995</v>
      </c>
      <c r="K100" s="645">
        <f>SUM(K97:K99)</f>
        <v>472315.38</v>
      </c>
      <c r="L100" s="644"/>
    </row>
    <row r="101" spans="6:12" ht="20.25" hidden="1" x14ac:dyDescent="0.25">
      <c r="F101" s="54" t="s">
        <v>498</v>
      </c>
      <c r="G101" s="54"/>
      <c r="H101" s="183">
        <f>H54</f>
        <v>227723</v>
      </c>
      <c r="I101" s="183">
        <f t="shared" ref="I101:K101" si="2">I54</f>
        <v>178666</v>
      </c>
      <c r="J101" s="183">
        <f t="shared" si="2"/>
        <v>206080</v>
      </c>
      <c r="K101" s="183">
        <f t="shared" si="2"/>
        <v>226000</v>
      </c>
      <c r="L101" s="644"/>
    </row>
    <row r="102" spans="6:12" ht="20.25" hidden="1" x14ac:dyDescent="0.25">
      <c r="F102" s="54" t="s">
        <v>499</v>
      </c>
      <c r="G102" s="54"/>
      <c r="H102" s="648">
        <f>H97/H101</f>
        <v>1.0446497169807178</v>
      </c>
      <c r="I102" s="648">
        <f>I97/I101</f>
        <v>1.0528094685054794</v>
      </c>
      <c r="J102" s="648">
        <f>J97/J101</f>
        <v>1.1267956473214287</v>
      </c>
      <c r="K102" s="648">
        <f>K97/K101</f>
        <v>1.2849557522123893</v>
      </c>
      <c r="L102" s="644"/>
    </row>
    <row r="103" spans="6:12" ht="20.25" hidden="1" x14ac:dyDescent="0.25">
      <c r="F103" s="54" t="s">
        <v>491</v>
      </c>
      <c r="G103" s="54"/>
      <c r="H103" s="648">
        <f t="shared" ref="H103:K103" si="3">H98/H57</f>
        <v>6.3063725162544886</v>
      </c>
      <c r="I103" s="648">
        <f t="shared" si="3"/>
        <v>11.329495960989064</v>
      </c>
      <c r="J103" s="648">
        <f t="shared" si="3"/>
        <v>12.529872180667427</v>
      </c>
      <c r="K103" s="648">
        <f t="shared" si="3"/>
        <v>11.970475298126065</v>
      </c>
      <c r="L103" s="644"/>
    </row>
    <row r="104" spans="6:12" ht="20.25" hidden="1" x14ac:dyDescent="0.3">
      <c r="H104" s="214"/>
      <c r="I104" s="214"/>
      <c r="J104" s="214"/>
      <c r="K104" s="214"/>
    </row>
    <row r="105" spans="6:12" ht="20.25" hidden="1" x14ac:dyDescent="0.25">
      <c r="H105" s="180"/>
      <c r="I105" s="180"/>
      <c r="J105" s="180"/>
      <c r="K105" s="180"/>
      <c r="L105" s="290"/>
    </row>
    <row r="106" spans="6:12" ht="20.25" hidden="1" x14ac:dyDescent="0.25">
      <c r="F106" s="54" t="s">
        <v>485</v>
      </c>
      <c r="G106" s="54"/>
      <c r="H106" s="183">
        <f>H24-H107-H108</f>
        <v>238182.86749999985</v>
      </c>
      <c r="I106" s="183">
        <f>I22-I107-I108</f>
        <v>180025.0165</v>
      </c>
      <c r="J106" s="183">
        <f>J22-J107-J108</f>
        <v>199028.67290000001</v>
      </c>
      <c r="K106" s="183">
        <f>K22-K107-K108</f>
        <v>185467.83999999997</v>
      </c>
      <c r="L106" s="644"/>
    </row>
    <row r="107" spans="6:12" ht="20.25" hidden="1" x14ac:dyDescent="0.25">
      <c r="F107" s="54" t="s">
        <v>486</v>
      </c>
      <c r="G107" s="54"/>
      <c r="H107" s="183">
        <f t="shared" ref="H107:I107" si="4">H98</f>
        <v>103783.97250000012</v>
      </c>
      <c r="I107" s="183">
        <f t="shared" si="4"/>
        <v>115005.71349999998</v>
      </c>
      <c r="J107" s="183">
        <f>J98</f>
        <v>130661.50709999993</v>
      </c>
      <c r="K107" s="183">
        <f t="shared" ref="K107" si="5">K98</f>
        <v>140533.38</v>
      </c>
      <c r="L107" s="644"/>
    </row>
    <row r="108" spans="6:12" ht="20.25" hidden="1" x14ac:dyDescent="0.25">
      <c r="F108" s="54" t="s">
        <v>102</v>
      </c>
      <c r="G108" s="54"/>
      <c r="H108" s="183">
        <f>H37</f>
        <v>9315</v>
      </c>
      <c r="I108" s="183">
        <f>I37</f>
        <v>9315</v>
      </c>
      <c r="J108" s="183">
        <f>J37</f>
        <v>10548</v>
      </c>
      <c r="K108" s="183">
        <f>K37</f>
        <v>10548</v>
      </c>
      <c r="L108" s="644"/>
    </row>
    <row r="109" spans="6:12" ht="27" hidden="1" thickBot="1" x14ac:dyDescent="0.3">
      <c r="F109" s="54" t="s">
        <v>493</v>
      </c>
      <c r="G109" s="54"/>
      <c r="H109" s="573">
        <f>SUM(H106:H108)</f>
        <v>351281.83999999997</v>
      </c>
      <c r="I109" s="573">
        <f>SUM(I106:I108)</f>
        <v>304345.73</v>
      </c>
      <c r="J109" s="573">
        <f>SUM(J106:J108)</f>
        <v>340238.17999999993</v>
      </c>
      <c r="K109" s="573">
        <f>SUM(K106:K108)</f>
        <v>336549.22</v>
      </c>
      <c r="L109" s="292"/>
    </row>
    <row r="110" spans="6:12" ht="20.25" hidden="1" x14ac:dyDescent="0.25">
      <c r="F110" s="54" t="s">
        <v>494</v>
      </c>
      <c r="G110" s="54"/>
      <c r="H110" s="183">
        <f>H88</f>
        <v>16457</v>
      </c>
      <c r="I110" s="183">
        <f>I88</f>
        <v>10151</v>
      </c>
      <c r="J110" s="183">
        <f>J88</f>
        <v>10428</v>
      </c>
      <c r="K110" s="183">
        <f>K88</f>
        <v>11740</v>
      </c>
    </row>
    <row r="111" spans="6:12" ht="20.25" hidden="1" x14ac:dyDescent="0.3">
      <c r="F111" s="54" t="s">
        <v>495</v>
      </c>
      <c r="G111" s="54"/>
      <c r="H111" s="652">
        <f t="shared" ref="H111:K111" si="6">H106/H102/H72</f>
        <v>16477.207130148494</v>
      </c>
      <c r="I111" s="652">
        <f t="shared" si="6"/>
        <v>9715.1607410527868</v>
      </c>
      <c r="J111" s="652">
        <f t="shared" si="6"/>
        <v>8937.9035395535648</v>
      </c>
      <c r="K111" s="652">
        <f t="shared" si="6"/>
        <v>7497.9078567493116</v>
      </c>
    </row>
    <row r="112" spans="6:12" ht="20.25" hidden="1" x14ac:dyDescent="0.3">
      <c r="F112" s="54" t="s">
        <v>496</v>
      </c>
      <c r="G112" s="54"/>
      <c r="H112" s="653">
        <f>H111-H110</f>
        <v>20.207130148493889</v>
      </c>
      <c r="I112" s="653">
        <f>I111-I110</f>
        <v>-435.83925894721324</v>
      </c>
      <c r="J112" s="653">
        <f>J111-J110</f>
        <v>-1490.0964604464352</v>
      </c>
      <c r="K112" s="653">
        <f>K111-K110</f>
        <v>-4242.0921432506884</v>
      </c>
    </row>
    <row r="113" spans="6:11" ht="20.25" hidden="1" x14ac:dyDescent="0.3">
      <c r="F113" s="54" t="s">
        <v>499</v>
      </c>
      <c r="G113" s="54"/>
      <c r="H113" s="654">
        <f>H106/(H111*H72)</f>
        <v>1.0446497169807178</v>
      </c>
      <c r="I113" s="654">
        <f t="shared" ref="I113:K113" si="7">I106/(I111*I72)</f>
        <v>1.0528094685054794</v>
      </c>
      <c r="J113" s="654">
        <f t="shared" si="7"/>
        <v>1.1267956473214289</v>
      </c>
      <c r="K113" s="654">
        <f t="shared" si="7"/>
        <v>1.2849557522123893</v>
      </c>
    </row>
    <row r="114" spans="6:11" ht="20.25" hidden="1" x14ac:dyDescent="0.3">
      <c r="F114" s="54" t="s">
        <v>500</v>
      </c>
      <c r="G114" s="54"/>
      <c r="H114" s="654">
        <f>H107/H111</f>
        <v>6.2986385787495296</v>
      </c>
      <c r="I114" s="654">
        <f>I107/I111</f>
        <v>11.837757147344671</v>
      </c>
      <c r="J114" s="654">
        <f>J107/J111</f>
        <v>14.618809267942298</v>
      </c>
      <c r="K114" s="654">
        <f>K107/K111</f>
        <v>18.743012408921185</v>
      </c>
    </row>
    <row r="115" spans="6:11" ht="20.25" x14ac:dyDescent="0.25">
      <c r="F115" s="54" t="s">
        <v>501</v>
      </c>
      <c r="G115" s="180">
        <f>G28+G32+G34+G28*0.21</f>
        <v>216908.68</v>
      </c>
      <c r="H115" s="180">
        <f t="shared" ref="H115:K115" si="8">H28+H32+H34+H28*0.21</f>
        <v>237890.76750000002</v>
      </c>
      <c r="I115" s="180">
        <f t="shared" si="8"/>
        <v>188101.25650000002</v>
      </c>
      <c r="J115" s="180">
        <f t="shared" si="8"/>
        <v>232210.04700000002</v>
      </c>
      <c r="K115" s="180">
        <f t="shared" si="8"/>
        <v>292430</v>
      </c>
    </row>
    <row r="116" spans="6:11" ht="20.25" x14ac:dyDescent="0.25">
      <c r="F116" s="54" t="s">
        <v>486</v>
      </c>
      <c r="G116" s="180">
        <f>G47-G115-G117</f>
        <v>105684.32</v>
      </c>
      <c r="H116" s="180">
        <f t="shared" ref="H116:K116" si="9">H47-H115-H117</f>
        <v>113098.97250000009</v>
      </c>
      <c r="I116" s="180">
        <f t="shared" si="9"/>
        <v>124320.71349999995</v>
      </c>
      <c r="J116" s="180">
        <f t="shared" si="9"/>
        <v>141209.50709999993</v>
      </c>
      <c r="K116" s="180">
        <f t="shared" si="9"/>
        <v>149051.38</v>
      </c>
    </row>
    <row r="117" spans="6:11" ht="20.25" x14ac:dyDescent="0.25">
      <c r="F117" s="54" t="s">
        <v>123</v>
      </c>
      <c r="G117" s="180">
        <f>G36</f>
        <v>25080</v>
      </c>
      <c r="H117" s="180">
        <f t="shared" ref="H117:K117" si="10">H36</f>
        <v>24029.68</v>
      </c>
      <c r="I117" s="180">
        <f t="shared" si="10"/>
        <v>31769</v>
      </c>
      <c r="J117" s="180">
        <f t="shared" si="10"/>
        <v>30384</v>
      </c>
      <c r="K117" s="180">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F283-F7AD-43EB-805C-C06A10813205}">
  <sheetPr>
    <tabColor rgb="FFFF0000"/>
  </sheetPr>
  <dimension ref="A1:AD111"/>
  <sheetViews>
    <sheetView topLeftCell="A57" workbookViewId="0">
      <selection activeCell="F95" sqref="F95"/>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44"/>
    <col min="12" max="12" width="11.5" style="148" bestFit="1" customWidth="1"/>
    <col min="13" max="13" width="9" style="244"/>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92</v>
      </c>
      <c r="B1" s="47"/>
      <c r="C1" s="48"/>
      <c r="D1" s="48"/>
      <c r="E1" s="48"/>
      <c r="F1" s="47"/>
      <c r="G1" s="47"/>
      <c r="H1" s="47"/>
      <c r="I1" s="47"/>
      <c r="J1" s="47"/>
      <c r="K1" s="616"/>
      <c r="M1" s="616"/>
      <c r="N1" s="47"/>
      <c r="O1" s="47"/>
      <c r="P1" s="47"/>
      <c r="Q1" s="47"/>
      <c r="R1" s="47"/>
      <c r="S1" s="47"/>
      <c r="T1" s="47"/>
      <c r="U1" s="47"/>
      <c r="V1" s="47"/>
      <c r="W1" s="47"/>
      <c r="X1" s="47"/>
      <c r="Y1" s="47"/>
      <c r="Z1" s="47"/>
      <c r="AA1" s="47"/>
      <c r="AB1" s="47"/>
      <c r="AC1" s="47"/>
      <c r="AD1" s="47"/>
    </row>
    <row r="2" spans="1:30" ht="22.5" customHeight="1" x14ac:dyDescent="0.4">
      <c r="A2" s="46" t="s">
        <v>465</v>
      </c>
      <c r="B2" s="47"/>
      <c r="C2" s="48"/>
      <c r="D2" s="48"/>
      <c r="E2" s="48"/>
      <c r="F2" s="47"/>
      <c r="G2" s="47"/>
      <c r="H2" s="47"/>
      <c r="I2" s="47"/>
      <c r="J2" s="47"/>
      <c r="K2" s="616"/>
      <c r="M2" s="616"/>
      <c r="N2" s="47"/>
      <c r="O2" s="47"/>
      <c r="P2" s="47"/>
      <c r="Q2" s="47"/>
      <c r="R2" s="47"/>
      <c r="S2" s="47"/>
      <c r="T2" s="47"/>
      <c r="U2" s="47"/>
      <c r="V2" s="47"/>
      <c r="W2" s="47"/>
      <c r="X2" s="47"/>
      <c r="Y2" s="47"/>
      <c r="Z2" s="47"/>
      <c r="AA2" s="47"/>
      <c r="AB2" s="47"/>
      <c r="AC2" s="47"/>
      <c r="AD2" s="47"/>
    </row>
    <row r="3" spans="1:30" ht="22.5" customHeight="1" x14ac:dyDescent="0.4">
      <c r="A3" s="46" t="s">
        <v>590</v>
      </c>
      <c r="B3" s="47"/>
      <c r="C3" s="48"/>
      <c r="D3" s="48"/>
      <c r="E3" s="48"/>
      <c r="F3" s="47"/>
      <c r="G3" s="47"/>
      <c r="H3" s="47"/>
      <c r="I3" s="47"/>
      <c r="J3" s="47"/>
      <c r="K3" s="616"/>
      <c r="M3" s="616"/>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17"/>
      <c r="L4" s="618"/>
      <c r="M4" s="617"/>
    </row>
    <row r="5" spans="1:30" s="55" customFormat="1" ht="8.25" customHeight="1" thickBot="1" x14ac:dyDescent="0.25">
      <c r="A5" s="54"/>
      <c r="B5" s="54"/>
      <c r="C5" s="54"/>
      <c r="D5" s="54"/>
      <c r="E5" s="54"/>
      <c r="F5" s="54"/>
      <c r="K5" s="619"/>
      <c r="L5" s="618"/>
      <c r="M5" s="619"/>
    </row>
    <row r="6" spans="1:30" s="55" customFormat="1" ht="48" customHeight="1" thickBot="1" x14ac:dyDescent="0.25">
      <c r="A6" s="54"/>
      <c r="B6" s="620" t="s">
        <v>98</v>
      </c>
      <c r="C6" s="620"/>
      <c r="D6" s="620"/>
      <c r="E6" s="620"/>
      <c r="F6" s="620"/>
      <c r="G6" s="621" t="s">
        <v>591</v>
      </c>
      <c r="H6" s="621"/>
      <c r="I6" s="621" t="s">
        <v>592</v>
      </c>
      <c r="K6" s="619"/>
      <c r="L6" s="618"/>
      <c r="M6" s="619"/>
    </row>
    <row r="7" spans="1:30" s="55" customFormat="1" ht="20.25" x14ac:dyDescent="0.2">
      <c r="A7" s="54"/>
      <c r="B7" s="54"/>
      <c r="C7" s="58" t="s">
        <v>99</v>
      </c>
      <c r="D7" s="58"/>
      <c r="E7" s="58"/>
      <c r="F7" s="54"/>
      <c r="G7" s="189">
        <v>787392</v>
      </c>
      <c r="H7" s="189"/>
      <c r="I7" s="189">
        <v>702872</v>
      </c>
      <c r="K7" s="619"/>
      <c r="L7" s="618"/>
      <c r="M7" s="619"/>
    </row>
    <row r="8" spans="1:30" s="55" customFormat="1" ht="20.25" x14ac:dyDescent="0.2">
      <c r="A8" s="54"/>
      <c r="B8" s="54"/>
      <c r="C8" s="58" t="s">
        <v>148</v>
      </c>
      <c r="D8" s="58"/>
      <c r="E8" s="58"/>
      <c r="F8" s="54"/>
      <c r="G8" s="180">
        <v>115000</v>
      </c>
      <c r="H8" s="180"/>
      <c r="I8" s="180">
        <v>127749</v>
      </c>
      <c r="K8" s="619"/>
      <c r="L8" s="618"/>
      <c r="M8" s="619"/>
    </row>
    <row r="9" spans="1:30" s="55" customFormat="1" ht="20.25" x14ac:dyDescent="0.2">
      <c r="A9" s="54"/>
      <c r="B9" s="54"/>
      <c r="C9" s="58" t="s">
        <v>177</v>
      </c>
      <c r="D9" s="58"/>
      <c r="E9" s="58"/>
      <c r="F9" s="54"/>
      <c r="G9" s="180">
        <v>42500</v>
      </c>
      <c r="H9" s="180"/>
      <c r="I9" s="180">
        <v>42000</v>
      </c>
      <c r="K9" s="619"/>
      <c r="L9" s="618"/>
      <c r="M9" s="619"/>
    </row>
    <row r="10" spans="1:30" s="55" customFormat="1" ht="20.25" x14ac:dyDescent="0.2">
      <c r="A10" s="54"/>
      <c r="B10" s="54"/>
      <c r="C10" s="58" t="s">
        <v>100</v>
      </c>
      <c r="D10" s="58"/>
      <c r="E10" s="58"/>
      <c r="F10" s="54"/>
      <c r="G10" s="180">
        <v>0</v>
      </c>
      <c r="H10" s="180"/>
      <c r="I10" s="180"/>
      <c r="K10" s="619"/>
      <c r="L10" s="618"/>
      <c r="M10" s="619"/>
    </row>
    <row r="11" spans="1:30" s="55" customFormat="1" ht="20.25" x14ac:dyDescent="0.2">
      <c r="A11" s="54"/>
      <c r="B11" s="54"/>
      <c r="D11" s="58" t="s">
        <v>137</v>
      </c>
      <c r="E11" s="58"/>
      <c r="F11" s="54"/>
      <c r="G11" s="180">
        <f>208748+48500-42500</f>
        <v>214748</v>
      </c>
      <c r="H11" s="180"/>
      <c r="I11" s="180">
        <v>212125</v>
      </c>
      <c r="J11" s="367"/>
      <c r="K11" s="619"/>
      <c r="L11" s="622"/>
      <c r="M11" s="619"/>
    </row>
    <row r="12" spans="1:30" s="55" customFormat="1" ht="20.25" x14ac:dyDescent="0.2">
      <c r="A12" s="54"/>
      <c r="B12" s="54"/>
      <c r="D12" s="58" t="s">
        <v>157</v>
      </c>
      <c r="E12" s="58"/>
      <c r="F12" s="54"/>
      <c r="G12" s="180">
        <v>18000</v>
      </c>
      <c r="H12" s="180"/>
      <c r="I12" s="180">
        <v>18000</v>
      </c>
      <c r="J12" s="307"/>
      <c r="K12" s="619"/>
      <c r="L12" s="618"/>
      <c r="M12" s="619"/>
    </row>
    <row r="13" spans="1:30" s="55" customFormat="1" ht="20.25" x14ac:dyDescent="0.2">
      <c r="A13" s="54"/>
      <c r="B13" s="54"/>
      <c r="C13" s="58"/>
      <c r="D13" s="58" t="s">
        <v>398</v>
      </c>
      <c r="E13" s="58"/>
      <c r="F13" s="54"/>
      <c r="G13" s="180">
        <v>0</v>
      </c>
      <c r="H13" s="180"/>
      <c r="I13" s="180"/>
      <c r="J13" s="307"/>
      <c r="K13" s="619"/>
      <c r="L13" s="618"/>
      <c r="M13" s="619"/>
    </row>
    <row r="14" spans="1:30" s="55" customFormat="1" ht="20.25" x14ac:dyDescent="0.2">
      <c r="A14" s="54"/>
      <c r="B14" s="54"/>
      <c r="C14" s="58" t="s">
        <v>373</v>
      </c>
      <c r="D14" s="58"/>
      <c r="E14" s="58"/>
      <c r="F14" s="54"/>
      <c r="G14" s="180">
        <v>20000</v>
      </c>
      <c r="H14" s="180"/>
      <c r="I14" s="180">
        <v>22000</v>
      </c>
      <c r="J14" s="307"/>
      <c r="K14" s="619"/>
      <c r="L14" s="618"/>
      <c r="M14" s="619"/>
    </row>
    <row r="15" spans="1:30" s="55" customFormat="1" ht="20.25" x14ac:dyDescent="0.2">
      <c r="A15" s="54"/>
      <c r="B15" s="54"/>
      <c r="C15" s="58" t="s">
        <v>593</v>
      </c>
      <c r="D15" s="58"/>
      <c r="E15" s="58"/>
      <c r="F15" s="54"/>
      <c r="G15" s="180">
        <v>10000</v>
      </c>
      <c r="H15" s="180"/>
      <c r="I15" s="180">
        <f>29063</f>
        <v>29063</v>
      </c>
      <c r="J15" s="307"/>
      <c r="K15" s="619"/>
      <c r="L15" s="618"/>
      <c r="M15" s="619"/>
    </row>
    <row r="16" spans="1:30" s="55" customFormat="1" ht="20.25" x14ac:dyDescent="0.2">
      <c r="A16" s="54"/>
      <c r="B16" s="54"/>
      <c r="C16" s="58" t="s">
        <v>108</v>
      </c>
      <c r="D16" s="58"/>
      <c r="E16" s="58"/>
      <c r="F16" s="54"/>
      <c r="G16" s="180">
        <v>650</v>
      </c>
      <c r="H16" s="180"/>
      <c r="I16" s="180">
        <v>480</v>
      </c>
      <c r="J16" s="307"/>
      <c r="K16" s="619"/>
      <c r="L16" s="618"/>
      <c r="M16" s="619"/>
    </row>
    <row r="17" spans="1:13" s="55" customFormat="1" ht="20.25" x14ac:dyDescent="0.2">
      <c r="A17" s="54"/>
      <c r="B17" s="54"/>
      <c r="C17" s="58" t="s">
        <v>235</v>
      </c>
      <c r="D17" s="58"/>
      <c r="E17" s="58"/>
      <c r="F17" s="54"/>
      <c r="G17" s="180">
        <v>1200</v>
      </c>
      <c r="H17" s="180"/>
      <c r="I17" s="180">
        <v>2000</v>
      </c>
      <c r="J17" s="307"/>
      <c r="K17" s="619"/>
      <c r="L17" s="618"/>
      <c r="M17" s="619"/>
    </row>
    <row r="18" spans="1:13" s="55" customFormat="1" ht="20.25" x14ac:dyDescent="0.2">
      <c r="A18" s="54"/>
      <c r="B18" s="54"/>
      <c r="C18" s="58" t="s">
        <v>594</v>
      </c>
      <c r="D18" s="58"/>
      <c r="E18" s="58"/>
      <c r="F18" s="54"/>
      <c r="G18" s="180">
        <v>3000</v>
      </c>
      <c r="H18" s="180"/>
      <c r="I18" s="180">
        <v>5000</v>
      </c>
      <c r="J18" s="307"/>
      <c r="K18" s="619"/>
      <c r="L18" s="618"/>
      <c r="M18" s="619"/>
    </row>
    <row r="19" spans="1:13" s="55" customFormat="1" ht="20.25" x14ac:dyDescent="0.2">
      <c r="A19" s="54"/>
      <c r="B19" s="54"/>
      <c r="C19" s="58" t="s">
        <v>410</v>
      </c>
      <c r="D19" s="58"/>
      <c r="E19" s="58"/>
      <c r="F19" s="54"/>
      <c r="G19" s="180">
        <v>370038</v>
      </c>
      <c r="H19" s="180"/>
      <c r="I19" s="180">
        <f>153800+60000</f>
        <v>213800</v>
      </c>
      <c r="J19" s="303"/>
      <c r="K19" s="619"/>
      <c r="L19" s="618"/>
      <c r="M19" s="619"/>
    </row>
    <row r="20" spans="1:13" s="55" customFormat="1" ht="20.25" x14ac:dyDescent="0.2">
      <c r="A20" s="54"/>
      <c r="B20" s="54"/>
      <c r="C20" s="58" t="s">
        <v>107</v>
      </c>
      <c r="D20" s="560"/>
      <c r="E20" s="560"/>
      <c r="F20" s="560"/>
      <c r="G20" s="180">
        <v>52740</v>
      </c>
      <c r="H20" s="180"/>
      <c r="I20" s="180">
        <v>52740</v>
      </c>
      <c r="J20" s="303"/>
      <c r="K20" s="619"/>
      <c r="L20" s="618"/>
      <c r="M20" s="619"/>
    </row>
    <row r="21" spans="1:13" s="55" customFormat="1" ht="20.25" x14ac:dyDescent="0.2">
      <c r="A21" s="54"/>
      <c r="B21" s="54"/>
      <c r="C21" s="58" t="s">
        <v>413</v>
      </c>
      <c r="D21" s="560"/>
      <c r="E21" s="560"/>
      <c r="F21" s="560"/>
      <c r="G21" s="180">
        <v>17250</v>
      </c>
      <c r="H21" s="180"/>
      <c r="I21" s="180">
        <f>10683+5000+1800</f>
        <v>17483</v>
      </c>
      <c r="J21" s="303"/>
      <c r="K21" s="619"/>
      <c r="L21" s="618"/>
      <c r="M21" s="619"/>
    </row>
    <row r="22" spans="1:13" s="55" customFormat="1" ht="20.25" x14ac:dyDescent="0.2">
      <c r="A22" s="54"/>
      <c r="B22" s="54"/>
      <c r="C22" s="58" t="s">
        <v>100</v>
      </c>
      <c r="D22" s="560"/>
      <c r="E22" s="560"/>
      <c r="F22" s="560"/>
      <c r="G22" s="180">
        <v>21000</v>
      </c>
      <c r="H22" s="180"/>
      <c r="I22" s="180">
        <v>21000</v>
      </c>
      <c r="J22" s="303"/>
      <c r="K22" s="619"/>
      <c r="L22" s="618"/>
      <c r="M22" s="619"/>
    </row>
    <row r="23" spans="1:13" s="55" customFormat="1" ht="20.25" x14ac:dyDescent="0.2">
      <c r="A23" s="54"/>
      <c r="B23" s="54"/>
      <c r="C23" s="58" t="s">
        <v>316</v>
      </c>
      <c r="D23" s="560"/>
      <c r="E23" s="560"/>
      <c r="F23" s="560"/>
      <c r="G23" s="180">
        <v>54000</v>
      </c>
      <c r="H23" s="180"/>
      <c r="I23" s="180">
        <v>52000</v>
      </c>
      <c r="J23" s="303"/>
      <c r="K23" s="619"/>
      <c r="L23" s="618"/>
      <c r="M23" s="619"/>
    </row>
    <row r="24" spans="1:13" s="55" customFormat="1" ht="20.25" x14ac:dyDescent="0.2">
      <c r="A24" s="54"/>
      <c r="B24" s="54"/>
      <c r="C24" s="58" t="s">
        <v>318</v>
      </c>
      <c r="D24" s="560"/>
      <c r="E24" s="560"/>
      <c r="F24" s="560"/>
      <c r="G24" s="180">
        <v>18537</v>
      </c>
      <c r="H24" s="180"/>
      <c r="I24" s="180">
        <f>7034+1500+2000</f>
        <v>10534</v>
      </c>
      <c r="J24" s="303"/>
      <c r="K24" s="619"/>
      <c r="L24" s="618"/>
      <c r="M24" s="619"/>
    </row>
    <row r="25" spans="1:13" s="55" customFormat="1" ht="20.25" x14ac:dyDescent="0.2">
      <c r="A25" s="54"/>
      <c r="B25" s="54"/>
      <c r="C25" s="58"/>
      <c r="D25" s="54" t="s">
        <v>103</v>
      </c>
      <c r="E25" s="58"/>
      <c r="F25" s="54"/>
      <c r="G25" s="188">
        <f>SUM(G7:G24)</f>
        <v>1746055</v>
      </c>
      <c r="H25" s="188"/>
      <c r="I25" s="188">
        <f>SUM(I7:I24)</f>
        <v>1528846</v>
      </c>
      <c r="K25" s="619"/>
      <c r="L25" s="618"/>
      <c r="M25" s="619"/>
    </row>
    <row r="26" spans="1:13" s="55" customFormat="1" ht="21" thickBot="1" x14ac:dyDescent="0.25">
      <c r="A26" s="54"/>
      <c r="B26" s="54"/>
      <c r="C26" s="58"/>
      <c r="D26" s="54"/>
      <c r="E26" s="58"/>
      <c r="F26" s="54"/>
      <c r="G26" s="180"/>
      <c r="H26" s="180"/>
      <c r="I26" s="180"/>
      <c r="K26" s="619"/>
      <c r="L26" s="618"/>
      <c r="M26" s="619"/>
    </row>
    <row r="27" spans="1:13" s="55" customFormat="1" ht="54.75" thickBot="1" x14ac:dyDescent="0.25">
      <c r="A27" s="54"/>
      <c r="B27" s="620" t="s">
        <v>109</v>
      </c>
      <c r="C27" s="620"/>
      <c r="D27" s="620"/>
      <c r="E27" s="620"/>
      <c r="F27" s="620"/>
      <c r="G27" s="621" t="s">
        <v>591</v>
      </c>
      <c r="H27" s="621"/>
      <c r="I27" s="621" t="s">
        <v>592</v>
      </c>
      <c r="K27" s="619"/>
      <c r="L27" s="618"/>
      <c r="M27" s="619"/>
    </row>
    <row r="28" spans="1:13" s="55" customFormat="1" ht="20.25" x14ac:dyDescent="0.2">
      <c r="A28" s="54"/>
      <c r="B28" s="54"/>
      <c r="C28" s="58" t="s">
        <v>110</v>
      </c>
      <c r="D28" s="58"/>
      <c r="E28" s="58"/>
      <c r="F28" s="58"/>
      <c r="G28" s="180">
        <v>1094561</v>
      </c>
      <c r="H28" s="180"/>
      <c r="I28" s="180">
        <v>930000</v>
      </c>
      <c r="K28" s="619"/>
      <c r="L28" s="618"/>
      <c r="M28" s="619"/>
    </row>
    <row r="29" spans="1:13" s="55" customFormat="1" ht="20.25" x14ac:dyDescent="0.2">
      <c r="A29" s="54"/>
      <c r="B29" s="54"/>
      <c r="C29" s="58" t="s">
        <v>111</v>
      </c>
      <c r="D29" s="58"/>
      <c r="E29" s="58"/>
      <c r="F29" s="58"/>
      <c r="G29" s="180">
        <v>222612</v>
      </c>
      <c r="H29" s="180"/>
      <c r="I29" s="180">
        <v>182500</v>
      </c>
      <c r="K29" s="619"/>
      <c r="L29" s="618"/>
      <c r="M29" s="619"/>
    </row>
    <row r="30" spans="1:13" s="55" customFormat="1" ht="20.25" x14ac:dyDescent="0.2">
      <c r="A30" s="54"/>
      <c r="B30" s="54"/>
      <c r="C30" s="58" t="s">
        <v>112</v>
      </c>
      <c r="D30" s="58"/>
      <c r="E30" s="58"/>
      <c r="F30" s="58"/>
      <c r="G30" s="180">
        <v>1800</v>
      </c>
      <c r="H30" s="180"/>
      <c r="I30" s="180">
        <v>1800</v>
      </c>
      <c r="K30" s="619"/>
      <c r="L30" s="618"/>
      <c r="M30" s="619"/>
    </row>
    <row r="31" spans="1:13" s="55" customFormat="1" ht="20.25" x14ac:dyDescent="0.2">
      <c r="A31" s="54"/>
      <c r="B31" s="54"/>
      <c r="C31" s="58" t="s">
        <v>102</v>
      </c>
      <c r="D31" s="58"/>
      <c r="E31" s="58"/>
      <c r="F31" s="58"/>
      <c r="G31" s="180">
        <v>52740</v>
      </c>
      <c r="H31" s="180"/>
      <c r="I31" s="180">
        <v>52740</v>
      </c>
      <c r="K31" s="619"/>
      <c r="L31" s="618"/>
      <c r="M31" s="619"/>
    </row>
    <row r="32" spans="1:13" s="55" customFormat="1" ht="20.25" x14ac:dyDescent="0.2">
      <c r="A32" s="54"/>
      <c r="B32" s="54"/>
      <c r="C32" s="58" t="s">
        <v>113</v>
      </c>
      <c r="D32" s="58"/>
      <c r="E32" s="58"/>
      <c r="F32" s="58"/>
      <c r="G32" s="180">
        <v>22993</v>
      </c>
      <c r="H32" s="180"/>
      <c r="I32" s="180">
        <v>19478</v>
      </c>
      <c r="K32" s="619"/>
      <c r="L32" s="618"/>
      <c r="M32" s="619"/>
    </row>
    <row r="33" spans="1:14" s="55" customFormat="1" ht="20.25" x14ac:dyDescent="0.2">
      <c r="A33" s="54"/>
      <c r="B33" s="54"/>
      <c r="C33" s="58" t="s">
        <v>114</v>
      </c>
      <c r="D33" s="58"/>
      <c r="E33" s="58"/>
      <c r="F33" s="58"/>
      <c r="G33" s="180">
        <v>2820</v>
      </c>
      <c r="H33" s="180"/>
      <c r="I33" s="180">
        <v>3395</v>
      </c>
      <c r="K33" s="619"/>
      <c r="L33" s="618"/>
      <c r="M33" s="619"/>
    </row>
    <row r="34" spans="1:14" s="55" customFormat="1" ht="20.25" x14ac:dyDescent="0.2">
      <c r="A34" s="54"/>
      <c r="B34" s="54"/>
      <c r="C34" s="58" t="s">
        <v>115</v>
      </c>
      <c r="D34" s="58"/>
      <c r="E34" s="58"/>
      <c r="F34" s="58"/>
      <c r="G34" s="180">
        <v>5127</v>
      </c>
      <c r="H34" s="180"/>
      <c r="I34" s="180">
        <v>5398</v>
      </c>
      <c r="K34" s="619"/>
      <c r="L34" s="618"/>
      <c r="M34" s="619"/>
    </row>
    <row r="35" spans="1:14" s="55" customFormat="1" ht="20.25" x14ac:dyDescent="0.2">
      <c r="A35" s="54"/>
      <c r="B35" s="54"/>
      <c r="C35" s="58" t="s">
        <v>116</v>
      </c>
      <c r="D35" s="58"/>
      <c r="E35" s="58"/>
      <c r="F35" s="58"/>
      <c r="G35" s="180">
        <v>5612</v>
      </c>
      <c r="H35" s="180"/>
      <c r="I35" s="180">
        <v>8340</v>
      </c>
      <c r="K35" s="619"/>
      <c r="L35" s="618"/>
      <c r="M35" s="619"/>
    </row>
    <row r="36" spans="1:14" s="55" customFormat="1" ht="20.25" x14ac:dyDescent="0.2">
      <c r="A36" s="54"/>
      <c r="B36" s="54"/>
      <c r="C36" s="58" t="s">
        <v>117</v>
      </c>
      <c r="D36" s="58"/>
      <c r="E36" s="58"/>
      <c r="F36" s="58"/>
      <c r="G36" s="180">
        <v>42000</v>
      </c>
      <c r="H36" s="180"/>
      <c r="I36" s="180">
        <v>49000</v>
      </c>
      <c r="K36" s="619"/>
      <c r="L36" s="618"/>
      <c r="M36" s="619"/>
    </row>
    <row r="37" spans="1:14" s="55" customFormat="1" ht="20.25" x14ac:dyDescent="0.2">
      <c r="A37" s="54"/>
      <c r="B37" s="54"/>
      <c r="C37" s="58" t="s">
        <v>118</v>
      </c>
      <c r="D37" s="58"/>
      <c r="E37" s="58"/>
      <c r="F37" s="58"/>
      <c r="G37" s="180">
        <v>4960</v>
      </c>
      <c r="H37" s="180"/>
      <c r="I37" s="180">
        <v>5600</v>
      </c>
      <c r="K37" s="619"/>
      <c r="L37" s="618"/>
      <c r="M37" s="619"/>
    </row>
    <row r="38" spans="1:14" s="55" customFormat="1" ht="20.25" x14ac:dyDescent="0.2">
      <c r="A38" s="54"/>
      <c r="B38" s="54"/>
      <c r="C38" s="58" t="s">
        <v>119</v>
      </c>
      <c r="D38" s="58"/>
      <c r="E38" s="58"/>
      <c r="F38" s="58"/>
      <c r="G38" s="180">
        <v>1501</v>
      </c>
      <c r="H38" s="180"/>
      <c r="I38" s="180">
        <v>1450</v>
      </c>
      <c r="K38" s="619"/>
      <c r="L38" s="618"/>
      <c r="M38" s="619"/>
    </row>
    <row r="39" spans="1:14" s="55" customFormat="1" ht="20.25" x14ac:dyDescent="0.2">
      <c r="A39" s="54"/>
      <c r="B39" s="54"/>
      <c r="C39" s="58" t="s">
        <v>164</v>
      </c>
      <c r="D39" s="58"/>
      <c r="E39" s="58"/>
      <c r="F39" s="58"/>
      <c r="G39" s="180">
        <v>23000</v>
      </c>
      <c r="H39" s="180"/>
      <c r="I39" s="180">
        <v>12175</v>
      </c>
      <c r="K39" s="619"/>
      <c r="L39" s="618"/>
      <c r="M39" s="619"/>
    </row>
    <row r="40" spans="1:14" s="55" customFormat="1" ht="20.25" x14ac:dyDescent="0.2">
      <c r="A40" s="54"/>
      <c r="B40" s="54"/>
      <c r="C40" s="803" t="s">
        <v>321</v>
      </c>
      <c r="D40" s="803"/>
      <c r="E40" s="803"/>
      <c r="F40" s="803"/>
      <c r="G40" s="180">
        <v>0</v>
      </c>
      <c r="H40" s="180"/>
      <c r="I40" s="180">
        <v>410</v>
      </c>
      <c r="J40" s="548"/>
      <c r="K40" s="619"/>
      <c r="L40" s="618"/>
      <c r="M40" s="619"/>
    </row>
    <row r="41" spans="1:14" s="55" customFormat="1" ht="20.25" x14ac:dyDescent="0.2">
      <c r="A41" s="54"/>
      <c r="B41" s="54"/>
      <c r="C41" s="58" t="s">
        <v>120</v>
      </c>
      <c r="D41" s="58"/>
      <c r="E41" s="58"/>
      <c r="F41" s="58"/>
      <c r="G41" s="180">
        <v>29350</v>
      </c>
      <c r="H41" s="180"/>
      <c r="I41" s="180">
        <f>24841+42+42</f>
        <v>24925</v>
      </c>
      <c r="K41" s="619"/>
      <c r="L41" s="618"/>
      <c r="M41" s="619"/>
      <c r="N41" s="619"/>
    </row>
    <row r="42" spans="1:14" s="55" customFormat="1" ht="20.25" x14ac:dyDescent="0.2">
      <c r="A42" s="54"/>
      <c r="B42" s="54"/>
      <c r="C42" s="58" t="s">
        <v>121</v>
      </c>
      <c r="D42" s="58"/>
      <c r="E42" s="58"/>
      <c r="F42" s="58"/>
      <c r="G42" s="180">
        <v>25000</v>
      </c>
      <c r="H42" s="180"/>
      <c r="I42" s="180">
        <v>25700</v>
      </c>
      <c r="J42" s="548"/>
      <c r="K42" s="619"/>
      <c r="L42" s="618"/>
      <c r="M42" s="619"/>
    </row>
    <row r="43" spans="1:14" s="55" customFormat="1" ht="20.25" x14ac:dyDescent="0.2">
      <c r="A43" s="54"/>
      <c r="B43" s="54"/>
      <c r="C43" s="58" t="s">
        <v>128</v>
      </c>
      <c r="D43" s="58"/>
      <c r="E43" s="58"/>
      <c r="F43" s="58"/>
      <c r="G43" s="180">
        <v>700</v>
      </c>
      <c r="H43" s="180"/>
      <c r="I43" s="180">
        <v>303</v>
      </c>
      <c r="K43" s="619"/>
      <c r="L43" s="618"/>
      <c r="M43" s="619"/>
    </row>
    <row r="44" spans="1:14" s="55" customFormat="1" ht="20.25" x14ac:dyDescent="0.2">
      <c r="A44" s="54"/>
      <c r="B44" s="54"/>
      <c r="C44" s="58" t="s">
        <v>122</v>
      </c>
      <c r="D44" s="58"/>
      <c r="E44" s="58"/>
      <c r="F44" s="58"/>
      <c r="G44" s="180">
        <f>2000+3500</f>
        <v>5500</v>
      </c>
      <c r="H44" s="180"/>
      <c r="I44" s="180">
        <f>3012.83+6264</f>
        <v>9276.83</v>
      </c>
      <c r="J44" s="548"/>
      <c r="K44" s="619"/>
      <c r="L44" s="618"/>
      <c r="M44" s="619"/>
    </row>
    <row r="45" spans="1:14" s="55" customFormat="1" ht="20.25" customHeight="1" x14ac:dyDescent="0.2">
      <c r="A45" s="54"/>
      <c r="B45" s="54"/>
      <c r="C45" s="58" t="s">
        <v>197</v>
      </c>
      <c r="D45" s="58"/>
      <c r="E45" s="58"/>
      <c r="F45" s="58"/>
      <c r="G45" s="180">
        <v>8543</v>
      </c>
      <c r="H45" s="180"/>
      <c r="I45" s="180">
        <v>6326</v>
      </c>
      <c r="K45" s="619"/>
      <c r="L45" s="618"/>
      <c r="M45" s="619"/>
    </row>
    <row r="46" spans="1:14" s="55" customFormat="1" ht="20.25" x14ac:dyDescent="0.2">
      <c r="A46" s="58"/>
      <c r="B46" s="58"/>
      <c r="C46" s="58" t="s">
        <v>124</v>
      </c>
      <c r="D46" s="58"/>
      <c r="E46" s="58"/>
      <c r="F46" s="58"/>
      <c r="G46" s="180">
        <v>58875</v>
      </c>
      <c r="H46" s="180"/>
      <c r="I46" s="180">
        <v>25015</v>
      </c>
      <c r="K46" s="619"/>
      <c r="L46" s="618"/>
      <c r="M46" s="619"/>
    </row>
    <row r="47" spans="1:14" s="55" customFormat="1" ht="20.25" x14ac:dyDescent="0.2">
      <c r="A47" s="54"/>
      <c r="B47" s="54"/>
      <c r="C47" s="58" t="s">
        <v>163</v>
      </c>
      <c r="D47" s="58"/>
      <c r="E47" s="58"/>
      <c r="F47" s="58"/>
      <c r="G47" s="180">
        <v>60600</v>
      </c>
      <c r="H47" s="180"/>
      <c r="I47" s="180">
        <v>62119</v>
      </c>
      <c r="K47" s="619"/>
      <c r="L47" s="618"/>
      <c r="M47" s="619"/>
    </row>
    <row r="48" spans="1:14" s="55" customFormat="1" ht="20.25" x14ac:dyDescent="0.2">
      <c r="A48" s="54"/>
      <c r="B48" s="54"/>
      <c r="C48" s="58" t="s">
        <v>125</v>
      </c>
      <c r="D48" s="58"/>
      <c r="E48" s="58"/>
      <c r="F48" s="58"/>
      <c r="G48" s="182">
        <f>9000+35702</f>
        <v>44702</v>
      </c>
      <c r="H48" s="180"/>
      <c r="I48" s="182">
        <f>15559+52280</f>
        <v>67839</v>
      </c>
      <c r="K48" s="619"/>
      <c r="L48" s="618"/>
      <c r="M48" s="619"/>
    </row>
    <row r="49" spans="1:13" s="55" customFormat="1" ht="20.25" x14ac:dyDescent="0.2">
      <c r="A49" s="58"/>
      <c r="B49" s="58"/>
      <c r="D49" s="54" t="s">
        <v>126</v>
      </c>
      <c r="G49" s="180">
        <f>SUM(G28:G48)</f>
        <v>1712996</v>
      </c>
      <c r="H49" s="180"/>
      <c r="I49" s="180">
        <f>SUM(I28:I48)</f>
        <v>1493789.83</v>
      </c>
      <c r="K49" s="619"/>
      <c r="L49" s="618"/>
      <c r="M49" s="619"/>
    </row>
    <row r="50" spans="1:13" s="55" customFormat="1" ht="8.25" customHeight="1" x14ac:dyDescent="0.2">
      <c r="A50" s="58"/>
      <c r="B50" s="58"/>
      <c r="C50" s="54"/>
      <c r="D50" s="54"/>
      <c r="G50" s="180"/>
      <c r="H50" s="180"/>
      <c r="I50" s="180"/>
      <c r="K50" s="619"/>
      <c r="L50" s="618"/>
      <c r="M50" s="619"/>
    </row>
    <row r="51" spans="1:13" s="55" customFormat="1" ht="20.25" x14ac:dyDescent="0.2">
      <c r="A51" s="58"/>
      <c r="B51" s="58"/>
      <c r="C51" s="623" t="s">
        <v>414</v>
      </c>
      <c r="D51"/>
      <c r="E51" s="54"/>
      <c r="F51" s="54"/>
      <c r="G51" s="188">
        <f>G25-G49</f>
        <v>33059</v>
      </c>
      <c r="H51" s="180"/>
      <c r="I51" s="188">
        <f>I25-I49</f>
        <v>35056.169999999925</v>
      </c>
      <c r="K51" s="619"/>
      <c r="L51" s="618"/>
      <c r="M51" s="619"/>
    </row>
    <row r="52" spans="1:13" s="55" customFormat="1" ht="9" customHeight="1" x14ac:dyDescent="0.2">
      <c r="A52" s="58"/>
      <c r="B52" s="58"/>
      <c r="C52" s="58"/>
      <c r="D52" s="58"/>
      <c r="E52" s="58"/>
      <c r="F52" s="58"/>
      <c r="G52" s="180"/>
      <c r="H52" s="180"/>
      <c r="I52" s="180"/>
      <c r="K52" s="619"/>
      <c r="L52" s="618"/>
      <c r="M52" s="619"/>
    </row>
    <row r="53" spans="1:13" s="55" customFormat="1" ht="23.25" customHeight="1" x14ac:dyDescent="0.2">
      <c r="A53" s="58"/>
      <c r="B53" s="58"/>
      <c r="C53" s="58" t="s">
        <v>459</v>
      </c>
      <c r="D53" s="58"/>
      <c r="F53" s="58"/>
      <c r="G53" s="180">
        <v>24021</v>
      </c>
      <c r="H53" s="180"/>
      <c r="I53" s="180">
        <v>35278</v>
      </c>
      <c r="K53" s="619"/>
      <c r="L53" s="618"/>
      <c r="M53" s="619"/>
    </row>
    <row r="54" spans="1:13" s="55" customFormat="1" ht="20.25" x14ac:dyDescent="0.2">
      <c r="A54" s="58"/>
      <c r="B54" s="58"/>
      <c r="C54" s="58" t="s">
        <v>32</v>
      </c>
      <c r="D54" s="58"/>
      <c r="F54" s="58"/>
      <c r="G54" s="180">
        <v>5933</v>
      </c>
      <c r="H54" s="180"/>
      <c r="I54" s="180">
        <v>5330</v>
      </c>
      <c r="K54" s="619"/>
      <c r="L54" s="618"/>
      <c r="M54" s="619"/>
    </row>
    <row r="55" spans="1:13" s="55" customFormat="1" ht="9" customHeight="1" thickBot="1" x14ac:dyDescent="0.25">
      <c r="A55" s="58"/>
      <c r="B55" s="58"/>
      <c r="C55" s="58"/>
      <c r="D55" s="58"/>
      <c r="E55" s="58"/>
      <c r="F55" s="58"/>
      <c r="G55" s="180"/>
      <c r="H55" s="180"/>
      <c r="I55" s="180"/>
      <c r="K55" s="619"/>
      <c r="L55" s="618"/>
      <c r="M55" s="619"/>
    </row>
    <row r="56" spans="1:13" s="55" customFormat="1" ht="21.75" thickTop="1" thickBot="1" x14ac:dyDescent="0.25">
      <c r="A56" s="54"/>
      <c r="B56" s="54"/>
      <c r="C56" s="624" t="s">
        <v>415</v>
      </c>
      <c r="D56" s="625"/>
      <c r="E56" s="625"/>
      <c r="F56" s="625"/>
      <c r="G56" s="626">
        <f>G51-G54-G53</f>
        <v>3105</v>
      </c>
      <c r="H56" s="626"/>
      <c r="I56" s="626">
        <f>I51-I54-I53</f>
        <v>-5551.8300000000745</v>
      </c>
      <c r="K56" s="619"/>
      <c r="L56" s="618"/>
      <c r="M56" s="619"/>
    </row>
    <row r="57" spans="1:13" s="55" customFormat="1" ht="21" thickTop="1" x14ac:dyDescent="0.2">
      <c r="A57" s="54"/>
      <c r="B57" s="54"/>
      <c r="C57" s="54"/>
      <c r="D57" s="54"/>
      <c r="E57" s="54"/>
      <c r="F57" s="54"/>
      <c r="G57" s="183"/>
      <c r="H57" s="183"/>
      <c r="K57" s="619"/>
      <c r="L57" s="618"/>
      <c r="M57" s="619"/>
    </row>
    <row r="58" spans="1:13" ht="20.25" x14ac:dyDescent="0.3">
      <c r="B58" s="627" t="s">
        <v>595</v>
      </c>
      <c r="C58" s="628"/>
      <c r="F58" s="576"/>
      <c r="G58" s="214"/>
      <c r="H58" s="214"/>
      <c r="I58" s="628"/>
    </row>
    <row r="59" spans="1:13" ht="9.75" customHeight="1" x14ac:dyDescent="0.3">
      <c r="B59" s="627"/>
      <c r="C59" s="628"/>
      <c r="F59" s="576"/>
      <c r="G59" s="214"/>
      <c r="H59" s="214"/>
      <c r="I59" s="628"/>
    </row>
    <row r="60" spans="1:13" ht="20.25" x14ac:dyDescent="0.3">
      <c r="B60" s="627"/>
      <c r="C60" s="30" t="s">
        <v>470</v>
      </c>
      <c r="F60" s="576"/>
      <c r="G60" s="214"/>
      <c r="H60" s="214"/>
      <c r="I60" s="628"/>
    </row>
    <row r="61" spans="1:13" ht="20.25" x14ac:dyDescent="0.3">
      <c r="B61" s="627"/>
      <c r="C61" s="422" t="s">
        <v>471</v>
      </c>
      <c r="F61" s="576"/>
      <c r="G61" s="214"/>
      <c r="H61" s="214"/>
      <c r="I61" s="628"/>
    </row>
    <row r="62" spans="1:13" ht="33.75" customHeight="1" x14ac:dyDescent="0.3">
      <c r="B62" s="627"/>
      <c r="C62" s="804" t="s">
        <v>521</v>
      </c>
      <c r="D62" s="804"/>
      <c r="E62" s="804"/>
      <c r="F62" s="804"/>
      <c r="G62" s="804"/>
      <c r="H62" s="804"/>
      <c r="I62" s="804"/>
    </row>
    <row r="63" spans="1:13" ht="20.25" x14ac:dyDescent="0.3">
      <c r="B63" s="627"/>
      <c r="C63" s="422" t="s">
        <v>601</v>
      </c>
      <c r="F63" s="576"/>
      <c r="G63" s="214"/>
      <c r="H63" s="214"/>
      <c r="I63" s="628"/>
    </row>
    <row r="64" spans="1:13" ht="20.25" x14ac:dyDescent="0.3">
      <c r="B64" s="627"/>
      <c r="C64">
        <v>1</v>
      </c>
      <c r="D64" s="422" t="s">
        <v>596</v>
      </c>
      <c r="F64" s="576"/>
      <c r="G64" s="214"/>
      <c r="H64" s="214"/>
      <c r="I64" s="628"/>
    </row>
    <row r="65" spans="2:9" ht="20.25" x14ac:dyDescent="0.3">
      <c r="B65" s="627"/>
      <c r="C65" s="422">
        <v>2</v>
      </c>
      <c r="D65" s="422" t="s">
        <v>597</v>
      </c>
      <c r="F65" s="576"/>
      <c r="G65" s="214"/>
      <c r="H65" s="214"/>
      <c r="I65" s="628"/>
    </row>
    <row r="66" spans="2:9" ht="20.25" x14ac:dyDescent="0.3">
      <c r="B66" s="627"/>
      <c r="C66" s="422" t="s">
        <v>598</v>
      </c>
      <c r="D66" s="422"/>
      <c r="F66" s="576"/>
      <c r="G66" s="214"/>
      <c r="H66" s="214"/>
      <c r="I66" s="628"/>
    </row>
    <row r="67" spans="2:9" ht="39.75" customHeight="1" x14ac:dyDescent="0.3">
      <c r="B67" s="627"/>
      <c r="C67" s="804" t="s">
        <v>599</v>
      </c>
      <c r="D67" s="804"/>
      <c r="E67" s="804"/>
      <c r="F67" s="804"/>
      <c r="G67" s="804"/>
      <c r="H67" s="804"/>
      <c r="I67" s="804"/>
    </row>
    <row r="68" spans="2:9" ht="20.25" customHeight="1" x14ac:dyDescent="0.2">
      <c r="C68" s="804" t="s">
        <v>600</v>
      </c>
      <c r="D68" s="804"/>
      <c r="E68" s="804"/>
      <c r="F68" s="804"/>
      <c r="G68" s="804"/>
      <c r="H68" s="804"/>
      <c r="I68" s="804"/>
    </row>
    <row r="69" spans="2:9" ht="11.25" customHeight="1" x14ac:dyDescent="0.3">
      <c r="C69" s="422"/>
      <c r="F69" s="576"/>
      <c r="G69" s="214"/>
      <c r="H69" s="214"/>
      <c r="I69" s="628"/>
    </row>
    <row r="70" spans="2:9" ht="20.25" hidden="1" x14ac:dyDescent="0.3">
      <c r="C70" s="629" t="s">
        <v>472</v>
      </c>
      <c r="F70" s="576"/>
      <c r="G70" s="214"/>
      <c r="H70" s="214"/>
      <c r="I70" s="628"/>
    </row>
    <row r="71" spans="2:9" ht="38.25" hidden="1" customHeight="1" x14ac:dyDescent="0.2">
      <c r="C71" s="804" t="s">
        <v>473</v>
      </c>
      <c r="D71" s="804"/>
      <c r="E71" s="804"/>
      <c r="F71" s="804"/>
      <c r="G71" s="804"/>
      <c r="H71" s="804"/>
      <c r="I71" s="804"/>
    </row>
    <row r="72" spans="2:9" ht="37.5" hidden="1" customHeight="1" x14ac:dyDescent="0.2">
      <c r="C72" s="805" t="s">
        <v>516</v>
      </c>
      <c r="D72" s="805"/>
      <c r="E72" s="805"/>
      <c r="F72" s="805"/>
      <c r="G72" s="805"/>
      <c r="H72" s="805"/>
      <c r="I72" s="805"/>
    </row>
    <row r="73" spans="2:9" ht="18" hidden="1" x14ac:dyDescent="0.25">
      <c r="C73" s="422" t="s">
        <v>474</v>
      </c>
      <c r="F73" s="576"/>
      <c r="G73" s="628"/>
      <c r="H73" s="628"/>
      <c r="I73" s="628"/>
    </row>
    <row r="74" spans="2:9" ht="18" hidden="1" x14ac:dyDescent="0.25">
      <c r="C74" s="422" t="s">
        <v>514</v>
      </c>
      <c r="F74" s="576"/>
      <c r="G74" s="628"/>
      <c r="H74" s="628"/>
      <c r="I74" s="628"/>
    </row>
    <row r="75" spans="2:9" ht="29.25" hidden="1" customHeight="1" x14ac:dyDescent="0.2">
      <c r="C75" s="804" t="s">
        <v>515</v>
      </c>
      <c r="D75" s="804"/>
      <c r="E75" s="804"/>
      <c r="F75" s="804"/>
      <c r="G75" s="804"/>
      <c r="H75" s="804"/>
      <c r="I75" s="804"/>
    </row>
    <row r="76" spans="2:9" ht="18" hidden="1" x14ac:dyDescent="0.25">
      <c r="C76" s="215" t="s">
        <v>505</v>
      </c>
      <c r="F76" s="576"/>
      <c r="G76" s="628"/>
      <c r="H76" s="628"/>
      <c r="I76" s="628"/>
    </row>
    <row r="77" spans="2:9" ht="18" hidden="1" x14ac:dyDescent="0.25">
      <c r="C77" s="215">
        <v>1</v>
      </c>
      <c r="D77" s="215" t="s">
        <v>506</v>
      </c>
      <c r="F77" s="576"/>
      <c r="G77" s="628"/>
      <c r="H77" s="628"/>
      <c r="I77" s="628"/>
    </row>
    <row r="78" spans="2:9" ht="18" hidden="1" x14ac:dyDescent="0.25">
      <c r="C78" s="215">
        <v>2</v>
      </c>
      <c r="D78" s="215" t="s">
        <v>512</v>
      </c>
      <c r="F78" s="576"/>
    </row>
    <row r="79" spans="2:9" ht="18" hidden="1" x14ac:dyDescent="0.25">
      <c r="C79" s="215">
        <v>3</v>
      </c>
      <c r="D79" s="215" t="s">
        <v>513</v>
      </c>
      <c r="F79" s="576"/>
    </row>
    <row r="80" spans="2:9" ht="18" hidden="1" x14ac:dyDescent="0.25">
      <c r="C80" s="215">
        <v>4</v>
      </c>
      <c r="D80" s="215" t="s">
        <v>508</v>
      </c>
      <c r="F80" s="576"/>
    </row>
    <row r="81" spans="3:6" ht="18" hidden="1" x14ac:dyDescent="0.25">
      <c r="C81" s="215" t="s">
        <v>507</v>
      </c>
      <c r="D81" s="215"/>
      <c r="F81" s="576"/>
    </row>
    <row r="82" spans="3:6" ht="18" hidden="1" x14ac:dyDescent="0.25">
      <c r="C82" s="215" t="s">
        <v>510</v>
      </c>
      <c r="D82" s="215"/>
      <c r="F82" s="576"/>
    </row>
    <row r="83" spans="3:6" ht="18" hidden="1" x14ac:dyDescent="0.25">
      <c r="C83" s="215">
        <v>1</v>
      </c>
      <c r="D83" s="215" t="s">
        <v>509</v>
      </c>
      <c r="F83" s="87"/>
    </row>
    <row r="84" spans="3:6" ht="18" hidden="1" x14ac:dyDescent="0.25">
      <c r="C84" s="215">
        <v>2</v>
      </c>
      <c r="D84" s="215" t="s">
        <v>511</v>
      </c>
      <c r="F84" s="87"/>
    </row>
    <row r="85" spans="3:6" hidden="1" x14ac:dyDescent="0.2">
      <c r="C85" s="215" t="s">
        <v>507</v>
      </c>
      <c r="D85" s="215"/>
    </row>
    <row r="86" spans="3:6" hidden="1" x14ac:dyDescent="0.2">
      <c r="C86" s="215" t="s">
        <v>523</v>
      </c>
      <c r="D86" s="215"/>
    </row>
    <row r="87" spans="3:6" hidden="1" x14ac:dyDescent="0.2">
      <c r="C87" s="215" t="s">
        <v>524</v>
      </c>
      <c r="D87" s="215"/>
    </row>
    <row r="88" spans="3:6" x14ac:dyDescent="0.2">
      <c r="C88" s="215"/>
      <c r="D88" s="215"/>
    </row>
    <row r="89" spans="3:6" x14ac:dyDescent="0.2">
      <c r="C89" s="215"/>
      <c r="D89" s="215"/>
    </row>
    <row r="90" spans="3:6" x14ac:dyDescent="0.2">
      <c r="C90" s="215"/>
      <c r="D90" s="215"/>
    </row>
    <row r="91" spans="3:6" x14ac:dyDescent="0.2">
      <c r="C91" s="215"/>
      <c r="D91" s="215"/>
    </row>
    <row r="92" spans="3:6" x14ac:dyDescent="0.2">
      <c r="C92" s="215"/>
      <c r="D92" s="215"/>
    </row>
    <row r="93" spans="3:6" x14ac:dyDescent="0.2">
      <c r="C93" s="215"/>
      <c r="D93" s="215"/>
    </row>
    <row r="94" spans="3:6" x14ac:dyDescent="0.2">
      <c r="C94" s="215"/>
      <c r="D94" s="215"/>
    </row>
    <row r="95" spans="3:6" x14ac:dyDescent="0.2">
      <c r="C95" s="215"/>
      <c r="D95" s="215"/>
    </row>
    <row r="96" spans="3:6" x14ac:dyDescent="0.2">
      <c r="C96" s="215"/>
      <c r="D96" s="215"/>
    </row>
    <row r="97" spans="3:3" x14ac:dyDescent="0.2">
      <c r="C97" s="215"/>
    </row>
    <row r="98" spans="3:3" x14ac:dyDescent="0.2">
      <c r="C98" s="215"/>
    </row>
    <row r="99" spans="3:3" x14ac:dyDescent="0.2">
      <c r="C99" s="215"/>
    </row>
    <row r="100" spans="3:3" x14ac:dyDescent="0.2">
      <c r="C100" s="215"/>
    </row>
    <row r="101" spans="3:3" x14ac:dyDescent="0.2">
      <c r="C101" s="215"/>
    </row>
    <row r="102" spans="3:3" x14ac:dyDescent="0.2">
      <c r="C102" s="215"/>
    </row>
    <row r="103" spans="3:3" x14ac:dyDescent="0.2">
      <c r="C103" s="215"/>
    </row>
    <row r="104" spans="3:3" x14ac:dyDescent="0.2">
      <c r="C104" s="215"/>
    </row>
    <row r="105" spans="3:3" x14ac:dyDescent="0.2">
      <c r="C105" s="215"/>
    </row>
    <row r="106" spans="3:3" x14ac:dyDescent="0.2">
      <c r="C106" s="215"/>
    </row>
    <row r="107" spans="3:3" x14ac:dyDescent="0.2">
      <c r="C107" s="215"/>
    </row>
    <row r="108" spans="3:3" x14ac:dyDescent="0.2">
      <c r="C108" s="215"/>
    </row>
    <row r="109" spans="3:3" x14ac:dyDescent="0.2">
      <c r="C109" s="215"/>
    </row>
    <row r="110" spans="3:3" x14ac:dyDescent="0.2">
      <c r="C110" s="215"/>
    </row>
    <row r="111" spans="3:3" x14ac:dyDescent="0.2">
      <c r="C111" s="215"/>
    </row>
  </sheetData>
  <mergeCells count="7">
    <mergeCell ref="C72:I72"/>
    <mergeCell ref="C75:I75"/>
    <mergeCell ref="C40:F40"/>
    <mergeCell ref="C62:I62"/>
    <mergeCell ref="C67:I67"/>
    <mergeCell ref="C68:I68"/>
    <mergeCell ref="C71:I7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W116"/>
  <sheetViews>
    <sheetView tabSelected="1" zoomScaleNormal="100" workbookViewId="0">
      <selection activeCell="H107" sqref="H107"/>
    </sheetView>
  </sheetViews>
  <sheetFormatPr defaultRowHeight="14.25" x14ac:dyDescent="0.2"/>
  <cols>
    <col min="1" max="1" width="5" customWidth="1"/>
    <col min="2" max="6" width="14.875" customWidth="1"/>
    <col min="7" max="7" width="16.125" customWidth="1"/>
    <col min="8" max="8" width="18.25" customWidth="1"/>
    <col min="9" max="9" width="9.5" bestFit="1" customWidth="1"/>
    <col min="10" max="10" width="9.875" bestFit="1" customWidth="1"/>
    <col min="11" max="11" width="10.5" bestFit="1" customWidth="1"/>
    <col min="12" max="12" width="13.125" bestFit="1" customWidth="1"/>
  </cols>
  <sheetData>
    <row r="1" spans="1:8" ht="23.25" x14ac:dyDescent="0.2">
      <c r="A1" s="834" t="s">
        <v>169</v>
      </c>
      <c r="B1" s="834"/>
      <c r="C1" s="834"/>
      <c r="D1" s="834"/>
      <c r="E1" s="834"/>
      <c r="F1" s="834"/>
      <c r="G1" s="834"/>
      <c r="H1" s="834"/>
    </row>
    <row r="2" spans="1:8" ht="23.25" x14ac:dyDescent="0.2">
      <c r="A2" s="834" t="s">
        <v>170</v>
      </c>
      <c r="B2" s="834"/>
      <c r="C2" s="834"/>
      <c r="D2" s="834"/>
      <c r="E2" s="834"/>
      <c r="F2" s="834"/>
      <c r="G2" s="834"/>
      <c r="H2" s="834"/>
    </row>
    <row r="3" spans="1:8" ht="23.25" x14ac:dyDescent="0.2">
      <c r="A3" s="835">
        <v>45559</v>
      </c>
      <c r="B3" s="835"/>
      <c r="C3" s="835"/>
      <c r="D3" s="835"/>
      <c r="E3" s="835"/>
      <c r="F3" s="835"/>
      <c r="G3" s="835"/>
      <c r="H3" s="835"/>
    </row>
    <row r="4" spans="1:8" ht="21.75" customHeight="1" x14ac:dyDescent="0.2">
      <c r="A4" s="836" t="s">
        <v>180</v>
      </c>
      <c r="B4" s="836"/>
      <c r="C4" s="836"/>
      <c r="D4" s="836"/>
      <c r="E4" s="836"/>
      <c r="F4" s="836"/>
      <c r="G4" s="836"/>
      <c r="H4" s="836"/>
    </row>
    <row r="5" spans="1:8" ht="83.25" customHeight="1" x14ac:dyDescent="0.2">
      <c r="A5" s="808" t="s">
        <v>689</v>
      </c>
      <c r="B5" s="808"/>
      <c r="C5" s="808"/>
      <c r="D5" s="808"/>
      <c r="E5" s="808"/>
      <c r="F5" s="808"/>
      <c r="G5" s="808"/>
      <c r="H5" s="808"/>
    </row>
    <row r="6" spans="1:8" ht="81" customHeight="1" x14ac:dyDescent="0.2">
      <c r="A6" s="372"/>
      <c r="B6" s="372"/>
      <c r="C6" s="372"/>
      <c r="D6" s="372"/>
      <c r="E6" s="372"/>
      <c r="F6" s="372"/>
      <c r="G6" s="372"/>
      <c r="H6" s="372"/>
    </row>
    <row r="7" spans="1:8" ht="81" customHeight="1" x14ac:dyDescent="0.2">
      <c r="A7" s="372"/>
      <c r="B7" s="372"/>
      <c r="C7" s="372"/>
      <c r="D7" s="372"/>
      <c r="E7" s="372"/>
      <c r="F7" s="372"/>
      <c r="G7" s="372"/>
      <c r="H7" s="372"/>
    </row>
    <row r="8" spans="1:8" ht="81" customHeight="1" x14ac:dyDescent="0.2">
      <c r="A8" s="372"/>
      <c r="B8" s="372"/>
      <c r="C8" s="372"/>
      <c r="D8" s="372"/>
      <c r="E8" s="372"/>
      <c r="F8" s="372"/>
      <c r="G8" s="372"/>
      <c r="H8" s="372"/>
    </row>
    <row r="9" spans="1:8" ht="53.25" customHeight="1" x14ac:dyDescent="0.25">
      <c r="A9" s="810" t="s">
        <v>690</v>
      </c>
      <c r="B9" s="810"/>
      <c r="C9" s="810"/>
      <c r="D9" s="810"/>
      <c r="E9" s="810"/>
      <c r="F9" s="810"/>
      <c r="G9" s="810"/>
      <c r="H9" s="810"/>
    </row>
    <row r="10" spans="1:8" ht="15.75" x14ac:dyDescent="0.25">
      <c r="A10" s="347"/>
      <c r="B10" s="833"/>
      <c r="C10" s="833"/>
      <c r="D10" s="338"/>
      <c r="E10" s="344" t="s">
        <v>48</v>
      </c>
      <c r="F10" s="344" t="s">
        <v>354</v>
      </c>
      <c r="G10" s="339"/>
      <c r="H10" s="347"/>
    </row>
    <row r="11" spans="1:8" ht="15.75" customHeight="1" x14ac:dyDescent="0.25">
      <c r="A11" s="347"/>
      <c r="C11" s="831" t="s">
        <v>372</v>
      </c>
      <c r="D11" s="831"/>
      <c r="E11" s="151">
        <f>'August''24 AR Aging '!G8</f>
        <v>58191.21</v>
      </c>
      <c r="F11" s="518">
        <f t="shared" ref="F11:F16" si="0">E11/E$17</f>
        <v>0.17978520393904002</v>
      </c>
      <c r="G11" s="340"/>
      <c r="H11" s="347"/>
    </row>
    <row r="12" spans="1:8" ht="15.75" customHeight="1" x14ac:dyDescent="0.25">
      <c r="A12" s="347"/>
      <c r="C12" s="831" t="s">
        <v>370</v>
      </c>
      <c r="D12" s="831"/>
      <c r="E12" s="244">
        <f>'August''24 AR Aging '!G30</f>
        <v>42814.69</v>
      </c>
      <c r="F12" s="518">
        <f t="shared" si="0"/>
        <v>0.13227853095401829</v>
      </c>
      <c r="G12" s="340"/>
      <c r="H12" s="347"/>
    </row>
    <row r="13" spans="1:8" ht="15.75" customHeight="1" x14ac:dyDescent="0.25">
      <c r="A13" s="347"/>
      <c r="C13" s="831" t="s">
        <v>371</v>
      </c>
      <c r="D13" s="831"/>
      <c r="E13" s="244">
        <f>'August''24 AR Aging '!G12</f>
        <v>55034.8</v>
      </c>
      <c r="F13" s="518">
        <f t="shared" si="0"/>
        <v>0.17003328753164407</v>
      </c>
      <c r="G13" s="340"/>
      <c r="H13" s="347"/>
    </row>
    <row r="14" spans="1:8" ht="15.75" customHeight="1" x14ac:dyDescent="0.25">
      <c r="A14" s="347"/>
      <c r="C14" s="833" t="s">
        <v>43</v>
      </c>
      <c r="D14" s="833"/>
      <c r="E14" s="244">
        <f>'August''24 AR Aging '!G41</f>
        <v>35951.629999999997</v>
      </c>
      <c r="F14" s="518">
        <f t="shared" si="0"/>
        <v>0.11107469893633264</v>
      </c>
      <c r="G14" s="340"/>
      <c r="H14" s="347"/>
    </row>
    <row r="15" spans="1:8" ht="15.75" customHeight="1" x14ac:dyDescent="0.25">
      <c r="A15" s="347"/>
      <c r="C15" s="833" t="s">
        <v>426</v>
      </c>
      <c r="D15" s="833"/>
      <c r="E15" s="244">
        <f>'August''24 AR Aging '!G49+'August''24 AR Aging '!G54+'August''24 AR Aging '!G56+'August''24 AR Aging '!G37+'August''24 AR Aging '!G38+'August''24 AR Aging '!G70</f>
        <v>75438.040000000008</v>
      </c>
      <c r="F15" s="518">
        <f t="shared" si="0"/>
        <v>0.23307031089680832</v>
      </c>
      <c r="G15" s="340"/>
      <c r="H15" s="347"/>
    </row>
    <row r="16" spans="1:8" ht="15.75" customHeight="1" x14ac:dyDescent="0.25">
      <c r="A16" s="347"/>
      <c r="C16" s="833" t="s">
        <v>344</v>
      </c>
      <c r="D16" s="833"/>
      <c r="E16" s="244">
        <f>'August''24 AR Aging '!G58+'August''24 AR Aging '!G40+'August''24 AR Aging '!G60+'August''24 AR Aging '!G61+'August''24 AR Aging '!G66+'August''24 AR Aging '!G64+'August''24 AR Aging '!G39+'August''24 AR Aging '!G62+'August''24 AR Aging '!G63</f>
        <v>56240.37</v>
      </c>
      <c r="F16" s="518">
        <f t="shared" si="0"/>
        <v>0.17375796774215674</v>
      </c>
      <c r="G16" s="340"/>
      <c r="H16" s="347"/>
    </row>
    <row r="17" spans="1:13" ht="16.5" customHeight="1" thickBot="1" x14ac:dyDescent="0.3">
      <c r="A17" s="347"/>
      <c r="B17" s="833" t="s">
        <v>691</v>
      </c>
      <c r="C17" s="833"/>
      <c r="D17" s="833"/>
      <c r="E17" s="345">
        <f>SUM(E11:E16)</f>
        <v>323670.74</v>
      </c>
      <c r="F17" s="519">
        <f>SUM(F11:F16)</f>
        <v>1</v>
      </c>
      <c r="G17" s="514"/>
      <c r="H17" s="347"/>
    </row>
    <row r="18" spans="1:13" ht="38.25" customHeight="1" thickTop="1" x14ac:dyDescent="0.2">
      <c r="A18" s="372"/>
      <c r="B18" s="372"/>
      <c r="C18" s="372"/>
      <c r="D18" s="372"/>
      <c r="E18" s="685"/>
      <c r="F18" s="372"/>
      <c r="G18" s="372"/>
      <c r="H18" s="372"/>
    </row>
    <row r="19" spans="1:13" ht="88.5" customHeight="1" x14ac:dyDescent="0.2">
      <c r="A19" s="372"/>
      <c r="B19" s="372"/>
      <c r="C19" s="372"/>
      <c r="D19" s="372"/>
      <c r="E19" s="372"/>
      <c r="F19" s="372"/>
      <c r="G19" s="372"/>
      <c r="H19" s="372"/>
    </row>
    <row r="20" spans="1:13" ht="88.5" customHeight="1" x14ac:dyDescent="0.2">
      <c r="A20" s="372"/>
      <c r="B20" s="372"/>
      <c r="C20" s="372"/>
      <c r="D20" s="372"/>
      <c r="E20" s="372"/>
      <c r="F20" s="372"/>
      <c r="G20" s="372"/>
      <c r="H20" s="372"/>
    </row>
    <row r="21" spans="1:13" ht="88.5" customHeight="1" x14ac:dyDescent="0.2">
      <c r="A21" s="372"/>
      <c r="B21" s="372"/>
      <c r="C21" s="372"/>
      <c r="D21" s="372"/>
      <c r="E21" s="372"/>
      <c r="F21" s="372"/>
      <c r="G21" s="372"/>
      <c r="H21" s="372"/>
    </row>
    <row r="22" spans="1:13" ht="35.25" hidden="1" customHeight="1" x14ac:dyDescent="0.2">
      <c r="A22" s="809" t="s">
        <v>275</v>
      </c>
      <c r="B22" s="809"/>
      <c r="C22" s="809"/>
      <c r="D22" s="809"/>
      <c r="E22" s="809"/>
      <c r="F22" s="809"/>
      <c r="G22" s="809"/>
      <c r="H22" s="809"/>
    </row>
    <row r="23" spans="1:13" ht="15" customHeight="1" x14ac:dyDescent="0.2">
      <c r="A23" s="372"/>
      <c r="B23" s="372"/>
      <c r="C23" s="372"/>
      <c r="D23" s="372"/>
      <c r="E23" s="372"/>
      <c r="F23" s="372"/>
      <c r="G23" s="372"/>
      <c r="H23" s="372"/>
    </row>
    <row r="24" spans="1:13" ht="55.5" customHeight="1" x14ac:dyDescent="0.2">
      <c r="A24" s="809" t="s">
        <v>655</v>
      </c>
      <c r="B24" s="809"/>
      <c r="C24" s="809"/>
      <c r="D24" s="809"/>
      <c r="E24" s="809"/>
      <c r="F24" s="809"/>
      <c r="G24" s="809"/>
      <c r="H24" s="809"/>
      <c r="L24" s="528"/>
    </row>
    <row r="25" spans="1:13" ht="38.25" customHeight="1" x14ac:dyDescent="0.2">
      <c r="A25" s="372"/>
      <c r="B25" s="372"/>
      <c r="C25" s="372"/>
      <c r="D25" s="372"/>
      <c r="E25" s="372"/>
      <c r="F25" s="372"/>
      <c r="G25" s="372"/>
      <c r="H25" s="372"/>
      <c r="L25" s="541"/>
    </row>
    <row r="26" spans="1:13" ht="38.25" customHeight="1" x14ac:dyDescent="0.2">
      <c r="A26" s="372"/>
      <c r="B26" s="372"/>
      <c r="C26" s="372"/>
      <c r="D26" s="372"/>
      <c r="E26" s="372"/>
      <c r="F26" s="372"/>
      <c r="G26" s="372"/>
      <c r="H26" s="372"/>
      <c r="J26" s="528"/>
      <c r="L26" s="541"/>
      <c r="M26" s="541"/>
    </row>
    <row r="27" spans="1:13" ht="38.25" customHeight="1" x14ac:dyDescent="0.2">
      <c r="A27" s="372"/>
      <c r="B27" s="372"/>
      <c r="C27" s="372"/>
      <c r="D27" s="372"/>
      <c r="E27" s="372"/>
      <c r="F27" s="372"/>
      <c r="G27" s="372"/>
      <c r="H27" s="372"/>
      <c r="J27" s="528"/>
      <c r="L27" s="541"/>
    </row>
    <row r="28" spans="1:13" ht="38.25" customHeight="1" x14ac:dyDescent="0.2">
      <c r="A28" s="372"/>
      <c r="B28" s="372"/>
      <c r="C28" s="372"/>
      <c r="D28" s="372"/>
      <c r="E28" s="372"/>
      <c r="F28" s="372"/>
      <c r="G28" s="372"/>
      <c r="H28" s="372"/>
    </row>
    <row r="29" spans="1:13" ht="38.25" customHeight="1" x14ac:dyDescent="0.2">
      <c r="A29" s="372"/>
      <c r="B29" s="372"/>
      <c r="C29" s="372"/>
      <c r="D29" s="372"/>
      <c r="E29" s="372"/>
      <c r="F29" s="372"/>
      <c r="G29" s="372"/>
      <c r="H29" s="372"/>
      <c r="J29" s="541"/>
    </row>
    <row r="30" spans="1:13" ht="38.25" customHeight="1" x14ac:dyDescent="0.2">
      <c r="A30" s="372"/>
      <c r="B30" s="372"/>
      <c r="C30" s="372"/>
      <c r="D30" s="372"/>
      <c r="E30" s="372"/>
      <c r="F30" s="372"/>
      <c r="G30" s="372"/>
      <c r="H30" s="372"/>
      <c r="J30" s="541"/>
    </row>
    <row r="31" spans="1:13" ht="38.25" customHeight="1" x14ac:dyDescent="0.2">
      <c r="A31" s="372"/>
      <c r="B31" s="372"/>
      <c r="C31" s="372"/>
      <c r="D31" s="372"/>
      <c r="E31" s="372"/>
      <c r="F31" s="372"/>
      <c r="G31" s="372"/>
      <c r="H31" s="372"/>
    </row>
    <row r="32" spans="1:13" ht="21.75" customHeight="1" x14ac:dyDescent="0.2">
      <c r="A32" s="372"/>
      <c r="B32" s="372"/>
      <c r="C32" s="372"/>
      <c r="D32" s="372"/>
      <c r="E32" s="372"/>
      <c r="F32" s="372"/>
      <c r="G32" s="372"/>
      <c r="H32" s="372"/>
    </row>
    <row r="33" spans="1:12" ht="30" hidden="1" customHeight="1" x14ac:dyDescent="0.25">
      <c r="A33" s="372"/>
      <c r="B33" s="474" t="s">
        <v>298</v>
      </c>
      <c r="C33" s="475" t="s">
        <v>334</v>
      </c>
      <c r="D33" s="474" t="s">
        <v>237</v>
      </c>
      <c r="E33" s="476" t="s">
        <v>361</v>
      </c>
      <c r="F33" s="476" t="s">
        <v>367</v>
      </c>
      <c r="G33" s="476" t="s">
        <v>390</v>
      </c>
      <c r="H33" s="476" t="s">
        <v>299</v>
      </c>
      <c r="I33" s="462"/>
      <c r="J33" s="462"/>
      <c r="K33" s="462"/>
    </row>
    <row r="34" spans="1:12" ht="15" hidden="1" x14ac:dyDescent="0.2">
      <c r="A34" s="372"/>
      <c r="B34" s="33" t="s">
        <v>364</v>
      </c>
      <c r="C34" s="457">
        <v>-20</v>
      </c>
      <c r="D34" s="457">
        <v>71.92</v>
      </c>
      <c r="E34" s="457">
        <f>10762-10528</f>
        <v>234</v>
      </c>
      <c r="F34" s="457">
        <v>-190</v>
      </c>
      <c r="G34" s="466">
        <v>95.95</v>
      </c>
      <c r="H34" s="535">
        <f>G34/G$44</f>
        <v>5.2028752623263139E-4</v>
      </c>
      <c r="J34" s="528"/>
    </row>
    <row r="35" spans="1:12" ht="15" hidden="1" x14ac:dyDescent="0.2">
      <c r="A35" s="372"/>
      <c r="B35" s="33" t="s">
        <v>238</v>
      </c>
      <c r="C35" s="469">
        <v>38489.56</v>
      </c>
      <c r="D35" s="469">
        <v>1957.5</v>
      </c>
      <c r="E35" s="469"/>
      <c r="F35" s="469">
        <v>3786.43</v>
      </c>
      <c r="G35" s="469">
        <f>C35+D35+F35+E35</f>
        <v>44233.49</v>
      </c>
      <c r="H35" s="535">
        <f>G35/G$44</f>
        <v>0.2398554777356523</v>
      </c>
      <c r="I35" s="463"/>
      <c r="J35" s="528"/>
      <c r="K35" s="529"/>
    </row>
    <row r="36" spans="1:12" ht="15" hidden="1" x14ac:dyDescent="0.25">
      <c r="A36" s="372"/>
      <c r="B36" s="33" t="s">
        <v>239</v>
      </c>
      <c r="C36" s="469">
        <v>14903.11</v>
      </c>
      <c r="D36" s="469">
        <v>192.85</v>
      </c>
      <c r="E36" s="469">
        <v>-15478.91</v>
      </c>
      <c r="F36" s="469">
        <v>382.95</v>
      </c>
      <c r="G36" s="469">
        <f t="shared" ref="G36:G43" si="1">C36+D36+F36+E36</f>
        <v>0</v>
      </c>
      <c r="H36" s="535"/>
      <c r="I36" s="464"/>
      <c r="J36" s="528"/>
      <c r="K36" s="529"/>
      <c r="L36" s="218"/>
    </row>
    <row r="37" spans="1:12" ht="15" hidden="1" x14ac:dyDescent="0.2">
      <c r="A37" s="372"/>
      <c r="B37" s="33" t="s">
        <v>240</v>
      </c>
      <c r="C37" s="469">
        <v>44091.09</v>
      </c>
      <c r="D37" s="469">
        <f>3207.47-14</f>
        <v>3193.47</v>
      </c>
      <c r="E37" s="469"/>
      <c r="F37" s="469">
        <f>10544.9+14</f>
        <v>10558.9</v>
      </c>
      <c r="G37" s="469">
        <f t="shared" si="1"/>
        <v>57843.46</v>
      </c>
      <c r="H37" s="535">
        <f>G37/G$44</f>
        <v>0.31365534874555673</v>
      </c>
      <c r="I37" s="463"/>
      <c r="J37" s="528"/>
      <c r="K37" s="529"/>
      <c r="L37" s="218"/>
    </row>
    <row r="38" spans="1:12" ht="15" hidden="1" x14ac:dyDescent="0.25">
      <c r="A38" s="372"/>
      <c r="B38" s="33" t="s">
        <v>241</v>
      </c>
      <c r="C38" s="469">
        <v>21132.04</v>
      </c>
      <c r="D38" s="469">
        <v>549.69000000000005</v>
      </c>
      <c r="E38" s="469"/>
      <c r="F38" s="469">
        <v>-212.79</v>
      </c>
      <c r="G38" s="469">
        <f t="shared" si="1"/>
        <v>21468.94</v>
      </c>
      <c r="H38" s="535">
        <f>G38/G$44</f>
        <v>0.11641502536150901</v>
      </c>
      <c r="I38" s="464"/>
      <c r="J38" s="528"/>
      <c r="K38" s="529"/>
      <c r="L38" s="218"/>
    </row>
    <row r="39" spans="1:12" ht="15" hidden="1" x14ac:dyDescent="0.25">
      <c r="A39" s="372"/>
      <c r="B39" s="33" t="s">
        <v>242</v>
      </c>
      <c r="C39" s="469">
        <v>21091.57</v>
      </c>
      <c r="D39" s="469">
        <v>438.93</v>
      </c>
      <c r="E39" s="469">
        <v>-22513.11</v>
      </c>
      <c r="F39" s="469">
        <v>982.61</v>
      </c>
      <c r="G39" s="469">
        <f t="shared" si="1"/>
        <v>0</v>
      </c>
      <c r="H39" s="535"/>
      <c r="I39" s="464"/>
      <c r="J39" s="528"/>
      <c r="K39" s="529"/>
      <c r="L39" s="218"/>
    </row>
    <row r="40" spans="1:12" ht="15" hidden="1" x14ac:dyDescent="0.25">
      <c r="A40" s="372"/>
      <c r="B40" s="33" t="s">
        <v>243</v>
      </c>
      <c r="C40" s="469">
        <v>19933.830000000002</v>
      </c>
      <c r="D40" s="469">
        <v>860.03</v>
      </c>
      <c r="E40" s="469">
        <v>-10770</v>
      </c>
      <c r="F40" s="469">
        <v>-375.6</v>
      </c>
      <c r="G40" s="469">
        <f t="shared" si="1"/>
        <v>9648.260000000002</v>
      </c>
      <c r="H40" s="535">
        <f>G40/G$44</f>
        <v>5.2317554224588322E-2</v>
      </c>
      <c r="I40" s="464"/>
      <c r="J40" s="528"/>
      <c r="K40" s="529"/>
      <c r="L40" s="218"/>
    </row>
    <row r="41" spans="1:12" ht="15" hidden="1" x14ac:dyDescent="0.25">
      <c r="A41" s="372"/>
      <c r="B41" s="33" t="s">
        <v>362</v>
      </c>
      <c r="C41" s="469"/>
      <c r="D41" s="469">
        <v>140.21</v>
      </c>
      <c r="E41" s="469">
        <v>15482.91</v>
      </c>
      <c r="F41" s="469">
        <v>64.31</v>
      </c>
      <c r="G41" s="469">
        <f t="shared" si="1"/>
        <v>15687.43</v>
      </c>
      <c r="H41" s="535">
        <f>G41/G$44</f>
        <v>8.5064868657087747E-2</v>
      </c>
      <c r="I41" s="464"/>
      <c r="J41" s="528"/>
      <c r="K41" s="529"/>
      <c r="L41" s="218"/>
    </row>
    <row r="42" spans="1:12" ht="15" hidden="1" x14ac:dyDescent="0.25">
      <c r="A42" s="372"/>
      <c r="B42" s="33" t="s">
        <v>363</v>
      </c>
      <c r="C42" s="469"/>
      <c r="D42" s="469">
        <v>512.02</v>
      </c>
      <c r="E42" s="469">
        <v>22517.11</v>
      </c>
      <c r="F42" s="469">
        <v>817.76</v>
      </c>
      <c r="G42" s="469">
        <f t="shared" si="1"/>
        <v>23846.89</v>
      </c>
      <c r="H42" s="535">
        <f>G42/G$44</f>
        <v>0.12930942580971</v>
      </c>
      <c r="I42" s="464"/>
      <c r="J42" s="528"/>
      <c r="K42" s="529"/>
      <c r="L42" s="218"/>
    </row>
    <row r="43" spans="1:12" ht="17.25" hidden="1" customHeight="1" x14ac:dyDescent="0.2">
      <c r="A43" s="372"/>
      <c r="B43" s="33" t="s">
        <v>383</v>
      </c>
      <c r="C43" s="457"/>
      <c r="D43" s="403">
        <v>81.599999999999994</v>
      </c>
      <c r="E43" s="537">
        <v>10528</v>
      </c>
      <c r="F43" s="457">
        <v>983.24</v>
      </c>
      <c r="G43" s="457">
        <f t="shared" si="1"/>
        <v>11592.84</v>
      </c>
      <c r="H43" s="535">
        <f>G43/G$44</f>
        <v>6.2862011939663356E-2</v>
      </c>
      <c r="I43" s="463"/>
      <c r="J43" s="528"/>
      <c r="K43" s="529"/>
      <c r="L43" s="218"/>
    </row>
    <row r="44" spans="1:12" ht="15" hidden="1" x14ac:dyDescent="0.25">
      <c r="A44" s="372"/>
      <c r="B44" s="458" t="s">
        <v>255</v>
      </c>
      <c r="C44" s="459">
        <f>SUM(C34:C43)</f>
        <v>159621.20000000001</v>
      </c>
      <c r="D44" s="460">
        <f>SUM(D35:D43)</f>
        <v>7926.3000000000011</v>
      </c>
      <c r="E44" s="459">
        <f>SUM(E34:E43)</f>
        <v>0</v>
      </c>
      <c r="F44" s="459">
        <f>SUM(F34:F43)+72</f>
        <v>16869.809999999998</v>
      </c>
      <c r="G44" s="459">
        <f>SUM(G34:G43)</f>
        <v>184417.25999999998</v>
      </c>
      <c r="H44" s="536">
        <f>SUM(H34:H43)</f>
        <v>1.0000000000000002</v>
      </c>
      <c r="I44" s="465"/>
      <c r="J44" s="528"/>
      <c r="K44" s="529"/>
    </row>
    <row r="45" spans="1:12" ht="15" hidden="1" x14ac:dyDescent="0.2">
      <c r="A45" s="372"/>
      <c r="B45" s="82"/>
      <c r="C45" s="530"/>
      <c r="D45" s="530"/>
      <c r="E45" s="530"/>
      <c r="F45" s="530"/>
      <c r="G45" s="531"/>
      <c r="J45" s="528"/>
      <c r="K45" s="529"/>
    </row>
    <row r="46" spans="1:12" ht="15" hidden="1" x14ac:dyDescent="0.2">
      <c r="A46" s="372"/>
      <c r="C46" s="244"/>
      <c r="D46" s="244"/>
      <c r="E46" s="244"/>
      <c r="F46" s="244"/>
      <c r="G46" s="527"/>
      <c r="J46" s="528"/>
      <c r="K46" s="529"/>
    </row>
    <row r="47" spans="1:12" ht="15" hidden="1" x14ac:dyDescent="0.2">
      <c r="A47" s="372"/>
      <c r="B47" s="832" t="s">
        <v>359</v>
      </c>
      <c r="C47" s="832"/>
      <c r="D47" s="832"/>
      <c r="E47" s="832"/>
      <c r="F47" s="372"/>
      <c r="G47" s="372"/>
      <c r="H47" s="372"/>
      <c r="J47" s="528"/>
      <c r="K47" s="529"/>
    </row>
    <row r="48" spans="1:12" ht="47.25" hidden="1" customHeight="1" x14ac:dyDescent="0.2">
      <c r="A48" s="372"/>
      <c r="B48" s="822" t="s">
        <v>252</v>
      </c>
      <c r="C48" s="823"/>
      <c r="D48" s="823"/>
      <c r="E48" s="823"/>
      <c r="F48" s="823"/>
      <c r="G48" s="823"/>
      <c r="H48" s="386"/>
      <c r="J48" s="528"/>
      <c r="K48" s="529"/>
    </row>
    <row r="49" spans="1:11" ht="47.25" hidden="1" customHeight="1" x14ac:dyDescent="0.2">
      <c r="A49" s="372"/>
      <c r="B49" s="822" t="s">
        <v>254</v>
      </c>
      <c r="C49" s="823"/>
      <c r="D49" s="823"/>
      <c r="E49" s="823"/>
      <c r="F49" s="823"/>
      <c r="G49" s="823"/>
      <c r="H49" s="386"/>
      <c r="J49" s="528"/>
      <c r="K49" s="529"/>
    </row>
    <row r="50" spans="1:11" ht="42" hidden="1" customHeight="1" x14ac:dyDescent="0.2">
      <c r="A50" s="372"/>
      <c r="B50" s="826" t="s">
        <v>251</v>
      </c>
      <c r="C50" s="827"/>
      <c r="D50" s="827"/>
      <c r="E50" s="827"/>
      <c r="F50" s="827"/>
      <c r="G50" s="827"/>
      <c r="H50" s="386"/>
      <c r="J50" s="528"/>
      <c r="K50" s="529"/>
    </row>
    <row r="51" spans="1:11" ht="47.25" hidden="1" customHeight="1" x14ac:dyDescent="0.2">
      <c r="A51" s="372"/>
      <c r="B51" s="822" t="s">
        <v>250</v>
      </c>
      <c r="C51" s="823"/>
      <c r="D51" s="823"/>
      <c r="E51" s="823"/>
      <c r="F51" s="823"/>
      <c r="G51" s="823"/>
      <c r="H51" s="386"/>
      <c r="J51" s="528"/>
      <c r="K51" s="529"/>
    </row>
    <row r="52" spans="1:11" ht="47.25" hidden="1" customHeight="1" x14ac:dyDescent="0.2">
      <c r="A52" s="372"/>
      <c r="B52" s="822" t="s">
        <v>249</v>
      </c>
      <c r="C52" s="823"/>
      <c r="D52" s="823"/>
      <c r="E52" s="823"/>
      <c r="F52" s="823"/>
      <c r="G52" s="823"/>
      <c r="H52" s="386"/>
      <c r="J52" s="528"/>
      <c r="K52" s="529"/>
    </row>
    <row r="53" spans="1:11" ht="47.25" hidden="1" customHeight="1" x14ac:dyDescent="0.2">
      <c r="A53" s="372"/>
      <c r="B53" s="822" t="s">
        <v>248</v>
      </c>
      <c r="C53" s="823"/>
      <c r="D53" s="823"/>
      <c r="E53" s="823"/>
      <c r="F53" s="823"/>
      <c r="G53" s="823"/>
      <c r="H53" s="386"/>
      <c r="J53" s="528"/>
      <c r="K53" s="529"/>
    </row>
    <row r="54" spans="1:11" ht="46.5" hidden="1" customHeight="1" x14ac:dyDescent="0.2">
      <c r="A54" s="372"/>
      <c r="B54" s="822" t="s">
        <v>365</v>
      </c>
      <c r="C54" s="823"/>
      <c r="D54" s="823"/>
      <c r="E54" s="823"/>
      <c r="F54" s="823"/>
      <c r="G54" s="823"/>
      <c r="H54" s="386"/>
      <c r="J54" s="528"/>
      <c r="K54" s="534"/>
    </row>
    <row r="55" spans="1:11" ht="38.25" hidden="1" customHeight="1" x14ac:dyDescent="0.2">
      <c r="A55" s="372"/>
      <c r="B55" s="822" t="s">
        <v>366</v>
      </c>
      <c r="C55" s="823"/>
      <c r="D55" s="823"/>
      <c r="E55" s="823"/>
      <c r="F55" s="823"/>
      <c r="G55" s="823"/>
      <c r="H55" s="386"/>
      <c r="J55" s="528"/>
      <c r="K55" s="529"/>
    </row>
    <row r="56" spans="1:11" ht="93" hidden="1" customHeight="1" x14ac:dyDescent="0.2">
      <c r="A56" s="372"/>
      <c r="B56" s="830" t="s">
        <v>382</v>
      </c>
      <c r="C56" s="823"/>
      <c r="D56" s="823"/>
      <c r="E56" s="823"/>
      <c r="F56" s="823"/>
      <c r="G56" s="823"/>
      <c r="H56" s="372"/>
      <c r="J56" s="528"/>
      <c r="K56" s="529"/>
    </row>
    <row r="57" spans="1:11" ht="32.25" customHeight="1" x14ac:dyDescent="0.25">
      <c r="A57" s="810" t="s">
        <v>425</v>
      </c>
      <c r="B57" s="810"/>
      <c r="C57" s="810"/>
      <c r="D57" s="810"/>
      <c r="E57" s="810"/>
      <c r="F57" s="810"/>
      <c r="G57" s="810"/>
      <c r="H57" s="810"/>
      <c r="J57" s="528"/>
      <c r="K57" s="529"/>
    </row>
    <row r="58" spans="1:11" ht="16.5" customHeight="1" x14ac:dyDescent="0.25">
      <c r="A58" s="515"/>
      <c r="B58" s="526" t="s">
        <v>357</v>
      </c>
      <c r="C58" s="515"/>
      <c r="D58" s="515"/>
      <c r="E58" s="515"/>
      <c r="F58" s="515"/>
      <c r="G58" s="515"/>
      <c r="H58" s="515"/>
      <c r="J58" s="528"/>
      <c r="K58" s="529"/>
    </row>
    <row r="59" spans="1:11" ht="15" x14ac:dyDescent="0.25">
      <c r="A59" s="372"/>
      <c r="B59" s="559" t="s">
        <v>244</v>
      </c>
      <c r="C59" s="373" t="s">
        <v>245</v>
      </c>
      <c r="D59" s="559" t="s">
        <v>246</v>
      </c>
      <c r="E59" s="828" t="s">
        <v>24</v>
      </c>
      <c r="F59" s="829"/>
      <c r="G59" s="559" t="s">
        <v>247</v>
      </c>
      <c r="H59" s="372"/>
      <c r="J59" s="528"/>
      <c r="K59" s="529"/>
    </row>
    <row r="60" spans="1:11" ht="30" customHeight="1" x14ac:dyDescent="0.2">
      <c r="A60" s="372"/>
      <c r="B60" s="374">
        <v>45292</v>
      </c>
      <c r="C60" s="378" t="s">
        <v>462</v>
      </c>
      <c r="D60" s="468" t="s">
        <v>625</v>
      </c>
      <c r="E60" s="825" t="s">
        <v>624</v>
      </c>
      <c r="F60" s="825"/>
      <c r="G60" s="375">
        <v>16789</v>
      </c>
      <c r="H60" s="372"/>
    </row>
    <row r="61" spans="1:11" ht="30" hidden="1" customHeight="1" x14ac:dyDescent="0.2">
      <c r="A61" s="372"/>
      <c r="B61" s="374"/>
      <c r="C61" s="378"/>
      <c r="D61" s="468"/>
      <c r="E61" s="825"/>
      <c r="F61" s="825"/>
      <c r="G61" s="375"/>
      <c r="H61" s="372"/>
    </row>
    <row r="62" spans="1:11" ht="30" hidden="1" customHeight="1" x14ac:dyDescent="0.2">
      <c r="A62" s="372"/>
      <c r="B62" s="374"/>
      <c r="C62" s="378"/>
      <c r="D62" s="419"/>
      <c r="E62" s="825"/>
      <c r="F62" s="825"/>
      <c r="G62" s="375"/>
      <c r="H62" s="372"/>
    </row>
    <row r="63" spans="1:11" ht="30" customHeight="1" x14ac:dyDescent="0.2">
      <c r="A63" s="372"/>
      <c r="B63" s="374">
        <v>45375</v>
      </c>
      <c r="C63" s="378" t="s">
        <v>692</v>
      </c>
      <c r="D63" s="419" t="s">
        <v>693</v>
      </c>
      <c r="E63" s="873" t="s">
        <v>694</v>
      </c>
      <c r="F63" s="874"/>
      <c r="G63" s="375">
        <v>2010.25</v>
      </c>
      <c r="H63" s="372"/>
    </row>
    <row r="64" spans="1:11" ht="15" x14ac:dyDescent="0.2">
      <c r="A64" s="372"/>
      <c r="B64" s="412"/>
      <c r="C64" s="413"/>
      <c r="D64" s="414"/>
      <c r="E64" s="413"/>
      <c r="F64" s="377" t="s">
        <v>342</v>
      </c>
      <c r="G64" s="872">
        <f>SUM(G60:G62)+G63</f>
        <v>18799.25</v>
      </c>
      <c r="H64" s="372"/>
    </row>
    <row r="65" spans="1:8" ht="8.25" customHeight="1" x14ac:dyDescent="0.2">
      <c r="A65" s="372"/>
      <c r="B65" s="412"/>
      <c r="C65" s="413"/>
      <c r="D65" s="414"/>
      <c r="E65" s="413"/>
      <c r="F65" s="377"/>
      <c r="G65" s="598"/>
      <c r="H65" s="372"/>
    </row>
    <row r="66" spans="1:8" ht="21.75" hidden="1" customHeight="1" x14ac:dyDescent="0.2">
      <c r="A66" s="372"/>
      <c r="B66" s="824"/>
      <c r="C66" s="824"/>
      <c r="D66" s="824"/>
      <c r="E66" s="824"/>
      <c r="F66" s="824"/>
      <c r="G66" s="824"/>
      <c r="H66" s="372"/>
    </row>
    <row r="67" spans="1:8" ht="15" hidden="1" x14ac:dyDescent="0.2">
      <c r="A67" s="372"/>
      <c r="B67" s="415" t="s">
        <v>358</v>
      </c>
      <c r="C67" s="416" t="s">
        <v>271</v>
      </c>
      <c r="D67" s="417" t="s">
        <v>270</v>
      </c>
      <c r="E67" s="819" t="s">
        <v>24</v>
      </c>
      <c r="F67" s="820"/>
      <c r="G67" s="418" t="s">
        <v>546</v>
      </c>
      <c r="H67" s="372"/>
    </row>
    <row r="68" spans="1:8" ht="15" hidden="1" x14ac:dyDescent="0.2">
      <c r="A68" s="372"/>
      <c r="B68" s="374">
        <v>44958</v>
      </c>
      <c r="C68" s="468" t="s">
        <v>463</v>
      </c>
      <c r="D68" s="676">
        <v>169208</v>
      </c>
      <c r="E68" s="838" t="s">
        <v>542</v>
      </c>
      <c r="F68" s="839"/>
      <c r="G68" s="679"/>
      <c r="H68" s="372"/>
    </row>
    <row r="69" spans="1:8" ht="15" hidden="1" x14ac:dyDescent="0.2">
      <c r="A69" s="372"/>
      <c r="B69" s="374">
        <v>44958</v>
      </c>
      <c r="C69" s="468" t="s">
        <v>463</v>
      </c>
      <c r="D69" s="676">
        <v>189553</v>
      </c>
      <c r="E69" s="838" t="s">
        <v>541</v>
      </c>
      <c r="F69" s="839"/>
      <c r="G69" s="679"/>
      <c r="H69" s="372"/>
    </row>
    <row r="70" spans="1:8" ht="15" hidden="1" x14ac:dyDescent="0.2">
      <c r="A70" s="372"/>
      <c r="B70" s="374">
        <v>44958</v>
      </c>
      <c r="C70" s="468" t="s">
        <v>463</v>
      </c>
      <c r="D70" s="676">
        <v>196400</v>
      </c>
      <c r="E70" s="838" t="s">
        <v>544</v>
      </c>
      <c r="F70" s="839"/>
      <c r="G70" s="679"/>
      <c r="H70" s="372"/>
    </row>
    <row r="71" spans="1:8" ht="22.5" hidden="1" customHeight="1" x14ac:dyDescent="0.2">
      <c r="A71" s="372"/>
      <c r="B71" s="374">
        <v>44958</v>
      </c>
      <c r="C71" s="468" t="s">
        <v>463</v>
      </c>
      <c r="D71" s="676">
        <v>138945</v>
      </c>
      <c r="E71" s="838" t="s">
        <v>543</v>
      </c>
      <c r="F71" s="839"/>
      <c r="G71" s="679"/>
      <c r="H71" s="372"/>
    </row>
    <row r="72" spans="1:8" ht="15" hidden="1" x14ac:dyDescent="0.2">
      <c r="A72" s="372"/>
      <c r="B72" s="374">
        <v>44927</v>
      </c>
      <c r="C72" s="468" t="s">
        <v>463</v>
      </c>
      <c r="D72" s="676">
        <v>133109</v>
      </c>
      <c r="E72" s="837" t="s">
        <v>545</v>
      </c>
      <c r="F72" s="837"/>
      <c r="G72" s="679"/>
      <c r="H72" s="372"/>
    </row>
    <row r="73" spans="1:8" ht="15" hidden="1" x14ac:dyDescent="0.2">
      <c r="A73" s="372"/>
      <c r="B73" s="374">
        <v>44927</v>
      </c>
      <c r="C73" s="468" t="s">
        <v>463</v>
      </c>
      <c r="D73" s="676">
        <v>116338</v>
      </c>
      <c r="E73" s="837" t="s">
        <v>540</v>
      </c>
      <c r="F73" s="837"/>
      <c r="G73" s="679"/>
      <c r="H73" s="372"/>
    </row>
    <row r="74" spans="1:8" ht="15" hidden="1" x14ac:dyDescent="0.2">
      <c r="A74" s="372"/>
      <c r="B74" s="376"/>
      <c r="C74" s="376"/>
      <c r="D74" s="677"/>
      <c r="E74" s="376"/>
      <c r="F74" s="377" t="s">
        <v>343</v>
      </c>
      <c r="G74" s="678">
        <f>SUM(G68:G73)</f>
        <v>0</v>
      </c>
      <c r="H74" s="372"/>
    </row>
    <row r="75" spans="1:8" ht="11.25" customHeight="1" x14ac:dyDescent="0.2">
      <c r="A75" s="372"/>
      <c r="B75" s="372"/>
      <c r="C75" s="372"/>
      <c r="D75" s="372"/>
      <c r="E75" s="372"/>
      <c r="F75" s="372"/>
      <c r="G75" s="372"/>
      <c r="H75" s="372"/>
    </row>
    <row r="76" spans="1:8" ht="38.25" customHeight="1" x14ac:dyDescent="0.2">
      <c r="A76" s="809" t="s">
        <v>695</v>
      </c>
      <c r="B76" s="809"/>
      <c r="C76" s="809"/>
      <c r="D76" s="809"/>
      <c r="E76" s="809"/>
      <c r="F76" s="809"/>
      <c r="G76" s="809"/>
      <c r="H76" s="809"/>
    </row>
    <row r="77" spans="1:8" ht="15.75" hidden="1" customHeight="1" x14ac:dyDescent="0.2">
      <c r="A77" s="341"/>
      <c r="C77" s="815" t="s">
        <v>269</v>
      </c>
      <c r="D77" s="815"/>
      <c r="E77" s="379">
        <v>1823.85</v>
      </c>
      <c r="F77" s="821" t="s">
        <v>272</v>
      </c>
      <c r="G77" s="821"/>
      <c r="H77" s="341"/>
    </row>
    <row r="78" spans="1:8" ht="15.75" hidden="1" customHeight="1" x14ac:dyDescent="0.2">
      <c r="A78" s="341"/>
      <c r="C78" s="815"/>
      <c r="D78" s="815"/>
      <c r="E78" s="379"/>
      <c r="F78" s="821"/>
      <c r="G78" s="821"/>
      <c r="H78" s="341"/>
    </row>
    <row r="79" spans="1:8" ht="15.75" hidden="1" customHeight="1" x14ac:dyDescent="0.2">
      <c r="A79" s="341"/>
      <c r="C79" s="815"/>
      <c r="D79" s="815"/>
      <c r="E79" s="379"/>
      <c r="F79" s="821"/>
      <c r="G79" s="821"/>
      <c r="H79" s="341"/>
    </row>
    <row r="80" spans="1:8" ht="15.75" hidden="1" customHeight="1" x14ac:dyDescent="0.2">
      <c r="A80" s="341"/>
      <c r="C80" s="815" t="s">
        <v>231</v>
      </c>
      <c r="D80" s="815"/>
      <c r="E80" s="379">
        <f>1689.92+2978.07</f>
        <v>4667.99</v>
      </c>
      <c r="F80" s="821" t="s">
        <v>273</v>
      </c>
      <c r="G80" s="821"/>
      <c r="H80" s="341"/>
    </row>
    <row r="81" spans="1:23" ht="16.5" hidden="1" thickBot="1" x14ac:dyDescent="0.25">
      <c r="A81" s="341"/>
      <c r="B81" s="349"/>
      <c r="C81" s="840" t="s">
        <v>207</v>
      </c>
      <c r="D81" s="840"/>
      <c r="E81" s="346">
        <f>SUM(E77:E80)</f>
        <v>6491.84</v>
      </c>
      <c r="F81" s="349"/>
      <c r="G81" s="349"/>
      <c r="H81" s="341"/>
    </row>
    <row r="82" spans="1:23" ht="9.75" customHeight="1" x14ac:dyDescent="0.2">
      <c r="A82" s="341"/>
      <c r="B82" s="349"/>
      <c r="C82" s="350"/>
      <c r="D82" s="350"/>
      <c r="E82" s="420"/>
      <c r="F82" s="349"/>
      <c r="G82" s="349"/>
      <c r="H82" s="341"/>
    </row>
    <row r="83" spans="1:23" ht="33" customHeight="1" x14ac:dyDescent="0.25">
      <c r="A83" s="810" t="s">
        <v>656</v>
      </c>
      <c r="B83" s="810"/>
      <c r="C83" s="810"/>
      <c r="D83" s="810"/>
      <c r="E83" s="810"/>
      <c r="F83" s="810"/>
      <c r="G83" s="810"/>
      <c r="H83" s="810"/>
    </row>
    <row r="84" spans="1:23" ht="11.25" hidden="1" customHeight="1" x14ac:dyDescent="0.2">
      <c r="A84" s="515"/>
      <c r="B84" s="515"/>
      <c r="C84" s="515"/>
      <c r="D84" s="515"/>
      <c r="E84" s="515"/>
      <c r="F84" s="515"/>
      <c r="G84" s="515"/>
      <c r="H84" s="515"/>
    </row>
    <row r="85" spans="1:23" ht="47.25" hidden="1" customHeight="1" x14ac:dyDescent="0.2">
      <c r="A85" s="808" t="s">
        <v>392</v>
      </c>
      <c r="B85" s="808"/>
      <c r="C85" s="808"/>
      <c r="D85" s="808"/>
      <c r="E85" s="808"/>
      <c r="F85" s="808"/>
      <c r="G85" s="808"/>
      <c r="H85" s="808"/>
    </row>
    <row r="86" spans="1:23" ht="8.25" customHeight="1" x14ac:dyDescent="0.2">
      <c r="A86" s="341"/>
      <c r="B86" s="349"/>
      <c r="C86" s="350"/>
      <c r="D86" s="350"/>
      <c r="E86" s="420"/>
      <c r="F86" s="349"/>
      <c r="G86" s="349"/>
      <c r="H86" s="341"/>
    </row>
    <row r="87" spans="1:23" ht="97.5" customHeight="1" x14ac:dyDescent="0.2">
      <c r="A87" s="809" t="s">
        <v>659</v>
      </c>
      <c r="B87" s="809"/>
      <c r="C87" s="809"/>
      <c r="D87" s="809"/>
      <c r="E87" s="809"/>
      <c r="F87" s="809"/>
      <c r="G87" s="809"/>
      <c r="H87" s="809"/>
      <c r="V87" s="371"/>
      <c r="W87" s="151"/>
    </row>
    <row r="88" spans="1:23" ht="47.25" x14ac:dyDescent="0.2">
      <c r="A88" s="348"/>
      <c r="B88" s="807" t="s">
        <v>198</v>
      </c>
      <c r="C88" s="807"/>
      <c r="D88" s="351" t="s">
        <v>199</v>
      </c>
      <c r="E88" s="342" t="s">
        <v>200</v>
      </c>
      <c r="F88" s="351" t="s">
        <v>201</v>
      </c>
      <c r="G88" s="351" t="s">
        <v>657</v>
      </c>
      <c r="H88" s="348"/>
      <c r="V88" s="371"/>
      <c r="W88" s="151"/>
    </row>
    <row r="89" spans="1:23" ht="15.75" customHeight="1" x14ac:dyDescent="0.2">
      <c r="A89" s="348"/>
      <c r="B89" s="812" t="s">
        <v>11</v>
      </c>
      <c r="C89" s="812"/>
      <c r="D89" s="812"/>
      <c r="E89" s="350"/>
      <c r="F89" s="350"/>
      <c r="G89" s="350"/>
      <c r="H89" s="348"/>
      <c r="V89" s="371"/>
      <c r="W89" s="151"/>
    </row>
    <row r="90" spans="1:23" ht="15.75" customHeight="1" x14ac:dyDescent="0.2">
      <c r="A90" s="348"/>
      <c r="B90" s="813" t="s">
        <v>232</v>
      </c>
      <c r="C90" s="813"/>
      <c r="D90" s="350">
        <v>7217.96</v>
      </c>
      <c r="E90" s="350"/>
      <c r="F90" s="350">
        <f>-D90-E90+G90</f>
        <v>-5724.69</v>
      </c>
      <c r="G90" s="350">
        <f>'August''24 Revenues &amp; Expenses'!K52</f>
        <v>1493.2700000000004</v>
      </c>
      <c r="H90" s="566"/>
      <c r="I90" s="177"/>
      <c r="V90" s="371"/>
      <c r="W90" s="151"/>
    </row>
    <row r="91" spans="1:23" ht="15.75" customHeight="1" x14ac:dyDescent="0.2">
      <c r="A91" s="348"/>
      <c r="B91" s="813" t="s">
        <v>233</v>
      </c>
      <c r="C91" s="813"/>
      <c r="D91" s="350">
        <v>25000</v>
      </c>
      <c r="E91" s="350"/>
      <c r="F91" s="350">
        <f>-'August''24 Revenues &amp; Expenses'!H49</f>
        <v>-16777</v>
      </c>
      <c r="G91" s="350">
        <f>'August''24 Revenues &amp; Expenses'!K49+'August''24 Revenues &amp; Expenses'!K48</f>
        <v>8223</v>
      </c>
      <c r="H91" s="348"/>
      <c r="V91" s="371"/>
      <c r="W91" s="151"/>
    </row>
    <row r="92" spans="1:23" ht="15.75" customHeight="1" x14ac:dyDescent="0.2">
      <c r="A92" s="348"/>
      <c r="B92" s="813" t="s">
        <v>443</v>
      </c>
      <c r="C92" s="813"/>
      <c r="D92" s="350">
        <v>100000</v>
      </c>
      <c r="E92" s="350"/>
      <c r="F92" s="350">
        <f>'August''24 Revenues &amp; Expenses'!H54*-1</f>
        <v>-33018.29</v>
      </c>
      <c r="G92" s="350">
        <f>'August''24 Revenues &amp; Expenses'!K53+'August''24 Revenues &amp; Expenses'!K54</f>
        <v>66981.709999999992</v>
      </c>
      <c r="H92" s="348"/>
      <c r="V92" s="371"/>
      <c r="W92" s="151"/>
    </row>
    <row r="93" spans="1:23" ht="15.75" customHeight="1" x14ac:dyDescent="0.2">
      <c r="A93" s="348"/>
      <c r="B93" s="812" t="s">
        <v>17</v>
      </c>
      <c r="C93" s="812"/>
      <c r="D93" s="350"/>
      <c r="E93" s="350"/>
      <c r="F93" s="350"/>
      <c r="G93" s="350"/>
      <c r="H93" s="348"/>
      <c r="V93" s="371"/>
    </row>
    <row r="94" spans="1:23" ht="15.75" customHeight="1" x14ac:dyDescent="0.2">
      <c r="A94" s="348"/>
      <c r="B94" s="813" t="s">
        <v>626</v>
      </c>
      <c r="C94" s="813"/>
      <c r="D94" s="350">
        <v>65000</v>
      </c>
      <c r="E94" s="350"/>
      <c r="F94" s="350">
        <f>-'August''24 Revenues &amp; Expenses'!H56</f>
        <v>-43333.36</v>
      </c>
      <c r="G94" s="350">
        <f>'August''24 Revenues &amp; Expenses'!K56</f>
        <v>21666.639999999999</v>
      </c>
      <c r="H94" s="348"/>
      <c r="V94" s="371"/>
    </row>
    <row r="95" spans="1:23" ht="15.75" hidden="1" customHeight="1" x14ac:dyDescent="0.2">
      <c r="A95" s="348"/>
      <c r="B95" s="812"/>
      <c r="C95" s="812"/>
      <c r="D95" s="350"/>
      <c r="E95" s="350"/>
      <c r="F95" s="350"/>
      <c r="G95" s="350"/>
      <c r="H95" s="348"/>
      <c r="V95" s="371"/>
    </row>
    <row r="96" spans="1:23" ht="15.75" hidden="1" customHeight="1" x14ac:dyDescent="0.2">
      <c r="A96" s="348"/>
      <c r="B96" s="813"/>
      <c r="C96" s="813"/>
      <c r="D96" s="350">
        <v>0</v>
      </c>
      <c r="E96" s="350"/>
      <c r="F96" s="350">
        <f>-'August''24 Revenues &amp; Expenses'!H59</f>
        <v>0</v>
      </c>
      <c r="G96" s="350">
        <f>'August''24 Revenues &amp; Expenses'!K59</f>
        <v>0</v>
      </c>
      <c r="H96" s="348"/>
      <c r="V96" s="371"/>
    </row>
    <row r="97" spans="1:22" ht="15.75" customHeight="1" x14ac:dyDescent="0.2">
      <c r="A97" s="348"/>
      <c r="B97" s="812" t="s">
        <v>635</v>
      </c>
      <c r="C97" s="812"/>
      <c r="D97" s="350"/>
      <c r="E97" s="350"/>
      <c r="F97" s="350"/>
      <c r="G97" s="350"/>
      <c r="H97" s="348"/>
      <c r="V97" s="371"/>
    </row>
    <row r="98" spans="1:22" ht="15.75" customHeight="1" x14ac:dyDescent="0.2">
      <c r="A98" s="348"/>
      <c r="B98" s="815" t="s">
        <v>610</v>
      </c>
      <c r="C98" s="815"/>
      <c r="D98" s="350">
        <v>125000</v>
      </c>
      <c r="E98" s="350"/>
      <c r="F98" s="350">
        <f>'August''24 Revenues &amp; Expenses'!H60*-1</f>
        <v>-83922.75</v>
      </c>
      <c r="G98" s="350">
        <f>'August''24 Revenues &amp; Expenses'!K60</f>
        <v>41077.25</v>
      </c>
      <c r="H98" s="348"/>
      <c r="V98" s="371"/>
    </row>
    <row r="99" spans="1:22" ht="7.5" customHeight="1" x14ac:dyDescent="0.2">
      <c r="A99" s="348"/>
      <c r="B99" s="811"/>
      <c r="C99" s="811"/>
      <c r="D99" s="350"/>
      <c r="E99" s="350"/>
      <c r="F99" s="350"/>
      <c r="G99" s="350"/>
      <c r="H99" s="348"/>
      <c r="V99" s="371"/>
    </row>
    <row r="100" spans="1:22" ht="15.75" customHeight="1" thickBot="1" x14ac:dyDescent="0.25">
      <c r="A100" s="348"/>
      <c r="B100" s="814" t="s">
        <v>234</v>
      </c>
      <c r="C100" s="814"/>
      <c r="D100" s="343">
        <f>SUM(D89:D99)</f>
        <v>322217.95999999996</v>
      </c>
      <c r="E100" s="343">
        <f>SUM(E89:E99)</f>
        <v>0</v>
      </c>
      <c r="F100" s="343">
        <f>SUM(F89:F99)</f>
        <v>-182776.09</v>
      </c>
      <c r="G100" s="343">
        <f>SUM(G89:G99)</f>
        <v>139441.87</v>
      </c>
      <c r="H100" s="348"/>
      <c r="V100" s="371"/>
    </row>
    <row r="101" spans="1:22" ht="11.25" customHeight="1" thickTop="1" x14ac:dyDescent="0.2">
      <c r="A101" s="348"/>
      <c r="B101" s="369"/>
      <c r="C101" s="369"/>
      <c r="D101" s="370"/>
      <c r="E101" s="370"/>
      <c r="F101" s="370"/>
      <c r="G101" s="370"/>
      <c r="H101" s="348"/>
      <c r="V101" s="371"/>
    </row>
    <row r="102" spans="1:22" ht="67.5" customHeight="1" x14ac:dyDescent="0.2">
      <c r="A102" s="809" t="s">
        <v>658</v>
      </c>
      <c r="B102" s="809"/>
      <c r="C102" s="809"/>
      <c r="D102" s="809"/>
      <c r="E102" s="809"/>
      <c r="F102" s="809"/>
      <c r="G102" s="809"/>
      <c r="H102" s="809"/>
    </row>
    <row r="103" spans="1:22" ht="47.25" x14ac:dyDescent="0.2">
      <c r="A103" s="348"/>
      <c r="B103" s="807" t="s">
        <v>198</v>
      </c>
      <c r="C103" s="807"/>
      <c r="D103" s="351" t="s">
        <v>199</v>
      </c>
      <c r="E103" s="342" t="s">
        <v>200</v>
      </c>
      <c r="F103" s="351" t="s">
        <v>201</v>
      </c>
      <c r="G103" s="351" t="str">
        <f>G88</f>
        <v>Ending Balance at August 31, 2024</v>
      </c>
      <c r="H103" s="348"/>
    </row>
    <row r="104" spans="1:22" ht="15.75" customHeight="1" x14ac:dyDescent="0.2">
      <c r="A104" s="348"/>
      <c r="B104" s="817" t="s">
        <v>202</v>
      </c>
      <c r="C104" s="817"/>
      <c r="D104" s="350">
        <v>0</v>
      </c>
      <c r="E104" s="350">
        <v>52000</v>
      </c>
      <c r="F104" s="350">
        <f>-'August''24 Revenues &amp; Expenses'!J68</f>
        <v>-34666.666666666664</v>
      </c>
      <c r="G104" s="350">
        <f t="shared" ref="G104:G110" si="2">D104+E104+F104</f>
        <v>17333.333333333336</v>
      </c>
      <c r="H104" s="348"/>
    </row>
    <row r="105" spans="1:22" ht="15.75" customHeight="1" x14ac:dyDescent="0.2">
      <c r="A105" s="348"/>
      <c r="B105" s="817" t="s">
        <v>253</v>
      </c>
      <c r="C105" s="817"/>
      <c r="D105" s="350">
        <v>0</v>
      </c>
      <c r="E105" s="350">
        <v>21000</v>
      </c>
      <c r="F105" s="350">
        <f>-'August''24 Revenues &amp; Expenses'!J70</f>
        <v>-14000</v>
      </c>
      <c r="G105" s="350">
        <f t="shared" si="2"/>
        <v>7000</v>
      </c>
      <c r="H105" s="348"/>
    </row>
    <row r="106" spans="1:22" ht="15.75" customHeight="1" x14ac:dyDescent="0.2">
      <c r="A106" s="348"/>
      <c r="B106" s="817" t="s">
        <v>203</v>
      </c>
      <c r="C106" s="817"/>
      <c r="D106" s="350">
        <f>'August''24 Revenues &amp; Expenses'!G76</f>
        <v>12334.5</v>
      </c>
      <c r="E106" s="350">
        <f>'August''24 Revenues &amp; Expenses'!H76</f>
        <v>7000</v>
      </c>
      <c r="F106" s="350">
        <f>-'August''24 Revenues &amp; Expenses'!J76</f>
        <v>-4272.2700000000004</v>
      </c>
      <c r="G106" s="350">
        <f t="shared" si="2"/>
        <v>15062.23</v>
      </c>
      <c r="H106" s="348"/>
    </row>
    <row r="107" spans="1:22" ht="15.75" customHeight="1" x14ac:dyDescent="0.2">
      <c r="A107" s="348"/>
      <c r="B107" s="817" t="s">
        <v>204</v>
      </c>
      <c r="C107" s="817"/>
      <c r="D107" s="350">
        <f>'August''24 Revenues &amp; Expenses'!G77</f>
        <v>9033.86</v>
      </c>
      <c r="E107" s="350">
        <f>'August''24 Revenues &amp; Expenses'!H77</f>
        <v>0</v>
      </c>
      <c r="F107" s="350">
        <f>-'August''24 Revenues &amp; Expenses'!J77</f>
        <v>-1587.869999999999</v>
      </c>
      <c r="G107" s="350">
        <f t="shared" si="2"/>
        <v>7445.9900000000016</v>
      </c>
      <c r="H107" s="348"/>
    </row>
    <row r="108" spans="1:22" ht="15.75" customHeight="1" x14ac:dyDescent="0.2">
      <c r="A108" s="348"/>
      <c r="B108" s="817" t="s">
        <v>301</v>
      </c>
      <c r="C108" s="817"/>
      <c r="D108" s="350">
        <f>'August''24 Revenues &amp; Expenses'!G58</f>
        <v>898.7</v>
      </c>
      <c r="E108" s="350"/>
      <c r="F108" s="350">
        <f>-'August''24 Revenues &amp; Expenses'!H58</f>
        <v>0</v>
      </c>
      <c r="G108" s="350">
        <f t="shared" si="2"/>
        <v>898.7</v>
      </c>
      <c r="H108" s="348"/>
    </row>
    <row r="109" spans="1:22" ht="15.75" x14ac:dyDescent="0.2">
      <c r="A109" s="348"/>
      <c r="B109" s="817" t="s">
        <v>205</v>
      </c>
      <c r="C109" s="817"/>
      <c r="D109" s="350">
        <f>'August''24 Revenues &amp; Expenses'!G75</f>
        <v>374.76</v>
      </c>
      <c r="E109" s="350"/>
      <c r="F109" s="350">
        <f>-'August''24 Revenues &amp; Expenses'!J75</f>
        <v>0</v>
      </c>
      <c r="G109" s="350">
        <f>D109+E109+F109</f>
        <v>374.76</v>
      </c>
      <c r="H109" s="348"/>
      <c r="K109" s="528"/>
    </row>
    <row r="110" spans="1:22" ht="15.75" hidden="1" customHeight="1" x14ac:dyDescent="0.2">
      <c r="A110" s="348"/>
      <c r="B110" s="815" t="s">
        <v>576</v>
      </c>
      <c r="C110" s="815"/>
      <c r="D110" s="350">
        <v>0</v>
      </c>
      <c r="E110" s="350"/>
      <c r="F110" s="350">
        <f>-'August''24 Revenues &amp; Expenses'!H57</f>
        <v>0</v>
      </c>
      <c r="G110" s="350">
        <f t="shared" si="2"/>
        <v>0</v>
      </c>
      <c r="H110" s="348"/>
    </row>
    <row r="111" spans="1:22" ht="15.75" x14ac:dyDescent="0.2">
      <c r="A111" s="348"/>
      <c r="B111" s="817" t="s">
        <v>577</v>
      </c>
      <c r="C111" s="817"/>
      <c r="D111" s="350"/>
      <c r="E111" s="350">
        <v>50000</v>
      </c>
      <c r="F111" s="350">
        <f>-'August''24 Revenues &amp; Expenses'!J78</f>
        <v>-33333.333333333336</v>
      </c>
      <c r="G111" s="350">
        <f>D111+E111+F111</f>
        <v>16666.666666666664</v>
      </c>
      <c r="H111" s="348"/>
      <c r="K111" s="528"/>
    </row>
    <row r="112" spans="1:22" ht="15.75" x14ac:dyDescent="0.2">
      <c r="A112" s="348"/>
      <c r="B112" s="818"/>
      <c r="C112" s="818"/>
      <c r="D112" s="350"/>
      <c r="E112" s="350"/>
      <c r="F112" s="350"/>
      <c r="G112" s="350"/>
      <c r="H112" s="348"/>
      <c r="K112" s="528"/>
    </row>
    <row r="113" spans="1:8" ht="15.75" customHeight="1" thickBot="1" x14ac:dyDescent="0.25">
      <c r="A113" s="348"/>
      <c r="B113" s="816" t="s">
        <v>206</v>
      </c>
      <c r="C113" s="816"/>
      <c r="D113" s="343">
        <f>SUM(D104:D112)</f>
        <v>22641.82</v>
      </c>
      <c r="E113" s="343">
        <f>SUM(E104:E112)</f>
        <v>130000</v>
      </c>
      <c r="F113" s="343">
        <f>SUM(F104:F112)</f>
        <v>-87860.139999999985</v>
      </c>
      <c r="G113" s="343">
        <f>SUM(G104:G112)</f>
        <v>64781.680000000008</v>
      </c>
      <c r="H113" s="348"/>
    </row>
    <row r="114" spans="1:8" ht="16.5" thickTop="1" x14ac:dyDescent="0.2">
      <c r="A114" s="341"/>
      <c r="B114" s="349"/>
      <c r="C114" s="349"/>
      <c r="D114" s="349"/>
      <c r="E114" s="349"/>
      <c r="F114" s="349"/>
      <c r="G114" s="349"/>
      <c r="H114" s="341"/>
    </row>
    <row r="115" spans="1:8" ht="15.75" customHeight="1" x14ac:dyDescent="0.2"/>
    <row r="116" spans="1:8" ht="6.75" customHeight="1" x14ac:dyDescent="0.2"/>
  </sheetData>
  <mergeCells count="78">
    <mergeCell ref="B92:C92"/>
    <mergeCell ref="A76:H76"/>
    <mergeCell ref="E72:F72"/>
    <mergeCell ref="E68:F68"/>
    <mergeCell ref="E69:F69"/>
    <mergeCell ref="B89:D89"/>
    <mergeCell ref="E73:F73"/>
    <mergeCell ref="C77:D77"/>
    <mergeCell ref="E70:F70"/>
    <mergeCell ref="C81:D81"/>
    <mergeCell ref="E71:F71"/>
    <mergeCell ref="A1:H1"/>
    <mergeCell ref="A2:H2"/>
    <mergeCell ref="A3:H3"/>
    <mergeCell ref="C11:D11"/>
    <mergeCell ref="C12:D12"/>
    <mergeCell ref="B10:C10"/>
    <mergeCell ref="A4:H4"/>
    <mergeCell ref="A5:H5"/>
    <mergeCell ref="A9:H9"/>
    <mergeCell ref="C13:D13"/>
    <mergeCell ref="B47:E47"/>
    <mergeCell ref="C14:D14"/>
    <mergeCell ref="C15:D15"/>
    <mergeCell ref="C16:D16"/>
    <mergeCell ref="B17:D17"/>
    <mergeCell ref="A24:H24"/>
    <mergeCell ref="A22:H22"/>
    <mergeCell ref="B49:G49"/>
    <mergeCell ref="B48:G48"/>
    <mergeCell ref="B51:G51"/>
    <mergeCell ref="B66:G66"/>
    <mergeCell ref="E62:F62"/>
    <mergeCell ref="B50:G50"/>
    <mergeCell ref="E60:F60"/>
    <mergeCell ref="E59:F59"/>
    <mergeCell ref="B56:G56"/>
    <mergeCell ref="E61:F61"/>
    <mergeCell ref="A57:H57"/>
    <mergeCell ref="B52:G52"/>
    <mergeCell ref="B53:G53"/>
    <mergeCell ref="B54:G54"/>
    <mergeCell ref="B55:G55"/>
    <mergeCell ref="E63:F63"/>
    <mergeCell ref="E67:F67"/>
    <mergeCell ref="F77:G77"/>
    <mergeCell ref="C80:D80"/>
    <mergeCell ref="F80:G80"/>
    <mergeCell ref="C78:D78"/>
    <mergeCell ref="F78:G78"/>
    <mergeCell ref="C79:D79"/>
    <mergeCell ref="F79:G79"/>
    <mergeCell ref="B113:C113"/>
    <mergeCell ref="B109:C109"/>
    <mergeCell ref="B104:C104"/>
    <mergeCell ref="B105:C105"/>
    <mergeCell ref="B111:C111"/>
    <mergeCell ref="B110:C110"/>
    <mergeCell ref="B107:C107"/>
    <mergeCell ref="B108:C108"/>
    <mergeCell ref="B112:C112"/>
    <mergeCell ref="B106:C106"/>
    <mergeCell ref="B103:C103"/>
    <mergeCell ref="A85:H85"/>
    <mergeCell ref="A102:H102"/>
    <mergeCell ref="A83:H83"/>
    <mergeCell ref="B99:C99"/>
    <mergeCell ref="B93:C93"/>
    <mergeCell ref="B95:C95"/>
    <mergeCell ref="B96:C96"/>
    <mergeCell ref="B94:C94"/>
    <mergeCell ref="B100:C100"/>
    <mergeCell ref="A87:H87"/>
    <mergeCell ref="B88:C88"/>
    <mergeCell ref="B90:C90"/>
    <mergeCell ref="B91:C91"/>
    <mergeCell ref="B97:C97"/>
    <mergeCell ref="B98:C98"/>
  </mergeCells>
  <pageMargins left="0.75" right="0.25" top="0.75" bottom="0.75" header="0.3" footer="0.3"/>
  <pageSetup scale="68" fitToHeight="4" orientation="portrait" r:id="rId1"/>
  <headerFooter>
    <oddFooter>&amp;CPage #&amp;P of &amp;N</oddFooter>
  </headerFooter>
  <rowBreaks count="3" manualBreakCount="3">
    <brk id="22" max="7" man="1"/>
    <brk id="56" max="7" man="1"/>
    <brk id="10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R2342"/>
  <sheetViews>
    <sheetView topLeftCell="A525" workbookViewId="0">
      <selection activeCell="K625" sqref="K625:K626"/>
    </sheetView>
  </sheetViews>
  <sheetFormatPr defaultRowHeight="14.25" x14ac:dyDescent="0.2"/>
  <cols>
    <col min="1" max="1" width="24.625" style="402" bestFit="1" customWidth="1"/>
    <col min="2" max="2" width="9" style="384"/>
    <col min="3" max="3" width="17.75" bestFit="1" customWidth="1"/>
    <col min="5" max="5" width="9.8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399" t="s">
        <v>258</v>
      </c>
      <c r="B3" s="381" t="s">
        <v>259</v>
      </c>
    </row>
    <row r="4" spans="1:2" ht="15" thickTop="1" x14ac:dyDescent="0.2">
      <c r="A4" s="400">
        <v>42370</v>
      </c>
      <c r="B4" s="382">
        <v>316020.78000000003</v>
      </c>
    </row>
    <row r="5" spans="1:2" x14ac:dyDescent="0.2">
      <c r="A5" s="401">
        <v>42373</v>
      </c>
      <c r="B5" s="383">
        <v>315970.78000000003</v>
      </c>
    </row>
    <row r="6" spans="1:2" x14ac:dyDescent="0.2">
      <c r="A6" s="401">
        <v>42374</v>
      </c>
      <c r="B6" s="383">
        <v>320557.63</v>
      </c>
    </row>
    <row r="7" spans="1:2" x14ac:dyDescent="0.2">
      <c r="A7" s="401">
        <v>42375</v>
      </c>
      <c r="B7" s="383">
        <f>B6</f>
        <v>320557.63</v>
      </c>
    </row>
    <row r="8" spans="1:2" x14ac:dyDescent="0.2">
      <c r="A8" s="401">
        <v>42376</v>
      </c>
      <c r="B8" s="383">
        <v>323108.86</v>
      </c>
    </row>
    <row r="9" spans="1:2" x14ac:dyDescent="0.2">
      <c r="A9" s="401">
        <v>42377</v>
      </c>
      <c r="B9" s="383">
        <f>B8</f>
        <v>323108.86</v>
      </c>
    </row>
    <row r="10" spans="1:2" x14ac:dyDescent="0.2">
      <c r="A10" s="401">
        <v>42380</v>
      </c>
      <c r="B10" s="383">
        <v>323239.86</v>
      </c>
    </row>
    <row r="11" spans="1:2" x14ac:dyDescent="0.2">
      <c r="A11" s="401">
        <v>42381</v>
      </c>
      <c r="B11" s="383">
        <v>288792.71999999997</v>
      </c>
    </row>
    <row r="12" spans="1:2" x14ac:dyDescent="0.2">
      <c r="A12" s="401">
        <v>42382</v>
      </c>
      <c r="B12" s="383">
        <f>B11</f>
        <v>288792.71999999997</v>
      </c>
    </row>
    <row r="13" spans="1:2" x14ac:dyDescent="0.2">
      <c r="A13" s="401">
        <v>42383</v>
      </c>
      <c r="B13" s="383">
        <v>277881.3</v>
      </c>
    </row>
    <row r="14" spans="1:2" x14ac:dyDescent="0.2">
      <c r="A14" s="401">
        <v>42384</v>
      </c>
      <c r="B14" s="383">
        <v>293922.15000000002</v>
      </c>
    </row>
    <row r="15" spans="1:2" x14ac:dyDescent="0.2">
      <c r="A15" s="401">
        <v>42387</v>
      </c>
      <c r="B15" s="383">
        <f>B14</f>
        <v>293922.15000000002</v>
      </c>
    </row>
    <row r="16" spans="1:2" x14ac:dyDescent="0.2">
      <c r="A16" s="401">
        <v>42388</v>
      </c>
      <c r="B16" s="383">
        <f>B14</f>
        <v>293922.15000000002</v>
      </c>
    </row>
    <row r="17" spans="1:2" x14ac:dyDescent="0.2">
      <c r="A17" s="401">
        <v>42389</v>
      </c>
      <c r="B17" s="383">
        <v>294002.2</v>
      </c>
    </row>
    <row r="18" spans="1:2" x14ac:dyDescent="0.2">
      <c r="A18" s="401">
        <v>42390</v>
      </c>
      <c r="B18" s="383">
        <v>285645.33</v>
      </c>
    </row>
    <row r="19" spans="1:2" x14ac:dyDescent="0.2">
      <c r="A19" s="401">
        <v>42391</v>
      </c>
      <c r="B19" s="383">
        <f>B18</f>
        <v>285645.33</v>
      </c>
    </row>
    <row r="20" spans="1:2" x14ac:dyDescent="0.2">
      <c r="A20" s="401">
        <v>42394</v>
      </c>
      <c r="B20" s="383">
        <v>310939.57</v>
      </c>
    </row>
    <row r="21" spans="1:2" x14ac:dyDescent="0.2">
      <c r="A21" s="401">
        <v>42395</v>
      </c>
      <c r="B21" s="383">
        <v>285520.28000000003</v>
      </c>
    </row>
    <row r="22" spans="1:2" x14ac:dyDescent="0.2">
      <c r="A22" s="401">
        <v>42396</v>
      </c>
      <c r="B22" s="383">
        <f>B21</f>
        <v>285520.28000000003</v>
      </c>
    </row>
    <row r="23" spans="1:2" x14ac:dyDescent="0.2">
      <c r="A23" s="401">
        <v>42397</v>
      </c>
      <c r="B23" s="383">
        <v>282022.58</v>
      </c>
    </row>
    <row r="24" spans="1:2" x14ac:dyDescent="0.2">
      <c r="A24" s="401">
        <v>42398</v>
      </c>
      <c r="B24" s="383">
        <v>294848.15999999997</v>
      </c>
    </row>
    <row r="25" spans="1:2" x14ac:dyDescent="0.2">
      <c r="A25" s="401">
        <v>42401</v>
      </c>
      <c r="B25" s="383">
        <v>295971.7</v>
      </c>
    </row>
    <row r="26" spans="1:2" x14ac:dyDescent="0.2">
      <c r="A26" s="401">
        <v>42402</v>
      </c>
      <c r="B26" s="383">
        <v>342700.41</v>
      </c>
    </row>
    <row r="27" spans="1:2" x14ac:dyDescent="0.2">
      <c r="A27" s="401">
        <v>42403</v>
      </c>
      <c r="B27" s="383">
        <f>B26</f>
        <v>342700.41</v>
      </c>
    </row>
    <row r="28" spans="1:2" x14ac:dyDescent="0.2">
      <c r="A28" s="401">
        <v>42404</v>
      </c>
      <c r="B28" s="383">
        <v>337638.63</v>
      </c>
    </row>
    <row r="29" spans="1:2" x14ac:dyDescent="0.2">
      <c r="A29" s="401">
        <v>42405</v>
      </c>
      <c r="B29" s="383">
        <v>367843.39</v>
      </c>
    </row>
    <row r="30" spans="1:2" x14ac:dyDescent="0.2">
      <c r="A30" s="401">
        <v>42408</v>
      </c>
      <c r="B30" s="383">
        <v>367773.39</v>
      </c>
    </row>
    <row r="31" spans="1:2" x14ac:dyDescent="0.2">
      <c r="A31" s="401">
        <v>42409</v>
      </c>
      <c r="B31" s="383">
        <v>339527.33</v>
      </c>
    </row>
    <row r="32" spans="1:2" x14ac:dyDescent="0.2">
      <c r="A32" s="401">
        <v>42410</v>
      </c>
      <c r="B32" s="383">
        <f>B31</f>
        <v>339527.33</v>
      </c>
    </row>
    <row r="33" spans="1:2" x14ac:dyDescent="0.2">
      <c r="A33" s="401">
        <v>42411</v>
      </c>
      <c r="B33" s="383">
        <v>336968.79</v>
      </c>
    </row>
    <row r="34" spans="1:2" x14ac:dyDescent="0.2">
      <c r="A34" s="401">
        <v>42412</v>
      </c>
      <c r="B34" s="383">
        <v>337055.76</v>
      </c>
    </row>
    <row r="35" spans="1:2" x14ac:dyDescent="0.2">
      <c r="A35" s="401">
        <v>42415</v>
      </c>
      <c r="B35" s="383">
        <f>B34</f>
        <v>337055.76</v>
      </c>
    </row>
    <row r="36" spans="1:2" x14ac:dyDescent="0.2">
      <c r="A36" s="401">
        <v>42416</v>
      </c>
      <c r="B36" s="383">
        <f>B35</f>
        <v>337055.76</v>
      </c>
    </row>
    <row r="37" spans="1:2" x14ac:dyDescent="0.2">
      <c r="A37" s="401">
        <v>42417</v>
      </c>
      <c r="B37" s="383">
        <v>365266.06</v>
      </c>
    </row>
    <row r="38" spans="1:2" x14ac:dyDescent="0.2">
      <c r="A38" s="401">
        <v>42418</v>
      </c>
      <c r="B38" s="383">
        <v>360871.98</v>
      </c>
    </row>
    <row r="39" spans="1:2" x14ac:dyDescent="0.2">
      <c r="A39" s="401">
        <v>42419</v>
      </c>
      <c r="B39" s="383">
        <f>B38</f>
        <v>360871.98</v>
      </c>
    </row>
    <row r="40" spans="1:2" x14ac:dyDescent="0.2">
      <c r="A40" s="401">
        <v>42421</v>
      </c>
      <c r="B40" s="383">
        <f>B39</f>
        <v>360871.98</v>
      </c>
    </row>
    <row r="41" spans="1:2" x14ac:dyDescent="0.2">
      <c r="A41" s="401">
        <v>42423</v>
      </c>
      <c r="B41" s="383">
        <v>355845.62</v>
      </c>
    </row>
    <row r="42" spans="1:2" x14ac:dyDescent="0.2">
      <c r="A42" s="401">
        <v>42424</v>
      </c>
      <c r="B42" s="383">
        <f>B41</f>
        <v>355845.62</v>
      </c>
    </row>
    <row r="43" spans="1:2" x14ac:dyDescent="0.2">
      <c r="A43" s="401">
        <v>42425</v>
      </c>
      <c r="B43" s="383">
        <v>345399.7</v>
      </c>
    </row>
    <row r="44" spans="1:2" x14ac:dyDescent="0.2">
      <c r="A44" s="401">
        <v>42426</v>
      </c>
      <c r="B44" s="383">
        <v>370500.69</v>
      </c>
    </row>
    <row r="45" spans="1:2" x14ac:dyDescent="0.2">
      <c r="A45" s="401">
        <v>42429</v>
      </c>
      <c r="B45" s="383">
        <v>389846.49</v>
      </c>
    </row>
    <row r="46" spans="1:2" x14ac:dyDescent="0.2">
      <c r="A46" s="401">
        <v>42430</v>
      </c>
      <c r="B46" s="383">
        <f>B45</f>
        <v>389846.49</v>
      </c>
    </row>
    <row r="47" spans="1:2" x14ac:dyDescent="0.2">
      <c r="A47" s="401">
        <v>42431</v>
      </c>
      <c r="B47" s="383">
        <f>B46</f>
        <v>389846.49</v>
      </c>
    </row>
    <row r="48" spans="1:2" x14ac:dyDescent="0.2">
      <c r="A48" s="401">
        <v>42432</v>
      </c>
      <c r="B48" s="383">
        <v>378391.97</v>
      </c>
    </row>
    <row r="49" spans="1:2" x14ac:dyDescent="0.2">
      <c r="A49" s="401">
        <v>42433</v>
      </c>
      <c r="B49" s="383">
        <v>424034.23</v>
      </c>
    </row>
    <row r="50" spans="1:2" x14ac:dyDescent="0.2">
      <c r="A50" s="401">
        <v>42436</v>
      </c>
      <c r="B50" s="383">
        <f>B49</f>
        <v>424034.23</v>
      </c>
    </row>
    <row r="51" spans="1:2" x14ac:dyDescent="0.2">
      <c r="A51" s="401">
        <v>42437</v>
      </c>
      <c r="B51" s="383">
        <v>386665.73</v>
      </c>
    </row>
    <row r="52" spans="1:2" x14ac:dyDescent="0.2">
      <c r="A52" s="401">
        <v>42438</v>
      </c>
      <c r="B52" s="383">
        <f>B51</f>
        <v>386665.73</v>
      </c>
    </row>
    <row r="53" spans="1:2" x14ac:dyDescent="0.2">
      <c r="A53" s="401">
        <v>42439</v>
      </c>
      <c r="B53" s="383">
        <v>389219.85</v>
      </c>
    </row>
    <row r="54" spans="1:2" x14ac:dyDescent="0.2">
      <c r="A54" s="401">
        <v>42440</v>
      </c>
      <c r="B54" s="383">
        <v>406100.98</v>
      </c>
    </row>
    <row r="55" spans="1:2" x14ac:dyDescent="0.2">
      <c r="A55" s="401">
        <v>42443</v>
      </c>
      <c r="B55" s="383">
        <v>407873.33</v>
      </c>
    </row>
    <row r="56" spans="1:2" x14ac:dyDescent="0.2">
      <c r="A56" s="401">
        <v>42444</v>
      </c>
      <c r="B56" s="383">
        <v>407992.23</v>
      </c>
    </row>
    <row r="57" spans="1:2" x14ac:dyDescent="0.2">
      <c r="A57" s="401">
        <v>42445</v>
      </c>
      <c r="B57" s="383">
        <v>433808.81</v>
      </c>
    </row>
    <row r="58" spans="1:2" x14ac:dyDescent="0.2">
      <c r="A58" s="401">
        <v>42446</v>
      </c>
      <c r="B58" s="383">
        <v>422290.94</v>
      </c>
    </row>
    <row r="59" spans="1:2" x14ac:dyDescent="0.2">
      <c r="A59" s="401">
        <v>42447</v>
      </c>
      <c r="B59" s="383">
        <v>468026.54</v>
      </c>
    </row>
    <row r="60" spans="1:2" x14ac:dyDescent="0.2">
      <c r="A60" s="401">
        <v>42450</v>
      </c>
      <c r="B60" s="383">
        <v>348026.54</v>
      </c>
    </row>
    <row r="61" spans="1:2" x14ac:dyDescent="0.2">
      <c r="A61" s="401">
        <v>42451</v>
      </c>
      <c r="B61" s="383">
        <v>312876.71000000002</v>
      </c>
    </row>
    <row r="62" spans="1:2" x14ac:dyDescent="0.2">
      <c r="A62" s="401">
        <v>42452</v>
      </c>
      <c r="B62" s="383">
        <v>314939.26</v>
      </c>
    </row>
    <row r="63" spans="1:2" x14ac:dyDescent="0.2">
      <c r="A63" s="401">
        <v>42453</v>
      </c>
      <c r="B63" s="383">
        <v>309254.23</v>
      </c>
    </row>
    <row r="64" spans="1:2" x14ac:dyDescent="0.2">
      <c r="A64" s="401">
        <v>42454</v>
      </c>
      <c r="B64" s="383">
        <v>308314.94</v>
      </c>
    </row>
    <row r="65" spans="1:2" x14ac:dyDescent="0.2">
      <c r="A65" s="401">
        <v>42457</v>
      </c>
      <c r="B65" s="383">
        <f>B64</f>
        <v>308314.94</v>
      </c>
    </row>
    <row r="66" spans="1:2" x14ac:dyDescent="0.2">
      <c r="A66" s="401">
        <v>42458</v>
      </c>
      <c r="B66" s="383">
        <v>308501.75</v>
      </c>
    </row>
    <row r="67" spans="1:2" x14ac:dyDescent="0.2">
      <c r="A67" s="401">
        <v>42459</v>
      </c>
      <c r="B67" s="383">
        <f>B66</f>
        <v>308501.75</v>
      </c>
    </row>
    <row r="68" spans="1:2" x14ac:dyDescent="0.2">
      <c r="A68" s="401">
        <v>42460</v>
      </c>
      <c r="B68" s="383">
        <v>309191.53000000003</v>
      </c>
    </row>
    <row r="69" spans="1:2" x14ac:dyDescent="0.2">
      <c r="A69" s="401">
        <v>42461</v>
      </c>
      <c r="B69" s="383">
        <f>B68</f>
        <v>309191.53000000003</v>
      </c>
    </row>
    <row r="70" spans="1:2" x14ac:dyDescent="0.2">
      <c r="A70" s="401">
        <v>42464</v>
      </c>
      <c r="B70" s="383">
        <v>273521.59999999998</v>
      </c>
    </row>
    <row r="71" spans="1:2" x14ac:dyDescent="0.2">
      <c r="A71" s="401">
        <v>42465</v>
      </c>
      <c r="B71" s="383">
        <f>B70</f>
        <v>273521.59999999998</v>
      </c>
    </row>
    <row r="72" spans="1:2" x14ac:dyDescent="0.2">
      <c r="A72" s="401">
        <v>42466</v>
      </c>
      <c r="B72" s="383">
        <v>272690.59999999998</v>
      </c>
    </row>
    <row r="73" spans="1:2" x14ac:dyDescent="0.2">
      <c r="A73" s="401">
        <v>42467</v>
      </c>
      <c r="B73" s="383">
        <v>269582.73</v>
      </c>
    </row>
    <row r="74" spans="1:2" x14ac:dyDescent="0.2">
      <c r="A74" s="401">
        <v>42468</v>
      </c>
      <c r="B74" s="383">
        <f>B73</f>
        <v>269582.73</v>
      </c>
    </row>
    <row r="75" spans="1:2" x14ac:dyDescent="0.2">
      <c r="A75" s="401">
        <v>42471</v>
      </c>
      <c r="B75" s="383">
        <v>269763.98</v>
      </c>
    </row>
    <row r="76" spans="1:2" x14ac:dyDescent="0.2">
      <c r="A76" s="401">
        <v>42472</v>
      </c>
      <c r="B76" s="383">
        <f>B75</f>
        <v>269763.98</v>
      </c>
    </row>
    <row r="77" spans="1:2" x14ac:dyDescent="0.2">
      <c r="A77" s="401">
        <v>42473</v>
      </c>
      <c r="B77" s="383">
        <v>269925.98</v>
      </c>
    </row>
    <row r="78" spans="1:2" x14ac:dyDescent="0.2">
      <c r="A78" s="401">
        <v>42474</v>
      </c>
      <c r="B78" s="383">
        <v>262853.87</v>
      </c>
    </row>
    <row r="79" spans="1:2" x14ac:dyDescent="0.2">
      <c r="A79" s="401">
        <v>42475</v>
      </c>
      <c r="B79" s="383">
        <v>285492.90999999997</v>
      </c>
    </row>
    <row r="80" spans="1:2" x14ac:dyDescent="0.2">
      <c r="A80" s="401">
        <v>42478</v>
      </c>
      <c r="B80" s="383">
        <v>248936.49</v>
      </c>
    </row>
    <row r="81" spans="1:2" x14ac:dyDescent="0.2">
      <c r="A81" s="401">
        <v>42479</v>
      </c>
      <c r="B81" s="383">
        <v>299276.93</v>
      </c>
    </row>
    <row r="82" spans="1:2" x14ac:dyDescent="0.2">
      <c r="A82" s="401">
        <v>42480</v>
      </c>
      <c r="B82" s="383">
        <v>298671.93</v>
      </c>
    </row>
    <row r="83" spans="1:2" x14ac:dyDescent="0.2">
      <c r="A83" s="401">
        <v>42481</v>
      </c>
      <c r="B83" s="383">
        <v>300188.76</v>
      </c>
    </row>
    <row r="84" spans="1:2" x14ac:dyDescent="0.2">
      <c r="A84" s="401">
        <v>42482</v>
      </c>
      <c r="B84" s="383">
        <v>320014.86</v>
      </c>
    </row>
    <row r="85" spans="1:2" x14ac:dyDescent="0.2">
      <c r="A85" s="401">
        <v>42485</v>
      </c>
      <c r="B85" s="383">
        <v>316702.44</v>
      </c>
    </row>
    <row r="86" spans="1:2" x14ac:dyDescent="0.2">
      <c r="A86" s="401">
        <v>42486</v>
      </c>
      <c r="B86" s="383">
        <f>B85</f>
        <v>316702.44</v>
      </c>
    </row>
    <row r="87" spans="1:2" x14ac:dyDescent="0.2">
      <c r="A87" s="401">
        <v>42487</v>
      </c>
      <c r="B87" s="383">
        <v>316945.44</v>
      </c>
    </row>
    <row r="88" spans="1:2" x14ac:dyDescent="0.2">
      <c r="A88" s="401">
        <v>42488</v>
      </c>
      <c r="B88" s="383">
        <v>320979.96999999997</v>
      </c>
    </row>
    <row r="89" spans="1:2" x14ac:dyDescent="0.2">
      <c r="A89" s="401">
        <v>42489</v>
      </c>
      <c r="B89" s="383">
        <f>B88</f>
        <v>320979.96999999997</v>
      </c>
    </row>
    <row r="90" spans="1:2" x14ac:dyDescent="0.2">
      <c r="A90" s="401">
        <v>42492</v>
      </c>
      <c r="B90" s="383">
        <v>285992.84000000003</v>
      </c>
    </row>
    <row r="91" spans="1:2" x14ac:dyDescent="0.2">
      <c r="A91" s="401">
        <v>42493</v>
      </c>
      <c r="B91" s="383">
        <v>286063.08</v>
      </c>
    </row>
    <row r="92" spans="1:2" x14ac:dyDescent="0.2">
      <c r="A92" s="401">
        <v>42494</v>
      </c>
      <c r="B92" s="383">
        <v>314586.46000000002</v>
      </c>
    </row>
    <row r="93" spans="1:2" x14ac:dyDescent="0.2">
      <c r="A93" s="401">
        <v>42495</v>
      </c>
      <c r="B93" s="383">
        <v>317747.52</v>
      </c>
    </row>
    <row r="94" spans="1:2" x14ac:dyDescent="0.2">
      <c r="A94" s="401">
        <v>42496</v>
      </c>
      <c r="B94" s="383">
        <f>B93</f>
        <v>317747.52</v>
      </c>
    </row>
    <row r="95" spans="1:2" x14ac:dyDescent="0.2">
      <c r="A95" s="401">
        <v>42499</v>
      </c>
      <c r="B95" s="383">
        <v>317647.52</v>
      </c>
    </row>
    <row r="96" spans="1:2" x14ac:dyDescent="0.2">
      <c r="A96" s="401">
        <v>42500</v>
      </c>
      <c r="B96" s="383">
        <v>354645.16</v>
      </c>
    </row>
    <row r="97" spans="1:2" x14ac:dyDescent="0.2">
      <c r="A97" s="401">
        <v>42501</v>
      </c>
      <c r="B97" s="383">
        <f>B96</f>
        <v>354645.16</v>
      </c>
    </row>
    <row r="98" spans="1:2" x14ac:dyDescent="0.2">
      <c r="A98" s="401">
        <v>42502</v>
      </c>
      <c r="B98" s="383">
        <v>334676.08</v>
      </c>
    </row>
    <row r="99" spans="1:2" x14ac:dyDescent="0.2">
      <c r="A99" s="401">
        <v>42503</v>
      </c>
      <c r="B99" s="383">
        <v>335053.34999999998</v>
      </c>
    </row>
    <row r="100" spans="1:2" x14ac:dyDescent="0.2">
      <c r="A100" s="401">
        <v>42506</v>
      </c>
      <c r="B100" s="383">
        <v>299641.7</v>
      </c>
    </row>
    <row r="101" spans="1:2" x14ac:dyDescent="0.2">
      <c r="A101" s="401">
        <v>42507</v>
      </c>
      <c r="B101" s="383">
        <f>B100</f>
        <v>299641.7</v>
      </c>
    </row>
    <row r="102" spans="1:2" x14ac:dyDescent="0.2">
      <c r="A102" s="401">
        <v>42508</v>
      </c>
      <c r="B102" s="383">
        <v>316034.81</v>
      </c>
    </row>
    <row r="103" spans="1:2" x14ac:dyDescent="0.2">
      <c r="A103" s="401">
        <v>42509</v>
      </c>
      <c r="B103" s="383">
        <v>320069.11</v>
      </c>
    </row>
    <row r="104" spans="1:2" x14ac:dyDescent="0.2">
      <c r="A104" s="401">
        <v>42510</v>
      </c>
      <c r="B104" s="383">
        <v>328514.03000000003</v>
      </c>
    </row>
    <row r="105" spans="1:2" x14ac:dyDescent="0.2">
      <c r="A105" s="401">
        <v>42513</v>
      </c>
      <c r="B105" s="383">
        <f>B104</f>
        <v>328514.03000000003</v>
      </c>
    </row>
    <row r="106" spans="1:2" x14ac:dyDescent="0.2">
      <c r="A106" s="401">
        <v>42514</v>
      </c>
      <c r="B106" s="383">
        <v>334541.26</v>
      </c>
    </row>
    <row r="107" spans="1:2" x14ac:dyDescent="0.2">
      <c r="A107" s="401">
        <v>42515</v>
      </c>
      <c r="B107" s="383">
        <v>329880.45</v>
      </c>
    </row>
    <row r="108" spans="1:2" x14ac:dyDescent="0.2">
      <c r="A108" s="401">
        <v>42516</v>
      </c>
      <c r="B108" s="384">
        <v>337992.17</v>
      </c>
    </row>
    <row r="109" spans="1:2" x14ac:dyDescent="0.2">
      <c r="A109" s="401">
        <v>42517</v>
      </c>
      <c r="B109" s="384">
        <v>347755.4</v>
      </c>
    </row>
    <row r="110" spans="1:2" x14ac:dyDescent="0.2">
      <c r="A110" s="401">
        <v>42520</v>
      </c>
      <c r="B110" s="384">
        <v>347755.4</v>
      </c>
    </row>
    <row r="111" spans="1:2" x14ac:dyDescent="0.2">
      <c r="A111" s="401">
        <v>42521</v>
      </c>
      <c r="B111" s="384">
        <v>312817.88</v>
      </c>
    </row>
    <row r="112" spans="1:2" x14ac:dyDescent="0.2">
      <c r="A112" s="401">
        <v>42522</v>
      </c>
      <c r="B112" s="384">
        <v>314571.3</v>
      </c>
    </row>
    <row r="113" spans="1:2" x14ac:dyDescent="0.2">
      <c r="A113" s="401">
        <v>42523</v>
      </c>
      <c r="B113" s="384">
        <v>302515.78000000003</v>
      </c>
    </row>
    <row r="114" spans="1:2" x14ac:dyDescent="0.2">
      <c r="A114" s="401">
        <v>42524</v>
      </c>
      <c r="B114" s="384">
        <v>302516</v>
      </c>
    </row>
    <row r="115" spans="1:2" x14ac:dyDescent="0.2">
      <c r="A115" s="401">
        <v>42527</v>
      </c>
      <c r="B115" s="384">
        <v>302516</v>
      </c>
    </row>
    <row r="116" spans="1:2" x14ac:dyDescent="0.2">
      <c r="A116" s="401">
        <v>42528</v>
      </c>
      <c r="B116" s="384">
        <v>302516</v>
      </c>
    </row>
    <row r="117" spans="1:2" x14ac:dyDescent="0.2">
      <c r="A117" s="401">
        <v>42529</v>
      </c>
      <c r="B117" s="384">
        <v>279865.95</v>
      </c>
    </row>
    <row r="118" spans="1:2" x14ac:dyDescent="0.2">
      <c r="A118" s="401">
        <v>42530</v>
      </c>
      <c r="B118" s="384">
        <v>279866</v>
      </c>
    </row>
    <row r="119" spans="1:2" x14ac:dyDescent="0.2">
      <c r="A119" s="401">
        <v>42531</v>
      </c>
      <c r="B119" s="384">
        <v>279866</v>
      </c>
    </row>
    <row r="120" spans="1:2" x14ac:dyDescent="0.2">
      <c r="A120" s="401">
        <v>42534</v>
      </c>
      <c r="B120" s="384">
        <v>279866</v>
      </c>
    </row>
    <row r="121" spans="1:2" x14ac:dyDescent="0.2">
      <c r="A121" s="401">
        <v>42535</v>
      </c>
      <c r="B121" s="384">
        <v>279866</v>
      </c>
    </row>
    <row r="122" spans="1:2" x14ac:dyDescent="0.2">
      <c r="A122" s="401">
        <v>42536</v>
      </c>
      <c r="B122" s="384">
        <v>290096.01</v>
      </c>
    </row>
    <row r="123" spans="1:2" x14ac:dyDescent="0.2">
      <c r="A123" s="401">
        <v>42537</v>
      </c>
      <c r="B123" s="384">
        <v>247423.5</v>
      </c>
    </row>
    <row r="124" spans="1:2" x14ac:dyDescent="0.2">
      <c r="A124" s="401">
        <v>42538</v>
      </c>
      <c r="B124" s="384">
        <v>247424</v>
      </c>
    </row>
    <row r="125" spans="1:2" x14ac:dyDescent="0.2">
      <c r="A125" s="401">
        <v>42541</v>
      </c>
      <c r="B125" s="384">
        <v>247424</v>
      </c>
    </row>
    <row r="126" spans="1:2" x14ac:dyDescent="0.2">
      <c r="A126" s="401">
        <v>42542</v>
      </c>
      <c r="B126" s="384">
        <v>255459.85</v>
      </c>
    </row>
    <row r="127" spans="1:2" x14ac:dyDescent="0.2">
      <c r="A127" s="401">
        <v>42543</v>
      </c>
      <c r="B127" s="384">
        <v>255460</v>
      </c>
    </row>
    <row r="128" spans="1:2" x14ac:dyDescent="0.2">
      <c r="A128" s="385">
        <f>A127+1</f>
        <v>42544</v>
      </c>
      <c r="B128" s="384">
        <v>240780.4</v>
      </c>
    </row>
    <row r="129" spans="1:2" x14ac:dyDescent="0.2">
      <c r="A129" s="385">
        <f>A128+1</f>
        <v>42545</v>
      </c>
      <c r="B129" s="384">
        <v>240780</v>
      </c>
    </row>
    <row r="130" spans="1:2" x14ac:dyDescent="0.2">
      <c r="A130" s="385">
        <f>A125+7</f>
        <v>42548</v>
      </c>
      <c r="B130" s="384">
        <v>205735.12</v>
      </c>
    </row>
    <row r="131" spans="1:2" x14ac:dyDescent="0.2">
      <c r="A131" s="385">
        <f>A126+7</f>
        <v>42549</v>
      </c>
      <c r="B131" s="384">
        <v>207489.37</v>
      </c>
    </row>
    <row r="132" spans="1:2" x14ac:dyDescent="0.2">
      <c r="A132" s="385">
        <f t="shared" ref="A132:A195" si="0">A127+7</f>
        <v>42550</v>
      </c>
      <c r="B132" s="384">
        <v>213757.9</v>
      </c>
    </row>
    <row r="133" spans="1:2" x14ac:dyDescent="0.2">
      <c r="A133" s="385">
        <f t="shared" si="0"/>
        <v>42551</v>
      </c>
      <c r="B133" s="384">
        <v>220332.56</v>
      </c>
    </row>
    <row r="134" spans="1:2" x14ac:dyDescent="0.2">
      <c r="A134" s="385">
        <f t="shared" si="0"/>
        <v>42552</v>
      </c>
      <c r="B134" s="384">
        <v>212813.84</v>
      </c>
    </row>
    <row r="135" spans="1:2" x14ac:dyDescent="0.2">
      <c r="A135" s="385">
        <f t="shared" si="0"/>
        <v>42555</v>
      </c>
      <c r="B135" s="384">
        <v>212814</v>
      </c>
    </row>
    <row r="136" spans="1:2" x14ac:dyDescent="0.2">
      <c r="A136" s="385">
        <f t="shared" si="0"/>
        <v>42556</v>
      </c>
      <c r="B136" s="384">
        <v>236539.45</v>
      </c>
    </row>
    <row r="137" spans="1:2" x14ac:dyDescent="0.2">
      <c r="A137" s="385">
        <f t="shared" si="0"/>
        <v>42557</v>
      </c>
      <c r="B137" s="384">
        <v>234224.42</v>
      </c>
    </row>
    <row r="138" spans="1:2" x14ac:dyDescent="0.2">
      <c r="A138" s="385">
        <f t="shared" si="0"/>
        <v>42558</v>
      </c>
      <c r="B138" s="384">
        <v>234132.08</v>
      </c>
    </row>
    <row r="139" spans="1:2" x14ac:dyDescent="0.2">
      <c r="A139" s="385">
        <f t="shared" si="0"/>
        <v>42559</v>
      </c>
      <c r="B139" s="384">
        <v>234132.08</v>
      </c>
    </row>
    <row r="140" spans="1:2" x14ac:dyDescent="0.2">
      <c r="A140" s="385">
        <f t="shared" si="0"/>
        <v>42562</v>
      </c>
      <c r="B140" s="384">
        <v>199890.85</v>
      </c>
    </row>
    <row r="141" spans="1:2" x14ac:dyDescent="0.2">
      <c r="A141" s="385">
        <f t="shared" si="0"/>
        <v>42563</v>
      </c>
      <c r="B141" s="384">
        <v>221114.27</v>
      </c>
    </row>
    <row r="142" spans="1:2" x14ac:dyDescent="0.2">
      <c r="A142" s="385">
        <f t="shared" si="0"/>
        <v>42564</v>
      </c>
      <c r="B142" s="384">
        <v>221114</v>
      </c>
    </row>
    <row r="143" spans="1:2" x14ac:dyDescent="0.2">
      <c r="A143" s="385">
        <f t="shared" si="0"/>
        <v>42565</v>
      </c>
      <c r="B143" s="384">
        <v>214752.25</v>
      </c>
    </row>
    <row r="144" spans="1:2" x14ac:dyDescent="0.2">
      <c r="A144" s="385">
        <f t="shared" si="0"/>
        <v>42566</v>
      </c>
      <c r="B144" s="384">
        <v>294578.96999999997</v>
      </c>
    </row>
    <row r="145" spans="1:2" x14ac:dyDescent="0.2">
      <c r="A145" s="385">
        <f t="shared" si="0"/>
        <v>42569</v>
      </c>
      <c r="B145" s="384">
        <v>294579</v>
      </c>
    </row>
    <row r="146" spans="1:2" x14ac:dyDescent="0.2">
      <c r="A146" s="385">
        <f t="shared" si="0"/>
        <v>42570</v>
      </c>
      <c r="B146" s="384">
        <v>294579</v>
      </c>
    </row>
    <row r="147" spans="1:2" x14ac:dyDescent="0.2">
      <c r="A147" s="385">
        <f t="shared" si="0"/>
        <v>42571</v>
      </c>
      <c r="B147" s="384">
        <v>328195.42</v>
      </c>
    </row>
    <row r="148" spans="1:2" x14ac:dyDescent="0.2">
      <c r="A148" s="385">
        <f t="shared" si="0"/>
        <v>42572</v>
      </c>
      <c r="B148" s="384">
        <v>407865.86</v>
      </c>
    </row>
    <row r="149" spans="1:2" x14ac:dyDescent="0.2">
      <c r="A149" s="385">
        <f t="shared" si="0"/>
        <v>42573</v>
      </c>
      <c r="B149" s="384">
        <v>409053.93</v>
      </c>
    </row>
    <row r="150" spans="1:2" x14ac:dyDescent="0.2">
      <c r="A150" s="385">
        <f t="shared" si="0"/>
        <v>42576</v>
      </c>
      <c r="B150" s="384">
        <v>372421.56</v>
      </c>
    </row>
    <row r="151" spans="1:2" x14ac:dyDescent="0.2">
      <c r="A151" s="385">
        <f t="shared" si="0"/>
        <v>42577</v>
      </c>
      <c r="B151" s="384">
        <v>375562.78</v>
      </c>
    </row>
    <row r="152" spans="1:2" x14ac:dyDescent="0.2">
      <c r="A152" s="385">
        <f t="shared" si="0"/>
        <v>42578</v>
      </c>
      <c r="B152" s="384">
        <v>375563</v>
      </c>
    </row>
    <row r="153" spans="1:2" x14ac:dyDescent="0.2">
      <c r="A153" s="385">
        <f t="shared" si="0"/>
        <v>42579</v>
      </c>
      <c r="B153" s="384">
        <v>366510.98</v>
      </c>
    </row>
    <row r="154" spans="1:2" x14ac:dyDescent="0.2">
      <c r="A154" s="385">
        <f t="shared" si="0"/>
        <v>42580</v>
      </c>
      <c r="B154" s="384">
        <v>366609.48</v>
      </c>
    </row>
    <row r="155" spans="1:2" x14ac:dyDescent="0.2">
      <c r="A155" s="385">
        <f t="shared" si="0"/>
        <v>42583</v>
      </c>
      <c r="B155" s="384">
        <v>382689.69</v>
      </c>
    </row>
    <row r="156" spans="1:2" x14ac:dyDescent="0.2">
      <c r="A156" s="385">
        <f t="shared" si="0"/>
        <v>42584</v>
      </c>
      <c r="B156" s="384">
        <v>382690</v>
      </c>
    </row>
    <row r="157" spans="1:2" x14ac:dyDescent="0.2">
      <c r="A157" s="385">
        <f t="shared" si="0"/>
        <v>42585</v>
      </c>
      <c r="B157" s="384">
        <v>387013.59</v>
      </c>
    </row>
    <row r="158" spans="1:2" x14ac:dyDescent="0.2">
      <c r="A158" s="385">
        <f t="shared" si="0"/>
        <v>42586</v>
      </c>
      <c r="B158" s="384">
        <v>382543.7</v>
      </c>
    </row>
    <row r="159" spans="1:2" x14ac:dyDescent="0.2">
      <c r="A159" s="385">
        <f t="shared" si="0"/>
        <v>42587</v>
      </c>
      <c r="B159" s="384">
        <v>382544</v>
      </c>
    </row>
    <row r="160" spans="1:2" x14ac:dyDescent="0.2">
      <c r="A160" s="385">
        <f t="shared" si="0"/>
        <v>42590</v>
      </c>
      <c r="B160" s="384">
        <v>344510.17</v>
      </c>
    </row>
    <row r="161" spans="1:2" x14ac:dyDescent="0.2">
      <c r="A161" s="385">
        <f t="shared" si="0"/>
        <v>42591</v>
      </c>
      <c r="B161" s="384">
        <v>350095.94</v>
      </c>
    </row>
    <row r="162" spans="1:2" x14ac:dyDescent="0.2">
      <c r="A162" s="385">
        <f t="shared" si="0"/>
        <v>42592</v>
      </c>
      <c r="B162" s="384">
        <v>350096</v>
      </c>
    </row>
    <row r="163" spans="1:2" x14ac:dyDescent="0.2">
      <c r="A163" s="385">
        <f t="shared" si="0"/>
        <v>42593</v>
      </c>
      <c r="B163" s="384">
        <v>355079.15</v>
      </c>
    </row>
    <row r="164" spans="1:2" x14ac:dyDescent="0.2">
      <c r="A164" s="385">
        <f t="shared" si="0"/>
        <v>42594</v>
      </c>
      <c r="B164" s="384">
        <v>356502.11</v>
      </c>
    </row>
    <row r="165" spans="1:2" x14ac:dyDescent="0.2">
      <c r="A165" s="385">
        <f t="shared" si="0"/>
        <v>42597</v>
      </c>
      <c r="B165" s="384">
        <v>408622.46</v>
      </c>
    </row>
    <row r="166" spans="1:2" x14ac:dyDescent="0.2">
      <c r="A166" s="385">
        <f t="shared" si="0"/>
        <v>42598</v>
      </c>
      <c r="B166" s="384">
        <v>408622</v>
      </c>
    </row>
    <row r="167" spans="1:2" x14ac:dyDescent="0.2">
      <c r="A167" s="385">
        <f t="shared" si="0"/>
        <v>42599</v>
      </c>
      <c r="B167" s="384">
        <v>408622</v>
      </c>
    </row>
    <row r="168" spans="1:2" x14ac:dyDescent="0.2">
      <c r="A168" s="385">
        <f t="shared" si="0"/>
        <v>42600</v>
      </c>
      <c r="B168" s="384">
        <v>409931.67</v>
      </c>
    </row>
    <row r="169" spans="1:2" x14ac:dyDescent="0.2">
      <c r="A169" s="385">
        <f t="shared" si="0"/>
        <v>42601</v>
      </c>
      <c r="B169" s="384">
        <v>410189.3</v>
      </c>
    </row>
    <row r="170" spans="1:2" x14ac:dyDescent="0.2">
      <c r="A170" s="385">
        <f t="shared" si="0"/>
        <v>42604</v>
      </c>
      <c r="B170" s="384">
        <v>370399.56</v>
      </c>
    </row>
    <row r="171" spans="1:2" x14ac:dyDescent="0.2">
      <c r="A171" s="385">
        <f t="shared" si="0"/>
        <v>42605</v>
      </c>
      <c r="B171" s="384">
        <v>370399.56</v>
      </c>
    </row>
    <row r="172" spans="1:2" x14ac:dyDescent="0.2">
      <c r="A172" s="385">
        <f t="shared" si="0"/>
        <v>42606</v>
      </c>
      <c r="B172" s="384">
        <v>370400</v>
      </c>
    </row>
    <row r="173" spans="1:2" x14ac:dyDescent="0.2">
      <c r="A173" s="385">
        <f t="shared" si="0"/>
        <v>42607</v>
      </c>
      <c r="B173" s="384">
        <v>359591.19</v>
      </c>
    </row>
    <row r="174" spans="1:2" x14ac:dyDescent="0.2">
      <c r="A174" s="385">
        <f t="shared" si="0"/>
        <v>42608</v>
      </c>
      <c r="B174" s="384">
        <v>399163.14</v>
      </c>
    </row>
    <row r="175" spans="1:2" x14ac:dyDescent="0.2">
      <c r="A175" s="385">
        <f t="shared" si="0"/>
        <v>42611</v>
      </c>
      <c r="B175" s="384">
        <v>407196.62</v>
      </c>
    </row>
    <row r="176" spans="1:2" x14ac:dyDescent="0.2">
      <c r="A176" s="385">
        <f t="shared" si="0"/>
        <v>42612</v>
      </c>
      <c r="B176" s="384">
        <v>422526.97</v>
      </c>
    </row>
    <row r="177" spans="1:5" x14ac:dyDescent="0.2">
      <c r="A177" s="385">
        <f t="shared" si="0"/>
        <v>42613</v>
      </c>
      <c r="B177" s="384">
        <v>479216.05</v>
      </c>
    </row>
    <row r="178" spans="1:5" x14ac:dyDescent="0.2">
      <c r="A178" s="385">
        <f t="shared" si="0"/>
        <v>42614</v>
      </c>
      <c r="B178" s="384">
        <v>479216</v>
      </c>
    </row>
    <row r="179" spans="1:5" x14ac:dyDescent="0.2">
      <c r="A179" s="385">
        <f t="shared" si="0"/>
        <v>42615</v>
      </c>
      <c r="B179" s="384">
        <v>479216</v>
      </c>
    </row>
    <row r="180" spans="1:5" x14ac:dyDescent="0.2">
      <c r="A180" s="385">
        <f t="shared" si="0"/>
        <v>42618</v>
      </c>
      <c r="B180" s="384">
        <v>479216</v>
      </c>
    </row>
    <row r="181" spans="1:5" x14ac:dyDescent="0.2">
      <c r="A181" s="385">
        <f t="shared" si="0"/>
        <v>42619</v>
      </c>
      <c r="B181" s="384">
        <v>440784.82</v>
      </c>
    </row>
    <row r="182" spans="1:5" x14ac:dyDescent="0.2">
      <c r="A182" s="385">
        <f t="shared" si="0"/>
        <v>42620</v>
      </c>
      <c r="B182" s="384">
        <v>440785</v>
      </c>
      <c r="D182" s="371"/>
      <c r="E182" s="151"/>
    </row>
    <row r="183" spans="1:5" x14ac:dyDescent="0.2">
      <c r="A183" s="385">
        <f t="shared" si="0"/>
        <v>42621</v>
      </c>
      <c r="B183" s="384">
        <v>445373.31</v>
      </c>
    </row>
    <row r="184" spans="1:5" x14ac:dyDescent="0.2">
      <c r="A184" s="385">
        <f t="shared" si="0"/>
        <v>42622</v>
      </c>
      <c r="B184" s="384">
        <v>463896.46</v>
      </c>
      <c r="D184" s="371"/>
      <c r="E184" s="151"/>
    </row>
    <row r="185" spans="1:5" x14ac:dyDescent="0.2">
      <c r="A185" s="385">
        <f t="shared" si="0"/>
        <v>42625</v>
      </c>
      <c r="B185" s="384">
        <v>463296.46</v>
      </c>
      <c r="D185" s="371"/>
      <c r="E185" s="151"/>
    </row>
    <row r="186" spans="1:5" x14ac:dyDescent="0.2">
      <c r="A186" s="385">
        <f t="shared" si="0"/>
        <v>42626</v>
      </c>
      <c r="B186" s="384">
        <v>465024.54</v>
      </c>
      <c r="D186" s="371"/>
      <c r="E186" s="151"/>
    </row>
    <row r="187" spans="1:5" x14ac:dyDescent="0.2">
      <c r="A187" s="385">
        <f t="shared" si="0"/>
        <v>42627</v>
      </c>
      <c r="B187" s="384">
        <v>465025</v>
      </c>
      <c r="D187" s="371"/>
      <c r="E187" s="151"/>
    </row>
    <row r="188" spans="1:5" x14ac:dyDescent="0.2">
      <c r="A188" s="385">
        <f t="shared" si="0"/>
        <v>42628</v>
      </c>
      <c r="B188" s="384">
        <v>447444.34</v>
      </c>
      <c r="D188" s="371"/>
      <c r="E188" s="151"/>
    </row>
    <row r="189" spans="1:5" x14ac:dyDescent="0.2">
      <c r="A189" s="385">
        <f t="shared" si="0"/>
        <v>42629</v>
      </c>
      <c r="B189" s="384">
        <v>451135.42</v>
      </c>
      <c r="D189" s="371"/>
      <c r="E189" s="151"/>
    </row>
    <row r="190" spans="1:5" x14ac:dyDescent="0.2">
      <c r="A190" s="385">
        <f t="shared" si="0"/>
        <v>42632</v>
      </c>
      <c r="B190" s="384">
        <v>413924.51</v>
      </c>
      <c r="D190" s="371"/>
      <c r="E190" s="151"/>
    </row>
    <row r="191" spans="1:5" x14ac:dyDescent="0.2">
      <c r="A191" s="385">
        <f t="shared" si="0"/>
        <v>42633</v>
      </c>
      <c r="B191" s="384">
        <v>395080.96000000002</v>
      </c>
      <c r="D191" s="371"/>
      <c r="E191" s="151"/>
    </row>
    <row r="192" spans="1:5" x14ac:dyDescent="0.2">
      <c r="A192" s="385">
        <f t="shared" si="0"/>
        <v>42634</v>
      </c>
      <c r="B192" s="384">
        <v>393852.1</v>
      </c>
      <c r="D192" s="371"/>
      <c r="E192" s="151"/>
    </row>
    <row r="193" spans="1:5" x14ac:dyDescent="0.2">
      <c r="A193" s="385">
        <f t="shared" si="0"/>
        <v>42635</v>
      </c>
      <c r="B193" s="384">
        <v>397757.18</v>
      </c>
      <c r="D193" s="371"/>
      <c r="E193" s="151"/>
    </row>
    <row r="194" spans="1:5" x14ac:dyDescent="0.2">
      <c r="A194" s="385">
        <f t="shared" si="0"/>
        <v>42636</v>
      </c>
      <c r="B194" s="384">
        <v>397757</v>
      </c>
      <c r="D194" s="371"/>
      <c r="E194" s="151"/>
    </row>
    <row r="195" spans="1:5" x14ac:dyDescent="0.2">
      <c r="A195" s="385">
        <f t="shared" si="0"/>
        <v>42639</v>
      </c>
      <c r="B195" s="384">
        <v>397757</v>
      </c>
      <c r="D195" s="371"/>
      <c r="E195" s="151"/>
    </row>
    <row r="196" spans="1:5" x14ac:dyDescent="0.2">
      <c r="A196" s="385">
        <f t="shared" ref="A196:A259" si="1">A191+7</f>
        <v>42640</v>
      </c>
      <c r="B196" s="384">
        <v>403105.59</v>
      </c>
      <c r="D196" s="371"/>
      <c r="E196" s="151"/>
    </row>
    <row r="197" spans="1:5" x14ac:dyDescent="0.2">
      <c r="A197" s="385">
        <f t="shared" si="1"/>
        <v>42641</v>
      </c>
      <c r="B197" s="384">
        <v>394170.51</v>
      </c>
      <c r="D197" s="371"/>
      <c r="E197" s="151"/>
    </row>
    <row r="198" spans="1:5" x14ac:dyDescent="0.2">
      <c r="A198" s="385">
        <f t="shared" si="1"/>
        <v>42642</v>
      </c>
      <c r="B198" s="384">
        <v>397917.56</v>
      </c>
      <c r="D198" s="371"/>
      <c r="E198" s="151"/>
    </row>
    <row r="199" spans="1:5" x14ac:dyDescent="0.2">
      <c r="A199" s="385">
        <f t="shared" si="1"/>
        <v>42643</v>
      </c>
      <c r="B199" s="384">
        <v>397918</v>
      </c>
      <c r="D199" s="371"/>
      <c r="E199" s="151"/>
    </row>
    <row r="200" spans="1:5" x14ac:dyDescent="0.2">
      <c r="A200" s="385">
        <f t="shared" si="1"/>
        <v>42646</v>
      </c>
      <c r="B200" s="384">
        <v>361701.8</v>
      </c>
      <c r="D200" s="371"/>
      <c r="E200" s="151"/>
    </row>
    <row r="201" spans="1:5" x14ac:dyDescent="0.2">
      <c r="A201" s="385">
        <f t="shared" si="1"/>
        <v>42647</v>
      </c>
      <c r="B201" s="384">
        <v>362031.95</v>
      </c>
      <c r="D201" s="371"/>
      <c r="E201" s="151"/>
    </row>
    <row r="202" spans="1:5" x14ac:dyDescent="0.2">
      <c r="A202" s="385">
        <f t="shared" si="1"/>
        <v>42648</v>
      </c>
      <c r="B202" s="384">
        <v>362032</v>
      </c>
    </row>
    <row r="203" spans="1:5" x14ac:dyDescent="0.2">
      <c r="A203" s="385">
        <f t="shared" si="1"/>
        <v>42649</v>
      </c>
      <c r="B203" s="384">
        <v>360433.13</v>
      </c>
    </row>
    <row r="204" spans="1:5" x14ac:dyDescent="0.2">
      <c r="A204" s="385">
        <f t="shared" si="1"/>
        <v>42650</v>
      </c>
      <c r="B204" s="384">
        <v>361754.66</v>
      </c>
    </row>
    <row r="205" spans="1:5" x14ac:dyDescent="0.2">
      <c r="A205" s="385">
        <f t="shared" si="1"/>
        <v>42653</v>
      </c>
      <c r="B205" s="384">
        <v>361755</v>
      </c>
    </row>
    <row r="206" spans="1:5" x14ac:dyDescent="0.2">
      <c r="A206" s="385">
        <f t="shared" si="1"/>
        <v>42654</v>
      </c>
      <c r="B206" s="384">
        <v>361755</v>
      </c>
    </row>
    <row r="207" spans="1:5" x14ac:dyDescent="0.2">
      <c r="A207" s="385">
        <f t="shared" si="1"/>
        <v>42655</v>
      </c>
      <c r="B207" s="384">
        <v>365429.62</v>
      </c>
    </row>
    <row r="208" spans="1:5" x14ac:dyDescent="0.2">
      <c r="A208" s="385">
        <f t="shared" si="1"/>
        <v>42656</v>
      </c>
      <c r="B208" s="384">
        <v>375400.83</v>
      </c>
    </row>
    <row r="209" spans="1:2" x14ac:dyDescent="0.2">
      <c r="A209" s="385">
        <f t="shared" si="1"/>
        <v>42657</v>
      </c>
      <c r="B209" s="384">
        <v>375484.03</v>
      </c>
    </row>
    <row r="210" spans="1:2" x14ac:dyDescent="0.2">
      <c r="A210" s="385">
        <f t="shared" si="1"/>
        <v>42660</v>
      </c>
      <c r="B210" s="384">
        <v>339702.96</v>
      </c>
    </row>
    <row r="211" spans="1:2" x14ac:dyDescent="0.2">
      <c r="A211" s="385">
        <f t="shared" si="1"/>
        <v>42661</v>
      </c>
      <c r="B211" s="384">
        <v>343741.39</v>
      </c>
    </row>
    <row r="212" spans="1:2" x14ac:dyDescent="0.2">
      <c r="A212" s="385">
        <f t="shared" si="1"/>
        <v>42662</v>
      </c>
      <c r="B212" s="384">
        <v>343741</v>
      </c>
    </row>
    <row r="213" spans="1:2" x14ac:dyDescent="0.2">
      <c r="A213" s="385">
        <f t="shared" si="1"/>
        <v>42663</v>
      </c>
      <c r="B213" s="384">
        <v>332267.31</v>
      </c>
    </row>
    <row r="214" spans="1:2" x14ac:dyDescent="0.2">
      <c r="A214" s="385">
        <f t="shared" si="1"/>
        <v>42664</v>
      </c>
      <c r="B214" s="384">
        <v>332482.06</v>
      </c>
    </row>
    <row r="215" spans="1:2" x14ac:dyDescent="0.2">
      <c r="A215" s="385">
        <f t="shared" si="1"/>
        <v>42667</v>
      </c>
      <c r="B215" s="384">
        <v>332482</v>
      </c>
    </row>
    <row r="216" spans="1:2" x14ac:dyDescent="0.2">
      <c r="A216" s="385">
        <f t="shared" si="1"/>
        <v>42668</v>
      </c>
      <c r="B216" s="384">
        <v>337085.39</v>
      </c>
    </row>
    <row r="217" spans="1:2" x14ac:dyDescent="0.2">
      <c r="A217" s="385">
        <f t="shared" si="1"/>
        <v>42669</v>
      </c>
      <c r="B217" s="384">
        <v>337085</v>
      </c>
    </row>
    <row r="218" spans="1:2" x14ac:dyDescent="0.2">
      <c r="A218" s="385">
        <f t="shared" si="1"/>
        <v>42670</v>
      </c>
      <c r="B218" s="384">
        <v>333113.26</v>
      </c>
    </row>
    <row r="219" spans="1:2" x14ac:dyDescent="0.2">
      <c r="A219" s="385">
        <f t="shared" si="1"/>
        <v>42671</v>
      </c>
      <c r="B219" s="384">
        <v>360993.03</v>
      </c>
    </row>
    <row r="220" spans="1:2" x14ac:dyDescent="0.2">
      <c r="A220" s="385">
        <f t="shared" si="1"/>
        <v>42674</v>
      </c>
      <c r="B220" s="384">
        <v>350567.25</v>
      </c>
    </row>
    <row r="221" spans="1:2" x14ac:dyDescent="0.2">
      <c r="A221" s="385">
        <f t="shared" si="1"/>
        <v>42675</v>
      </c>
      <c r="B221" s="384">
        <v>350939.21</v>
      </c>
    </row>
    <row r="222" spans="1:2" x14ac:dyDescent="0.2">
      <c r="A222" s="385">
        <f t="shared" si="1"/>
        <v>42676</v>
      </c>
      <c r="B222" s="384">
        <v>350939</v>
      </c>
    </row>
    <row r="223" spans="1:2" x14ac:dyDescent="0.2">
      <c r="A223" s="385">
        <f t="shared" si="1"/>
        <v>42677</v>
      </c>
      <c r="B223" s="384">
        <v>344148.64</v>
      </c>
    </row>
    <row r="224" spans="1:2" x14ac:dyDescent="0.2">
      <c r="A224" s="385">
        <f t="shared" si="1"/>
        <v>42678</v>
      </c>
      <c r="B224" s="384">
        <v>399084.27</v>
      </c>
    </row>
    <row r="225" spans="1:2" x14ac:dyDescent="0.2">
      <c r="A225" s="385">
        <f t="shared" si="1"/>
        <v>42681</v>
      </c>
      <c r="B225" s="384">
        <v>399084</v>
      </c>
    </row>
    <row r="226" spans="1:2" x14ac:dyDescent="0.2">
      <c r="A226" s="385">
        <f t="shared" si="1"/>
        <v>42682</v>
      </c>
      <c r="B226" s="384">
        <v>403667.29</v>
      </c>
    </row>
    <row r="227" spans="1:2" x14ac:dyDescent="0.2">
      <c r="A227" s="385">
        <f t="shared" si="1"/>
        <v>42683</v>
      </c>
      <c r="B227" s="384">
        <v>403667</v>
      </c>
    </row>
    <row r="228" spans="1:2" x14ac:dyDescent="0.2">
      <c r="A228" s="385">
        <f t="shared" si="1"/>
        <v>42684</v>
      </c>
      <c r="B228" s="384">
        <v>383477.25</v>
      </c>
    </row>
    <row r="229" spans="1:2" x14ac:dyDescent="0.2">
      <c r="A229" s="385">
        <f t="shared" si="1"/>
        <v>42685</v>
      </c>
      <c r="B229" s="384">
        <v>383477</v>
      </c>
    </row>
    <row r="230" spans="1:2" x14ac:dyDescent="0.2">
      <c r="A230" s="385">
        <f t="shared" si="1"/>
        <v>42688</v>
      </c>
      <c r="B230" s="384">
        <v>347717.6</v>
      </c>
    </row>
    <row r="231" spans="1:2" x14ac:dyDescent="0.2">
      <c r="A231" s="385">
        <f t="shared" si="1"/>
        <v>42689</v>
      </c>
      <c r="B231" s="384">
        <v>347836.75</v>
      </c>
    </row>
    <row r="232" spans="1:2" x14ac:dyDescent="0.2">
      <c r="A232" s="385">
        <f t="shared" si="1"/>
        <v>42690</v>
      </c>
      <c r="B232" s="384">
        <v>347836.75</v>
      </c>
    </row>
    <row r="233" spans="1:2" x14ac:dyDescent="0.2">
      <c r="A233" s="385">
        <f t="shared" si="1"/>
        <v>42691</v>
      </c>
      <c r="B233" s="384">
        <v>350935.56</v>
      </c>
    </row>
    <row r="234" spans="1:2" x14ac:dyDescent="0.2">
      <c r="A234" s="385">
        <f t="shared" si="1"/>
        <v>42692</v>
      </c>
      <c r="B234" s="384">
        <v>350936</v>
      </c>
    </row>
    <row r="235" spans="1:2" x14ac:dyDescent="0.2">
      <c r="A235" s="385">
        <f t="shared" si="1"/>
        <v>42695</v>
      </c>
      <c r="B235" s="384">
        <v>350936</v>
      </c>
    </row>
    <row r="236" spans="1:2" x14ac:dyDescent="0.2">
      <c r="A236" s="385">
        <f t="shared" si="1"/>
        <v>42696</v>
      </c>
      <c r="B236" s="384">
        <v>351588.06</v>
      </c>
    </row>
    <row r="237" spans="1:2" x14ac:dyDescent="0.2">
      <c r="A237" s="385">
        <f t="shared" si="1"/>
        <v>42697</v>
      </c>
      <c r="B237" s="384">
        <v>349477.96</v>
      </c>
    </row>
    <row r="238" spans="1:2" x14ac:dyDescent="0.2">
      <c r="A238" s="385">
        <f t="shared" si="1"/>
        <v>42698</v>
      </c>
      <c r="B238" s="384">
        <v>349478</v>
      </c>
    </row>
    <row r="239" spans="1:2" x14ac:dyDescent="0.2">
      <c r="A239" s="385">
        <f t="shared" si="1"/>
        <v>42699</v>
      </c>
      <c r="B239" s="384">
        <v>368170.66</v>
      </c>
    </row>
    <row r="240" spans="1:2" x14ac:dyDescent="0.2">
      <c r="A240" s="385">
        <f t="shared" si="1"/>
        <v>42702</v>
      </c>
      <c r="B240" s="384">
        <v>368170.66</v>
      </c>
    </row>
    <row r="241" spans="1:2" x14ac:dyDescent="0.2">
      <c r="A241" s="385">
        <f t="shared" si="1"/>
        <v>42703</v>
      </c>
      <c r="B241" s="384">
        <v>328902.64</v>
      </c>
    </row>
    <row r="242" spans="1:2" x14ac:dyDescent="0.2">
      <c r="A242" s="385">
        <f t="shared" si="1"/>
        <v>42704</v>
      </c>
      <c r="B242" s="384">
        <v>338455.85</v>
      </c>
    </row>
    <row r="243" spans="1:2" x14ac:dyDescent="0.2">
      <c r="A243" s="385">
        <f t="shared" si="1"/>
        <v>42705</v>
      </c>
      <c r="B243" s="384">
        <v>336997.18</v>
      </c>
    </row>
    <row r="244" spans="1:2" x14ac:dyDescent="0.2">
      <c r="A244" s="385">
        <f t="shared" si="1"/>
        <v>42706</v>
      </c>
      <c r="B244" s="384">
        <v>342825.59</v>
      </c>
    </row>
    <row r="245" spans="1:2" x14ac:dyDescent="0.2">
      <c r="A245" s="385">
        <f t="shared" si="1"/>
        <v>42709</v>
      </c>
      <c r="B245" s="384">
        <v>342826</v>
      </c>
    </row>
    <row r="246" spans="1:2" x14ac:dyDescent="0.2">
      <c r="A246" s="385">
        <f t="shared" si="1"/>
        <v>42710</v>
      </c>
      <c r="B246" s="384">
        <v>344457.81</v>
      </c>
    </row>
    <row r="247" spans="1:2" x14ac:dyDescent="0.2">
      <c r="A247" s="385">
        <f t="shared" si="1"/>
        <v>42711</v>
      </c>
      <c r="B247" s="384">
        <v>366772.64</v>
      </c>
    </row>
    <row r="248" spans="1:2" x14ac:dyDescent="0.2">
      <c r="A248" s="385">
        <f t="shared" si="1"/>
        <v>42712</v>
      </c>
      <c r="B248" s="384">
        <v>366772.6</v>
      </c>
    </row>
    <row r="249" spans="1:2" x14ac:dyDescent="0.2">
      <c r="A249" s="385">
        <f t="shared" si="1"/>
        <v>42713</v>
      </c>
      <c r="B249" s="384">
        <v>366773</v>
      </c>
    </row>
    <row r="250" spans="1:2" x14ac:dyDescent="0.2">
      <c r="A250" s="385">
        <f t="shared" si="1"/>
        <v>42716</v>
      </c>
      <c r="B250" s="384">
        <v>366773</v>
      </c>
    </row>
    <row r="251" spans="1:2" x14ac:dyDescent="0.2">
      <c r="A251" s="385">
        <f t="shared" si="1"/>
        <v>42717</v>
      </c>
      <c r="B251" s="384">
        <v>346535.44</v>
      </c>
    </row>
    <row r="252" spans="1:2" x14ac:dyDescent="0.2">
      <c r="A252" s="385">
        <f t="shared" si="1"/>
        <v>42718</v>
      </c>
      <c r="B252" s="384">
        <v>346535</v>
      </c>
    </row>
    <row r="253" spans="1:2" x14ac:dyDescent="0.2">
      <c r="A253" s="385">
        <f t="shared" si="1"/>
        <v>42719</v>
      </c>
      <c r="B253" s="384">
        <v>335522.11</v>
      </c>
    </row>
    <row r="254" spans="1:2" x14ac:dyDescent="0.2">
      <c r="A254" s="385">
        <f t="shared" si="1"/>
        <v>42720</v>
      </c>
      <c r="B254" s="384">
        <v>335675.99</v>
      </c>
    </row>
    <row r="255" spans="1:2" x14ac:dyDescent="0.2">
      <c r="A255" s="385">
        <f t="shared" si="1"/>
        <v>42723</v>
      </c>
      <c r="B255" s="384">
        <v>357268.43</v>
      </c>
    </row>
    <row r="256" spans="1:2" x14ac:dyDescent="0.2">
      <c r="A256" s="385">
        <f t="shared" si="1"/>
        <v>42724</v>
      </c>
      <c r="B256" s="384">
        <v>357268</v>
      </c>
    </row>
    <row r="257" spans="1:2" x14ac:dyDescent="0.2">
      <c r="A257" s="385">
        <f t="shared" si="1"/>
        <v>42725</v>
      </c>
      <c r="B257" s="384">
        <v>366192.91</v>
      </c>
    </row>
    <row r="258" spans="1:2" x14ac:dyDescent="0.2">
      <c r="A258" s="385">
        <f t="shared" si="1"/>
        <v>42726</v>
      </c>
      <c r="B258" s="384">
        <v>377001.67</v>
      </c>
    </row>
    <row r="259" spans="1:2" x14ac:dyDescent="0.2">
      <c r="A259" s="385">
        <f t="shared" si="1"/>
        <v>42727</v>
      </c>
      <c r="B259" s="384">
        <v>377329.67</v>
      </c>
    </row>
    <row r="260" spans="1:2" x14ac:dyDescent="0.2">
      <c r="A260" s="385">
        <f t="shared" ref="A260:A264" si="2">A255+7</f>
        <v>42730</v>
      </c>
      <c r="B260" s="384">
        <v>377330</v>
      </c>
    </row>
    <row r="261" spans="1:2" x14ac:dyDescent="0.2">
      <c r="A261" s="385">
        <f t="shared" si="2"/>
        <v>42731</v>
      </c>
      <c r="B261" s="384">
        <v>339782.53</v>
      </c>
    </row>
    <row r="262" spans="1:2" x14ac:dyDescent="0.2">
      <c r="A262" s="385">
        <f t="shared" si="2"/>
        <v>42732</v>
      </c>
      <c r="B262" s="384">
        <v>339783</v>
      </c>
    </row>
    <row r="263" spans="1:2" x14ac:dyDescent="0.2">
      <c r="A263" s="385">
        <f t="shared" si="2"/>
        <v>42733</v>
      </c>
      <c r="B263" s="384">
        <v>337987.77</v>
      </c>
    </row>
    <row r="264" spans="1:2" x14ac:dyDescent="0.2">
      <c r="A264" s="385">
        <f t="shared" si="2"/>
        <v>42734</v>
      </c>
      <c r="B264" s="384">
        <v>354814.33</v>
      </c>
    </row>
    <row r="265" spans="1:2" x14ac:dyDescent="0.2">
      <c r="A265" s="397">
        <v>42737</v>
      </c>
      <c r="B265" s="398">
        <v>354814</v>
      </c>
    </row>
    <row r="266" spans="1:2" x14ac:dyDescent="0.2">
      <c r="A266" s="397">
        <v>42738</v>
      </c>
      <c r="B266" s="398">
        <v>361866.86</v>
      </c>
    </row>
    <row r="267" spans="1:2" x14ac:dyDescent="0.2">
      <c r="A267" s="397">
        <v>42739</v>
      </c>
      <c r="B267" s="398">
        <v>363519.32</v>
      </c>
    </row>
    <row r="268" spans="1:2" x14ac:dyDescent="0.2">
      <c r="A268" s="397">
        <v>42740</v>
      </c>
      <c r="B268" s="398">
        <v>361866.66</v>
      </c>
    </row>
    <row r="269" spans="1:2" x14ac:dyDescent="0.2">
      <c r="A269" s="397">
        <v>42741</v>
      </c>
      <c r="B269" s="398">
        <v>363519</v>
      </c>
    </row>
    <row r="270" spans="1:2" x14ac:dyDescent="0.2">
      <c r="A270" s="397">
        <v>42744</v>
      </c>
      <c r="B270" s="398">
        <v>363543.47</v>
      </c>
    </row>
    <row r="271" spans="1:2" x14ac:dyDescent="0.2">
      <c r="A271" s="397">
        <v>42745</v>
      </c>
      <c r="B271" s="398">
        <v>328707.83</v>
      </c>
    </row>
    <row r="272" spans="1:2" x14ac:dyDescent="0.2">
      <c r="A272" s="397">
        <v>42746</v>
      </c>
      <c r="B272" s="398">
        <v>328708</v>
      </c>
    </row>
    <row r="273" spans="1:2" x14ac:dyDescent="0.2">
      <c r="A273" s="397">
        <v>42747</v>
      </c>
      <c r="B273" s="398">
        <v>321086.01</v>
      </c>
    </row>
    <row r="274" spans="1:2" x14ac:dyDescent="0.2">
      <c r="A274" s="397">
        <v>42748</v>
      </c>
      <c r="B274" s="398">
        <v>334097.28000000003</v>
      </c>
    </row>
    <row r="275" spans="1:2" x14ac:dyDescent="0.2">
      <c r="A275" s="397">
        <v>42751</v>
      </c>
      <c r="B275" s="398">
        <v>334097</v>
      </c>
    </row>
    <row r="276" spans="1:2" x14ac:dyDescent="0.2">
      <c r="A276" s="397">
        <v>42752</v>
      </c>
      <c r="B276" s="398">
        <v>268850.96000000002</v>
      </c>
    </row>
    <row r="277" spans="1:2" x14ac:dyDescent="0.2">
      <c r="A277" s="397">
        <v>42753</v>
      </c>
      <c r="B277" s="398">
        <v>268851</v>
      </c>
    </row>
    <row r="278" spans="1:2" x14ac:dyDescent="0.2">
      <c r="A278" s="397">
        <v>42754</v>
      </c>
      <c r="B278" s="398">
        <v>269075.21000000002</v>
      </c>
    </row>
    <row r="279" spans="1:2" x14ac:dyDescent="0.2">
      <c r="A279" s="397">
        <v>42755</v>
      </c>
      <c r="B279" s="398">
        <v>270983.21000000002</v>
      </c>
    </row>
    <row r="280" spans="1:2" x14ac:dyDescent="0.2">
      <c r="A280" s="397">
        <v>42758</v>
      </c>
      <c r="B280" s="398">
        <v>270983</v>
      </c>
    </row>
    <row r="281" spans="1:2" x14ac:dyDescent="0.2">
      <c r="A281" s="397">
        <v>42759</v>
      </c>
      <c r="B281" s="398">
        <v>270723.98</v>
      </c>
    </row>
    <row r="282" spans="1:2" x14ac:dyDescent="0.2">
      <c r="A282" s="397">
        <v>42760</v>
      </c>
      <c r="B282" s="398">
        <v>281353.09999999998</v>
      </c>
    </row>
    <row r="283" spans="1:2" x14ac:dyDescent="0.2">
      <c r="A283" s="397">
        <v>42761</v>
      </c>
      <c r="B283" s="398">
        <v>274313.84999999998</v>
      </c>
    </row>
    <row r="284" spans="1:2" x14ac:dyDescent="0.2">
      <c r="A284" s="397">
        <v>42762</v>
      </c>
      <c r="B284" s="398">
        <v>296447.59999999998</v>
      </c>
    </row>
    <row r="285" spans="1:2" x14ac:dyDescent="0.2">
      <c r="A285" s="397">
        <v>42765</v>
      </c>
      <c r="B285" s="398">
        <v>295107.96000000002</v>
      </c>
    </row>
    <row r="286" spans="1:2" x14ac:dyDescent="0.2">
      <c r="A286" s="397">
        <v>42766</v>
      </c>
      <c r="B286" s="398">
        <v>314030.53000000003</v>
      </c>
    </row>
    <row r="287" spans="1:2" x14ac:dyDescent="0.2">
      <c r="A287" s="397">
        <v>42767</v>
      </c>
      <c r="B287" s="398">
        <v>314031</v>
      </c>
    </row>
    <row r="288" spans="1:2" x14ac:dyDescent="0.2">
      <c r="A288" s="397">
        <v>42768</v>
      </c>
      <c r="B288" s="398">
        <v>312808.53999999998</v>
      </c>
    </row>
    <row r="289" spans="1:2" x14ac:dyDescent="0.2">
      <c r="A289" s="397">
        <v>42769</v>
      </c>
      <c r="B289" s="398">
        <v>316461.53999999998</v>
      </c>
    </row>
    <row r="290" spans="1:2" x14ac:dyDescent="0.2">
      <c r="A290" s="397">
        <v>42772</v>
      </c>
      <c r="B290" s="398">
        <v>316462</v>
      </c>
    </row>
    <row r="291" spans="1:2" x14ac:dyDescent="0.2">
      <c r="A291" s="397">
        <v>42773</v>
      </c>
      <c r="B291" s="398">
        <v>289560.21999999997</v>
      </c>
    </row>
    <row r="292" spans="1:2" x14ac:dyDescent="0.2">
      <c r="A292" s="397">
        <v>42774</v>
      </c>
      <c r="B292" s="398">
        <v>297310.21999999997</v>
      </c>
    </row>
    <row r="293" spans="1:2" x14ac:dyDescent="0.2">
      <c r="A293" s="397">
        <v>42775</v>
      </c>
      <c r="B293" s="398">
        <v>352433.91</v>
      </c>
    </row>
    <row r="294" spans="1:2" x14ac:dyDescent="0.2">
      <c r="A294" s="397">
        <v>42776</v>
      </c>
      <c r="B294" s="398">
        <v>352434</v>
      </c>
    </row>
    <row r="295" spans="1:2" x14ac:dyDescent="0.2">
      <c r="A295" s="397">
        <v>42779</v>
      </c>
      <c r="B295" s="398">
        <v>352434</v>
      </c>
    </row>
    <row r="296" spans="1:2" x14ac:dyDescent="0.2">
      <c r="A296" s="397">
        <v>42780</v>
      </c>
      <c r="B296" s="398">
        <v>352434</v>
      </c>
    </row>
    <row r="297" spans="1:2" x14ac:dyDescent="0.2">
      <c r="A297" s="397">
        <v>42781</v>
      </c>
      <c r="B297" s="398">
        <v>352542.46</v>
      </c>
    </row>
    <row r="298" spans="1:2" x14ac:dyDescent="0.2">
      <c r="A298" s="397">
        <v>42782</v>
      </c>
      <c r="B298" s="398">
        <v>383231.99</v>
      </c>
    </row>
    <row r="299" spans="1:2" x14ac:dyDescent="0.2">
      <c r="A299" s="397">
        <v>42783</v>
      </c>
      <c r="B299" s="424">
        <v>404679.36</v>
      </c>
    </row>
    <row r="300" spans="1:2" x14ac:dyDescent="0.2">
      <c r="A300" s="397">
        <v>42785</v>
      </c>
      <c r="B300" s="398">
        <v>404679</v>
      </c>
    </row>
    <row r="301" spans="1:2" x14ac:dyDescent="0.2">
      <c r="A301" s="397">
        <v>42787</v>
      </c>
      <c r="B301" s="398">
        <v>368703.72</v>
      </c>
    </row>
    <row r="302" spans="1:2" x14ac:dyDescent="0.2">
      <c r="A302" s="397">
        <v>42788</v>
      </c>
      <c r="B302" s="398">
        <v>368203.72</v>
      </c>
    </row>
    <row r="303" spans="1:2" x14ac:dyDescent="0.2">
      <c r="A303" s="397">
        <v>42789</v>
      </c>
      <c r="B303" s="398">
        <v>349211.92</v>
      </c>
    </row>
    <row r="304" spans="1:2" x14ac:dyDescent="0.2">
      <c r="A304" s="397">
        <v>42790</v>
      </c>
      <c r="B304" s="398">
        <v>384176.45</v>
      </c>
    </row>
    <row r="305" spans="1:2" x14ac:dyDescent="0.2">
      <c r="A305" s="397">
        <v>42793</v>
      </c>
      <c r="B305" s="398">
        <v>384176</v>
      </c>
    </row>
    <row r="306" spans="1:2" x14ac:dyDescent="0.2">
      <c r="A306" s="397">
        <v>42794</v>
      </c>
      <c r="B306" s="398">
        <v>384176</v>
      </c>
    </row>
    <row r="307" spans="1:2" x14ac:dyDescent="0.2">
      <c r="A307" s="397">
        <v>42795</v>
      </c>
      <c r="B307" s="398">
        <v>384176</v>
      </c>
    </row>
    <row r="308" spans="1:2" x14ac:dyDescent="0.2">
      <c r="A308" s="397">
        <v>42796</v>
      </c>
      <c r="B308" s="398">
        <v>395396.43</v>
      </c>
    </row>
    <row r="309" spans="1:2" x14ac:dyDescent="0.2">
      <c r="A309" s="397">
        <v>42797</v>
      </c>
      <c r="B309" s="398">
        <v>395396</v>
      </c>
    </row>
    <row r="310" spans="1:2" x14ac:dyDescent="0.2">
      <c r="A310" s="397">
        <v>42800</v>
      </c>
      <c r="B310" s="398">
        <v>395396</v>
      </c>
    </row>
    <row r="311" spans="1:2" x14ac:dyDescent="0.2">
      <c r="A311" s="397">
        <v>42801</v>
      </c>
      <c r="B311" s="398">
        <v>361856.47</v>
      </c>
    </row>
    <row r="312" spans="1:2" x14ac:dyDescent="0.2">
      <c r="A312" s="397">
        <v>42802</v>
      </c>
      <c r="B312" s="398">
        <v>361856</v>
      </c>
    </row>
    <row r="313" spans="1:2" x14ac:dyDescent="0.2">
      <c r="A313" s="397">
        <v>42803</v>
      </c>
      <c r="B313" s="398">
        <v>349877.16</v>
      </c>
    </row>
    <row r="314" spans="1:2" x14ac:dyDescent="0.2">
      <c r="A314" s="397">
        <v>42804</v>
      </c>
      <c r="B314" s="398">
        <v>359297.81</v>
      </c>
    </row>
    <row r="315" spans="1:2" x14ac:dyDescent="0.2">
      <c r="A315" s="397">
        <v>42807</v>
      </c>
      <c r="B315" s="398">
        <v>361678.91</v>
      </c>
    </row>
    <row r="316" spans="1:2" x14ac:dyDescent="0.2">
      <c r="A316" s="397">
        <v>42808</v>
      </c>
      <c r="B316" s="398">
        <v>361679</v>
      </c>
    </row>
    <row r="317" spans="1:2" x14ac:dyDescent="0.2">
      <c r="A317" s="397">
        <v>42809</v>
      </c>
      <c r="B317" s="398">
        <v>370843.37</v>
      </c>
    </row>
    <row r="318" spans="1:2" x14ac:dyDescent="0.2">
      <c r="A318" s="397">
        <v>42810</v>
      </c>
      <c r="B318" s="398">
        <v>377566.07</v>
      </c>
    </row>
    <row r="319" spans="1:2" x14ac:dyDescent="0.2">
      <c r="A319" s="397">
        <v>42811</v>
      </c>
      <c r="B319" s="398">
        <v>370373.97</v>
      </c>
    </row>
    <row r="320" spans="1:2" x14ac:dyDescent="0.2">
      <c r="A320" s="397">
        <v>42814</v>
      </c>
      <c r="B320" s="398">
        <v>338340.3</v>
      </c>
    </row>
    <row r="321" spans="1:2" x14ac:dyDescent="0.2">
      <c r="A321" s="397">
        <v>42815</v>
      </c>
      <c r="B321" s="398">
        <v>338340</v>
      </c>
    </row>
    <row r="322" spans="1:2" x14ac:dyDescent="0.2">
      <c r="A322" s="397">
        <v>42816</v>
      </c>
      <c r="B322" s="398">
        <v>338340</v>
      </c>
    </row>
    <row r="323" spans="1:2" x14ac:dyDescent="0.2">
      <c r="A323" s="397">
        <v>42817</v>
      </c>
      <c r="B323" s="398">
        <f>25944.71+322493.66</f>
        <v>348438.37</v>
      </c>
    </row>
    <row r="324" spans="1:2" x14ac:dyDescent="0.2">
      <c r="A324" s="397">
        <v>42818</v>
      </c>
      <c r="B324" s="398">
        <v>348438</v>
      </c>
    </row>
    <row r="325" spans="1:2" x14ac:dyDescent="0.2">
      <c r="A325" s="397">
        <v>42821</v>
      </c>
      <c r="B325" s="398">
        <v>348360.51</v>
      </c>
    </row>
    <row r="326" spans="1:2" x14ac:dyDescent="0.2">
      <c r="A326" s="397">
        <v>42822</v>
      </c>
      <c r="B326" s="384">
        <v>348440.48</v>
      </c>
    </row>
    <row r="327" spans="1:2" x14ac:dyDescent="0.2">
      <c r="A327" s="397">
        <v>42823</v>
      </c>
      <c r="B327" s="384">
        <v>348440</v>
      </c>
    </row>
    <row r="328" spans="1:2" x14ac:dyDescent="0.2">
      <c r="A328" s="397">
        <v>42824</v>
      </c>
      <c r="B328" s="384">
        <v>350305.92</v>
      </c>
    </row>
    <row r="329" spans="1:2" x14ac:dyDescent="0.2">
      <c r="A329" s="397">
        <v>42825</v>
      </c>
      <c r="B329" s="384">
        <v>350306</v>
      </c>
    </row>
    <row r="330" spans="1:2" x14ac:dyDescent="0.2">
      <c r="A330" s="397">
        <v>42828</v>
      </c>
      <c r="B330" s="384">
        <v>350306</v>
      </c>
    </row>
    <row r="331" spans="1:2" x14ac:dyDescent="0.2">
      <c r="A331" s="397">
        <v>42829</v>
      </c>
      <c r="B331" s="384">
        <v>320389.65000000002</v>
      </c>
    </row>
    <row r="332" spans="1:2" x14ac:dyDescent="0.2">
      <c r="A332" s="397">
        <v>42830</v>
      </c>
      <c r="B332" s="384">
        <v>320390</v>
      </c>
    </row>
    <row r="333" spans="1:2" x14ac:dyDescent="0.2">
      <c r="A333" s="397">
        <v>42831</v>
      </c>
      <c r="B333" s="384">
        <v>313344</v>
      </c>
    </row>
    <row r="334" spans="1:2" x14ac:dyDescent="0.2">
      <c r="A334" s="397">
        <v>42832</v>
      </c>
      <c r="B334" s="384">
        <v>313344</v>
      </c>
    </row>
    <row r="335" spans="1:2" x14ac:dyDescent="0.2">
      <c r="A335" s="397">
        <v>42835</v>
      </c>
      <c r="B335" s="384">
        <v>306132.78000000003</v>
      </c>
    </row>
    <row r="336" spans="1:2" x14ac:dyDescent="0.2">
      <c r="A336" s="397">
        <v>42836</v>
      </c>
      <c r="B336" s="384">
        <v>286047.34999999998</v>
      </c>
    </row>
    <row r="337" spans="1:2" x14ac:dyDescent="0.2">
      <c r="A337" s="397">
        <v>42837</v>
      </c>
      <c r="B337" s="384">
        <v>286047</v>
      </c>
    </row>
    <row r="338" spans="1:2" x14ac:dyDescent="0.2">
      <c r="A338" s="397">
        <v>42838</v>
      </c>
      <c r="B338" s="384">
        <v>272128.99</v>
      </c>
    </row>
    <row r="339" spans="1:2" x14ac:dyDescent="0.2">
      <c r="A339" s="397">
        <v>42839</v>
      </c>
      <c r="B339" s="384">
        <v>272229.71000000002</v>
      </c>
    </row>
    <row r="340" spans="1:2" x14ac:dyDescent="0.2">
      <c r="A340" s="397">
        <v>42842</v>
      </c>
      <c r="B340" s="384">
        <v>236683.56</v>
      </c>
    </row>
    <row r="341" spans="1:2" x14ac:dyDescent="0.2">
      <c r="A341" s="397">
        <v>42843</v>
      </c>
      <c r="B341" s="384">
        <v>244114.64</v>
      </c>
    </row>
    <row r="342" spans="1:2" x14ac:dyDescent="0.2">
      <c r="A342" s="397">
        <v>42844</v>
      </c>
      <c r="B342" s="384">
        <v>244115</v>
      </c>
    </row>
    <row r="343" spans="1:2" x14ac:dyDescent="0.2">
      <c r="A343" s="397">
        <v>42845</v>
      </c>
      <c r="B343" s="384">
        <v>241798.76</v>
      </c>
    </row>
    <row r="344" spans="1:2" x14ac:dyDescent="0.2">
      <c r="A344" s="397">
        <v>42846</v>
      </c>
      <c r="B344" s="384">
        <v>241799</v>
      </c>
    </row>
    <row r="345" spans="1:2" x14ac:dyDescent="0.2">
      <c r="A345" s="397">
        <v>42849</v>
      </c>
      <c r="B345" s="384">
        <v>241973.76000000001</v>
      </c>
    </row>
    <row r="346" spans="1:2" x14ac:dyDescent="0.2">
      <c r="A346" s="397">
        <v>42850</v>
      </c>
      <c r="B346" s="384">
        <v>243364.2</v>
      </c>
    </row>
    <row r="347" spans="1:2" x14ac:dyDescent="0.2">
      <c r="A347" s="397">
        <v>42851</v>
      </c>
      <c r="B347" s="384">
        <v>243364</v>
      </c>
    </row>
    <row r="348" spans="1:2" x14ac:dyDescent="0.2">
      <c r="A348" s="397">
        <v>42852</v>
      </c>
      <c r="B348" s="384">
        <v>259265.45</v>
      </c>
    </row>
    <row r="349" spans="1:2" x14ac:dyDescent="0.2">
      <c r="A349" s="397">
        <v>42853</v>
      </c>
      <c r="B349" s="384">
        <v>290731.18</v>
      </c>
    </row>
    <row r="350" spans="1:2" x14ac:dyDescent="0.2">
      <c r="A350" s="397">
        <v>42856</v>
      </c>
      <c r="B350" s="384">
        <v>251486.17</v>
      </c>
    </row>
    <row r="351" spans="1:2" x14ac:dyDescent="0.2">
      <c r="A351" s="397">
        <v>42857</v>
      </c>
      <c r="B351" s="384">
        <v>253188.17</v>
      </c>
    </row>
    <row r="352" spans="1:2" x14ac:dyDescent="0.2">
      <c r="A352" s="397">
        <v>42858</v>
      </c>
      <c r="B352" s="384">
        <v>253188</v>
      </c>
    </row>
    <row r="353" spans="1:2" x14ac:dyDescent="0.2">
      <c r="A353" s="397">
        <v>42859</v>
      </c>
      <c r="B353" s="384">
        <v>232739.33</v>
      </c>
    </row>
    <row r="354" spans="1:2" x14ac:dyDescent="0.2">
      <c r="A354" s="397">
        <v>42860</v>
      </c>
      <c r="B354" s="384">
        <v>234049.33</v>
      </c>
    </row>
    <row r="355" spans="1:2" x14ac:dyDescent="0.2">
      <c r="A355" s="397">
        <v>42863</v>
      </c>
      <c r="B355" s="384">
        <v>314317.77</v>
      </c>
    </row>
    <row r="356" spans="1:2" x14ac:dyDescent="0.2">
      <c r="A356" s="397">
        <v>42864</v>
      </c>
      <c r="B356" s="384">
        <v>314318</v>
      </c>
    </row>
    <row r="357" spans="1:2" x14ac:dyDescent="0.2">
      <c r="A357" s="397">
        <v>42865</v>
      </c>
      <c r="B357" s="384">
        <v>314318</v>
      </c>
    </row>
    <row r="358" spans="1:2" x14ac:dyDescent="0.2">
      <c r="A358" s="397">
        <v>42866</v>
      </c>
      <c r="B358" s="384">
        <v>313971.28000000003</v>
      </c>
    </row>
    <row r="359" spans="1:2" x14ac:dyDescent="0.2">
      <c r="A359" s="397">
        <v>42867</v>
      </c>
      <c r="B359" s="384">
        <v>313971</v>
      </c>
    </row>
    <row r="360" spans="1:2" x14ac:dyDescent="0.2">
      <c r="A360" s="397">
        <v>42870</v>
      </c>
      <c r="B360" s="384">
        <v>271063.69</v>
      </c>
    </row>
    <row r="361" spans="1:2" x14ac:dyDescent="0.2">
      <c r="A361" s="397">
        <v>42871</v>
      </c>
      <c r="B361" s="384">
        <v>271064</v>
      </c>
    </row>
    <row r="362" spans="1:2" x14ac:dyDescent="0.2">
      <c r="A362" s="397">
        <v>42872</v>
      </c>
      <c r="B362" s="384">
        <v>271064</v>
      </c>
    </row>
    <row r="363" spans="1:2" x14ac:dyDescent="0.2">
      <c r="A363" s="397">
        <v>42873</v>
      </c>
      <c r="B363" s="384">
        <v>261497.73</v>
      </c>
    </row>
    <row r="364" spans="1:2" x14ac:dyDescent="0.2">
      <c r="A364" s="397">
        <v>42874</v>
      </c>
      <c r="B364" s="384">
        <v>311507.92</v>
      </c>
    </row>
    <row r="365" spans="1:2" x14ac:dyDescent="0.2">
      <c r="A365" s="397">
        <v>42877</v>
      </c>
      <c r="B365" s="384">
        <v>290080.52</v>
      </c>
    </row>
    <row r="366" spans="1:2" x14ac:dyDescent="0.2">
      <c r="A366" s="397">
        <v>42878</v>
      </c>
      <c r="B366" s="384">
        <v>290081</v>
      </c>
    </row>
    <row r="367" spans="1:2" x14ac:dyDescent="0.2">
      <c r="A367" s="397">
        <v>42879</v>
      </c>
      <c r="B367" s="384">
        <v>327080.46000000002</v>
      </c>
    </row>
    <row r="368" spans="1:2" x14ac:dyDescent="0.2">
      <c r="A368" s="397">
        <v>42880</v>
      </c>
      <c r="B368" s="384">
        <v>327080</v>
      </c>
    </row>
    <row r="369" spans="1:2" x14ac:dyDescent="0.2">
      <c r="A369" s="397">
        <v>42881</v>
      </c>
      <c r="B369" s="384">
        <v>336844.12</v>
      </c>
    </row>
    <row r="370" spans="1:2" x14ac:dyDescent="0.2">
      <c r="A370" s="397">
        <v>42884</v>
      </c>
      <c r="B370" s="384">
        <v>336844</v>
      </c>
    </row>
    <row r="371" spans="1:2" x14ac:dyDescent="0.2">
      <c r="A371" s="397">
        <v>42885</v>
      </c>
      <c r="B371" s="384">
        <v>300553.48</v>
      </c>
    </row>
    <row r="372" spans="1:2" x14ac:dyDescent="0.2">
      <c r="A372" s="397">
        <v>42886</v>
      </c>
      <c r="B372" s="384">
        <v>296887.5</v>
      </c>
    </row>
    <row r="373" spans="1:2" x14ac:dyDescent="0.2">
      <c r="A373" s="397">
        <v>42887</v>
      </c>
      <c r="B373" s="384">
        <v>297355.68</v>
      </c>
    </row>
    <row r="374" spans="1:2" x14ac:dyDescent="0.2">
      <c r="A374" s="397">
        <v>42888</v>
      </c>
      <c r="B374" s="384">
        <v>298760.68</v>
      </c>
    </row>
    <row r="375" spans="1:2" x14ac:dyDescent="0.2">
      <c r="A375" s="397">
        <v>42891</v>
      </c>
      <c r="B375" s="384">
        <v>279006.82</v>
      </c>
    </row>
    <row r="376" spans="1:2" x14ac:dyDescent="0.2">
      <c r="A376" s="397">
        <v>42892</v>
      </c>
      <c r="B376" s="384">
        <v>279007</v>
      </c>
    </row>
    <row r="377" spans="1:2" x14ac:dyDescent="0.2">
      <c r="A377" s="397">
        <v>42893</v>
      </c>
      <c r="B377" s="384">
        <v>279007</v>
      </c>
    </row>
    <row r="378" spans="1:2" x14ac:dyDescent="0.2">
      <c r="A378" s="397">
        <v>42894</v>
      </c>
      <c r="B378" s="384">
        <v>279112.07</v>
      </c>
    </row>
    <row r="379" spans="1:2" x14ac:dyDescent="0.2">
      <c r="A379" s="397">
        <v>42895</v>
      </c>
      <c r="B379" s="384">
        <v>279112</v>
      </c>
    </row>
    <row r="380" spans="1:2" x14ac:dyDescent="0.2">
      <c r="A380" s="397">
        <v>42898</v>
      </c>
      <c r="B380" s="384">
        <v>244072.02</v>
      </c>
    </row>
    <row r="381" spans="1:2" x14ac:dyDescent="0.2">
      <c r="A381" s="397">
        <v>42899</v>
      </c>
      <c r="B381" s="384">
        <v>249325.41</v>
      </c>
    </row>
    <row r="382" spans="1:2" x14ac:dyDescent="0.2">
      <c r="A382" s="397">
        <v>42900</v>
      </c>
      <c r="B382" s="384">
        <v>249325</v>
      </c>
    </row>
    <row r="383" spans="1:2" x14ac:dyDescent="0.2">
      <c r="A383" s="397">
        <v>42901</v>
      </c>
      <c r="B383" s="384">
        <v>252874.48</v>
      </c>
    </row>
    <row r="384" spans="1:2" x14ac:dyDescent="0.2">
      <c r="A384" s="397">
        <v>42902</v>
      </c>
      <c r="B384" s="384">
        <v>253128.65</v>
      </c>
    </row>
    <row r="385" spans="1:2" x14ac:dyDescent="0.2">
      <c r="A385" s="397">
        <v>42905</v>
      </c>
      <c r="B385" s="384">
        <v>255098.96</v>
      </c>
    </row>
    <row r="386" spans="1:2" x14ac:dyDescent="0.2">
      <c r="A386" s="397">
        <v>42906</v>
      </c>
      <c r="B386" s="384">
        <v>253521.42</v>
      </c>
    </row>
    <row r="387" spans="1:2" x14ac:dyDescent="0.2">
      <c r="A387" s="397">
        <v>42907</v>
      </c>
      <c r="B387" s="384">
        <v>253521</v>
      </c>
    </row>
    <row r="388" spans="1:2" x14ac:dyDescent="0.2">
      <c r="A388" s="397">
        <v>42908</v>
      </c>
      <c r="B388" s="384">
        <v>235912.36</v>
      </c>
    </row>
    <row r="389" spans="1:2" x14ac:dyDescent="0.2">
      <c r="A389" s="397">
        <v>42909</v>
      </c>
      <c r="B389" s="384">
        <v>235912</v>
      </c>
    </row>
    <row r="390" spans="1:2" x14ac:dyDescent="0.2">
      <c r="A390" s="397">
        <v>42912</v>
      </c>
      <c r="B390" s="425">
        <v>198879.76</v>
      </c>
    </row>
    <row r="391" spans="1:2" x14ac:dyDescent="0.2">
      <c r="A391" s="397">
        <v>42913</v>
      </c>
      <c r="B391" s="384">
        <v>199009.76</v>
      </c>
    </row>
    <row r="392" spans="1:2" x14ac:dyDescent="0.2">
      <c r="A392" s="397">
        <v>42914</v>
      </c>
      <c r="B392" s="384">
        <v>199010</v>
      </c>
    </row>
    <row r="393" spans="1:2" x14ac:dyDescent="0.2">
      <c r="A393" s="397">
        <v>42915</v>
      </c>
      <c r="B393" s="384">
        <v>210354</v>
      </c>
    </row>
    <row r="394" spans="1:2" x14ac:dyDescent="0.2">
      <c r="A394" s="397">
        <v>42916</v>
      </c>
      <c r="B394" s="384">
        <v>260779.62</v>
      </c>
    </row>
    <row r="395" spans="1:2" x14ac:dyDescent="0.2">
      <c r="A395" s="397">
        <v>42919</v>
      </c>
      <c r="B395" s="384">
        <v>260780</v>
      </c>
    </row>
    <row r="396" spans="1:2" x14ac:dyDescent="0.2">
      <c r="A396" s="397">
        <v>42920</v>
      </c>
      <c r="B396" s="384">
        <v>260780</v>
      </c>
    </row>
    <row r="397" spans="1:2" x14ac:dyDescent="0.2">
      <c r="A397" s="397">
        <v>42921</v>
      </c>
      <c r="B397" s="384">
        <v>260780</v>
      </c>
    </row>
    <row r="398" spans="1:2" x14ac:dyDescent="0.2">
      <c r="A398" s="397">
        <v>42922</v>
      </c>
      <c r="B398" s="384">
        <v>261774.11</v>
      </c>
    </row>
    <row r="399" spans="1:2" x14ac:dyDescent="0.2">
      <c r="A399" s="397">
        <v>42923</v>
      </c>
      <c r="B399" s="384">
        <v>261774</v>
      </c>
    </row>
    <row r="400" spans="1:2" x14ac:dyDescent="0.2">
      <c r="A400" s="397">
        <v>42926</v>
      </c>
      <c r="B400" s="384">
        <v>226950.89</v>
      </c>
    </row>
    <row r="401" spans="1:2" x14ac:dyDescent="0.2">
      <c r="A401" s="397">
        <v>42927</v>
      </c>
      <c r="B401" s="384">
        <v>226951</v>
      </c>
    </row>
    <row r="402" spans="1:2" x14ac:dyDescent="0.2">
      <c r="A402" s="397">
        <v>42928</v>
      </c>
      <c r="B402" s="384">
        <v>248711.94</v>
      </c>
    </row>
    <row r="403" spans="1:2" x14ac:dyDescent="0.2">
      <c r="A403" s="397">
        <v>42929</v>
      </c>
      <c r="B403" s="384">
        <v>256201.58</v>
      </c>
    </row>
    <row r="404" spans="1:2" x14ac:dyDescent="0.2">
      <c r="A404" s="397">
        <v>42930</v>
      </c>
      <c r="B404" s="384">
        <v>256272.97</v>
      </c>
    </row>
    <row r="405" spans="1:2" x14ac:dyDescent="0.2">
      <c r="A405" s="397">
        <v>42933</v>
      </c>
      <c r="B405" s="384">
        <v>256056.42</v>
      </c>
    </row>
    <row r="406" spans="1:2" x14ac:dyDescent="0.2">
      <c r="A406" s="397">
        <v>42934</v>
      </c>
      <c r="B406" s="384">
        <v>257213.96</v>
      </c>
    </row>
    <row r="407" spans="1:2" x14ac:dyDescent="0.2">
      <c r="A407" s="397">
        <v>42935</v>
      </c>
      <c r="B407" s="384">
        <v>257214</v>
      </c>
    </row>
    <row r="408" spans="1:2" x14ac:dyDescent="0.2">
      <c r="A408" s="397">
        <v>42936</v>
      </c>
      <c r="B408" s="384">
        <v>260075.5</v>
      </c>
    </row>
    <row r="409" spans="1:2" x14ac:dyDescent="0.2">
      <c r="A409" s="397">
        <v>42937</v>
      </c>
      <c r="B409" s="384">
        <v>339825.5</v>
      </c>
    </row>
    <row r="410" spans="1:2" x14ac:dyDescent="0.2">
      <c r="A410" s="397">
        <v>42940</v>
      </c>
      <c r="B410" s="384">
        <v>303182.65000000002</v>
      </c>
    </row>
    <row r="411" spans="1:2" x14ac:dyDescent="0.2">
      <c r="A411" s="397">
        <v>42941</v>
      </c>
      <c r="B411" s="384">
        <v>322340.12</v>
      </c>
    </row>
    <row r="412" spans="1:2" x14ac:dyDescent="0.2">
      <c r="A412" s="397">
        <v>42942</v>
      </c>
      <c r="B412" s="384">
        <v>322340</v>
      </c>
    </row>
    <row r="413" spans="1:2" x14ac:dyDescent="0.2">
      <c r="A413" s="397">
        <v>42943</v>
      </c>
      <c r="B413" s="384">
        <v>308772.78999999998</v>
      </c>
    </row>
    <row r="414" spans="1:2" x14ac:dyDescent="0.2">
      <c r="A414" s="397">
        <v>42944</v>
      </c>
      <c r="B414" s="384">
        <v>317343.40999999997</v>
      </c>
    </row>
    <row r="415" spans="1:2" x14ac:dyDescent="0.2">
      <c r="A415" s="397">
        <v>42947</v>
      </c>
      <c r="B415" s="384">
        <v>317343</v>
      </c>
    </row>
    <row r="416" spans="1:2" x14ac:dyDescent="0.2">
      <c r="A416" s="397">
        <v>42948</v>
      </c>
      <c r="B416" s="384">
        <v>369152.35</v>
      </c>
    </row>
    <row r="417" spans="1:2" x14ac:dyDescent="0.2">
      <c r="A417" s="397">
        <v>42949</v>
      </c>
      <c r="B417" s="384">
        <v>371061.94</v>
      </c>
    </row>
    <row r="418" spans="1:2" x14ac:dyDescent="0.2">
      <c r="A418" s="397">
        <v>42950</v>
      </c>
      <c r="B418" s="384">
        <v>372080.87</v>
      </c>
    </row>
    <row r="419" spans="1:2" x14ac:dyDescent="0.2">
      <c r="A419" s="397">
        <v>42951</v>
      </c>
      <c r="B419" s="384">
        <v>372080.87</v>
      </c>
    </row>
    <row r="420" spans="1:2" x14ac:dyDescent="0.2">
      <c r="A420" s="397">
        <v>42954</v>
      </c>
      <c r="B420" s="384">
        <v>336189.47</v>
      </c>
    </row>
    <row r="421" spans="1:2" x14ac:dyDescent="0.2">
      <c r="A421" s="397">
        <v>42955</v>
      </c>
      <c r="B421" s="384">
        <v>340998.07</v>
      </c>
    </row>
    <row r="422" spans="1:2" x14ac:dyDescent="0.2">
      <c r="A422" s="397">
        <v>42956</v>
      </c>
      <c r="B422" s="384">
        <v>332763.65000000002</v>
      </c>
    </row>
    <row r="423" spans="1:2" x14ac:dyDescent="0.2">
      <c r="A423" s="397">
        <v>42957</v>
      </c>
      <c r="B423" s="384">
        <v>375651.45</v>
      </c>
    </row>
    <row r="424" spans="1:2" x14ac:dyDescent="0.2">
      <c r="A424" s="397">
        <v>42958</v>
      </c>
      <c r="B424" s="384">
        <v>378293.21</v>
      </c>
    </row>
    <row r="425" spans="1:2" x14ac:dyDescent="0.2">
      <c r="A425" s="397">
        <v>42961</v>
      </c>
      <c r="B425" s="384">
        <v>378293</v>
      </c>
    </row>
    <row r="426" spans="1:2" x14ac:dyDescent="0.2">
      <c r="A426" s="397">
        <v>42962</v>
      </c>
      <c r="B426" s="384">
        <v>401190.06</v>
      </c>
    </row>
    <row r="427" spans="1:2" x14ac:dyDescent="0.2">
      <c r="A427" s="397">
        <v>42963</v>
      </c>
      <c r="B427" s="384">
        <v>401190</v>
      </c>
    </row>
    <row r="428" spans="1:2" x14ac:dyDescent="0.2">
      <c r="A428" s="397">
        <v>42964</v>
      </c>
      <c r="B428" s="384">
        <v>401569.72</v>
      </c>
    </row>
    <row r="429" spans="1:2" x14ac:dyDescent="0.2">
      <c r="A429" s="397">
        <v>42965</v>
      </c>
      <c r="B429" s="384">
        <v>403837.72</v>
      </c>
    </row>
    <row r="430" spans="1:2" x14ac:dyDescent="0.2">
      <c r="A430" s="397">
        <v>42968</v>
      </c>
      <c r="B430" s="384">
        <v>369495.17</v>
      </c>
    </row>
    <row r="431" spans="1:2" x14ac:dyDescent="0.2">
      <c r="A431" s="397">
        <v>42969</v>
      </c>
      <c r="B431" s="384">
        <v>379169.06</v>
      </c>
    </row>
    <row r="432" spans="1:2" x14ac:dyDescent="0.2">
      <c r="A432" s="397">
        <v>42970</v>
      </c>
      <c r="B432" s="384">
        <v>379169</v>
      </c>
    </row>
    <row r="433" spans="1:2" x14ac:dyDescent="0.2">
      <c r="A433" s="397">
        <v>42971</v>
      </c>
      <c r="B433" s="384">
        <v>372540.41</v>
      </c>
    </row>
    <row r="434" spans="1:2" x14ac:dyDescent="0.2">
      <c r="A434" s="397">
        <v>42972</v>
      </c>
      <c r="B434" s="384">
        <v>372540</v>
      </c>
    </row>
    <row r="435" spans="1:2" x14ac:dyDescent="0.2">
      <c r="A435" s="397">
        <v>42975</v>
      </c>
      <c r="B435" s="384">
        <v>372540</v>
      </c>
    </row>
    <row r="436" spans="1:2" x14ac:dyDescent="0.2">
      <c r="A436" s="397">
        <v>42976</v>
      </c>
      <c r="B436" s="384">
        <v>374625.25</v>
      </c>
    </row>
    <row r="437" spans="1:2" x14ac:dyDescent="0.2">
      <c r="A437" s="397">
        <v>42977</v>
      </c>
      <c r="B437" s="384">
        <v>382658.46</v>
      </c>
    </row>
    <row r="438" spans="1:2" x14ac:dyDescent="0.2">
      <c r="A438" s="397">
        <v>42978</v>
      </c>
      <c r="B438" s="384">
        <v>389160.26</v>
      </c>
    </row>
    <row r="439" spans="1:2" x14ac:dyDescent="0.2">
      <c r="A439" s="397">
        <v>42979</v>
      </c>
      <c r="B439" s="384">
        <v>389160</v>
      </c>
    </row>
    <row r="440" spans="1:2" x14ac:dyDescent="0.2">
      <c r="A440" s="397">
        <v>42982</v>
      </c>
      <c r="B440" s="384">
        <v>389160</v>
      </c>
    </row>
    <row r="441" spans="1:2" x14ac:dyDescent="0.2">
      <c r="A441" s="397">
        <v>42983</v>
      </c>
      <c r="B441" s="384">
        <v>352908.42</v>
      </c>
    </row>
    <row r="442" spans="1:2" x14ac:dyDescent="0.2">
      <c r="A442" s="397">
        <v>42984</v>
      </c>
      <c r="B442" s="384">
        <v>383959.41</v>
      </c>
    </row>
    <row r="443" spans="1:2" x14ac:dyDescent="0.2">
      <c r="A443" s="397">
        <v>42985</v>
      </c>
      <c r="B443" s="384">
        <v>403148.81</v>
      </c>
    </row>
    <row r="444" spans="1:2" x14ac:dyDescent="0.2">
      <c r="A444" s="397">
        <v>42986</v>
      </c>
      <c r="B444" s="384">
        <v>403344.11</v>
      </c>
    </row>
    <row r="445" spans="1:2" x14ac:dyDescent="0.2">
      <c r="A445" s="397">
        <v>42989</v>
      </c>
      <c r="B445" s="384">
        <v>403344</v>
      </c>
    </row>
    <row r="446" spans="1:2" x14ac:dyDescent="0.2">
      <c r="A446" s="397">
        <v>42990</v>
      </c>
      <c r="B446" s="384">
        <v>403344</v>
      </c>
    </row>
    <row r="447" spans="1:2" x14ac:dyDescent="0.2">
      <c r="A447" s="397">
        <v>42991</v>
      </c>
      <c r="B447" s="384">
        <v>403344</v>
      </c>
    </row>
    <row r="448" spans="1:2" x14ac:dyDescent="0.2">
      <c r="A448" s="397">
        <v>42992</v>
      </c>
      <c r="B448" s="384">
        <v>400016.8</v>
      </c>
    </row>
    <row r="449" spans="1:2" x14ac:dyDescent="0.2">
      <c r="A449" s="397">
        <v>42993</v>
      </c>
      <c r="B449" s="384">
        <v>400134.96</v>
      </c>
    </row>
    <row r="450" spans="1:2" x14ac:dyDescent="0.2">
      <c r="A450" s="397">
        <v>42996</v>
      </c>
      <c r="B450" s="384">
        <v>364805.11</v>
      </c>
    </row>
    <row r="451" spans="1:2" x14ac:dyDescent="0.2">
      <c r="A451" s="397">
        <v>42997</v>
      </c>
      <c r="B451" s="384">
        <v>364805</v>
      </c>
    </row>
    <row r="452" spans="1:2" x14ac:dyDescent="0.2">
      <c r="A452" s="397">
        <v>42998</v>
      </c>
      <c r="B452" s="384">
        <v>371804.33</v>
      </c>
    </row>
    <row r="453" spans="1:2" x14ac:dyDescent="0.2">
      <c r="A453" s="397">
        <v>42999</v>
      </c>
      <c r="B453" s="384">
        <v>370759.85</v>
      </c>
    </row>
    <row r="454" spans="1:2" x14ac:dyDescent="0.2">
      <c r="A454" s="397">
        <v>43000</v>
      </c>
      <c r="B454" s="384">
        <v>389878.66</v>
      </c>
    </row>
    <row r="455" spans="1:2" x14ac:dyDescent="0.2">
      <c r="A455" s="397">
        <v>43003</v>
      </c>
      <c r="B455" s="384">
        <v>393013.02</v>
      </c>
    </row>
    <row r="456" spans="1:2" x14ac:dyDescent="0.2">
      <c r="A456" s="397">
        <v>43004</v>
      </c>
      <c r="B456" s="384">
        <v>393593.22</v>
      </c>
    </row>
    <row r="457" spans="1:2" x14ac:dyDescent="0.2">
      <c r="A457" s="397">
        <v>43005</v>
      </c>
      <c r="B457" s="384">
        <v>393593</v>
      </c>
    </row>
    <row r="458" spans="1:2" x14ac:dyDescent="0.2">
      <c r="A458" s="397">
        <v>43006</v>
      </c>
      <c r="B458" s="384">
        <v>385433.95</v>
      </c>
    </row>
    <row r="459" spans="1:2" x14ac:dyDescent="0.2">
      <c r="A459" s="397">
        <v>43007</v>
      </c>
      <c r="B459" s="384">
        <v>385678.15</v>
      </c>
    </row>
    <row r="460" spans="1:2" x14ac:dyDescent="0.2">
      <c r="A460" s="397">
        <v>43010</v>
      </c>
      <c r="B460" s="384">
        <v>350949.28</v>
      </c>
    </row>
    <row r="461" spans="1:2" x14ac:dyDescent="0.2">
      <c r="A461" s="397">
        <v>43011</v>
      </c>
      <c r="B461" s="384">
        <v>352010.98</v>
      </c>
    </row>
    <row r="462" spans="1:2" x14ac:dyDescent="0.2">
      <c r="A462" s="397">
        <v>43012</v>
      </c>
      <c r="B462" s="384">
        <v>352011</v>
      </c>
    </row>
    <row r="463" spans="1:2" x14ac:dyDescent="0.2">
      <c r="A463" s="397">
        <v>43013</v>
      </c>
      <c r="B463" s="384">
        <v>348679</v>
      </c>
    </row>
    <row r="464" spans="1:2" x14ac:dyDescent="0.2">
      <c r="A464" s="397">
        <v>43014</v>
      </c>
      <c r="B464" s="384">
        <v>348679</v>
      </c>
    </row>
    <row r="465" spans="1:2" x14ac:dyDescent="0.2">
      <c r="A465" s="397">
        <v>43017</v>
      </c>
      <c r="B465" s="384">
        <v>348679</v>
      </c>
    </row>
    <row r="466" spans="1:2" x14ac:dyDescent="0.2">
      <c r="A466" s="397">
        <v>43018</v>
      </c>
      <c r="B466" s="384">
        <v>348679</v>
      </c>
    </row>
    <row r="467" spans="1:2" x14ac:dyDescent="0.2">
      <c r="A467" s="397">
        <v>43019</v>
      </c>
      <c r="B467" s="384">
        <v>348761.24</v>
      </c>
    </row>
    <row r="468" spans="1:2" x14ac:dyDescent="0.2">
      <c r="A468" s="397">
        <v>43020</v>
      </c>
      <c r="B468" s="384">
        <v>349998.26</v>
      </c>
    </row>
    <row r="469" spans="1:2" x14ac:dyDescent="0.2">
      <c r="A469" s="397">
        <v>43021</v>
      </c>
      <c r="B469" s="384">
        <v>370561.14</v>
      </c>
    </row>
    <row r="470" spans="1:2" x14ac:dyDescent="0.2">
      <c r="A470" s="397">
        <v>43024</v>
      </c>
      <c r="B470" s="384">
        <v>336220.14</v>
      </c>
    </row>
    <row r="471" spans="1:2" x14ac:dyDescent="0.2">
      <c r="A471" s="397">
        <v>43025</v>
      </c>
      <c r="B471" s="384">
        <v>336332.14</v>
      </c>
    </row>
    <row r="472" spans="1:2" x14ac:dyDescent="0.2">
      <c r="A472" s="397">
        <v>43026</v>
      </c>
      <c r="B472" s="384">
        <v>336332</v>
      </c>
    </row>
    <row r="473" spans="1:2" x14ac:dyDescent="0.2">
      <c r="A473" s="397">
        <v>43027</v>
      </c>
      <c r="B473" s="384">
        <v>339185.02</v>
      </c>
    </row>
    <row r="474" spans="1:2" x14ac:dyDescent="0.2">
      <c r="A474" s="397">
        <v>43028</v>
      </c>
      <c r="B474" s="384">
        <v>344936.35</v>
      </c>
    </row>
    <row r="475" spans="1:2" x14ac:dyDescent="0.2">
      <c r="A475" s="397">
        <v>43031</v>
      </c>
      <c r="B475" s="384">
        <v>344564.68</v>
      </c>
    </row>
    <row r="476" spans="1:2" x14ac:dyDescent="0.2">
      <c r="A476" s="397">
        <v>43032</v>
      </c>
      <c r="B476" s="384">
        <v>344565</v>
      </c>
    </row>
    <row r="477" spans="1:2" x14ac:dyDescent="0.2">
      <c r="A477" s="397">
        <v>43033</v>
      </c>
      <c r="B477" s="384">
        <v>344829.18</v>
      </c>
    </row>
    <row r="478" spans="1:2" x14ac:dyDescent="0.2">
      <c r="A478" s="397">
        <v>43034</v>
      </c>
      <c r="B478" s="384">
        <v>339942.05</v>
      </c>
    </row>
    <row r="479" spans="1:2" x14ac:dyDescent="0.2">
      <c r="A479" s="397">
        <v>43035</v>
      </c>
      <c r="B479" s="384">
        <v>360185.72</v>
      </c>
    </row>
    <row r="480" spans="1:2" x14ac:dyDescent="0.2">
      <c r="A480" s="397">
        <v>43038</v>
      </c>
      <c r="B480" s="384">
        <v>323067.73</v>
      </c>
    </row>
    <row r="481" spans="1:2" x14ac:dyDescent="0.2">
      <c r="A481" s="397">
        <v>43039</v>
      </c>
      <c r="B481" s="384">
        <v>323197.73</v>
      </c>
    </row>
    <row r="482" spans="1:2" x14ac:dyDescent="0.2">
      <c r="A482" s="397">
        <v>43040</v>
      </c>
      <c r="B482" s="384">
        <v>323198</v>
      </c>
    </row>
    <row r="483" spans="1:2" x14ac:dyDescent="0.2">
      <c r="A483" s="397">
        <v>43041</v>
      </c>
      <c r="B483" s="384">
        <v>341044.7</v>
      </c>
    </row>
    <row r="484" spans="1:2" x14ac:dyDescent="0.2">
      <c r="A484" s="397">
        <v>43042</v>
      </c>
      <c r="B484" s="384">
        <v>341676.17</v>
      </c>
    </row>
    <row r="485" spans="1:2" x14ac:dyDescent="0.2">
      <c r="A485" s="397">
        <v>43045</v>
      </c>
      <c r="B485" s="384">
        <v>341676</v>
      </c>
    </row>
    <row r="486" spans="1:2" x14ac:dyDescent="0.2">
      <c r="A486" s="397">
        <v>43046</v>
      </c>
      <c r="B486" s="384">
        <v>341676</v>
      </c>
    </row>
    <row r="487" spans="1:2" x14ac:dyDescent="0.2">
      <c r="A487" s="397">
        <v>43047</v>
      </c>
      <c r="B487" s="384">
        <v>379863.97</v>
      </c>
    </row>
    <row r="488" spans="1:2" x14ac:dyDescent="0.2">
      <c r="A488" s="397">
        <v>43048</v>
      </c>
      <c r="B488" s="384">
        <v>378842.06</v>
      </c>
    </row>
    <row r="489" spans="1:2" x14ac:dyDescent="0.2">
      <c r="A489" s="397">
        <v>43049</v>
      </c>
      <c r="B489" s="384">
        <v>378842</v>
      </c>
    </row>
    <row r="490" spans="1:2" x14ac:dyDescent="0.2">
      <c r="A490" s="397">
        <v>43052</v>
      </c>
      <c r="B490" s="384">
        <v>340784.14</v>
      </c>
    </row>
    <row r="491" spans="1:2" x14ac:dyDescent="0.2">
      <c r="A491" s="397">
        <v>43053</v>
      </c>
      <c r="B491" s="384">
        <v>340784</v>
      </c>
    </row>
    <row r="492" spans="1:2" x14ac:dyDescent="0.2">
      <c r="A492" s="397">
        <v>43054</v>
      </c>
      <c r="B492" s="384">
        <v>340895.76</v>
      </c>
    </row>
    <row r="493" spans="1:2" x14ac:dyDescent="0.2">
      <c r="A493" s="397">
        <v>43055</v>
      </c>
      <c r="B493" s="384">
        <v>354246.44</v>
      </c>
    </row>
    <row r="494" spans="1:2" x14ac:dyDescent="0.2">
      <c r="A494" s="397">
        <v>43056</v>
      </c>
      <c r="B494" s="384">
        <v>354246.44</v>
      </c>
    </row>
    <row r="495" spans="1:2" x14ac:dyDescent="0.2">
      <c r="A495" s="397">
        <v>43059</v>
      </c>
      <c r="B495" s="384">
        <v>354264.44</v>
      </c>
    </row>
    <row r="496" spans="1:2" x14ac:dyDescent="0.2">
      <c r="A496" s="397">
        <v>43060</v>
      </c>
      <c r="B496" s="384">
        <v>354264</v>
      </c>
    </row>
    <row r="497" spans="1:2" x14ac:dyDescent="0.2">
      <c r="A497" s="397">
        <v>43061</v>
      </c>
      <c r="B497" s="384">
        <v>357804.55</v>
      </c>
    </row>
    <row r="498" spans="1:2" x14ac:dyDescent="0.2">
      <c r="A498" s="397">
        <v>43062</v>
      </c>
      <c r="B498" s="384">
        <v>357805</v>
      </c>
    </row>
    <row r="499" spans="1:2" x14ac:dyDescent="0.2">
      <c r="A499" s="397">
        <v>43063</v>
      </c>
      <c r="B499" s="384">
        <v>361119.05</v>
      </c>
    </row>
    <row r="500" spans="1:2" x14ac:dyDescent="0.2">
      <c r="A500" s="397">
        <v>43066</v>
      </c>
      <c r="B500" s="384">
        <v>318415.71000000002</v>
      </c>
    </row>
    <row r="501" spans="1:2" x14ac:dyDescent="0.2">
      <c r="A501" s="397">
        <v>43067</v>
      </c>
      <c r="B501" s="384">
        <v>320237.53999999998</v>
      </c>
    </row>
    <row r="502" spans="1:2" x14ac:dyDescent="0.2">
      <c r="A502" s="397">
        <v>43068</v>
      </c>
      <c r="B502" s="384">
        <v>320237.53999999998</v>
      </c>
    </row>
    <row r="503" spans="1:2" x14ac:dyDescent="0.2">
      <c r="A503" s="397">
        <v>43069</v>
      </c>
      <c r="B503" s="384">
        <v>325286.46999999997</v>
      </c>
    </row>
    <row r="504" spans="1:2" x14ac:dyDescent="0.2">
      <c r="A504" s="397">
        <v>43070</v>
      </c>
      <c r="B504" s="384">
        <v>334247.03000000003</v>
      </c>
    </row>
    <row r="505" spans="1:2" x14ac:dyDescent="0.2">
      <c r="A505" s="397">
        <v>43073</v>
      </c>
      <c r="B505" s="384">
        <v>334247</v>
      </c>
    </row>
    <row r="506" spans="1:2" x14ac:dyDescent="0.2">
      <c r="A506" s="397">
        <v>43074</v>
      </c>
      <c r="B506" s="384">
        <v>334247.03000000003</v>
      </c>
    </row>
    <row r="507" spans="1:2" x14ac:dyDescent="0.2">
      <c r="A507" s="397">
        <v>43075</v>
      </c>
      <c r="B507" s="384">
        <v>334247</v>
      </c>
    </row>
    <row r="508" spans="1:2" x14ac:dyDescent="0.2">
      <c r="A508" s="397">
        <v>43076</v>
      </c>
      <c r="B508" s="384">
        <v>323171.46000000002</v>
      </c>
    </row>
    <row r="509" spans="1:2" x14ac:dyDescent="0.2">
      <c r="A509" s="397">
        <v>43077</v>
      </c>
      <c r="B509" s="384">
        <v>324229.90999999997</v>
      </c>
    </row>
    <row r="510" spans="1:2" x14ac:dyDescent="0.2">
      <c r="A510" s="397">
        <v>43080</v>
      </c>
      <c r="B510" s="384">
        <v>324230</v>
      </c>
    </row>
    <row r="511" spans="1:2" x14ac:dyDescent="0.2">
      <c r="A511" s="397">
        <v>43081</v>
      </c>
      <c r="B511" s="384">
        <v>286030.39</v>
      </c>
    </row>
    <row r="512" spans="1:2" x14ac:dyDescent="0.2">
      <c r="A512" s="397">
        <v>43082</v>
      </c>
      <c r="B512" s="384">
        <v>286197.44</v>
      </c>
    </row>
    <row r="513" spans="1:14" x14ac:dyDescent="0.2">
      <c r="A513" s="397">
        <v>43083</v>
      </c>
      <c r="B513" s="384">
        <v>280065.2</v>
      </c>
    </row>
    <row r="514" spans="1:14" x14ac:dyDescent="0.2">
      <c r="A514" s="397">
        <v>43084</v>
      </c>
      <c r="B514" s="384">
        <v>284409.09999999998</v>
      </c>
    </row>
    <row r="515" spans="1:14" x14ac:dyDescent="0.2">
      <c r="A515" s="397">
        <v>43087</v>
      </c>
      <c r="B515" s="384">
        <v>285119.09999999998</v>
      </c>
    </row>
    <row r="516" spans="1:14" x14ac:dyDescent="0.2">
      <c r="A516" s="397">
        <v>43088</v>
      </c>
      <c r="B516" s="384">
        <v>285395.49</v>
      </c>
    </row>
    <row r="517" spans="1:14" x14ac:dyDescent="0.2">
      <c r="A517" s="397">
        <v>43089</v>
      </c>
      <c r="B517" s="384">
        <v>285395</v>
      </c>
    </row>
    <row r="518" spans="1:14" x14ac:dyDescent="0.2">
      <c r="A518" s="397">
        <v>43090</v>
      </c>
      <c r="B518" s="384">
        <v>285542.49</v>
      </c>
    </row>
    <row r="519" spans="1:14" x14ac:dyDescent="0.2">
      <c r="A519" s="397">
        <v>43091</v>
      </c>
      <c r="B519" s="384">
        <v>285542</v>
      </c>
    </row>
    <row r="520" spans="1:14" x14ac:dyDescent="0.2">
      <c r="A520" s="397">
        <v>43094</v>
      </c>
      <c r="B520" s="384">
        <v>285542</v>
      </c>
    </row>
    <row r="521" spans="1:14" x14ac:dyDescent="0.2">
      <c r="A521" s="397">
        <v>43095</v>
      </c>
      <c r="B521" s="384">
        <v>248584.72</v>
      </c>
    </row>
    <row r="522" spans="1:14" x14ac:dyDescent="0.2">
      <c r="A522" s="397">
        <v>43096</v>
      </c>
      <c r="B522" s="384">
        <v>248585</v>
      </c>
    </row>
    <row r="523" spans="1:14" x14ac:dyDescent="0.2">
      <c r="A523" s="397">
        <v>43097</v>
      </c>
      <c r="B523" s="384">
        <v>270685.83</v>
      </c>
    </row>
    <row r="524" spans="1:14" x14ac:dyDescent="0.2">
      <c r="A524" s="397">
        <v>43098</v>
      </c>
      <c r="B524" s="384">
        <v>282558.58</v>
      </c>
    </row>
    <row r="525" spans="1:14" x14ac:dyDescent="0.2">
      <c r="A525" s="397">
        <v>43101</v>
      </c>
      <c r="B525" s="384">
        <v>282559</v>
      </c>
      <c r="F525" s="371"/>
      <c r="G525" t="s">
        <v>183</v>
      </c>
      <c r="H525" t="s">
        <v>210</v>
      </c>
      <c r="J525" t="s">
        <v>358</v>
      </c>
      <c r="K525" t="s">
        <v>210</v>
      </c>
      <c r="N525">
        <v>0.06</v>
      </c>
    </row>
    <row r="526" spans="1:14" x14ac:dyDescent="0.2">
      <c r="A526" s="397">
        <v>43102</v>
      </c>
      <c r="B526" s="384">
        <v>282508.58</v>
      </c>
      <c r="F526" s="371">
        <v>42370</v>
      </c>
      <c r="G526" s="151">
        <v>369484</v>
      </c>
      <c r="H526" s="193">
        <v>31036</v>
      </c>
      <c r="J526" s="371">
        <v>42461</v>
      </c>
      <c r="K526" s="193">
        <v>151036</v>
      </c>
      <c r="N526" s="533">
        <f>K526*N525/12 +K526</f>
        <v>151791.18</v>
      </c>
    </row>
    <row r="527" spans="1:14" x14ac:dyDescent="0.2">
      <c r="A527" s="397">
        <v>43103</v>
      </c>
      <c r="B527" s="384">
        <v>282509</v>
      </c>
      <c r="F527" s="371">
        <v>42401</v>
      </c>
      <c r="G527" s="151">
        <v>295493.53000000003</v>
      </c>
      <c r="H527" s="193">
        <v>31035.72</v>
      </c>
      <c r="J527" s="371">
        <v>42491</v>
      </c>
      <c r="K527" s="193">
        <v>151087.09</v>
      </c>
      <c r="N527" s="533">
        <f>N$525*N526/12 +N526</f>
        <v>152550.13589999999</v>
      </c>
    </row>
    <row r="528" spans="1:14" x14ac:dyDescent="0.2">
      <c r="A528" s="397">
        <v>43104</v>
      </c>
      <c r="B528" s="384">
        <v>283213.14</v>
      </c>
      <c r="F528" s="371">
        <v>42430</v>
      </c>
      <c r="G528" s="151">
        <v>255865.07</v>
      </c>
      <c r="H528" s="193">
        <v>151035.72</v>
      </c>
      <c r="J528" s="371">
        <v>42551</v>
      </c>
      <c r="K528" s="193">
        <v>151336.84</v>
      </c>
      <c r="N528" s="533">
        <f t="shared" ref="N528:N591" si="3">N$525*N527/12 +N527</f>
        <v>153312.88657949999</v>
      </c>
    </row>
    <row r="529" spans="1:14" x14ac:dyDescent="0.2">
      <c r="A529" s="397">
        <v>43105</v>
      </c>
      <c r="B529" s="384">
        <v>297779.06</v>
      </c>
      <c r="F529" s="371">
        <v>42461</v>
      </c>
      <c r="G529" s="151">
        <v>294098.96000000002</v>
      </c>
      <c r="H529" s="193">
        <v>151036</v>
      </c>
      <c r="J529" s="371">
        <v>42582</v>
      </c>
      <c r="K529" s="193">
        <v>151611.29999999999</v>
      </c>
      <c r="N529" s="533">
        <f t="shared" si="3"/>
        <v>154079.45101239748</v>
      </c>
    </row>
    <row r="530" spans="1:14" x14ac:dyDescent="0.2">
      <c r="A530" s="397">
        <v>43108</v>
      </c>
      <c r="B530" s="384">
        <v>263886.2</v>
      </c>
      <c r="F530" s="371">
        <v>42491</v>
      </c>
      <c r="G530" s="151">
        <v>333922.02</v>
      </c>
      <c r="H530" s="193">
        <v>151087.09</v>
      </c>
      <c r="J530" s="371">
        <v>42583</v>
      </c>
      <c r="K530" s="193">
        <v>151776.70000000001</v>
      </c>
      <c r="N530" s="533">
        <f t="shared" si="3"/>
        <v>154849.84826745946</v>
      </c>
    </row>
    <row r="531" spans="1:14" x14ac:dyDescent="0.2">
      <c r="A531" s="397">
        <v>43109</v>
      </c>
      <c r="B531" s="384">
        <v>277030.96999999997</v>
      </c>
      <c r="F531" s="371">
        <v>42551</v>
      </c>
      <c r="G531" s="151">
        <v>384005.8</v>
      </c>
      <c r="H531" s="193">
        <v>151336.84</v>
      </c>
      <c r="J531" s="371">
        <v>42614</v>
      </c>
      <c r="K531" s="193">
        <v>151844.44</v>
      </c>
      <c r="N531" s="533">
        <f t="shared" si="3"/>
        <v>155624.09750879675</v>
      </c>
    </row>
    <row r="532" spans="1:14" x14ac:dyDescent="0.2">
      <c r="A532" s="397">
        <v>43110</v>
      </c>
      <c r="B532" s="384">
        <v>277031</v>
      </c>
      <c r="F532" s="371">
        <v>42582</v>
      </c>
      <c r="G532" s="151">
        <v>292004.15999999997</v>
      </c>
      <c r="H532" s="193">
        <v>151611.29999999999</v>
      </c>
      <c r="J532" s="371">
        <v>42644</v>
      </c>
      <c r="K532" s="193">
        <v>152036.04</v>
      </c>
      <c r="N532" s="533">
        <f t="shared" si="3"/>
        <v>156402.21799634074</v>
      </c>
    </row>
    <row r="533" spans="1:14" x14ac:dyDescent="0.2">
      <c r="A533" s="397">
        <v>43111</v>
      </c>
      <c r="B533" s="384">
        <v>281394.14</v>
      </c>
      <c r="F533" s="371">
        <v>42583</v>
      </c>
      <c r="G533" s="151">
        <v>182562.29</v>
      </c>
      <c r="H533" s="193">
        <v>151776.70000000001</v>
      </c>
      <c r="J533" s="371">
        <v>42675</v>
      </c>
      <c r="K533" s="193">
        <v>152464.91</v>
      </c>
      <c r="N533" s="533">
        <f t="shared" si="3"/>
        <v>157184.22908632245</v>
      </c>
    </row>
    <row r="534" spans="1:14" x14ac:dyDescent="0.2">
      <c r="A534" s="397">
        <v>43112</v>
      </c>
      <c r="B534" s="384">
        <v>281470.18</v>
      </c>
      <c r="F534" s="371">
        <v>42614</v>
      </c>
      <c r="G534" s="151">
        <v>242442.87</v>
      </c>
      <c r="H534" s="193">
        <v>151844.44</v>
      </c>
      <c r="J534" s="371">
        <v>42705</v>
      </c>
      <c r="K534" s="193">
        <v>154533.13</v>
      </c>
      <c r="N534" s="533">
        <f t="shared" si="3"/>
        <v>157970.15023175406</v>
      </c>
    </row>
    <row r="535" spans="1:14" x14ac:dyDescent="0.2">
      <c r="A535" s="397">
        <v>43115</v>
      </c>
      <c r="B535" s="384">
        <v>281470</v>
      </c>
      <c r="F535" s="371">
        <v>42644</v>
      </c>
      <c r="G535" s="151">
        <v>247104.37</v>
      </c>
      <c r="H535" s="193">
        <v>152036.04</v>
      </c>
      <c r="J535" s="371">
        <v>42736</v>
      </c>
      <c r="K535" s="193">
        <v>155633.59</v>
      </c>
      <c r="N535" s="533">
        <f t="shared" si="3"/>
        <v>158760.00098291284</v>
      </c>
    </row>
    <row r="536" spans="1:14" x14ac:dyDescent="0.2">
      <c r="A536" s="397">
        <v>43116</v>
      </c>
      <c r="B536" s="384">
        <v>284325.94</v>
      </c>
      <c r="F536" s="371">
        <v>42675</v>
      </c>
      <c r="G536" s="151">
        <v>246462.95</v>
      </c>
      <c r="H536" s="193">
        <v>152464.91</v>
      </c>
      <c r="J536" s="371">
        <v>42767</v>
      </c>
      <c r="K536" s="193">
        <v>158448.25</v>
      </c>
      <c r="N536" s="533">
        <f t="shared" si="3"/>
        <v>159553.80098782742</v>
      </c>
    </row>
    <row r="537" spans="1:14" x14ac:dyDescent="0.2">
      <c r="A537" s="397">
        <v>43117</v>
      </c>
      <c r="B537" s="384">
        <v>305911.78000000003</v>
      </c>
      <c r="F537" s="371">
        <v>42705</v>
      </c>
      <c r="G537" s="151">
        <v>249839.51</v>
      </c>
      <c r="H537" s="193">
        <v>154533.13</v>
      </c>
      <c r="J537" s="371">
        <v>42795</v>
      </c>
      <c r="K537" s="193">
        <v>159113.29</v>
      </c>
      <c r="N537" s="533">
        <f t="shared" si="3"/>
        <v>160351.56999276654</v>
      </c>
    </row>
    <row r="538" spans="1:14" x14ac:dyDescent="0.2">
      <c r="A538" s="397">
        <v>43118</v>
      </c>
      <c r="B538" s="384">
        <v>305752.93</v>
      </c>
      <c r="F538" s="371">
        <v>42736</v>
      </c>
      <c r="G538" s="151">
        <v>351420</v>
      </c>
      <c r="H538" s="193">
        <v>155633.59</v>
      </c>
      <c r="J538" s="371">
        <v>42826</v>
      </c>
      <c r="K538" s="193">
        <v>159614.53</v>
      </c>
      <c r="N538" s="533">
        <f t="shared" si="3"/>
        <v>161153.32784273036</v>
      </c>
    </row>
    <row r="539" spans="1:14" x14ac:dyDescent="0.2">
      <c r="A539" s="397">
        <v>43119</v>
      </c>
      <c r="B539" s="384">
        <v>332730.14</v>
      </c>
      <c r="F539" s="371">
        <v>42767</v>
      </c>
      <c r="G539" s="151">
        <v>253330</v>
      </c>
      <c r="H539" s="193">
        <v>158448.25</v>
      </c>
      <c r="J539" s="371">
        <v>42856</v>
      </c>
      <c r="K539" s="193">
        <v>160436.21</v>
      </c>
      <c r="N539" s="533">
        <f t="shared" si="3"/>
        <v>161959.09448194402</v>
      </c>
    </row>
    <row r="540" spans="1:14" x14ac:dyDescent="0.2">
      <c r="A540" s="397">
        <v>43122</v>
      </c>
      <c r="B540" s="384">
        <v>291419.49</v>
      </c>
      <c r="F540" s="371">
        <v>42795</v>
      </c>
      <c r="G540" s="151">
        <v>280744</v>
      </c>
      <c r="H540" s="193">
        <v>159113.29</v>
      </c>
      <c r="J540" s="371">
        <v>42887</v>
      </c>
      <c r="K540" s="193">
        <v>160443.22</v>
      </c>
      <c r="N540" s="533">
        <f t="shared" si="3"/>
        <v>162768.88995435374</v>
      </c>
    </row>
    <row r="541" spans="1:14" x14ac:dyDescent="0.2">
      <c r="A541" s="397">
        <v>43123</v>
      </c>
      <c r="B541" s="384">
        <v>293419.65000000002</v>
      </c>
      <c r="F541" s="371">
        <v>42826</v>
      </c>
      <c r="G541" s="151">
        <v>319478.15999999997</v>
      </c>
      <c r="H541" s="193">
        <v>159614.53</v>
      </c>
      <c r="J541" s="371">
        <v>42917</v>
      </c>
      <c r="K541" s="193">
        <v>161526.35999999999</v>
      </c>
      <c r="N541" s="533">
        <f t="shared" si="3"/>
        <v>163582.73440412551</v>
      </c>
    </row>
    <row r="542" spans="1:14" x14ac:dyDescent="0.2">
      <c r="A542" s="397">
        <v>43124</v>
      </c>
      <c r="B542" s="384">
        <v>293420</v>
      </c>
      <c r="F542" s="371">
        <v>42856</v>
      </c>
      <c r="G542" s="151">
        <v>241828.1</v>
      </c>
      <c r="H542" s="193">
        <v>160436.21</v>
      </c>
      <c r="J542" s="371">
        <v>42948</v>
      </c>
      <c r="K542" s="193">
        <v>162013.01</v>
      </c>
      <c r="N542" s="533">
        <f t="shared" si="3"/>
        <v>164400.64807614614</v>
      </c>
    </row>
    <row r="543" spans="1:14" x14ac:dyDescent="0.2">
      <c r="A543" s="397">
        <v>43125</v>
      </c>
      <c r="B543" s="384">
        <v>301331.82</v>
      </c>
      <c r="F543" s="371">
        <v>42887</v>
      </c>
      <c r="G543" s="151">
        <v>248981.18</v>
      </c>
      <c r="H543" s="193">
        <v>160443.22</v>
      </c>
      <c r="J543" s="371">
        <v>42979</v>
      </c>
      <c r="K543" s="193">
        <v>163493.49</v>
      </c>
      <c r="M543" s="193"/>
      <c r="N543" s="533">
        <f t="shared" si="3"/>
        <v>165222.65131652687</v>
      </c>
    </row>
    <row r="544" spans="1:14" x14ac:dyDescent="0.2">
      <c r="A544" s="397">
        <v>43126</v>
      </c>
      <c r="B544" s="384">
        <v>327084.28999999998</v>
      </c>
      <c r="F544" s="371">
        <v>42917</v>
      </c>
      <c r="G544" s="151">
        <v>268937.63</v>
      </c>
      <c r="H544" s="193">
        <v>161526.35999999999</v>
      </c>
      <c r="J544" s="371">
        <v>43009</v>
      </c>
      <c r="K544" s="193">
        <v>164090.28</v>
      </c>
      <c r="M544" s="177"/>
      <c r="N544" s="533">
        <f t="shared" si="3"/>
        <v>166048.76457310951</v>
      </c>
    </row>
    <row r="545" spans="1:14" x14ac:dyDescent="0.2">
      <c r="A545" s="397">
        <v>43129</v>
      </c>
      <c r="B545" s="384">
        <v>327084</v>
      </c>
      <c r="F545" s="371">
        <v>42948</v>
      </c>
      <c r="G545" s="151">
        <v>198251.6</v>
      </c>
      <c r="H545" s="193">
        <v>162013.01</v>
      </c>
      <c r="J545" s="371">
        <v>43040</v>
      </c>
      <c r="K545" s="193">
        <v>164908.01</v>
      </c>
      <c r="M545" s="177"/>
      <c r="N545" s="533">
        <f t="shared" si="3"/>
        <v>166879.00839597505</v>
      </c>
    </row>
    <row r="546" spans="1:14" x14ac:dyDescent="0.2">
      <c r="A546" s="397">
        <v>43130</v>
      </c>
      <c r="B546" s="384">
        <v>327084</v>
      </c>
      <c r="F546" s="371">
        <v>42979</v>
      </c>
      <c r="G546" s="151">
        <v>178964.63</v>
      </c>
      <c r="H546" s="193">
        <v>163493.49</v>
      </c>
      <c r="J546" s="371">
        <v>43070</v>
      </c>
      <c r="K546" s="193">
        <v>164937.87</v>
      </c>
      <c r="M546" s="177"/>
      <c r="N546" s="533">
        <f t="shared" si="3"/>
        <v>167713.40343795493</v>
      </c>
    </row>
    <row r="547" spans="1:14" x14ac:dyDescent="0.2">
      <c r="A547" s="397">
        <v>43131</v>
      </c>
      <c r="B547" s="384">
        <v>337130.63</v>
      </c>
      <c r="F547" s="371">
        <v>43009</v>
      </c>
      <c r="G547" s="151">
        <v>199171.39</v>
      </c>
      <c r="H547" s="193">
        <v>164090.28</v>
      </c>
      <c r="J547" s="371">
        <v>43101</v>
      </c>
      <c r="K547" s="193">
        <v>167966.33</v>
      </c>
      <c r="M547" s="177"/>
      <c r="N547" s="533">
        <f t="shared" si="3"/>
        <v>168551.97045514471</v>
      </c>
    </row>
    <row r="548" spans="1:14" x14ac:dyDescent="0.2">
      <c r="A548" s="397">
        <v>43132</v>
      </c>
      <c r="B548" s="384">
        <v>334292.59999999998</v>
      </c>
      <c r="F548" s="371">
        <v>43040</v>
      </c>
      <c r="G548" s="151">
        <v>180584.58</v>
      </c>
      <c r="H548" s="193">
        <v>164908.01</v>
      </c>
      <c r="J548" s="371">
        <v>43132</v>
      </c>
      <c r="K548" s="193">
        <v>164746.72</v>
      </c>
      <c r="M548" s="177"/>
      <c r="N548" s="533">
        <f t="shared" si="3"/>
        <v>169394.73030742042</v>
      </c>
    </row>
    <row r="549" spans="1:14" x14ac:dyDescent="0.2">
      <c r="A549" s="397">
        <v>43133</v>
      </c>
      <c r="B549" s="384">
        <v>335977.23</v>
      </c>
      <c r="F549" s="371">
        <v>43070</v>
      </c>
      <c r="G549" s="151">
        <v>258260.86</v>
      </c>
      <c r="H549" s="193">
        <v>164937.87</v>
      </c>
      <c r="J549" s="371">
        <v>43160</v>
      </c>
      <c r="K549" s="193">
        <v>163400.39000000001</v>
      </c>
      <c r="N549" s="533">
        <f t="shared" si="3"/>
        <v>170241.70395895751</v>
      </c>
    </row>
    <row r="550" spans="1:14" x14ac:dyDescent="0.2">
      <c r="A550" s="397">
        <v>43136</v>
      </c>
      <c r="B550" s="384">
        <v>300614.99</v>
      </c>
      <c r="F550" s="371">
        <v>43101</v>
      </c>
      <c r="G550" s="151">
        <v>297556.56</v>
      </c>
      <c r="H550" s="193">
        <v>167966.33</v>
      </c>
      <c r="J550" s="371">
        <v>43191</v>
      </c>
      <c r="K550" s="193">
        <v>163874.63</v>
      </c>
      <c r="N550" s="533">
        <f t="shared" si="3"/>
        <v>171092.91247875229</v>
      </c>
    </row>
    <row r="551" spans="1:14" x14ac:dyDescent="0.2">
      <c r="A551" s="397">
        <v>43137</v>
      </c>
      <c r="B551" s="384">
        <v>295509.53999999998</v>
      </c>
      <c r="F551" s="371">
        <v>43132</v>
      </c>
      <c r="G551" s="151">
        <v>287550</v>
      </c>
      <c r="H551" s="193">
        <v>164746.72</v>
      </c>
      <c r="J551" s="371">
        <v>43221</v>
      </c>
      <c r="K551" s="193">
        <v>165109.67000000001</v>
      </c>
      <c r="N551" s="533">
        <f t="shared" si="3"/>
        <v>171948.37704114604</v>
      </c>
    </row>
    <row r="552" spans="1:14" x14ac:dyDescent="0.2">
      <c r="A552" s="397">
        <v>43138</v>
      </c>
      <c r="B552" s="384">
        <v>295510</v>
      </c>
      <c r="F552" s="371">
        <v>43160</v>
      </c>
      <c r="G552" s="151">
        <v>277699.34999999998</v>
      </c>
      <c r="H552" s="193">
        <v>163400.39000000001</v>
      </c>
      <c r="J552" s="371">
        <v>43252</v>
      </c>
      <c r="K552" s="193">
        <v>164894.5</v>
      </c>
      <c r="M552" s="193"/>
      <c r="N552" s="533">
        <f t="shared" si="3"/>
        <v>172808.11892635177</v>
      </c>
    </row>
    <row r="553" spans="1:14" x14ac:dyDescent="0.2">
      <c r="A553" s="397">
        <v>43139</v>
      </c>
      <c r="B553" s="384">
        <v>295623.09999999998</v>
      </c>
      <c r="F553" s="371">
        <v>43191</v>
      </c>
      <c r="G553" s="151">
        <v>310068.02</v>
      </c>
      <c r="H553" s="193">
        <v>163874.63</v>
      </c>
      <c r="J553" s="371">
        <v>43282</v>
      </c>
      <c r="K553" s="193">
        <v>168308.43</v>
      </c>
      <c r="N553" s="533">
        <f t="shared" si="3"/>
        <v>173672.15952098352</v>
      </c>
    </row>
    <row r="554" spans="1:14" x14ac:dyDescent="0.2">
      <c r="A554" s="397">
        <v>43140</v>
      </c>
      <c r="B554" s="384">
        <v>295623</v>
      </c>
      <c r="F554" s="371">
        <v>43221</v>
      </c>
      <c r="G554" s="151">
        <v>338828.68</v>
      </c>
      <c r="H554" s="193">
        <v>165109.67000000001</v>
      </c>
      <c r="J554" s="371">
        <v>43313</v>
      </c>
      <c r="K554" s="193">
        <v>169314.31</v>
      </c>
      <c r="M554" s="151"/>
      <c r="N554" s="533">
        <f t="shared" si="3"/>
        <v>174540.52031858845</v>
      </c>
    </row>
    <row r="555" spans="1:14" x14ac:dyDescent="0.2">
      <c r="A555" s="397">
        <v>43143</v>
      </c>
      <c r="B555" s="384">
        <v>299232.09999999998</v>
      </c>
      <c r="F555" s="371">
        <v>43252</v>
      </c>
      <c r="G555" s="151">
        <v>316601.96000000002</v>
      </c>
      <c r="H555" s="193">
        <v>164894.5</v>
      </c>
      <c r="J555" s="371">
        <v>43344</v>
      </c>
      <c r="K555" s="193">
        <v>170138.99</v>
      </c>
      <c r="N555" s="533">
        <f t="shared" si="3"/>
        <v>175413.22292018138</v>
      </c>
    </row>
    <row r="556" spans="1:14" x14ac:dyDescent="0.2">
      <c r="A556" s="397">
        <v>43144</v>
      </c>
      <c r="B556" s="384">
        <v>304422.01</v>
      </c>
      <c r="F556" s="371">
        <v>43282</v>
      </c>
      <c r="G556" s="151">
        <v>282196.90999999997</v>
      </c>
      <c r="H556" s="193">
        <v>168308.43</v>
      </c>
      <c r="J556" s="371">
        <v>43374</v>
      </c>
      <c r="K556" s="193">
        <v>164332.01</v>
      </c>
      <c r="M556" s="291"/>
      <c r="N556" s="533">
        <f t="shared" si="3"/>
        <v>176290.28903478227</v>
      </c>
    </row>
    <row r="557" spans="1:14" x14ac:dyDescent="0.2">
      <c r="A557" s="397">
        <v>43145</v>
      </c>
      <c r="B557" s="384">
        <v>330191.24</v>
      </c>
      <c r="F557" s="371">
        <v>43313</v>
      </c>
      <c r="G557" s="151">
        <v>287391.71999999997</v>
      </c>
      <c r="H557" s="193">
        <v>169314.31</v>
      </c>
      <c r="J557" s="371">
        <v>43405</v>
      </c>
      <c r="K557" s="193">
        <v>166031.76999999999</v>
      </c>
      <c r="N557" s="533">
        <f t="shared" si="3"/>
        <v>177171.74047995618</v>
      </c>
    </row>
    <row r="558" spans="1:14" x14ac:dyDescent="0.2">
      <c r="A558" s="397">
        <v>43146</v>
      </c>
      <c r="B558" s="384">
        <v>313471.64</v>
      </c>
      <c r="F558" s="371">
        <v>43344</v>
      </c>
      <c r="G558" s="151">
        <v>327095.84000000003</v>
      </c>
      <c r="H558" s="193">
        <v>170138.99</v>
      </c>
      <c r="J558" s="371">
        <v>43435</v>
      </c>
      <c r="K558" s="193">
        <v>159621.23000000001</v>
      </c>
      <c r="N558" s="533">
        <f t="shared" si="3"/>
        <v>178057.59918235595</v>
      </c>
    </row>
    <row r="559" spans="1:14" x14ac:dyDescent="0.2">
      <c r="A559" s="397">
        <v>43147</v>
      </c>
      <c r="B559" s="384">
        <v>313472</v>
      </c>
      <c r="F559" s="371">
        <v>43374</v>
      </c>
      <c r="G559" s="151">
        <v>233504.28</v>
      </c>
      <c r="H559" s="193">
        <v>164332.01</v>
      </c>
      <c r="J559" s="371">
        <v>43466</v>
      </c>
      <c r="K559" s="193">
        <v>166873.93</v>
      </c>
      <c r="N559" s="533">
        <f t="shared" si="3"/>
        <v>178947.88717826773</v>
      </c>
    </row>
    <row r="560" spans="1:14" x14ac:dyDescent="0.2">
      <c r="A560" s="397">
        <v>43150</v>
      </c>
      <c r="B560" s="384">
        <v>313472</v>
      </c>
      <c r="F560" s="371">
        <v>43405</v>
      </c>
      <c r="G560" s="151">
        <v>166530.44</v>
      </c>
      <c r="H560" s="193">
        <v>166031.76999999999</v>
      </c>
      <c r="J560" s="371">
        <v>43497</v>
      </c>
      <c r="K560" s="193">
        <v>170486.28</v>
      </c>
      <c r="N560" s="533">
        <f t="shared" si="3"/>
        <v>179842.62661415906</v>
      </c>
    </row>
    <row r="561" spans="1:14" x14ac:dyDescent="0.2">
      <c r="A561" s="397">
        <v>43151</v>
      </c>
      <c r="B561" s="384">
        <v>277471.58</v>
      </c>
      <c r="F561" s="371">
        <v>43435</v>
      </c>
      <c r="G561" s="151">
        <v>245292.72</v>
      </c>
      <c r="H561" s="193">
        <v>159621.23000000001</v>
      </c>
      <c r="J561" s="371">
        <v>43525</v>
      </c>
      <c r="K561" s="193">
        <v>171537.16</v>
      </c>
      <c r="N561" s="533">
        <f t="shared" si="3"/>
        <v>180741.83974722985</v>
      </c>
    </row>
    <row r="562" spans="1:14" x14ac:dyDescent="0.2">
      <c r="A562" s="397">
        <v>43152</v>
      </c>
      <c r="B562" s="384">
        <v>287526.92</v>
      </c>
      <c r="F562" s="371">
        <v>43466</v>
      </c>
      <c r="G562" s="151">
        <v>322895</v>
      </c>
      <c r="H562" s="193">
        <v>166873.93</v>
      </c>
      <c r="J562" s="371">
        <v>43556</v>
      </c>
      <c r="K562" s="193">
        <v>174601.21</v>
      </c>
      <c r="N562" s="533">
        <f t="shared" si="3"/>
        <v>181645.548945966</v>
      </c>
    </row>
    <row r="563" spans="1:14" x14ac:dyDescent="0.2">
      <c r="A563" s="397">
        <v>43153</v>
      </c>
      <c r="B563" s="384">
        <v>296486.64</v>
      </c>
      <c r="F563" s="371">
        <v>43497</v>
      </c>
      <c r="G563" s="151">
        <v>388590.24</v>
      </c>
      <c r="H563" s="193">
        <v>170486.28</v>
      </c>
      <c r="J563" s="371">
        <v>43586</v>
      </c>
      <c r="K563" s="193">
        <v>169831.32</v>
      </c>
      <c r="N563" s="533">
        <f t="shared" si="3"/>
        <v>182553.77669069584</v>
      </c>
    </row>
    <row r="564" spans="1:14" x14ac:dyDescent="0.2">
      <c r="A564" s="397">
        <v>43154</v>
      </c>
      <c r="B564" s="384">
        <v>296487</v>
      </c>
      <c r="F564" s="371">
        <v>43525</v>
      </c>
      <c r="G564" s="151">
        <v>244069.19</v>
      </c>
      <c r="H564" s="193">
        <v>171537.16</v>
      </c>
      <c r="J564" s="371">
        <v>43617</v>
      </c>
      <c r="K564" s="193">
        <v>175962.43</v>
      </c>
      <c r="N564" s="533">
        <f t="shared" si="3"/>
        <v>183466.54557414932</v>
      </c>
    </row>
    <row r="565" spans="1:14" x14ac:dyDescent="0.2">
      <c r="A565" s="397">
        <v>43157</v>
      </c>
      <c r="B565" s="384">
        <v>296487</v>
      </c>
      <c r="F565" s="371">
        <v>43556</v>
      </c>
      <c r="G565" s="151">
        <v>265093.77</v>
      </c>
      <c r="H565" s="193">
        <v>174601.21</v>
      </c>
      <c r="J565" s="371">
        <v>43647</v>
      </c>
      <c r="K565" s="193">
        <v>176392.07</v>
      </c>
      <c r="N565" s="533">
        <f t="shared" si="3"/>
        <v>184383.87830202008</v>
      </c>
    </row>
    <row r="566" spans="1:14" x14ac:dyDescent="0.2">
      <c r="A566" s="397">
        <v>43158</v>
      </c>
      <c r="B566" s="384">
        <v>335911.5</v>
      </c>
      <c r="F566" s="371">
        <v>43586</v>
      </c>
      <c r="G566" s="151">
        <v>218979.44</v>
      </c>
      <c r="H566" s="193">
        <v>169831.32</v>
      </c>
      <c r="J566" s="371">
        <v>43678</v>
      </c>
      <c r="K566" s="193">
        <v>174581</v>
      </c>
      <c r="N566" s="533">
        <f t="shared" si="3"/>
        <v>185305.79769353018</v>
      </c>
    </row>
    <row r="567" spans="1:14" x14ac:dyDescent="0.2">
      <c r="A567" s="397">
        <v>43159</v>
      </c>
      <c r="B567" s="384">
        <v>335912</v>
      </c>
      <c r="F567" s="371">
        <v>43617</v>
      </c>
      <c r="G567" s="151">
        <v>271553.78999999998</v>
      </c>
      <c r="H567" s="193">
        <v>175962.43</v>
      </c>
      <c r="J567" s="371">
        <v>43709</v>
      </c>
      <c r="K567" s="193">
        <v>175832.82</v>
      </c>
      <c r="N567" s="533">
        <f t="shared" si="3"/>
        <v>186232.32668199783</v>
      </c>
    </row>
    <row r="568" spans="1:14" x14ac:dyDescent="0.2">
      <c r="A568" s="397">
        <v>43160</v>
      </c>
      <c r="B568" s="384">
        <v>330042.21999999997</v>
      </c>
      <c r="F568" s="371">
        <v>43647</v>
      </c>
      <c r="G568" s="151">
        <v>272625.19</v>
      </c>
      <c r="H568" s="193">
        <v>176392.07</v>
      </c>
      <c r="J568" s="371">
        <v>43739</v>
      </c>
      <c r="K568" s="193">
        <v>176684.91</v>
      </c>
      <c r="N568" s="533">
        <f t="shared" si="3"/>
        <v>187163.48831540783</v>
      </c>
    </row>
    <row r="569" spans="1:14" x14ac:dyDescent="0.2">
      <c r="A569" s="397">
        <v>43161</v>
      </c>
      <c r="B569" s="425">
        <v>367034.5</v>
      </c>
      <c r="F569" s="371">
        <v>43678</v>
      </c>
      <c r="G569" s="151">
        <v>249105.04</v>
      </c>
      <c r="H569" s="193">
        <v>174581.16</v>
      </c>
      <c r="J569" s="371">
        <v>43770</v>
      </c>
      <c r="K569" s="193">
        <v>180686.55</v>
      </c>
      <c r="N569" s="533">
        <f t="shared" si="3"/>
        <v>188099.30575698486</v>
      </c>
    </row>
    <row r="570" spans="1:14" x14ac:dyDescent="0.2">
      <c r="A570" s="397">
        <v>43164</v>
      </c>
      <c r="B570" s="384">
        <v>330990.42</v>
      </c>
      <c r="F570" s="371">
        <v>43709</v>
      </c>
      <c r="G570" s="151">
        <v>224675.57</v>
      </c>
      <c r="H570" s="193">
        <v>175832.82</v>
      </c>
      <c r="J570" s="371">
        <v>43800</v>
      </c>
      <c r="K570" s="193">
        <v>184417.26</v>
      </c>
      <c r="N570" s="533">
        <f t="shared" si="3"/>
        <v>189039.80228576978</v>
      </c>
    </row>
    <row r="571" spans="1:14" x14ac:dyDescent="0.2">
      <c r="A571" s="397">
        <v>43165</v>
      </c>
      <c r="B571" s="384">
        <v>333065.89</v>
      </c>
      <c r="F571" s="371">
        <v>43739</v>
      </c>
      <c r="G571" s="151">
        <f>250597.51-10616</f>
        <v>239981.51</v>
      </c>
      <c r="H571" s="193">
        <v>176684.91</v>
      </c>
      <c r="J571" s="371">
        <v>43831</v>
      </c>
      <c r="K571" s="193">
        <v>186588.03</v>
      </c>
      <c r="N571" s="533">
        <f t="shared" si="3"/>
        <v>189985.00129719861</v>
      </c>
    </row>
    <row r="572" spans="1:14" x14ac:dyDescent="0.2">
      <c r="A572" s="397">
        <v>43166</v>
      </c>
      <c r="B572" s="384">
        <v>331065.89</v>
      </c>
      <c r="F572" s="371">
        <v>43770</v>
      </c>
      <c r="G572" s="151">
        <f>213081.72-10616</f>
        <v>202465.72</v>
      </c>
      <c r="H572" s="193">
        <v>180686.55</v>
      </c>
      <c r="J572" s="371">
        <v>43862</v>
      </c>
      <c r="K572" s="193">
        <v>177685.24</v>
      </c>
      <c r="N572" s="533">
        <f t="shared" si="3"/>
        <v>190934.9263036846</v>
      </c>
    </row>
    <row r="573" spans="1:14" x14ac:dyDescent="0.2">
      <c r="A573" s="397">
        <v>43167</v>
      </c>
      <c r="B573" s="384">
        <v>331092.17</v>
      </c>
      <c r="F573" s="371">
        <v>43800</v>
      </c>
      <c r="G573" s="151">
        <v>298881.24</v>
      </c>
      <c r="H573" s="193">
        <v>184417.26</v>
      </c>
      <c r="J573" s="371">
        <v>43891</v>
      </c>
      <c r="K573" s="193">
        <v>162398.81</v>
      </c>
      <c r="N573" s="533">
        <f t="shared" si="3"/>
        <v>191889.60093520302</v>
      </c>
    </row>
    <row r="574" spans="1:14" x14ac:dyDescent="0.2">
      <c r="A574" s="397">
        <v>43168</v>
      </c>
      <c r="B574" s="384">
        <v>311733.17</v>
      </c>
      <c r="F574" s="371">
        <v>43831</v>
      </c>
      <c r="G574" s="151">
        <v>326352.59000000003</v>
      </c>
      <c r="H574" s="193">
        <v>186588.03</v>
      </c>
      <c r="J574" s="371">
        <v>43922</v>
      </c>
      <c r="K574" s="193">
        <v>175055.83</v>
      </c>
      <c r="N574" s="533">
        <f t="shared" si="3"/>
        <v>192849.04893987905</v>
      </c>
    </row>
    <row r="575" spans="1:14" x14ac:dyDescent="0.2">
      <c r="A575" s="397">
        <v>43171</v>
      </c>
      <c r="B575" s="384">
        <v>317116.19</v>
      </c>
      <c r="F575" s="371">
        <v>43862</v>
      </c>
      <c r="G575" s="151">
        <v>247842.14</v>
      </c>
      <c r="H575" s="193">
        <v>177685.24</v>
      </c>
      <c r="J575" s="371">
        <v>43952</v>
      </c>
      <c r="K575" s="193">
        <v>180640.71</v>
      </c>
      <c r="N575" s="533">
        <f t="shared" si="3"/>
        <v>193813.29418457844</v>
      </c>
    </row>
    <row r="576" spans="1:14" x14ac:dyDescent="0.2">
      <c r="A576" s="397">
        <v>43172</v>
      </c>
      <c r="B576" s="384">
        <v>317116</v>
      </c>
      <c r="F576" s="371">
        <v>43891</v>
      </c>
      <c r="G576" s="151">
        <v>256001.05</v>
      </c>
      <c r="H576" s="193">
        <v>162398.81</v>
      </c>
      <c r="J576" s="371">
        <v>43983</v>
      </c>
      <c r="K576" s="193">
        <v>183627.14</v>
      </c>
      <c r="N576" s="533">
        <f t="shared" si="3"/>
        <v>194782.36065550134</v>
      </c>
    </row>
    <row r="577" spans="1:18" x14ac:dyDescent="0.2">
      <c r="A577" s="397">
        <v>43173</v>
      </c>
      <c r="B577" s="384">
        <v>317496.19</v>
      </c>
      <c r="F577" s="371">
        <v>43922</v>
      </c>
      <c r="G577" s="151">
        <v>319553.11</v>
      </c>
      <c r="H577" s="193">
        <v>175055.83</v>
      </c>
      <c r="J577" s="371">
        <v>44013</v>
      </c>
      <c r="K577" s="193">
        <v>191310.14</v>
      </c>
      <c r="L577" s="177"/>
      <c r="N577" s="533">
        <f t="shared" si="3"/>
        <v>195756.27245877884</v>
      </c>
      <c r="O577" s="177"/>
      <c r="P577" s="177"/>
      <c r="Q577" s="177"/>
      <c r="R577" s="177"/>
    </row>
    <row r="578" spans="1:18" x14ac:dyDescent="0.2">
      <c r="A578" s="397">
        <v>43174</v>
      </c>
      <c r="B578" s="384">
        <v>317772.45</v>
      </c>
      <c r="F578" s="371">
        <v>43952</v>
      </c>
      <c r="G578" s="151">
        <v>373887.89</v>
      </c>
      <c r="H578" s="193">
        <v>180640.71</v>
      </c>
      <c r="J578" s="371">
        <v>44044</v>
      </c>
      <c r="K578" s="193">
        <v>196731.42</v>
      </c>
      <c r="L578" s="177"/>
      <c r="N578" s="533">
        <f t="shared" si="3"/>
        <v>196735.05382107274</v>
      </c>
      <c r="P578" s="177"/>
      <c r="Q578" s="177"/>
      <c r="R578" s="177"/>
    </row>
    <row r="579" spans="1:18" x14ac:dyDescent="0.2">
      <c r="A579" s="397">
        <v>43175</v>
      </c>
      <c r="B579" s="384">
        <v>317772</v>
      </c>
      <c r="C579" s="397"/>
      <c r="D579" s="384"/>
      <c r="F579" s="371">
        <v>43983</v>
      </c>
      <c r="G579" s="151">
        <v>387259.9</v>
      </c>
      <c r="H579" s="193">
        <v>183627.14</v>
      </c>
      <c r="J579" s="371">
        <v>44075</v>
      </c>
      <c r="K579" s="193">
        <v>192424.98</v>
      </c>
      <c r="L579" s="177"/>
      <c r="N579" s="533">
        <f t="shared" si="3"/>
        <v>197718.72909017809</v>
      </c>
      <c r="P579" s="177"/>
      <c r="Q579" s="177"/>
      <c r="R579" s="177"/>
    </row>
    <row r="580" spans="1:18" x14ac:dyDescent="0.2">
      <c r="A580" s="397">
        <v>43178</v>
      </c>
      <c r="B580" s="384">
        <v>279446.55</v>
      </c>
      <c r="C580" s="397"/>
      <c r="D580" s="384"/>
      <c r="F580" s="371">
        <v>44013</v>
      </c>
      <c r="G580" s="151">
        <v>393896.48</v>
      </c>
      <c r="H580" s="193">
        <v>191310.14</v>
      </c>
      <c r="J580" s="371">
        <v>44105</v>
      </c>
      <c r="K580" s="193">
        <v>189044.54</v>
      </c>
      <c r="L580" s="177"/>
      <c r="N580" s="533">
        <f t="shared" si="3"/>
        <v>198707.32273562899</v>
      </c>
      <c r="P580" s="177"/>
      <c r="Q580" s="177"/>
      <c r="R580" s="177"/>
    </row>
    <row r="581" spans="1:18" x14ac:dyDescent="0.2">
      <c r="A581" s="397">
        <v>43179</v>
      </c>
      <c r="B581" s="384">
        <v>272785.62</v>
      </c>
      <c r="C581" s="397"/>
      <c r="D581" s="384"/>
      <c r="F581" s="371">
        <v>44044</v>
      </c>
      <c r="G581" s="151">
        <v>318622.86</v>
      </c>
      <c r="H581" s="193">
        <v>196731.42</v>
      </c>
      <c r="J581" s="371">
        <v>44136</v>
      </c>
      <c r="K581" s="193">
        <v>201253.81</v>
      </c>
      <c r="L581" s="177"/>
      <c r="N581" s="533">
        <f t="shared" si="3"/>
        <v>199700.85934930714</v>
      </c>
      <c r="P581" s="177"/>
      <c r="Q581" s="177"/>
      <c r="R581" s="177"/>
    </row>
    <row r="582" spans="1:18" x14ac:dyDescent="0.2">
      <c r="A582" s="397">
        <v>43180</v>
      </c>
      <c r="B582" s="384">
        <v>288240.15999999997</v>
      </c>
      <c r="C582" s="397"/>
      <c r="D582" s="384"/>
      <c r="F582" s="371">
        <v>44075</v>
      </c>
      <c r="G582" s="151">
        <v>310792.11</v>
      </c>
      <c r="H582" s="193">
        <v>192424.98</v>
      </c>
      <c r="J582" s="371">
        <v>44166</v>
      </c>
      <c r="K582" s="193">
        <v>206549.06</v>
      </c>
      <c r="L582" s="177"/>
      <c r="N582" s="533">
        <f t="shared" si="3"/>
        <v>200699.36364605368</v>
      </c>
      <c r="O582" s="177"/>
      <c r="P582" s="177"/>
      <c r="Q582" s="177"/>
      <c r="R582" s="177"/>
    </row>
    <row r="583" spans="1:18" x14ac:dyDescent="0.2">
      <c r="A583" s="397">
        <v>43181</v>
      </c>
      <c r="B583" s="384">
        <v>278742.74</v>
      </c>
      <c r="C583" s="397"/>
      <c r="D583" s="384"/>
      <c r="F583" s="371">
        <v>44105</v>
      </c>
      <c r="G583" s="151">
        <v>337545.3</v>
      </c>
      <c r="H583" s="193">
        <v>189044.54</v>
      </c>
      <c r="J583" s="371">
        <v>44197</v>
      </c>
      <c r="K583" s="193">
        <v>204163.62</v>
      </c>
      <c r="L583" s="177"/>
      <c r="N583" s="533">
        <f t="shared" si="3"/>
        <v>201702.86046428393</v>
      </c>
      <c r="O583" s="177"/>
      <c r="P583" s="177"/>
      <c r="Q583" s="177"/>
      <c r="R583" s="177"/>
    </row>
    <row r="584" spans="1:18" x14ac:dyDescent="0.2">
      <c r="A584" s="397">
        <v>43182</v>
      </c>
      <c r="B584" s="384">
        <v>278840.24</v>
      </c>
      <c r="C584" s="397"/>
      <c r="D584" s="384"/>
      <c r="F584" s="371">
        <v>44136</v>
      </c>
      <c r="G584" s="151">
        <v>407385.79</v>
      </c>
      <c r="H584" s="193">
        <v>201253.81</v>
      </c>
      <c r="J584" s="371">
        <v>44228</v>
      </c>
      <c r="K584" s="193">
        <v>207045.8</v>
      </c>
      <c r="L584" s="177"/>
      <c r="N584" s="533">
        <f t="shared" si="3"/>
        <v>202711.37476660535</v>
      </c>
      <c r="O584" s="177"/>
      <c r="P584" s="177"/>
      <c r="Q584" s="177"/>
      <c r="R584" s="177"/>
    </row>
    <row r="585" spans="1:18" x14ac:dyDescent="0.2">
      <c r="A585" s="397">
        <v>43185</v>
      </c>
      <c r="B585" s="384">
        <v>278942.24</v>
      </c>
      <c r="C585" s="397"/>
      <c r="D585" s="384"/>
      <c r="F585" s="371">
        <v>44166</v>
      </c>
      <c r="G585" s="151">
        <v>325944.61</v>
      </c>
      <c r="H585" s="193">
        <v>206549.06</v>
      </c>
      <c r="J585" s="371">
        <v>44256</v>
      </c>
      <c r="K585" s="193">
        <v>211866.05</v>
      </c>
      <c r="L585" s="177"/>
      <c r="N585" s="533">
        <f t="shared" si="3"/>
        <v>203724.93164043839</v>
      </c>
      <c r="O585" s="177"/>
      <c r="P585" s="177"/>
      <c r="Q585" s="177"/>
      <c r="R585" s="177"/>
    </row>
    <row r="586" spans="1:18" x14ac:dyDescent="0.2">
      <c r="A586" s="397">
        <v>43186</v>
      </c>
      <c r="B586" s="384">
        <v>257048.49</v>
      </c>
      <c r="C586" s="397"/>
      <c r="D586" s="384"/>
      <c r="F586" s="371">
        <v>44197</v>
      </c>
      <c r="G586" s="151">
        <v>416865.56</v>
      </c>
      <c r="H586" s="193">
        <v>204163.62</v>
      </c>
      <c r="J586" s="371">
        <v>44287</v>
      </c>
      <c r="K586" s="193">
        <v>218448.38</v>
      </c>
      <c r="L586" s="177"/>
      <c r="N586" s="533">
        <f t="shared" si="3"/>
        <v>204743.55629864059</v>
      </c>
      <c r="O586" s="177"/>
      <c r="P586" s="177"/>
      <c r="Q586" s="177"/>
      <c r="R586" s="177"/>
    </row>
    <row r="587" spans="1:18" x14ac:dyDescent="0.2">
      <c r="A587" s="397">
        <v>43187</v>
      </c>
      <c r="B587" s="384">
        <v>252662.47</v>
      </c>
      <c r="C587" s="397"/>
      <c r="D587" s="384"/>
      <c r="F587" s="371">
        <v>44228</v>
      </c>
      <c r="G587" s="151">
        <v>403762.36</v>
      </c>
      <c r="H587" s="193">
        <v>207045.8</v>
      </c>
      <c r="J587" s="371">
        <v>44317</v>
      </c>
      <c r="K587" s="193">
        <f>222185</f>
        <v>222185</v>
      </c>
      <c r="L587" s="177"/>
      <c r="N587" s="533">
        <f t="shared" si="3"/>
        <v>205767.27408013379</v>
      </c>
      <c r="O587" s="177"/>
      <c r="P587" s="177"/>
      <c r="Q587" s="177"/>
      <c r="R587" s="177"/>
    </row>
    <row r="588" spans="1:18" x14ac:dyDescent="0.2">
      <c r="A588" s="397">
        <v>43188</v>
      </c>
      <c r="B588" s="384">
        <v>254708.73</v>
      </c>
      <c r="C588" s="397"/>
      <c r="D588" s="384"/>
      <c r="F588" s="371">
        <v>44256</v>
      </c>
      <c r="G588" s="151">
        <v>218522.99</v>
      </c>
      <c r="H588" s="193">
        <v>211866.05</v>
      </c>
      <c r="J588" s="371">
        <v>44348</v>
      </c>
      <c r="K588" s="193">
        <v>222449.07</v>
      </c>
      <c r="L588" s="177"/>
      <c r="N588" s="533">
        <f t="shared" si="3"/>
        <v>206796.11045053447</v>
      </c>
      <c r="O588" s="177"/>
      <c r="P588" s="177"/>
      <c r="Q588" s="177"/>
      <c r="R588" s="177"/>
    </row>
    <row r="589" spans="1:18" x14ac:dyDescent="0.2">
      <c r="A589" s="397">
        <v>43189</v>
      </c>
      <c r="B589" s="384">
        <v>281702.86</v>
      </c>
      <c r="C589" s="397"/>
      <c r="D589" s="384"/>
      <c r="F589" s="371">
        <v>44287</v>
      </c>
      <c r="G589" s="151">
        <v>281784.46000000002</v>
      </c>
      <c r="H589" s="193">
        <v>218448.38</v>
      </c>
      <c r="J589" s="371">
        <v>44378</v>
      </c>
      <c r="K589" s="193">
        <v>325177.46999999997</v>
      </c>
      <c r="L589" s="177"/>
      <c r="N589" s="533">
        <f>N$525*N588/12 +N588+100000</f>
        <v>307830.09100278711</v>
      </c>
      <c r="O589" s="177"/>
      <c r="P589" s="177"/>
      <c r="Q589" s="177"/>
      <c r="R589" s="177"/>
    </row>
    <row r="590" spans="1:18" x14ac:dyDescent="0.2">
      <c r="A590" s="397">
        <v>43192</v>
      </c>
      <c r="B590" s="384">
        <v>244220.77</v>
      </c>
      <c r="C590" s="397"/>
      <c r="D590" s="384"/>
      <c r="F590" s="371">
        <v>44317</v>
      </c>
      <c r="G590" s="151">
        <v>231705.38</v>
      </c>
      <c r="H590" s="193">
        <v>222184.92</v>
      </c>
      <c r="J590" s="371">
        <v>44409</v>
      </c>
      <c r="K590" s="193">
        <v>329419.45</v>
      </c>
      <c r="L590" s="177"/>
      <c r="N590" s="533">
        <f t="shared" si="3"/>
        <v>309369.24145780102</v>
      </c>
    </row>
    <row r="591" spans="1:18" x14ac:dyDescent="0.2">
      <c r="A591" s="397">
        <v>43193</v>
      </c>
      <c r="B591" s="384">
        <v>244221</v>
      </c>
      <c r="C591" s="397"/>
      <c r="D591" s="384"/>
      <c r="F591" s="371">
        <v>44348</v>
      </c>
      <c r="G591" s="151">
        <v>254786.13</v>
      </c>
      <c r="H591" s="193">
        <v>222449.07</v>
      </c>
      <c r="J591" s="371">
        <v>44440</v>
      </c>
      <c r="K591" s="193">
        <v>318755.06</v>
      </c>
      <c r="L591" s="177"/>
      <c r="N591" s="533">
        <f t="shared" si="3"/>
        <v>310916.08766509005</v>
      </c>
    </row>
    <row r="592" spans="1:18" x14ac:dyDescent="0.2">
      <c r="A592" s="397">
        <v>43194</v>
      </c>
      <c r="B592" s="384">
        <v>244221</v>
      </c>
      <c r="C592" s="397"/>
      <c r="D592" s="384"/>
      <c r="F592" s="371">
        <v>44378</v>
      </c>
      <c r="G592" s="151">
        <v>323671.89</v>
      </c>
      <c r="H592" s="193">
        <v>325177.46999999997</v>
      </c>
      <c r="J592" s="371">
        <v>44470</v>
      </c>
      <c r="K592" s="193">
        <v>329502.62</v>
      </c>
      <c r="L592" s="177"/>
      <c r="N592" s="533">
        <f t="shared" ref="N592:N596" si="4">N$525*N591/12 +N591</f>
        <v>312470.66810341552</v>
      </c>
    </row>
    <row r="593" spans="1:14" x14ac:dyDescent="0.2">
      <c r="A593" s="397">
        <v>43195</v>
      </c>
      <c r="B593" s="384">
        <v>225503.87</v>
      </c>
      <c r="C593" s="397"/>
      <c r="D593" s="384"/>
      <c r="F593" s="371">
        <v>44409</v>
      </c>
      <c r="G593" s="151">
        <v>334383.06</v>
      </c>
      <c r="H593" s="193">
        <v>329419.45</v>
      </c>
      <c r="J593" s="371">
        <v>44501</v>
      </c>
      <c r="K593" s="193">
        <v>323833.99</v>
      </c>
      <c r="L593" s="177"/>
      <c r="N593" s="533">
        <f t="shared" si="4"/>
        <v>314033.02144393261</v>
      </c>
    </row>
    <row r="594" spans="1:14" x14ac:dyDescent="0.2">
      <c r="A594" s="397">
        <v>43196</v>
      </c>
      <c r="B594" s="384">
        <v>225504</v>
      </c>
      <c r="C594" s="397"/>
      <c r="D594" s="384"/>
      <c r="F594" s="371">
        <v>44440</v>
      </c>
      <c r="G594" s="151">
        <v>325598.5</v>
      </c>
      <c r="H594" s="193">
        <v>318755.06</v>
      </c>
      <c r="J594" s="371">
        <v>44531</v>
      </c>
      <c r="K594" s="193">
        <v>334446.53999999998</v>
      </c>
      <c r="L594" s="177"/>
      <c r="N594" s="533">
        <f t="shared" si="4"/>
        <v>315603.18655115226</v>
      </c>
    </row>
    <row r="595" spans="1:14" x14ac:dyDescent="0.2">
      <c r="A595" s="397">
        <v>43199</v>
      </c>
      <c r="B595" s="384">
        <v>225503.8</v>
      </c>
      <c r="C595" s="397"/>
      <c r="D595" s="384"/>
      <c r="F595" s="371">
        <v>44470</v>
      </c>
      <c r="G595" s="151">
        <v>397934.47</v>
      </c>
      <c r="H595" s="193">
        <v>329502.62</v>
      </c>
      <c r="J595" s="371">
        <v>44562</v>
      </c>
      <c r="K595" s="193">
        <v>323933.77</v>
      </c>
      <c r="L595" s="177"/>
      <c r="N595" s="533">
        <f t="shared" si="4"/>
        <v>317181.20248390804</v>
      </c>
    </row>
    <row r="596" spans="1:14" x14ac:dyDescent="0.2">
      <c r="A596" s="397">
        <v>43200</v>
      </c>
      <c r="B596" s="384">
        <v>227389.96</v>
      </c>
      <c r="C596" s="397"/>
      <c r="D596" s="384"/>
      <c r="F596" s="371">
        <v>44501</v>
      </c>
      <c r="G596" s="151">
        <v>304557.78000000003</v>
      </c>
      <c r="H596" s="193">
        <v>323833.99</v>
      </c>
      <c r="J596" s="371">
        <v>44593</v>
      </c>
      <c r="K596" s="193">
        <v>319586.55</v>
      </c>
      <c r="L596" s="177"/>
      <c r="N596" s="533">
        <f t="shared" si="4"/>
        <v>318767.10849632759</v>
      </c>
    </row>
    <row r="597" spans="1:14" x14ac:dyDescent="0.2">
      <c r="A597" s="397">
        <v>43201</v>
      </c>
      <c r="B597" s="384">
        <v>235472.53</v>
      </c>
      <c r="C597" s="397"/>
      <c r="D597" s="384"/>
      <c r="F597" s="371">
        <v>44531</v>
      </c>
      <c r="G597" s="151">
        <v>339829.81</v>
      </c>
      <c r="H597" s="193">
        <v>334446.53999999998</v>
      </c>
      <c r="J597" s="371">
        <v>44621</v>
      </c>
      <c r="K597" s="193">
        <v>422621.04</v>
      </c>
      <c r="L597" s="177"/>
    </row>
    <row r="598" spans="1:14" x14ac:dyDescent="0.2">
      <c r="A598" s="397">
        <v>43202</v>
      </c>
      <c r="B598" s="384">
        <v>222207.84</v>
      </c>
      <c r="C598" s="397"/>
      <c r="D598" s="384"/>
      <c r="F598" s="371">
        <v>44562</v>
      </c>
      <c r="G598" s="151">
        <v>483670.84</v>
      </c>
      <c r="H598" s="193">
        <v>323933.77</v>
      </c>
      <c r="J598" s="371">
        <v>44652</v>
      </c>
      <c r="K598" s="193">
        <v>399826.35</v>
      </c>
      <c r="L598" s="177"/>
    </row>
    <row r="599" spans="1:14" x14ac:dyDescent="0.2">
      <c r="A599" s="397">
        <v>43203</v>
      </c>
      <c r="B599" s="384">
        <v>222287.93</v>
      </c>
      <c r="C599" s="397"/>
      <c r="D599" s="384"/>
      <c r="F599" s="371">
        <v>44593</v>
      </c>
      <c r="G599" s="151">
        <v>403181.63</v>
      </c>
      <c r="H599" s="193">
        <v>319586.55</v>
      </c>
      <c r="J599" s="371">
        <v>44682</v>
      </c>
      <c r="K599" s="193">
        <v>404182.26</v>
      </c>
      <c r="L599" s="177"/>
    </row>
    <row r="600" spans="1:14" x14ac:dyDescent="0.2">
      <c r="A600" s="397">
        <v>43206</v>
      </c>
      <c r="B600" s="384">
        <v>186664.28</v>
      </c>
      <c r="C600" s="397"/>
      <c r="D600" s="384"/>
      <c r="F600" s="371">
        <v>44621</v>
      </c>
      <c r="G600" s="151">
        <v>315833.28999999998</v>
      </c>
      <c r="H600" s="193">
        <v>422621.04</v>
      </c>
      <c r="J600" s="371">
        <v>44713</v>
      </c>
      <c r="K600" s="193">
        <v>378955.05</v>
      </c>
      <c r="L600" s="177"/>
    </row>
    <row r="601" spans="1:14" x14ac:dyDescent="0.2">
      <c r="A601" s="397">
        <v>43207</v>
      </c>
      <c r="B601" s="384">
        <v>188484.95</v>
      </c>
      <c r="C601" s="397"/>
      <c r="D601" s="384"/>
      <c r="F601" s="371">
        <v>44652</v>
      </c>
      <c r="G601" s="151">
        <v>327170</v>
      </c>
      <c r="H601" s="193">
        <v>399826.35</v>
      </c>
      <c r="J601" s="371">
        <v>44743</v>
      </c>
      <c r="K601" s="193">
        <v>395341.91</v>
      </c>
      <c r="L601" s="177"/>
    </row>
    <row r="602" spans="1:14" x14ac:dyDescent="0.2">
      <c r="A602" s="397">
        <v>43208</v>
      </c>
      <c r="B602" s="384">
        <v>188485</v>
      </c>
      <c r="C602" s="397"/>
      <c r="D602" s="384"/>
      <c r="F602" s="371">
        <v>44682</v>
      </c>
      <c r="G602" s="151">
        <v>246847.16</v>
      </c>
      <c r="H602" s="193">
        <v>404182.26</v>
      </c>
      <c r="J602" s="371">
        <v>44774</v>
      </c>
      <c r="K602" s="193">
        <v>382796.02</v>
      </c>
      <c r="L602" s="177"/>
    </row>
    <row r="603" spans="1:14" x14ac:dyDescent="0.2">
      <c r="A603" s="397">
        <v>43209</v>
      </c>
      <c r="B603" s="384">
        <v>180474.73</v>
      </c>
      <c r="C603" s="397"/>
      <c r="D603" s="384"/>
      <c r="F603" s="371">
        <v>44713</v>
      </c>
      <c r="G603" s="151">
        <v>274391.32</v>
      </c>
      <c r="H603" s="193">
        <v>378955.05</v>
      </c>
      <c r="J603" s="371">
        <v>44805</v>
      </c>
      <c r="K603" s="193">
        <v>357259.36</v>
      </c>
      <c r="L603" s="177"/>
    </row>
    <row r="604" spans="1:14" x14ac:dyDescent="0.2">
      <c r="A604" s="397">
        <v>43210</v>
      </c>
      <c r="B604" s="384">
        <v>188207.38</v>
      </c>
      <c r="C604" s="397"/>
      <c r="D604" s="384"/>
      <c r="F604" s="371">
        <v>44743</v>
      </c>
      <c r="G604" s="151">
        <v>311473.07</v>
      </c>
      <c r="H604" s="193">
        <v>395341.91</v>
      </c>
      <c r="J604" s="371">
        <v>44835</v>
      </c>
      <c r="K604" s="193">
        <v>374993.63</v>
      </c>
      <c r="L604" s="177"/>
    </row>
    <row r="605" spans="1:14" x14ac:dyDescent="0.2">
      <c r="A605" s="397">
        <v>43213</v>
      </c>
      <c r="B605" s="384">
        <v>198618.83</v>
      </c>
      <c r="C605" s="397"/>
      <c r="D605" s="384"/>
      <c r="F605" s="371">
        <v>44774</v>
      </c>
      <c r="G605" s="151">
        <v>246923.1</v>
      </c>
      <c r="H605" s="193">
        <v>382796.02</v>
      </c>
      <c r="J605" s="371">
        <v>44866</v>
      </c>
      <c r="K605" s="193">
        <v>396685.21</v>
      </c>
      <c r="L605" s="177"/>
    </row>
    <row r="606" spans="1:14" x14ac:dyDescent="0.2">
      <c r="A606" s="397">
        <v>43214</v>
      </c>
      <c r="B606" s="384">
        <v>198619</v>
      </c>
      <c r="C606" s="397"/>
      <c r="D606" s="384"/>
      <c r="F606" s="371">
        <v>44805</v>
      </c>
      <c r="G606" s="151">
        <v>214783.77</v>
      </c>
      <c r="H606" s="193">
        <v>357259.36</v>
      </c>
      <c r="J606" s="371">
        <v>44896</v>
      </c>
      <c r="K606" s="193">
        <v>385734.14</v>
      </c>
      <c r="L606" s="177"/>
    </row>
    <row r="607" spans="1:14" x14ac:dyDescent="0.2">
      <c r="A607" s="397">
        <v>43215</v>
      </c>
      <c r="B607" s="384">
        <v>198619</v>
      </c>
      <c r="C607" s="397"/>
      <c r="D607" s="384"/>
      <c r="F607" s="371">
        <v>44835</v>
      </c>
      <c r="G607" s="151">
        <v>264786.40999999997</v>
      </c>
      <c r="H607" s="193">
        <v>374993.63</v>
      </c>
      <c r="J607" s="371">
        <v>44927</v>
      </c>
      <c r="K607" s="193">
        <v>402326.67</v>
      </c>
      <c r="L607" s="177"/>
    </row>
    <row r="608" spans="1:14" x14ac:dyDescent="0.2">
      <c r="A608" s="397">
        <v>43216</v>
      </c>
      <c r="B608" s="384">
        <v>189089.55</v>
      </c>
      <c r="C608" s="397"/>
      <c r="D608" s="384"/>
      <c r="F608" s="371">
        <v>44866</v>
      </c>
      <c r="G608" s="151">
        <v>290727.87</v>
      </c>
      <c r="H608" s="193">
        <v>396685.21</v>
      </c>
      <c r="J608" s="371">
        <v>44958</v>
      </c>
      <c r="K608" s="193">
        <v>390206.58</v>
      </c>
      <c r="L608" s="177"/>
    </row>
    <row r="609" spans="1:12" x14ac:dyDescent="0.2">
      <c r="A609" s="397">
        <v>43217</v>
      </c>
      <c r="B609" s="384">
        <v>216053.77</v>
      </c>
      <c r="C609" s="397"/>
      <c r="D609" s="384"/>
      <c r="F609" s="371">
        <v>44896</v>
      </c>
      <c r="G609" s="151">
        <v>362006.45</v>
      </c>
      <c r="H609" s="193">
        <v>385734.14</v>
      </c>
      <c r="J609" s="371">
        <v>44986</v>
      </c>
      <c r="K609" s="193">
        <v>396440.66</v>
      </c>
      <c r="L609" s="177"/>
    </row>
    <row r="610" spans="1:12" x14ac:dyDescent="0.2">
      <c r="A610" s="397">
        <v>43220</v>
      </c>
      <c r="B610" s="384">
        <v>179849.52</v>
      </c>
      <c r="C610" s="397"/>
      <c r="F610" s="371">
        <v>44927</v>
      </c>
      <c r="G610" s="151">
        <v>494072.83</v>
      </c>
      <c r="H610" s="193">
        <v>402326.67</v>
      </c>
      <c r="J610" s="371">
        <v>45017</v>
      </c>
      <c r="K610" s="193">
        <v>401182.89</v>
      </c>
      <c r="L610" s="177"/>
    </row>
    <row r="611" spans="1:12" x14ac:dyDescent="0.2">
      <c r="A611" s="397">
        <v>43221</v>
      </c>
      <c r="B611" s="384">
        <v>179850</v>
      </c>
      <c r="C611" s="397"/>
      <c r="F611" s="371">
        <v>44958</v>
      </c>
      <c r="G611" s="151">
        <v>399857.44</v>
      </c>
      <c r="H611" s="193">
        <v>390206.58</v>
      </c>
      <c r="J611" s="371">
        <v>45047</v>
      </c>
      <c r="K611" s="193">
        <v>393246.23</v>
      </c>
      <c r="L611" s="177"/>
    </row>
    <row r="612" spans="1:12" x14ac:dyDescent="0.2">
      <c r="A612" s="397">
        <v>43222</v>
      </c>
      <c r="B612" s="384">
        <v>173749.01</v>
      </c>
      <c r="C612" s="397"/>
      <c r="F612" s="371">
        <v>44986</v>
      </c>
      <c r="G612" s="151">
        <v>279188.34999999998</v>
      </c>
      <c r="H612" s="193">
        <v>396440.66</v>
      </c>
      <c r="J612" s="371">
        <v>45078</v>
      </c>
      <c r="K612" s="193">
        <v>408061</v>
      </c>
      <c r="L612" s="177"/>
    </row>
    <row r="613" spans="1:12" x14ac:dyDescent="0.2">
      <c r="A613" s="397">
        <v>43223</v>
      </c>
      <c r="B613" s="384">
        <v>200792.85</v>
      </c>
      <c r="C613" s="397"/>
      <c r="F613" s="371">
        <v>45017</v>
      </c>
      <c r="G613" s="151">
        <v>302008.53000000003</v>
      </c>
      <c r="H613" s="193">
        <v>401182.89</v>
      </c>
      <c r="J613" s="371">
        <v>45108</v>
      </c>
      <c r="K613" s="193">
        <v>417521.72</v>
      </c>
    </row>
    <row r="614" spans="1:12" x14ac:dyDescent="0.2">
      <c r="A614" s="397">
        <v>43224</v>
      </c>
      <c r="B614" s="384">
        <v>202331.91</v>
      </c>
      <c r="C614" s="397"/>
      <c r="F614" s="371">
        <v>45047</v>
      </c>
      <c r="G614" s="151">
        <v>222544.3</v>
      </c>
      <c r="H614" s="193">
        <v>393246.23</v>
      </c>
      <c r="J614" s="371">
        <v>45139</v>
      </c>
      <c r="K614" s="193">
        <v>410999.58</v>
      </c>
    </row>
    <row r="615" spans="1:12" x14ac:dyDescent="0.2">
      <c r="A615" s="397">
        <v>43227</v>
      </c>
      <c r="B615" s="384">
        <v>203517.87</v>
      </c>
      <c r="C615" s="397"/>
      <c r="F615" s="371">
        <v>45078</v>
      </c>
      <c r="G615" s="151">
        <v>303528.63</v>
      </c>
      <c r="H615" s="193">
        <v>408061</v>
      </c>
      <c r="J615" s="371">
        <v>45170</v>
      </c>
      <c r="K615" s="193">
        <v>396973.48</v>
      </c>
      <c r="L615" s="177"/>
    </row>
    <row r="616" spans="1:12" x14ac:dyDescent="0.2">
      <c r="A616" s="397">
        <v>43228</v>
      </c>
      <c r="B616" s="384">
        <v>203518</v>
      </c>
      <c r="C616" s="397"/>
      <c r="F616" s="371">
        <v>45108</v>
      </c>
      <c r="G616" s="151">
        <v>279453.21999999997</v>
      </c>
      <c r="H616" s="193">
        <v>417521.72</v>
      </c>
      <c r="J616" s="371">
        <v>45200</v>
      </c>
      <c r="K616" s="193">
        <v>389315.86</v>
      </c>
      <c r="L616" s="177"/>
    </row>
    <row r="617" spans="1:12" x14ac:dyDescent="0.2">
      <c r="A617" s="397">
        <v>43229</v>
      </c>
      <c r="B617" s="384">
        <v>203518</v>
      </c>
      <c r="C617" s="397"/>
      <c r="F617" s="371">
        <v>45139</v>
      </c>
      <c r="G617" s="151">
        <v>235427.62</v>
      </c>
      <c r="H617" s="193">
        <v>410999.58</v>
      </c>
      <c r="J617" s="371">
        <v>45231</v>
      </c>
      <c r="K617" s="193">
        <v>415432.2</v>
      </c>
      <c r="L617" s="177"/>
    </row>
    <row r="618" spans="1:12" x14ac:dyDescent="0.2">
      <c r="A618" s="397">
        <v>43230</v>
      </c>
      <c r="B618" s="384">
        <v>191114.58</v>
      </c>
      <c r="C618" s="397"/>
      <c r="F618" s="371">
        <v>45170</v>
      </c>
      <c r="G618" s="151">
        <v>301323.59999999998</v>
      </c>
      <c r="H618" s="193">
        <v>396973.48</v>
      </c>
      <c r="J618" s="371">
        <v>45261</v>
      </c>
      <c r="K618" s="193">
        <v>434275.6</v>
      </c>
      <c r="L618" s="177"/>
    </row>
    <row r="619" spans="1:12" x14ac:dyDescent="0.2">
      <c r="A619" s="397">
        <v>43231</v>
      </c>
      <c r="B619" s="425">
        <v>153114.57999999999</v>
      </c>
      <c r="C619" s="397"/>
      <c r="D619" s="384"/>
      <c r="F619" s="371">
        <v>45200</v>
      </c>
      <c r="G619" s="151">
        <v>355947.69</v>
      </c>
      <c r="H619" s="193">
        <v>389315.86</v>
      </c>
      <c r="J619" s="371">
        <v>45292</v>
      </c>
      <c r="K619" s="193">
        <v>437155.38</v>
      </c>
      <c r="L619" s="177"/>
    </row>
    <row r="620" spans="1:12" x14ac:dyDescent="0.2">
      <c r="A620" s="397">
        <v>43234</v>
      </c>
      <c r="B620" s="425">
        <v>153115</v>
      </c>
      <c r="C620" s="397"/>
      <c r="D620" s="384"/>
      <c r="F620" s="371">
        <v>45231</v>
      </c>
      <c r="G620" s="151">
        <v>269865.12</v>
      </c>
      <c r="H620" s="193">
        <v>415432.2</v>
      </c>
      <c r="J620" s="371">
        <v>45323</v>
      </c>
      <c r="K620" s="193">
        <v>449092.16</v>
      </c>
      <c r="L620" s="177"/>
    </row>
    <row r="621" spans="1:12" x14ac:dyDescent="0.2">
      <c r="A621" s="397">
        <v>43235</v>
      </c>
      <c r="B621" s="384">
        <v>182792.08</v>
      </c>
      <c r="C621" s="397"/>
      <c r="D621" s="384"/>
      <c r="F621" s="371">
        <v>45261</v>
      </c>
      <c r="G621" s="151">
        <v>266721.90000000002</v>
      </c>
      <c r="H621" s="193">
        <v>434275.6</v>
      </c>
      <c r="J621" s="371">
        <v>45352</v>
      </c>
      <c r="K621" s="193">
        <v>465124.12</v>
      </c>
      <c r="L621" s="177"/>
    </row>
    <row r="622" spans="1:12" x14ac:dyDescent="0.2">
      <c r="A622" s="397">
        <v>43236</v>
      </c>
      <c r="B622" s="384">
        <v>182792</v>
      </c>
      <c r="C622" s="397"/>
      <c r="D622" s="384"/>
      <c r="F622" s="371">
        <v>45292</v>
      </c>
      <c r="G622" s="151">
        <v>413322.14</v>
      </c>
      <c r="H622" s="193">
        <v>437155.38</v>
      </c>
      <c r="J622" s="371">
        <v>45383</v>
      </c>
      <c r="K622" s="193">
        <v>451645.99</v>
      </c>
      <c r="L622" s="177"/>
    </row>
    <row r="623" spans="1:12" x14ac:dyDescent="0.2">
      <c r="A623" s="397">
        <v>43237</v>
      </c>
      <c r="B623" s="384">
        <v>222152.66</v>
      </c>
      <c r="C623" s="397"/>
      <c r="D623" s="384"/>
      <c r="F623" s="371">
        <v>45323</v>
      </c>
      <c r="G623" s="151">
        <v>390662.21</v>
      </c>
      <c r="H623" s="193">
        <v>449092.16</v>
      </c>
      <c r="J623" s="371">
        <v>45413</v>
      </c>
      <c r="K623" s="193">
        <v>467250.63</v>
      </c>
      <c r="L623" s="177"/>
    </row>
    <row r="624" spans="1:12" x14ac:dyDescent="0.2">
      <c r="A624" s="397">
        <v>43238</v>
      </c>
      <c r="B624" s="384">
        <v>222153</v>
      </c>
      <c r="C624" s="397"/>
      <c r="D624" s="384"/>
      <c r="F624" s="371">
        <v>45352</v>
      </c>
      <c r="G624" s="151">
        <v>280467.3</v>
      </c>
      <c r="H624" s="193">
        <v>465124.12</v>
      </c>
      <c r="J624" s="371">
        <v>45444</v>
      </c>
      <c r="K624" s="193">
        <v>470492.77</v>
      </c>
      <c r="L624" s="177"/>
    </row>
    <row r="625" spans="1:12" x14ac:dyDescent="0.2">
      <c r="A625" s="397">
        <v>43241</v>
      </c>
      <c r="B625" s="384">
        <v>222153</v>
      </c>
      <c r="C625" s="397"/>
      <c r="D625" s="384"/>
      <c r="F625" s="371">
        <v>45383</v>
      </c>
      <c r="G625" s="151">
        <v>323205.53000000003</v>
      </c>
      <c r="H625" s="193">
        <v>451645.99</v>
      </c>
      <c r="J625" s="371">
        <v>45474</v>
      </c>
      <c r="K625" s="193">
        <v>484002.05</v>
      </c>
      <c r="L625" s="177"/>
    </row>
    <row r="626" spans="1:12" x14ac:dyDescent="0.2">
      <c r="A626" s="397">
        <v>43242</v>
      </c>
      <c r="B626" s="384">
        <v>222153</v>
      </c>
      <c r="C626" s="397"/>
      <c r="D626" s="384"/>
      <c r="F626" s="371">
        <v>45413</v>
      </c>
      <c r="G626" s="151">
        <v>275004.96000000002</v>
      </c>
      <c r="H626" s="193">
        <v>467250.63</v>
      </c>
      <c r="J626" s="371">
        <v>45505</v>
      </c>
      <c r="K626" s="193">
        <v>493219.34</v>
      </c>
      <c r="L626" s="177"/>
    </row>
    <row r="627" spans="1:12" x14ac:dyDescent="0.2">
      <c r="A627" s="397">
        <v>43243</v>
      </c>
      <c r="B627" s="384">
        <v>222152</v>
      </c>
      <c r="C627" s="397"/>
      <c r="D627" s="384"/>
      <c r="F627" s="371">
        <v>45444</v>
      </c>
      <c r="G627" s="151">
        <v>296378.64</v>
      </c>
      <c r="H627" s="193">
        <v>470492.77</v>
      </c>
      <c r="L627" s="177"/>
    </row>
    <row r="628" spans="1:12" x14ac:dyDescent="0.2">
      <c r="A628" s="397">
        <v>43244</v>
      </c>
      <c r="B628" s="384">
        <v>211720.43</v>
      </c>
      <c r="C628" s="397"/>
      <c r="D628" s="384"/>
      <c r="F628" s="371">
        <v>45474</v>
      </c>
      <c r="G628" s="151">
        <v>336121.66</v>
      </c>
      <c r="H628" s="193">
        <v>484002.05</v>
      </c>
    </row>
    <row r="629" spans="1:12" x14ac:dyDescent="0.2">
      <c r="A629" s="397">
        <v>43245</v>
      </c>
      <c r="B629" s="384">
        <v>211720</v>
      </c>
      <c r="C629" s="397"/>
      <c r="D629" s="384"/>
      <c r="F629" s="371">
        <v>45505</v>
      </c>
      <c r="G629" s="151">
        <v>323670.74</v>
      </c>
      <c r="H629" s="193">
        <v>493219.34</v>
      </c>
    </row>
    <row r="630" spans="1:12" x14ac:dyDescent="0.2">
      <c r="A630" s="397">
        <v>43248</v>
      </c>
      <c r="B630" s="384">
        <v>211720</v>
      </c>
      <c r="C630" s="397"/>
      <c r="D630" s="384"/>
    </row>
    <row r="631" spans="1:12" x14ac:dyDescent="0.2">
      <c r="A631" s="397">
        <v>43249</v>
      </c>
      <c r="B631" s="384">
        <v>176327.95</v>
      </c>
      <c r="C631" s="397"/>
      <c r="D631" s="384"/>
    </row>
    <row r="632" spans="1:12" x14ac:dyDescent="0.2">
      <c r="A632" s="397">
        <v>43250</v>
      </c>
      <c r="B632" s="384">
        <v>176328</v>
      </c>
      <c r="C632" s="397"/>
      <c r="D632" s="384"/>
      <c r="F632" t="s">
        <v>389</v>
      </c>
    </row>
    <row r="633" spans="1:12" x14ac:dyDescent="0.2">
      <c r="A633" s="397">
        <v>43251</v>
      </c>
      <c r="B633" s="384">
        <v>169004.5</v>
      </c>
      <c r="C633" s="397"/>
      <c r="D633" s="384"/>
      <c r="F633" t="s">
        <v>355</v>
      </c>
      <c r="G633">
        <v>50000</v>
      </c>
    </row>
    <row r="634" spans="1:12" x14ac:dyDescent="0.2">
      <c r="A634" s="397">
        <v>43252</v>
      </c>
      <c r="B634" s="384">
        <v>261992.26</v>
      </c>
      <c r="C634" s="397"/>
      <c r="D634" s="384"/>
      <c r="F634" t="s">
        <v>69</v>
      </c>
      <c r="G634" s="244">
        <v>158720.91</v>
      </c>
      <c r="H634" t="s">
        <v>348</v>
      </c>
    </row>
    <row r="635" spans="1:12" x14ac:dyDescent="0.2">
      <c r="A635" s="397">
        <v>43255</v>
      </c>
      <c r="B635" s="384">
        <v>270521.09000000003</v>
      </c>
      <c r="C635" s="397"/>
      <c r="D635" s="384"/>
      <c r="F635" t="s">
        <v>345</v>
      </c>
      <c r="G635" s="244">
        <v>820788.58</v>
      </c>
    </row>
    <row r="636" spans="1:12" x14ac:dyDescent="0.2">
      <c r="A636" s="397">
        <v>43256</v>
      </c>
      <c r="B636" s="384">
        <v>285365.09000000003</v>
      </c>
      <c r="C636" s="397"/>
      <c r="D636" s="384"/>
      <c r="F636" t="s">
        <v>322</v>
      </c>
      <c r="G636" s="244"/>
    </row>
    <row r="637" spans="1:12" x14ac:dyDescent="0.2">
      <c r="A637" s="397">
        <v>43257</v>
      </c>
      <c r="B637" s="384">
        <v>285365</v>
      </c>
      <c r="C637" s="397"/>
      <c r="D637" s="384"/>
      <c r="F637" t="s">
        <v>346</v>
      </c>
      <c r="G637" s="244">
        <v>248821.26</v>
      </c>
    </row>
    <row r="638" spans="1:12" x14ac:dyDescent="0.2">
      <c r="A638" s="397">
        <v>43258</v>
      </c>
      <c r="B638" s="384">
        <v>287246.65999999997</v>
      </c>
      <c r="C638" s="397"/>
      <c r="D638" s="384"/>
      <c r="F638" t="s">
        <v>347</v>
      </c>
      <c r="G638" s="244">
        <v>2000</v>
      </c>
    </row>
    <row r="639" spans="1:12" x14ac:dyDescent="0.2">
      <c r="A639" s="397">
        <v>43259</v>
      </c>
      <c r="B639" s="384">
        <v>287247</v>
      </c>
      <c r="C639" s="397"/>
      <c r="D639" s="384"/>
      <c r="F639" t="s">
        <v>353</v>
      </c>
      <c r="G639" s="244">
        <f>51000+19000</f>
        <v>70000</v>
      </c>
    </row>
    <row r="640" spans="1:12" x14ac:dyDescent="0.2">
      <c r="A640" s="397">
        <v>43262</v>
      </c>
      <c r="B640" s="384">
        <v>287247</v>
      </c>
      <c r="C640" s="397"/>
      <c r="D640" s="384"/>
      <c r="E640" t="s">
        <v>349</v>
      </c>
      <c r="G640" s="244">
        <f>SUM(G633:G639)</f>
        <v>1350330.75</v>
      </c>
    </row>
    <row r="641" spans="1:7" x14ac:dyDescent="0.2">
      <c r="A641" s="397">
        <v>43263</v>
      </c>
      <c r="B641" s="384">
        <v>253042.79</v>
      </c>
      <c r="C641" s="397"/>
      <c r="D641" s="384"/>
      <c r="G641" s="244"/>
    </row>
    <row r="642" spans="1:7" x14ac:dyDescent="0.2">
      <c r="A642" s="397">
        <v>43264</v>
      </c>
      <c r="B642" s="384">
        <v>253043</v>
      </c>
      <c r="C642" s="397"/>
      <c r="D642" s="384"/>
      <c r="E642" t="s">
        <v>350</v>
      </c>
      <c r="G642" s="244">
        <f>AVERAGE(G561:G573)</f>
        <v>264939.10923076922</v>
      </c>
    </row>
    <row r="643" spans="1:7" x14ac:dyDescent="0.2">
      <c r="A643" s="397">
        <v>43265</v>
      </c>
      <c r="B643" s="384">
        <v>246521.36</v>
      </c>
      <c r="C643" s="397"/>
      <c r="D643" s="384"/>
      <c r="G643" s="244"/>
    </row>
    <row r="644" spans="1:7" x14ac:dyDescent="0.2">
      <c r="A644" s="397">
        <v>43266</v>
      </c>
      <c r="B644" s="384">
        <v>246593.56</v>
      </c>
      <c r="C644" s="397"/>
      <c r="D644" s="384"/>
      <c r="E644" t="s">
        <v>351</v>
      </c>
      <c r="G644" s="21">
        <f>G640/G642</f>
        <v>5.0967588511963511</v>
      </c>
    </row>
    <row r="645" spans="1:7" x14ac:dyDescent="0.2">
      <c r="A645" s="397">
        <v>43269</v>
      </c>
      <c r="B645" s="384">
        <v>246594</v>
      </c>
      <c r="C645" s="397"/>
      <c r="D645" s="384"/>
      <c r="G645" s="244"/>
    </row>
    <row r="646" spans="1:7" x14ac:dyDescent="0.2">
      <c r="A646" s="397">
        <v>43270</v>
      </c>
      <c r="B646" s="384">
        <v>246594</v>
      </c>
      <c r="C646" s="397"/>
      <c r="D646" s="384"/>
      <c r="E646" t="s">
        <v>352</v>
      </c>
      <c r="G646" s="244">
        <v>365</v>
      </c>
    </row>
    <row r="647" spans="1:7" x14ac:dyDescent="0.2">
      <c r="A647" s="397">
        <v>43271</v>
      </c>
      <c r="B647" s="384">
        <v>246594</v>
      </c>
      <c r="C647" s="397"/>
      <c r="D647" s="384"/>
      <c r="G647" s="244">
        <f>G646/G644</f>
        <v>71.614139624111189</v>
      </c>
    </row>
    <row r="648" spans="1:7" x14ac:dyDescent="0.2">
      <c r="A648" s="397">
        <v>43272</v>
      </c>
      <c r="B648" s="384">
        <v>228395.48</v>
      </c>
      <c r="C648" s="397"/>
      <c r="D648" s="384"/>
    </row>
    <row r="649" spans="1:7" x14ac:dyDescent="0.2">
      <c r="A649" s="397">
        <v>43273</v>
      </c>
      <c r="B649" s="384">
        <v>228395</v>
      </c>
      <c r="C649" s="397"/>
      <c r="D649" s="384"/>
    </row>
    <row r="650" spans="1:7" x14ac:dyDescent="0.2">
      <c r="A650" s="397">
        <v>43276</v>
      </c>
      <c r="B650" s="384">
        <v>192627.9</v>
      </c>
      <c r="C650" s="397"/>
      <c r="D650" s="384"/>
    </row>
    <row r="651" spans="1:7" x14ac:dyDescent="0.2">
      <c r="A651" s="397">
        <v>43277</v>
      </c>
      <c r="B651" s="384">
        <v>192628</v>
      </c>
      <c r="C651" s="397"/>
      <c r="D651" s="384"/>
    </row>
    <row r="652" spans="1:7" x14ac:dyDescent="0.2">
      <c r="A652" s="397">
        <v>43278</v>
      </c>
      <c r="B652" s="384">
        <v>192628</v>
      </c>
      <c r="C652" s="397"/>
      <c r="D652" s="384"/>
    </row>
    <row r="653" spans="1:7" x14ac:dyDescent="0.2">
      <c r="A653" s="397">
        <v>43279</v>
      </c>
      <c r="B653" s="384">
        <v>193904.61</v>
      </c>
      <c r="C653" s="397"/>
      <c r="D653" s="384"/>
    </row>
    <row r="654" spans="1:7" x14ac:dyDescent="0.2">
      <c r="A654" s="397">
        <v>43280</v>
      </c>
      <c r="B654" s="384">
        <v>195328.48</v>
      </c>
      <c r="C654" s="397"/>
      <c r="D654" s="384"/>
    </row>
    <row r="655" spans="1:7" x14ac:dyDescent="0.2">
      <c r="A655" s="397">
        <v>43283</v>
      </c>
      <c r="B655" s="384">
        <v>199304.09</v>
      </c>
      <c r="C655" s="397"/>
      <c r="D655" s="384"/>
    </row>
    <row r="656" spans="1:7" x14ac:dyDescent="0.2">
      <c r="A656" s="397">
        <v>43284</v>
      </c>
      <c r="B656" s="384">
        <v>201071.11</v>
      </c>
      <c r="C656" s="397"/>
      <c r="D656" s="384"/>
    </row>
    <row r="657" spans="1:4" x14ac:dyDescent="0.2">
      <c r="A657" s="397">
        <v>43285</v>
      </c>
      <c r="B657" s="384">
        <v>201071</v>
      </c>
      <c r="C657" s="397"/>
      <c r="D657" s="384"/>
    </row>
    <row r="658" spans="1:4" x14ac:dyDescent="0.2">
      <c r="A658" s="397">
        <v>43286</v>
      </c>
      <c r="B658" s="384">
        <v>223298.16</v>
      </c>
      <c r="C658" s="397"/>
      <c r="D658" s="384"/>
    </row>
    <row r="659" spans="1:4" x14ac:dyDescent="0.2">
      <c r="A659" s="397">
        <v>43287</v>
      </c>
      <c r="B659" s="384">
        <v>238962.66</v>
      </c>
      <c r="C659" s="397"/>
      <c r="D659" s="384"/>
    </row>
    <row r="660" spans="1:4" x14ac:dyDescent="0.2">
      <c r="A660" s="397">
        <v>43290</v>
      </c>
      <c r="B660" s="384">
        <v>203086.22</v>
      </c>
      <c r="C660" s="397"/>
      <c r="D660" s="384"/>
    </row>
    <row r="661" spans="1:4" x14ac:dyDescent="0.2">
      <c r="A661" s="397">
        <v>43291</v>
      </c>
      <c r="B661" s="384">
        <v>226930.31</v>
      </c>
      <c r="C661" s="397"/>
      <c r="D661" s="384"/>
    </row>
    <row r="662" spans="1:4" x14ac:dyDescent="0.2">
      <c r="A662" s="397">
        <v>43292</v>
      </c>
      <c r="B662" s="384">
        <v>226930</v>
      </c>
      <c r="C662" s="397"/>
      <c r="D662" s="384"/>
    </row>
    <row r="663" spans="1:4" x14ac:dyDescent="0.2">
      <c r="A663" s="397">
        <v>43293</v>
      </c>
      <c r="B663" s="384">
        <v>220822.05</v>
      </c>
      <c r="C663" s="397"/>
      <c r="D663" s="384"/>
    </row>
    <row r="664" spans="1:4" x14ac:dyDescent="0.2">
      <c r="A664" s="397">
        <v>43294</v>
      </c>
      <c r="B664" s="384">
        <v>220986.35</v>
      </c>
      <c r="C664" s="397"/>
      <c r="D664" s="384"/>
    </row>
    <row r="665" spans="1:4" x14ac:dyDescent="0.2">
      <c r="A665" s="397">
        <v>43297</v>
      </c>
      <c r="B665" s="384">
        <v>220986</v>
      </c>
      <c r="C665" s="397"/>
      <c r="D665" s="384"/>
    </row>
    <row r="666" spans="1:4" x14ac:dyDescent="0.2">
      <c r="A666" s="397">
        <v>43298</v>
      </c>
      <c r="B666" s="384">
        <v>220986</v>
      </c>
      <c r="C666" s="397"/>
      <c r="D666" s="384"/>
    </row>
    <row r="667" spans="1:4" x14ac:dyDescent="0.2">
      <c r="A667" s="397">
        <v>43299</v>
      </c>
      <c r="B667" s="384">
        <v>197995.27</v>
      </c>
      <c r="C667" s="397"/>
      <c r="D667" s="384"/>
    </row>
    <row r="668" spans="1:4" x14ac:dyDescent="0.2">
      <c r="A668" s="397">
        <v>43300</v>
      </c>
      <c r="B668" s="384">
        <v>202931.61</v>
      </c>
      <c r="C668" s="397"/>
      <c r="D668" s="384"/>
    </row>
    <row r="669" spans="1:4" x14ac:dyDescent="0.2">
      <c r="A669" s="397">
        <v>43301</v>
      </c>
      <c r="B669" s="384">
        <v>202932</v>
      </c>
      <c r="C669" s="397"/>
      <c r="D669" s="384"/>
    </row>
    <row r="670" spans="1:4" x14ac:dyDescent="0.2">
      <c r="A670" s="397">
        <v>43304</v>
      </c>
      <c r="B670" s="384">
        <v>167839.6</v>
      </c>
      <c r="C670" s="397"/>
      <c r="D670" s="384"/>
    </row>
    <row r="671" spans="1:4" x14ac:dyDescent="0.2">
      <c r="A671" s="397">
        <v>43305</v>
      </c>
      <c r="B671" s="384">
        <v>167840</v>
      </c>
      <c r="C671" s="397"/>
      <c r="D671" s="384"/>
    </row>
    <row r="672" spans="1:4" x14ac:dyDescent="0.2">
      <c r="A672" s="397">
        <v>43306</v>
      </c>
      <c r="B672" s="384">
        <v>167840</v>
      </c>
      <c r="C672" s="397"/>
      <c r="D672" s="384"/>
    </row>
    <row r="673" spans="1:4" x14ac:dyDescent="0.2">
      <c r="A673" s="397">
        <v>43307</v>
      </c>
      <c r="B673" s="384">
        <v>180485.58</v>
      </c>
      <c r="C673" s="397"/>
      <c r="D673" s="384"/>
    </row>
    <row r="674" spans="1:4" x14ac:dyDescent="0.2">
      <c r="A674" s="397">
        <v>43308</v>
      </c>
      <c r="B674" s="384">
        <v>205676.09</v>
      </c>
      <c r="C674" s="397"/>
      <c r="D674" s="384"/>
    </row>
    <row r="675" spans="1:4" x14ac:dyDescent="0.2">
      <c r="A675" s="397">
        <v>43311</v>
      </c>
      <c r="B675" s="384">
        <v>199229.46</v>
      </c>
      <c r="C675" s="397"/>
      <c r="D675" s="384"/>
    </row>
    <row r="676" spans="1:4" x14ac:dyDescent="0.2">
      <c r="A676" s="397">
        <v>43312</v>
      </c>
      <c r="B676" s="384">
        <v>199612.46</v>
      </c>
      <c r="C676" s="397"/>
      <c r="D676" s="384"/>
    </row>
    <row r="677" spans="1:4" x14ac:dyDescent="0.2">
      <c r="A677" s="397">
        <v>43313</v>
      </c>
      <c r="B677" s="384">
        <v>327321.84000000003</v>
      </c>
      <c r="C677" s="397"/>
      <c r="D677" s="384"/>
    </row>
    <row r="678" spans="1:4" x14ac:dyDescent="0.2">
      <c r="A678" s="397">
        <v>43314</v>
      </c>
      <c r="B678" s="384">
        <v>328551.67</v>
      </c>
      <c r="C678" s="397"/>
      <c r="D678" s="384"/>
    </row>
    <row r="679" spans="1:4" x14ac:dyDescent="0.2">
      <c r="A679" s="397">
        <v>43315</v>
      </c>
      <c r="B679" s="384">
        <v>328552</v>
      </c>
      <c r="C679" s="397"/>
      <c r="D679" s="384"/>
    </row>
    <row r="680" spans="1:4" x14ac:dyDescent="0.2">
      <c r="A680" s="397">
        <v>43318</v>
      </c>
      <c r="B680" s="384">
        <v>293600.95</v>
      </c>
      <c r="C680" s="397"/>
      <c r="D680" s="384"/>
    </row>
    <row r="681" spans="1:4" x14ac:dyDescent="0.2">
      <c r="A681" s="397">
        <v>43319</v>
      </c>
      <c r="B681" s="384">
        <v>298153.56</v>
      </c>
      <c r="C681" s="397"/>
      <c r="D681" s="384"/>
    </row>
    <row r="682" spans="1:4" x14ac:dyDescent="0.2">
      <c r="A682" s="397">
        <v>43320</v>
      </c>
      <c r="B682" s="384">
        <v>298154</v>
      </c>
      <c r="C682" s="397"/>
      <c r="D682" s="384"/>
    </row>
    <row r="683" spans="1:4" x14ac:dyDescent="0.2">
      <c r="A683" s="397">
        <v>43321</v>
      </c>
      <c r="B683" s="384">
        <v>294180.65999999997</v>
      </c>
      <c r="C683" s="397"/>
      <c r="D683" s="384"/>
    </row>
    <row r="684" spans="1:4" x14ac:dyDescent="0.2">
      <c r="A684" s="397">
        <v>43322</v>
      </c>
      <c r="B684" s="384">
        <v>294181</v>
      </c>
      <c r="C684" s="397"/>
      <c r="D684" s="384"/>
    </row>
    <row r="685" spans="1:4" x14ac:dyDescent="0.2">
      <c r="A685" s="397">
        <v>43325</v>
      </c>
      <c r="B685" s="384">
        <v>294679.65999999997</v>
      </c>
      <c r="C685" s="397"/>
      <c r="D685" s="384"/>
    </row>
    <row r="686" spans="1:4" x14ac:dyDescent="0.2">
      <c r="A686" s="397">
        <v>43326</v>
      </c>
      <c r="B686" s="384">
        <v>294680</v>
      </c>
      <c r="C686" s="397"/>
      <c r="D686" s="384"/>
    </row>
    <row r="687" spans="1:4" x14ac:dyDescent="0.2">
      <c r="A687" s="397">
        <v>43327</v>
      </c>
      <c r="B687" s="384">
        <v>294761.65000000002</v>
      </c>
      <c r="C687" s="397"/>
      <c r="D687" s="384"/>
    </row>
    <row r="688" spans="1:4" x14ac:dyDescent="0.2">
      <c r="A688" s="397">
        <v>43328</v>
      </c>
      <c r="B688" s="384">
        <v>290632.52</v>
      </c>
      <c r="C688" s="397"/>
      <c r="D688" s="384"/>
    </row>
    <row r="689" spans="1:4" x14ac:dyDescent="0.2">
      <c r="A689" s="397">
        <v>43329</v>
      </c>
      <c r="B689" s="384">
        <v>290633</v>
      </c>
      <c r="C689" s="397"/>
      <c r="D689" s="384"/>
    </row>
    <row r="690" spans="1:4" x14ac:dyDescent="0.2">
      <c r="A690" s="397">
        <v>43332</v>
      </c>
      <c r="B690" s="384">
        <v>254427.11</v>
      </c>
      <c r="C690" s="397"/>
      <c r="D690" s="384"/>
    </row>
    <row r="691" spans="1:4" x14ac:dyDescent="0.2">
      <c r="A691" s="397">
        <v>43333</v>
      </c>
      <c r="B691" s="384">
        <v>255823.93</v>
      </c>
      <c r="C691" s="397"/>
      <c r="D691" s="384"/>
    </row>
    <row r="692" spans="1:4" x14ac:dyDescent="0.2">
      <c r="A692" s="397">
        <v>43334</v>
      </c>
      <c r="B692" s="384">
        <v>255419.13</v>
      </c>
      <c r="C692" s="397"/>
      <c r="D692" s="384"/>
    </row>
    <row r="693" spans="1:4" x14ac:dyDescent="0.2">
      <c r="A693" s="397">
        <v>43335</v>
      </c>
      <c r="B693" s="384">
        <v>272759.37</v>
      </c>
      <c r="C693" s="397"/>
      <c r="D693" s="384"/>
    </row>
    <row r="694" spans="1:4" x14ac:dyDescent="0.2">
      <c r="A694" s="397">
        <v>43336</v>
      </c>
      <c r="B694" s="384">
        <v>272846.37</v>
      </c>
      <c r="C694" s="397"/>
      <c r="D694" s="384"/>
    </row>
    <row r="695" spans="1:4" x14ac:dyDescent="0.2">
      <c r="A695" s="397">
        <v>43339</v>
      </c>
      <c r="B695" s="384">
        <v>272846</v>
      </c>
      <c r="C695" s="397"/>
      <c r="D695" s="384"/>
    </row>
    <row r="696" spans="1:4" x14ac:dyDescent="0.2">
      <c r="A696" s="397">
        <v>43340</v>
      </c>
      <c r="B696" s="384">
        <v>272846</v>
      </c>
      <c r="C696" s="397"/>
      <c r="D696" s="384"/>
    </row>
    <row r="697" spans="1:4" x14ac:dyDescent="0.2">
      <c r="A697" s="397">
        <v>43341</v>
      </c>
      <c r="B697" s="384">
        <v>276622.58</v>
      </c>
      <c r="C697" s="397"/>
      <c r="D697" s="384"/>
    </row>
    <row r="698" spans="1:4" x14ac:dyDescent="0.2">
      <c r="A698" s="397">
        <v>43342</v>
      </c>
      <c r="B698" s="384">
        <v>276623</v>
      </c>
      <c r="C698" s="397"/>
      <c r="D698" s="384"/>
    </row>
    <row r="699" spans="1:4" x14ac:dyDescent="0.2">
      <c r="A699" s="397">
        <v>43343</v>
      </c>
      <c r="B699" s="384">
        <v>276773.33</v>
      </c>
      <c r="C699" s="397"/>
      <c r="D699" s="384"/>
    </row>
    <row r="700" spans="1:4" x14ac:dyDescent="0.2">
      <c r="A700" s="397">
        <v>43346</v>
      </c>
      <c r="B700" s="384">
        <v>276773</v>
      </c>
      <c r="C700" s="397"/>
      <c r="D700" s="384"/>
    </row>
    <row r="701" spans="1:4" x14ac:dyDescent="0.2">
      <c r="A701" s="397">
        <v>43347</v>
      </c>
      <c r="B701" s="384">
        <v>240090.56</v>
      </c>
      <c r="C701" s="397"/>
      <c r="D701" s="384"/>
    </row>
    <row r="702" spans="1:4" x14ac:dyDescent="0.2">
      <c r="A702" s="397">
        <v>43348</v>
      </c>
      <c r="B702" s="384">
        <v>240091</v>
      </c>
      <c r="C702" s="397"/>
      <c r="D702" s="384"/>
    </row>
    <row r="703" spans="1:4" x14ac:dyDescent="0.2">
      <c r="A703" s="397">
        <v>43349</v>
      </c>
      <c r="B703" s="384">
        <v>237779.31</v>
      </c>
      <c r="C703" s="397"/>
      <c r="D703" s="384"/>
    </row>
    <row r="704" spans="1:4" x14ac:dyDescent="0.2">
      <c r="A704" s="397">
        <v>43350</v>
      </c>
      <c r="B704" s="384">
        <v>237779</v>
      </c>
      <c r="C704" s="397"/>
      <c r="D704" s="384"/>
    </row>
    <row r="705" spans="1:4" x14ac:dyDescent="0.2">
      <c r="A705" s="397">
        <v>43353</v>
      </c>
      <c r="B705" s="384">
        <v>243552.34</v>
      </c>
      <c r="C705" s="397"/>
      <c r="D705" s="384"/>
    </row>
    <row r="706" spans="1:4" x14ac:dyDescent="0.2">
      <c r="A706" s="397">
        <v>43354</v>
      </c>
      <c r="B706" s="384">
        <v>243552</v>
      </c>
      <c r="C706" s="397"/>
      <c r="D706" s="384"/>
    </row>
    <row r="707" spans="1:4" x14ac:dyDescent="0.2">
      <c r="A707" s="397">
        <v>43355</v>
      </c>
      <c r="B707" s="384">
        <v>243552</v>
      </c>
      <c r="C707" s="397"/>
      <c r="D707" s="384"/>
    </row>
    <row r="708" spans="1:4" x14ac:dyDescent="0.2">
      <c r="A708" s="397">
        <v>43356</v>
      </c>
      <c r="B708" s="384">
        <v>266009.96000000002</v>
      </c>
      <c r="C708" s="397"/>
      <c r="D708" s="384"/>
    </row>
    <row r="709" spans="1:4" x14ac:dyDescent="0.2">
      <c r="A709" s="397">
        <v>43357</v>
      </c>
      <c r="B709" s="384">
        <v>266087.59999999998</v>
      </c>
      <c r="C709" s="397"/>
      <c r="D709" s="384"/>
    </row>
    <row r="710" spans="1:4" x14ac:dyDescent="0.2">
      <c r="A710" s="397">
        <v>43360</v>
      </c>
      <c r="B710" s="384">
        <v>229939.6</v>
      </c>
      <c r="C710" s="397"/>
      <c r="D710" s="384"/>
    </row>
    <row r="711" spans="1:4" x14ac:dyDescent="0.2">
      <c r="A711" s="397">
        <v>43361</v>
      </c>
      <c r="B711" s="384">
        <v>229940</v>
      </c>
      <c r="C711" s="397"/>
      <c r="D711" s="384"/>
    </row>
    <row r="712" spans="1:4" x14ac:dyDescent="0.2">
      <c r="A712" s="397">
        <v>43362</v>
      </c>
      <c r="B712" s="384">
        <v>229940</v>
      </c>
      <c r="C712" s="397"/>
      <c r="D712" s="384"/>
    </row>
    <row r="713" spans="1:4" x14ac:dyDescent="0.2">
      <c r="A713" s="397">
        <v>43363</v>
      </c>
      <c r="B713" s="384">
        <v>226983.82</v>
      </c>
      <c r="C713" s="397"/>
      <c r="D713" s="384"/>
    </row>
    <row r="714" spans="1:4" x14ac:dyDescent="0.2">
      <c r="A714" s="397">
        <v>43364</v>
      </c>
      <c r="B714" s="384">
        <v>226983.82</v>
      </c>
      <c r="C714" s="397"/>
      <c r="D714" s="384"/>
    </row>
    <row r="715" spans="1:4" x14ac:dyDescent="0.2">
      <c r="A715" s="397">
        <v>43367</v>
      </c>
      <c r="B715" s="384">
        <v>231167.41</v>
      </c>
      <c r="C715" s="397"/>
      <c r="D715" s="384"/>
    </row>
    <row r="716" spans="1:4" x14ac:dyDescent="0.2">
      <c r="A716" s="397">
        <v>43368</v>
      </c>
      <c r="B716" s="384">
        <v>231298.26</v>
      </c>
      <c r="C716" s="397"/>
      <c r="D716" s="384"/>
    </row>
    <row r="717" spans="1:4" x14ac:dyDescent="0.2">
      <c r="A717" s="397">
        <v>43369</v>
      </c>
      <c r="B717" s="384">
        <v>231298</v>
      </c>
      <c r="C717" s="397"/>
      <c r="D717" s="384"/>
    </row>
    <row r="718" spans="1:4" x14ac:dyDescent="0.2">
      <c r="A718" s="397">
        <v>43370</v>
      </c>
      <c r="B718" s="384">
        <v>218195.44</v>
      </c>
      <c r="C718" s="397"/>
      <c r="D718" s="384"/>
    </row>
    <row r="719" spans="1:4" x14ac:dyDescent="0.2">
      <c r="A719" s="397">
        <v>43371</v>
      </c>
      <c r="B719" s="384">
        <v>218195</v>
      </c>
      <c r="C719" s="397"/>
      <c r="D719" s="384"/>
    </row>
    <row r="720" spans="1:4" x14ac:dyDescent="0.2">
      <c r="A720" s="397">
        <v>43374</v>
      </c>
      <c r="B720" s="384">
        <v>181738.47</v>
      </c>
      <c r="C720" s="397"/>
      <c r="D720" s="384"/>
    </row>
    <row r="721" spans="1:4" x14ac:dyDescent="0.2">
      <c r="A721" s="397">
        <v>43375</v>
      </c>
      <c r="B721" s="384">
        <v>175674.86</v>
      </c>
      <c r="C721" s="397"/>
      <c r="D721" s="384"/>
    </row>
    <row r="722" spans="1:4" x14ac:dyDescent="0.2">
      <c r="A722" s="397">
        <v>43376</v>
      </c>
      <c r="B722" s="384">
        <v>175890.11</v>
      </c>
      <c r="C722" s="397"/>
      <c r="D722" s="384"/>
    </row>
    <row r="723" spans="1:4" x14ac:dyDescent="0.2">
      <c r="A723" s="397">
        <v>43377</v>
      </c>
      <c r="B723" s="384">
        <v>176908.84</v>
      </c>
      <c r="C723" s="397"/>
      <c r="D723" s="384"/>
    </row>
    <row r="724" spans="1:4" x14ac:dyDescent="0.2">
      <c r="A724" s="397">
        <v>43378</v>
      </c>
      <c r="B724" s="384">
        <v>176909</v>
      </c>
      <c r="C724" s="397"/>
      <c r="D724" s="384"/>
    </row>
    <row r="725" spans="1:4" x14ac:dyDescent="0.2">
      <c r="A725" s="397">
        <v>43381</v>
      </c>
      <c r="B725" s="384">
        <v>176909</v>
      </c>
      <c r="C725" s="397"/>
      <c r="D725" s="384"/>
    </row>
    <row r="726" spans="1:4" x14ac:dyDescent="0.2">
      <c r="A726" s="397">
        <v>43382</v>
      </c>
      <c r="B726" s="384">
        <v>226038.22</v>
      </c>
      <c r="C726" s="397"/>
      <c r="D726" s="384"/>
    </row>
    <row r="727" spans="1:4" x14ac:dyDescent="0.2">
      <c r="A727" s="397">
        <v>43383</v>
      </c>
      <c r="B727" s="384">
        <v>226038</v>
      </c>
      <c r="C727" s="397"/>
      <c r="D727" s="384"/>
    </row>
    <row r="728" spans="1:4" x14ac:dyDescent="0.2">
      <c r="A728" s="397">
        <v>43384</v>
      </c>
      <c r="B728" s="384">
        <v>223293.31</v>
      </c>
      <c r="C728" s="397"/>
      <c r="D728" s="384"/>
    </row>
    <row r="729" spans="1:4" x14ac:dyDescent="0.2">
      <c r="A729" s="397">
        <v>43385</v>
      </c>
      <c r="B729" s="384">
        <v>272327.27</v>
      </c>
      <c r="C729" s="397"/>
      <c r="D729" s="384"/>
    </row>
    <row r="730" spans="1:4" x14ac:dyDescent="0.2">
      <c r="A730" s="397">
        <v>43388</v>
      </c>
      <c r="B730" s="384">
        <v>236397.34</v>
      </c>
      <c r="C730" s="397"/>
      <c r="D730" s="384"/>
    </row>
    <row r="731" spans="1:4" x14ac:dyDescent="0.2">
      <c r="A731" s="397">
        <v>43389</v>
      </c>
      <c r="B731" s="384">
        <v>236553.84</v>
      </c>
      <c r="C731" s="397"/>
      <c r="D731" s="384"/>
    </row>
    <row r="732" spans="1:4" x14ac:dyDescent="0.2">
      <c r="A732" s="397">
        <v>43390</v>
      </c>
      <c r="B732" s="384">
        <v>249133.92</v>
      </c>
      <c r="C732" s="397"/>
      <c r="D732" s="384"/>
    </row>
    <row r="733" spans="1:4" x14ac:dyDescent="0.2">
      <c r="A733" s="397">
        <v>43391</v>
      </c>
      <c r="B733" s="384">
        <v>254043.68</v>
      </c>
      <c r="C733" s="397"/>
      <c r="D733" s="384"/>
    </row>
    <row r="734" spans="1:4" x14ac:dyDescent="0.2">
      <c r="A734" s="397">
        <v>43392</v>
      </c>
      <c r="B734" s="384">
        <v>254064.5</v>
      </c>
      <c r="C734" s="397"/>
      <c r="D734" s="384"/>
    </row>
    <row r="735" spans="1:4" x14ac:dyDescent="0.2">
      <c r="A735" s="397">
        <v>43395</v>
      </c>
      <c r="B735" s="384">
        <v>290142.09999999998</v>
      </c>
      <c r="C735" s="397"/>
      <c r="D735" s="384"/>
    </row>
    <row r="736" spans="1:4" x14ac:dyDescent="0.2">
      <c r="A736" s="397">
        <v>43396</v>
      </c>
      <c r="B736" s="384">
        <v>290142</v>
      </c>
      <c r="C736" s="397"/>
      <c r="D736" s="384"/>
    </row>
    <row r="737" spans="1:4" x14ac:dyDescent="0.2">
      <c r="A737" s="397">
        <v>43397</v>
      </c>
      <c r="B737" s="384">
        <v>290034.38</v>
      </c>
      <c r="C737" s="397"/>
      <c r="D737" s="384"/>
    </row>
    <row r="738" spans="1:4" x14ac:dyDescent="0.2">
      <c r="A738" s="397">
        <v>43398</v>
      </c>
      <c r="B738" s="384">
        <v>291747.36</v>
      </c>
      <c r="C738" s="397"/>
      <c r="D738" s="384"/>
    </row>
    <row r="739" spans="1:4" x14ac:dyDescent="0.2">
      <c r="A739" s="397">
        <v>43399</v>
      </c>
      <c r="B739" s="384">
        <v>306637.48</v>
      </c>
      <c r="C739" s="397"/>
      <c r="D739" s="384"/>
    </row>
    <row r="740" spans="1:4" x14ac:dyDescent="0.2">
      <c r="A740" s="397">
        <v>43402</v>
      </c>
      <c r="B740" s="384">
        <v>270401.28999999998</v>
      </c>
      <c r="C740" s="397"/>
      <c r="D740" s="384"/>
    </row>
    <row r="741" spans="1:4" x14ac:dyDescent="0.2">
      <c r="A741" s="397">
        <v>43403</v>
      </c>
      <c r="B741" s="384">
        <v>278028.58</v>
      </c>
      <c r="C741" s="397"/>
      <c r="D741" s="384"/>
    </row>
    <row r="742" spans="1:4" x14ac:dyDescent="0.2">
      <c r="A742" s="397">
        <v>43404</v>
      </c>
      <c r="B742" s="384">
        <v>278029</v>
      </c>
      <c r="C742" s="397"/>
      <c r="D742" s="384"/>
    </row>
    <row r="743" spans="1:4" x14ac:dyDescent="0.2">
      <c r="A743" s="397">
        <v>43405</v>
      </c>
      <c r="B743" s="384">
        <v>279523.53000000003</v>
      </c>
      <c r="C743" s="397"/>
      <c r="D743" s="384"/>
    </row>
    <row r="744" spans="1:4" x14ac:dyDescent="0.2">
      <c r="A744" s="397">
        <v>43406</v>
      </c>
      <c r="B744" s="384">
        <v>303100.06</v>
      </c>
      <c r="C744" s="397"/>
      <c r="D744" s="384"/>
    </row>
    <row r="745" spans="1:4" x14ac:dyDescent="0.2">
      <c r="A745" s="397">
        <v>43409</v>
      </c>
      <c r="B745" s="384">
        <v>303100.06</v>
      </c>
      <c r="C745" s="397"/>
      <c r="D745" s="384"/>
    </row>
    <row r="746" spans="1:4" x14ac:dyDescent="0.2">
      <c r="A746" s="397">
        <v>43410</v>
      </c>
      <c r="B746" s="384">
        <v>303100.06</v>
      </c>
      <c r="C746" s="397"/>
      <c r="D746" s="384"/>
    </row>
    <row r="747" spans="1:4" x14ac:dyDescent="0.2">
      <c r="A747" s="397">
        <v>43411</v>
      </c>
      <c r="B747" s="384">
        <v>303954.14</v>
      </c>
      <c r="C747" s="397"/>
      <c r="D747" s="384"/>
    </row>
    <row r="748" spans="1:4" x14ac:dyDescent="0.2">
      <c r="A748" s="397">
        <v>43412</v>
      </c>
      <c r="B748" s="384">
        <v>294843.14</v>
      </c>
      <c r="C748" s="397"/>
      <c r="D748" s="384"/>
    </row>
    <row r="749" spans="1:4" x14ac:dyDescent="0.2">
      <c r="A749" s="397">
        <v>43413</v>
      </c>
      <c r="B749" s="384">
        <v>294843</v>
      </c>
      <c r="C749" s="397"/>
      <c r="D749" s="384"/>
    </row>
    <row r="750" spans="1:4" x14ac:dyDescent="0.2">
      <c r="A750" s="397">
        <v>43416</v>
      </c>
      <c r="B750" s="384">
        <v>294843</v>
      </c>
      <c r="C750" s="397"/>
      <c r="D750" s="384"/>
    </row>
    <row r="751" spans="1:4" x14ac:dyDescent="0.2">
      <c r="A751" s="397">
        <v>43417</v>
      </c>
      <c r="B751" s="384">
        <v>294843</v>
      </c>
      <c r="C751" s="397"/>
      <c r="D751" s="384"/>
    </row>
    <row r="752" spans="1:4" x14ac:dyDescent="0.2">
      <c r="A752" s="397">
        <v>43418</v>
      </c>
      <c r="B752" s="384">
        <v>259514.47</v>
      </c>
      <c r="C752" s="397"/>
      <c r="D752" s="384"/>
    </row>
    <row r="753" spans="1:4" x14ac:dyDescent="0.2">
      <c r="A753" s="397">
        <v>43419</v>
      </c>
      <c r="B753" s="384">
        <v>255987.45</v>
      </c>
      <c r="C753" s="397"/>
      <c r="D753" s="384"/>
    </row>
    <row r="754" spans="1:4" x14ac:dyDescent="0.2">
      <c r="A754" s="397">
        <v>43420</v>
      </c>
      <c r="B754" s="384">
        <v>255987.45</v>
      </c>
      <c r="C754" s="397"/>
      <c r="D754" s="384"/>
    </row>
    <row r="755" spans="1:4" x14ac:dyDescent="0.2">
      <c r="A755" s="397">
        <v>43423</v>
      </c>
      <c r="B755" s="384">
        <v>255987.45</v>
      </c>
      <c r="C755" s="397"/>
      <c r="D755" s="384"/>
    </row>
    <row r="756" spans="1:4" x14ac:dyDescent="0.2">
      <c r="A756" s="397">
        <v>43424</v>
      </c>
      <c r="B756" s="384">
        <v>254650.75</v>
      </c>
      <c r="C756" s="397"/>
      <c r="D756" s="384"/>
    </row>
    <row r="757" spans="1:4" x14ac:dyDescent="0.2">
      <c r="A757" s="397">
        <v>43425</v>
      </c>
      <c r="B757" s="384">
        <v>298403.21000000002</v>
      </c>
      <c r="C757" s="397"/>
      <c r="D757" s="384"/>
    </row>
    <row r="758" spans="1:4" x14ac:dyDescent="0.2">
      <c r="A758" s="397">
        <v>43426</v>
      </c>
      <c r="B758" s="384">
        <v>300529.64</v>
      </c>
      <c r="C758" s="397"/>
      <c r="D758" s="384"/>
    </row>
    <row r="759" spans="1:4" x14ac:dyDescent="0.2">
      <c r="A759" s="397">
        <v>43427</v>
      </c>
      <c r="B759" s="384">
        <v>300229.64</v>
      </c>
      <c r="C759" s="397"/>
      <c r="D759" s="384"/>
    </row>
    <row r="760" spans="1:4" x14ac:dyDescent="0.2">
      <c r="A760" s="397">
        <v>43430</v>
      </c>
      <c r="B760" s="384">
        <v>300230</v>
      </c>
      <c r="C760" s="397"/>
      <c r="D760" s="384"/>
    </row>
    <row r="761" spans="1:4" x14ac:dyDescent="0.2">
      <c r="A761" s="397">
        <v>43431</v>
      </c>
      <c r="B761" s="384">
        <v>267674.82</v>
      </c>
      <c r="C761" s="397"/>
      <c r="D761" s="384"/>
    </row>
    <row r="762" spans="1:4" x14ac:dyDescent="0.2">
      <c r="A762" s="397">
        <v>43432</v>
      </c>
      <c r="B762" s="384">
        <v>273448.82</v>
      </c>
      <c r="C762" s="397"/>
      <c r="D762" s="384"/>
    </row>
    <row r="763" spans="1:4" x14ac:dyDescent="0.2">
      <c r="A763" s="397">
        <v>43433</v>
      </c>
      <c r="B763" s="384">
        <v>252527.09</v>
      </c>
      <c r="C763" s="397"/>
      <c r="D763" s="384"/>
    </row>
    <row r="764" spans="1:4" x14ac:dyDescent="0.2">
      <c r="A764" s="397">
        <v>43434</v>
      </c>
      <c r="B764" s="384">
        <v>321968.59000000003</v>
      </c>
      <c r="C764" s="397"/>
      <c r="D764" s="384"/>
    </row>
    <row r="765" spans="1:4" x14ac:dyDescent="0.2">
      <c r="A765" s="397">
        <v>43437</v>
      </c>
      <c r="B765" s="384">
        <v>321969</v>
      </c>
      <c r="C765" s="397"/>
      <c r="D765" s="384"/>
    </row>
    <row r="766" spans="1:4" x14ac:dyDescent="0.2">
      <c r="A766" s="397">
        <v>43438</v>
      </c>
      <c r="B766" s="384">
        <v>321969</v>
      </c>
      <c r="C766" s="397"/>
      <c r="D766" s="384"/>
    </row>
    <row r="767" spans="1:4" x14ac:dyDescent="0.2">
      <c r="A767" s="397">
        <v>43439</v>
      </c>
      <c r="B767" s="384">
        <v>321969</v>
      </c>
      <c r="C767" s="397"/>
      <c r="D767" s="384"/>
    </row>
    <row r="768" spans="1:4" x14ac:dyDescent="0.2">
      <c r="A768" s="397">
        <v>43440</v>
      </c>
      <c r="B768" s="384">
        <v>314251.55</v>
      </c>
      <c r="C768" s="397"/>
      <c r="D768" s="384"/>
    </row>
    <row r="769" spans="1:4" x14ac:dyDescent="0.2">
      <c r="A769" s="397">
        <v>43441</v>
      </c>
      <c r="B769" s="384">
        <v>315739.42</v>
      </c>
      <c r="C769" s="397"/>
      <c r="D769" s="384"/>
    </row>
    <row r="770" spans="1:4" x14ac:dyDescent="0.2">
      <c r="A770" s="397">
        <v>43444</v>
      </c>
      <c r="B770" s="384">
        <v>315739</v>
      </c>
      <c r="C770" s="397"/>
      <c r="D770" s="384"/>
    </row>
    <row r="771" spans="1:4" x14ac:dyDescent="0.2">
      <c r="A771" s="397">
        <v>43445</v>
      </c>
      <c r="B771" s="384">
        <v>275506.94</v>
      </c>
      <c r="C771" s="397"/>
      <c r="D771" s="384"/>
    </row>
    <row r="772" spans="1:4" x14ac:dyDescent="0.2">
      <c r="A772" s="397">
        <v>43446</v>
      </c>
      <c r="B772" s="384">
        <v>275507</v>
      </c>
      <c r="C772" s="397"/>
      <c r="D772" s="384"/>
    </row>
    <row r="773" spans="1:4" x14ac:dyDescent="0.2">
      <c r="A773" s="397">
        <v>43447</v>
      </c>
      <c r="B773" s="384">
        <v>289896.89</v>
      </c>
      <c r="C773" s="397"/>
      <c r="D773" s="384"/>
    </row>
    <row r="774" spans="1:4" x14ac:dyDescent="0.2">
      <c r="A774" s="397">
        <v>43448</v>
      </c>
      <c r="B774" s="384">
        <v>313281.34999999998</v>
      </c>
      <c r="C774" s="397"/>
      <c r="D774" s="384"/>
    </row>
    <row r="775" spans="1:4" x14ac:dyDescent="0.2">
      <c r="A775" s="397">
        <v>43451</v>
      </c>
      <c r="B775" s="384">
        <v>313281</v>
      </c>
      <c r="C775" s="397"/>
      <c r="D775" s="384"/>
    </row>
    <row r="776" spans="1:4" x14ac:dyDescent="0.2">
      <c r="A776" s="397">
        <v>43452</v>
      </c>
      <c r="B776" s="384">
        <v>317556.84999999998</v>
      </c>
      <c r="C776" s="397"/>
      <c r="D776" s="384"/>
    </row>
    <row r="777" spans="1:4" x14ac:dyDescent="0.2">
      <c r="A777" s="397">
        <v>43453</v>
      </c>
      <c r="B777" s="384">
        <v>317557</v>
      </c>
      <c r="C777" s="397"/>
      <c r="D777" s="384"/>
    </row>
    <row r="778" spans="1:4" x14ac:dyDescent="0.2">
      <c r="A778" s="397">
        <v>43454</v>
      </c>
      <c r="B778" s="384">
        <v>297159.33</v>
      </c>
      <c r="C778" s="397"/>
      <c r="D778" s="384"/>
    </row>
    <row r="779" spans="1:4" x14ac:dyDescent="0.2">
      <c r="A779" s="397">
        <v>43455</v>
      </c>
      <c r="B779" s="384">
        <v>297159</v>
      </c>
      <c r="C779" s="397"/>
      <c r="D779" s="384"/>
    </row>
    <row r="780" spans="1:4" x14ac:dyDescent="0.2">
      <c r="A780" s="397">
        <v>43458</v>
      </c>
      <c r="B780" s="384">
        <v>260233.37</v>
      </c>
      <c r="C780" s="397"/>
      <c r="D780" s="384"/>
    </row>
    <row r="781" spans="1:4" x14ac:dyDescent="0.2">
      <c r="A781" s="397">
        <v>43459</v>
      </c>
      <c r="B781" s="384">
        <v>260233</v>
      </c>
      <c r="C781" s="397"/>
      <c r="D781" s="384"/>
    </row>
    <row r="782" spans="1:4" x14ac:dyDescent="0.2">
      <c r="A782" s="397">
        <v>43460</v>
      </c>
      <c r="B782" s="384">
        <v>261845.78</v>
      </c>
      <c r="C782" s="397"/>
      <c r="D782" s="384"/>
    </row>
    <row r="783" spans="1:4" x14ac:dyDescent="0.2">
      <c r="A783" s="397">
        <v>43461</v>
      </c>
      <c r="B783" s="384">
        <v>261846</v>
      </c>
      <c r="C783" s="397"/>
      <c r="D783" s="384"/>
    </row>
    <row r="784" spans="1:4" x14ac:dyDescent="0.2">
      <c r="A784" s="397">
        <v>43462</v>
      </c>
      <c r="B784" s="384">
        <v>273805.40000000002</v>
      </c>
      <c r="C784" s="397"/>
      <c r="D784" s="384"/>
    </row>
    <row r="785" spans="1:4" x14ac:dyDescent="0.2">
      <c r="A785" s="397">
        <v>43465</v>
      </c>
      <c r="B785" s="384">
        <v>274101.40000000002</v>
      </c>
      <c r="C785" s="397"/>
      <c r="D785" s="384"/>
    </row>
    <row r="786" spans="1:4" x14ac:dyDescent="0.2">
      <c r="A786" s="397">
        <v>43466</v>
      </c>
      <c r="B786" s="384">
        <v>274101</v>
      </c>
      <c r="C786" s="397"/>
      <c r="D786" s="384"/>
    </row>
    <row r="787" spans="1:4" x14ac:dyDescent="0.2">
      <c r="A787" s="397">
        <v>43467</v>
      </c>
      <c r="B787" s="384">
        <v>299108.40000000002</v>
      </c>
      <c r="C787" s="397"/>
      <c r="D787" s="384"/>
    </row>
    <row r="788" spans="1:4" x14ac:dyDescent="0.2">
      <c r="A788" s="397">
        <v>43468</v>
      </c>
      <c r="B788" s="384">
        <v>298070.78000000003</v>
      </c>
      <c r="C788" s="397"/>
      <c r="D788" s="384"/>
    </row>
    <row r="789" spans="1:4" x14ac:dyDescent="0.2">
      <c r="A789" s="397">
        <v>43469</v>
      </c>
      <c r="B789" s="384">
        <v>298071</v>
      </c>
      <c r="C789" s="397"/>
      <c r="D789" s="384"/>
    </row>
    <row r="790" spans="1:4" x14ac:dyDescent="0.2">
      <c r="A790" s="397">
        <v>43472</v>
      </c>
      <c r="B790" s="384">
        <v>298430.78000000003</v>
      </c>
      <c r="C790" s="397"/>
      <c r="D790" s="384"/>
    </row>
    <row r="791" spans="1:4" x14ac:dyDescent="0.2">
      <c r="A791" s="397">
        <v>43473</v>
      </c>
      <c r="B791" s="384">
        <v>264835.63</v>
      </c>
      <c r="C791" s="397"/>
      <c r="D791" s="384"/>
    </row>
    <row r="792" spans="1:4" x14ac:dyDescent="0.2">
      <c r="A792" s="397">
        <v>43474</v>
      </c>
      <c r="B792" s="384">
        <v>303664.65999999997</v>
      </c>
      <c r="C792" s="397"/>
      <c r="D792" s="384"/>
    </row>
    <row r="793" spans="1:4" x14ac:dyDescent="0.2">
      <c r="A793" s="397">
        <v>43475</v>
      </c>
      <c r="B793" s="384">
        <v>299790.71999999997</v>
      </c>
      <c r="C793" s="397"/>
      <c r="D793" s="384"/>
    </row>
    <row r="794" spans="1:4" x14ac:dyDescent="0.2">
      <c r="A794" s="397">
        <v>43476</v>
      </c>
      <c r="B794" s="425">
        <v>309881.71999999997</v>
      </c>
      <c r="C794" s="397"/>
      <c r="D794" s="384"/>
    </row>
    <row r="795" spans="1:4" x14ac:dyDescent="0.2">
      <c r="A795" s="397">
        <v>43479</v>
      </c>
      <c r="B795" s="384">
        <v>284374.78999999998</v>
      </c>
      <c r="C795" s="397"/>
      <c r="D795" s="384"/>
    </row>
    <row r="796" spans="1:4" x14ac:dyDescent="0.2">
      <c r="A796" s="397">
        <v>43480</v>
      </c>
      <c r="B796" s="384">
        <v>284494.75</v>
      </c>
      <c r="C796" s="397"/>
      <c r="D796" s="384"/>
    </row>
    <row r="797" spans="1:4" x14ac:dyDescent="0.2">
      <c r="A797" s="397">
        <v>43481</v>
      </c>
      <c r="B797" s="384">
        <v>277370.03000000003</v>
      </c>
      <c r="C797" s="397"/>
      <c r="D797" s="384"/>
    </row>
    <row r="798" spans="1:4" x14ac:dyDescent="0.2">
      <c r="A798" s="397">
        <v>43482</v>
      </c>
      <c r="B798" s="384">
        <v>266103.65999999997</v>
      </c>
      <c r="C798" s="397"/>
      <c r="D798" s="384"/>
    </row>
    <row r="799" spans="1:4" x14ac:dyDescent="0.2">
      <c r="A799" s="397">
        <v>43483</v>
      </c>
      <c r="B799" s="384">
        <v>266189.65999999997</v>
      </c>
      <c r="C799" s="397"/>
      <c r="D799" s="384"/>
    </row>
    <row r="800" spans="1:4" x14ac:dyDescent="0.2">
      <c r="A800" s="397">
        <v>43486</v>
      </c>
      <c r="B800" s="384">
        <v>266190</v>
      </c>
      <c r="C800" s="397"/>
      <c r="D800" s="384"/>
    </row>
    <row r="801" spans="1:4" x14ac:dyDescent="0.2">
      <c r="A801" s="397">
        <v>43487</v>
      </c>
      <c r="B801" s="384">
        <v>228832.05</v>
      </c>
      <c r="C801" s="397"/>
      <c r="D801" s="384"/>
    </row>
    <row r="802" spans="1:4" x14ac:dyDescent="0.2">
      <c r="A802" s="397">
        <v>43488</v>
      </c>
      <c r="B802" s="384">
        <v>229285.41</v>
      </c>
      <c r="C802" s="397"/>
      <c r="D802" s="384"/>
    </row>
    <row r="803" spans="1:4" x14ac:dyDescent="0.2">
      <c r="A803" s="397">
        <v>43489</v>
      </c>
      <c r="B803" s="384">
        <v>236709.42</v>
      </c>
      <c r="C803" s="397"/>
      <c r="D803" s="384"/>
    </row>
    <row r="804" spans="1:4" x14ac:dyDescent="0.2">
      <c r="A804" s="397">
        <v>43490</v>
      </c>
      <c r="B804" s="384">
        <v>236709</v>
      </c>
      <c r="C804" s="397"/>
      <c r="D804" s="384"/>
    </row>
    <row r="805" spans="1:4" x14ac:dyDescent="0.2">
      <c r="A805" s="397">
        <v>43493</v>
      </c>
      <c r="B805" s="384">
        <v>236400.88</v>
      </c>
      <c r="C805" s="397"/>
      <c r="D805" s="384"/>
    </row>
    <row r="806" spans="1:4" x14ac:dyDescent="0.2">
      <c r="A806" s="397">
        <v>43494</v>
      </c>
      <c r="B806" s="384">
        <v>236401</v>
      </c>
      <c r="C806" s="397"/>
      <c r="D806" s="384"/>
    </row>
    <row r="807" spans="1:4" x14ac:dyDescent="0.2">
      <c r="A807" s="397">
        <v>43495</v>
      </c>
      <c r="B807" s="384">
        <v>236401</v>
      </c>
      <c r="C807" s="397"/>
      <c r="D807" s="384"/>
    </row>
    <row r="808" spans="1:4" x14ac:dyDescent="0.2">
      <c r="A808" s="397">
        <v>43496</v>
      </c>
      <c r="B808" s="384">
        <v>237605.71</v>
      </c>
      <c r="C808" s="397"/>
      <c r="D808" s="384"/>
    </row>
    <row r="809" spans="1:4" x14ac:dyDescent="0.2">
      <c r="A809" s="397">
        <v>43497</v>
      </c>
      <c r="B809" s="384">
        <v>237728.71</v>
      </c>
      <c r="C809" s="397"/>
      <c r="D809" s="384"/>
    </row>
    <row r="810" spans="1:4" x14ac:dyDescent="0.2">
      <c r="A810" s="397">
        <v>43500</v>
      </c>
      <c r="B810" s="384">
        <v>201980</v>
      </c>
      <c r="C810" s="397"/>
      <c r="D810" s="384"/>
    </row>
    <row r="811" spans="1:4" x14ac:dyDescent="0.2">
      <c r="A811" s="397">
        <v>43501</v>
      </c>
      <c r="B811" s="384">
        <v>225615.34</v>
      </c>
      <c r="C811" s="397"/>
      <c r="D811" s="384"/>
    </row>
    <row r="812" spans="1:4" x14ac:dyDescent="0.2">
      <c r="A812" s="397">
        <v>43502</v>
      </c>
      <c r="B812" s="384">
        <v>225615</v>
      </c>
      <c r="C812" s="397"/>
      <c r="D812" s="384"/>
    </row>
    <row r="813" spans="1:4" x14ac:dyDescent="0.2">
      <c r="A813" s="397">
        <v>43503</v>
      </c>
      <c r="B813" s="384">
        <v>219151.3</v>
      </c>
      <c r="C813" s="397"/>
      <c r="D813" s="384"/>
    </row>
    <row r="814" spans="1:4" x14ac:dyDescent="0.2">
      <c r="A814" s="397">
        <v>43504</v>
      </c>
      <c r="B814" s="384">
        <v>219351.3</v>
      </c>
      <c r="C814" s="397"/>
      <c r="D814" s="384"/>
    </row>
    <row r="815" spans="1:4" x14ac:dyDescent="0.2">
      <c r="A815" s="397">
        <v>43507</v>
      </c>
      <c r="B815" s="384">
        <v>219351</v>
      </c>
      <c r="C815" s="397"/>
      <c r="D815" s="384"/>
    </row>
    <row r="816" spans="1:4" x14ac:dyDescent="0.2">
      <c r="A816" s="397">
        <v>43508</v>
      </c>
      <c r="B816" s="384">
        <v>219351</v>
      </c>
      <c r="C816" s="397"/>
      <c r="D816" s="384"/>
    </row>
    <row r="817" spans="1:4" x14ac:dyDescent="0.2">
      <c r="A817" s="397">
        <v>43509</v>
      </c>
      <c r="B817" s="384">
        <v>219351</v>
      </c>
      <c r="C817" s="397"/>
      <c r="D817" s="384"/>
    </row>
    <row r="818" spans="1:4" x14ac:dyDescent="0.2">
      <c r="A818" s="397">
        <v>43510</v>
      </c>
      <c r="B818" s="384">
        <v>206758.66</v>
      </c>
      <c r="C818" s="397"/>
      <c r="D818" s="384"/>
    </row>
    <row r="819" spans="1:4" x14ac:dyDescent="0.2">
      <c r="A819" s="397">
        <v>43511</v>
      </c>
      <c r="B819" s="384">
        <v>234837.55</v>
      </c>
      <c r="C819" s="397"/>
      <c r="D819" s="384"/>
    </row>
    <row r="820" spans="1:4" x14ac:dyDescent="0.2">
      <c r="A820" s="397">
        <v>43514</v>
      </c>
      <c r="B820" s="384">
        <v>234838</v>
      </c>
      <c r="C820" s="397"/>
      <c r="D820" s="384"/>
    </row>
    <row r="821" spans="1:4" x14ac:dyDescent="0.2">
      <c r="A821" s="397">
        <v>43515</v>
      </c>
      <c r="B821" s="384">
        <v>199113.26</v>
      </c>
      <c r="C821" s="397"/>
      <c r="D821" s="384"/>
    </row>
    <row r="822" spans="1:4" x14ac:dyDescent="0.2">
      <c r="A822" s="397">
        <v>43516</v>
      </c>
      <c r="B822" s="384">
        <v>199113</v>
      </c>
      <c r="C822" s="397"/>
      <c r="D822" s="384"/>
    </row>
    <row r="823" spans="1:4" x14ac:dyDescent="0.2">
      <c r="A823" s="397">
        <v>43517</v>
      </c>
      <c r="B823" s="384">
        <v>205400.17</v>
      </c>
      <c r="C823" s="397"/>
      <c r="D823" s="384"/>
    </row>
    <row r="824" spans="1:4" x14ac:dyDescent="0.2">
      <c r="A824" s="397">
        <v>43518</v>
      </c>
      <c r="B824" s="384">
        <v>220161.91</v>
      </c>
      <c r="C824" s="397"/>
      <c r="D824" s="384"/>
    </row>
    <row r="825" spans="1:4" x14ac:dyDescent="0.2">
      <c r="A825" s="397">
        <v>43521</v>
      </c>
      <c r="B825" s="384">
        <v>220161.91</v>
      </c>
      <c r="C825" s="397"/>
      <c r="D825" s="384"/>
    </row>
    <row r="826" spans="1:4" x14ac:dyDescent="0.2">
      <c r="A826" s="397">
        <v>43522</v>
      </c>
      <c r="B826" s="384">
        <v>220161.91</v>
      </c>
      <c r="C826" s="397"/>
      <c r="D826" s="384"/>
    </row>
    <row r="827" spans="1:4" x14ac:dyDescent="0.2">
      <c r="A827" s="397">
        <v>43523</v>
      </c>
      <c r="B827" s="384">
        <v>220161.91</v>
      </c>
      <c r="C827" s="397"/>
      <c r="D827" s="384"/>
    </row>
    <row r="828" spans="1:4" x14ac:dyDescent="0.2">
      <c r="A828" s="397">
        <v>43524</v>
      </c>
      <c r="B828" s="384">
        <v>224635.26</v>
      </c>
      <c r="C828" s="397"/>
      <c r="D828" s="384"/>
    </row>
    <row r="829" spans="1:4" x14ac:dyDescent="0.2">
      <c r="A829" s="397">
        <v>43525</v>
      </c>
      <c r="B829" s="384">
        <v>298900.61</v>
      </c>
      <c r="C829" s="397"/>
      <c r="D829" s="384"/>
    </row>
    <row r="830" spans="1:4" x14ac:dyDescent="0.2">
      <c r="A830" s="397">
        <v>43528</v>
      </c>
      <c r="B830" s="384">
        <v>262246.8</v>
      </c>
      <c r="C830" s="397"/>
      <c r="D830" s="384"/>
    </row>
    <row r="831" spans="1:4" x14ac:dyDescent="0.2">
      <c r="A831" s="397">
        <v>43529</v>
      </c>
      <c r="B831" s="384">
        <v>262247</v>
      </c>
      <c r="C831" s="397"/>
      <c r="D831" s="384"/>
    </row>
    <row r="832" spans="1:4" x14ac:dyDescent="0.2">
      <c r="A832" s="397">
        <v>43530</v>
      </c>
      <c r="B832" s="384">
        <v>262247</v>
      </c>
      <c r="C832" s="397"/>
      <c r="D832" s="384"/>
    </row>
    <row r="833" spans="1:4" x14ac:dyDescent="0.2">
      <c r="A833" s="397">
        <v>43531</v>
      </c>
      <c r="B833" s="384">
        <v>275395.15000000002</v>
      </c>
      <c r="C833" s="397"/>
      <c r="D833" s="384"/>
    </row>
    <row r="834" spans="1:4" x14ac:dyDescent="0.2">
      <c r="A834" s="397">
        <v>43532</v>
      </c>
      <c r="B834" s="384">
        <v>275395</v>
      </c>
      <c r="C834" s="397"/>
      <c r="D834" s="384"/>
    </row>
    <row r="835" spans="1:4" x14ac:dyDescent="0.2">
      <c r="A835" s="397">
        <v>43535</v>
      </c>
      <c r="B835" s="384">
        <v>275395</v>
      </c>
      <c r="C835" s="397"/>
      <c r="D835" s="384"/>
    </row>
    <row r="836" spans="1:4" x14ac:dyDescent="0.2">
      <c r="A836" s="397">
        <v>43536</v>
      </c>
      <c r="B836" s="384">
        <v>275395</v>
      </c>
      <c r="C836" s="397"/>
      <c r="D836" s="384"/>
    </row>
    <row r="837" spans="1:4" x14ac:dyDescent="0.2">
      <c r="A837" s="397">
        <v>43537</v>
      </c>
      <c r="B837" s="384">
        <v>316802.46999999997</v>
      </c>
      <c r="C837" s="397"/>
      <c r="D837" s="384"/>
    </row>
    <row r="838" spans="1:4" x14ac:dyDescent="0.2">
      <c r="A838" s="397">
        <v>43538</v>
      </c>
      <c r="B838" s="384">
        <v>297067.40000000002</v>
      </c>
      <c r="C838" s="397"/>
      <c r="D838" s="384"/>
    </row>
    <row r="839" spans="1:4" x14ac:dyDescent="0.2">
      <c r="A839" s="397">
        <v>43539</v>
      </c>
      <c r="B839" s="384">
        <v>300574.83</v>
      </c>
      <c r="C839" s="397"/>
      <c r="D839" s="384"/>
    </row>
    <row r="840" spans="1:4" x14ac:dyDescent="0.2">
      <c r="A840" s="397">
        <v>43542</v>
      </c>
      <c r="B840" s="384">
        <v>264695.24</v>
      </c>
      <c r="C840" s="397"/>
      <c r="D840" s="384"/>
    </row>
    <row r="841" spans="1:4" x14ac:dyDescent="0.2">
      <c r="A841" s="397">
        <v>43543</v>
      </c>
      <c r="B841" s="384">
        <v>264695</v>
      </c>
      <c r="C841" s="397"/>
      <c r="D841" s="384"/>
    </row>
    <row r="842" spans="1:4" x14ac:dyDescent="0.2">
      <c r="A842" s="397">
        <v>43544</v>
      </c>
      <c r="B842" s="384">
        <v>264695</v>
      </c>
      <c r="C842" s="397"/>
      <c r="D842" s="384"/>
    </row>
    <row r="843" spans="1:4" x14ac:dyDescent="0.2">
      <c r="A843" s="397">
        <v>43545</v>
      </c>
      <c r="B843" s="384">
        <v>282838.67</v>
      </c>
      <c r="C843" s="397"/>
      <c r="D843" s="384"/>
    </row>
    <row r="844" spans="1:4" x14ac:dyDescent="0.2">
      <c r="A844" s="397">
        <v>43546</v>
      </c>
      <c r="B844" s="384">
        <v>282839</v>
      </c>
      <c r="C844" s="397"/>
      <c r="D844" s="384"/>
    </row>
    <row r="845" spans="1:4" x14ac:dyDescent="0.2">
      <c r="A845" s="397">
        <v>43549</v>
      </c>
      <c r="B845" s="425">
        <v>333807.26</v>
      </c>
      <c r="C845" s="397"/>
      <c r="D845" s="384"/>
    </row>
    <row r="846" spans="1:4" x14ac:dyDescent="0.2">
      <c r="A846" s="397">
        <v>43550</v>
      </c>
      <c r="B846" s="384">
        <v>332295.96000000002</v>
      </c>
      <c r="C846" s="397"/>
      <c r="D846" s="384"/>
    </row>
    <row r="847" spans="1:4" x14ac:dyDescent="0.2">
      <c r="A847" s="397">
        <v>43551</v>
      </c>
      <c r="B847" s="384">
        <v>325401.01</v>
      </c>
      <c r="C847" s="397"/>
      <c r="D847" s="384"/>
    </row>
    <row r="848" spans="1:4" x14ac:dyDescent="0.2">
      <c r="A848" s="397">
        <v>43552</v>
      </c>
      <c r="B848" s="384">
        <v>328793.55</v>
      </c>
      <c r="C848" s="397"/>
      <c r="D848" s="384"/>
    </row>
    <row r="849" spans="1:4" x14ac:dyDescent="0.2">
      <c r="A849" s="397">
        <v>43553</v>
      </c>
      <c r="B849" s="384">
        <v>329088.55</v>
      </c>
      <c r="C849" s="397"/>
      <c r="D849" s="384"/>
    </row>
    <row r="850" spans="1:4" x14ac:dyDescent="0.2">
      <c r="A850" s="397">
        <v>43556</v>
      </c>
      <c r="B850" s="384">
        <v>328488.55</v>
      </c>
      <c r="C850" s="397"/>
      <c r="D850" s="384"/>
    </row>
    <row r="851" spans="1:4" x14ac:dyDescent="0.2">
      <c r="A851" s="397">
        <v>43557</v>
      </c>
      <c r="B851" s="384">
        <v>292528.71999999997</v>
      </c>
      <c r="C851" s="397"/>
      <c r="D851" s="384"/>
    </row>
    <row r="852" spans="1:4" x14ac:dyDescent="0.2">
      <c r="A852" s="397">
        <v>43558</v>
      </c>
      <c r="B852" s="384">
        <v>294672.43</v>
      </c>
      <c r="C852" s="397"/>
      <c r="D852" s="384"/>
    </row>
    <row r="853" spans="1:4" x14ac:dyDescent="0.2">
      <c r="A853" s="397">
        <v>43559</v>
      </c>
      <c r="B853" s="384">
        <v>292850.33</v>
      </c>
      <c r="C853" s="397"/>
      <c r="D853" s="384"/>
    </row>
    <row r="854" spans="1:4" x14ac:dyDescent="0.2">
      <c r="A854" s="397">
        <v>43560</v>
      </c>
      <c r="B854" s="384">
        <v>284702.78999999998</v>
      </c>
      <c r="C854" s="397"/>
      <c r="D854" s="384"/>
    </row>
    <row r="855" spans="1:4" x14ac:dyDescent="0.2">
      <c r="A855" s="397">
        <v>43563</v>
      </c>
      <c r="B855" s="384">
        <v>284703</v>
      </c>
      <c r="C855" s="397"/>
      <c r="D855" s="384"/>
    </row>
    <row r="856" spans="1:4" x14ac:dyDescent="0.2">
      <c r="A856" s="397">
        <v>43564</v>
      </c>
      <c r="B856" s="384">
        <v>284775.52</v>
      </c>
      <c r="C856" s="397"/>
      <c r="D856" s="384"/>
    </row>
    <row r="857" spans="1:4" x14ac:dyDescent="0.2">
      <c r="A857" s="397">
        <v>43565</v>
      </c>
      <c r="B857" s="384">
        <v>284776</v>
      </c>
      <c r="C857" s="397"/>
      <c r="D857" s="384"/>
    </row>
    <row r="858" spans="1:4" x14ac:dyDescent="0.2">
      <c r="A858" s="397">
        <v>43566</v>
      </c>
      <c r="B858" s="384">
        <v>277335.02</v>
      </c>
      <c r="C858" s="397"/>
      <c r="D858" s="384"/>
    </row>
    <row r="859" spans="1:4" x14ac:dyDescent="0.2">
      <c r="A859" s="397">
        <v>43567</v>
      </c>
      <c r="B859" s="384">
        <v>277335</v>
      </c>
      <c r="C859" s="397"/>
      <c r="D859" s="384"/>
    </row>
    <row r="860" spans="1:4" x14ac:dyDescent="0.2">
      <c r="A860" s="397">
        <v>43570</v>
      </c>
      <c r="B860" s="384">
        <v>277462.90999999997</v>
      </c>
      <c r="C860" s="397"/>
      <c r="D860" s="384"/>
    </row>
    <row r="861" spans="1:4" x14ac:dyDescent="0.2">
      <c r="A861" s="397">
        <v>43571</v>
      </c>
      <c r="B861" s="384">
        <v>241180.07</v>
      </c>
      <c r="C861" s="397"/>
      <c r="D861" s="384"/>
    </row>
    <row r="862" spans="1:4" x14ac:dyDescent="0.2">
      <c r="A862" s="397">
        <v>43572</v>
      </c>
      <c r="B862" s="384">
        <v>257634.61</v>
      </c>
      <c r="C862" s="397"/>
      <c r="D862" s="384"/>
    </row>
    <row r="863" spans="1:4" x14ac:dyDescent="0.2">
      <c r="A863" s="397">
        <v>43573</v>
      </c>
      <c r="B863" s="384">
        <v>241154.55</v>
      </c>
      <c r="C863" s="397"/>
      <c r="D863" s="384"/>
    </row>
    <row r="864" spans="1:4" x14ac:dyDescent="0.2">
      <c r="A864" s="397">
        <v>43574</v>
      </c>
      <c r="B864" s="384">
        <v>243162.78</v>
      </c>
      <c r="C864" s="397"/>
      <c r="D864" s="384"/>
    </row>
    <row r="865" spans="1:4" x14ac:dyDescent="0.2">
      <c r="A865" s="397">
        <v>43577</v>
      </c>
      <c r="B865" s="384">
        <v>243003.93</v>
      </c>
      <c r="C865" s="397"/>
      <c r="D865" s="384"/>
    </row>
    <row r="866" spans="1:4" x14ac:dyDescent="0.2">
      <c r="A866" s="397">
        <v>43578</v>
      </c>
      <c r="B866" s="384">
        <v>243004</v>
      </c>
      <c r="C866" s="397"/>
      <c r="D866" s="384"/>
    </row>
    <row r="867" spans="1:4" x14ac:dyDescent="0.2">
      <c r="A867" s="397">
        <v>43579</v>
      </c>
      <c r="B867" s="384">
        <v>243060.55</v>
      </c>
      <c r="C867" s="397"/>
      <c r="D867" s="384"/>
    </row>
    <row r="868" spans="1:4" x14ac:dyDescent="0.2">
      <c r="A868" s="397">
        <v>43580</v>
      </c>
      <c r="B868" s="384">
        <v>245074.5</v>
      </c>
      <c r="C868" s="397"/>
      <c r="D868" s="384"/>
    </row>
    <row r="869" spans="1:4" x14ac:dyDescent="0.2">
      <c r="A869" s="397">
        <v>43581</v>
      </c>
      <c r="B869" s="384">
        <v>274493.84000000003</v>
      </c>
      <c r="C869" s="397"/>
      <c r="D869" s="384"/>
    </row>
    <row r="870" spans="1:4" x14ac:dyDescent="0.2">
      <c r="A870" s="397">
        <v>43584</v>
      </c>
      <c r="B870" s="384">
        <v>274494</v>
      </c>
      <c r="C870" s="397"/>
      <c r="D870" s="384"/>
    </row>
    <row r="871" spans="1:4" x14ac:dyDescent="0.2">
      <c r="A871" s="397">
        <v>43585</v>
      </c>
      <c r="B871" s="384">
        <v>268536.75</v>
      </c>
      <c r="C871" s="397"/>
      <c r="D871" s="384"/>
    </row>
    <row r="872" spans="1:4" x14ac:dyDescent="0.2">
      <c r="A872" s="397">
        <v>43586</v>
      </c>
      <c r="B872" s="384">
        <v>249086.1</v>
      </c>
      <c r="C872" s="397"/>
      <c r="D872" s="384"/>
    </row>
    <row r="873" spans="1:4" x14ac:dyDescent="0.2">
      <c r="A873" s="397">
        <v>43587</v>
      </c>
      <c r="B873" s="384">
        <v>253347.36</v>
      </c>
      <c r="C873" s="397"/>
      <c r="D873" s="384"/>
    </row>
    <row r="874" spans="1:4" x14ac:dyDescent="0.2">
      <c r="A874" s="397">
        <v>43588</v>
      </c>
      <c r="B874" s="384">
        <v>253347</v>
      </c>
      <c r="C874" s="397"/>
      <c r="D874" s="384"/>
    </row>
    <row r="875" spans="1:4" x14ac:dyDescent="0.2">
      <c r="A875" s="397">
        <v>43591</v>
      </c>
      <c r="B875" s="384">
        <v>253347</v>
      </c>
      <c r="C875" s="397"/>
      <c r="D875" s="384"/>
    </row>
    <row r="876" spans="1:4" x14ac:dyDescent="0.2">
      <c r="A876" s="397">
        <v>43592</v>
      </c>
      <c r="B876" s="384">
        <v>253347</v>
      </c>
      <c r="C876" s="397"/>
      <c r="D876" s="384"/>
    </row>
    <row r="877" spans="1:4" x14ac:dyDescent="0.2">
      <c r="A877" s="397">
        <v>43593</v>
      </c>
      <c r="B877" s="384">
        <v>253347</v>
      </c>
      <c r="C877" s="397"/>
      <c r="D877" s="384"/>
    </row>
    <row r="878" spans="1:4" x14ac:dyDescent="0.2">
      <c r="A878" s="397">
        <v>43594</v>
      </c>
      <c r="B878" s="384">
        <v>256363.47</v>
      </c>
      <c r="C878" s="397"/>
      <c r="D878" s="384"/>
    </row>
    <row r="879" spans="1:4" x14ac:dyDescent="0.2">
      <c r="A879" s="397">
        <v>43595</v>
      </c>
      <c r="B879" s="384">
        <v>256363</v>
      </c>
      <c r="C879" s="397"/>
      <c r="D879" s="384"/>
    </row>
    <row r="880" spans="1:4" x14ac:dyDescent="0.2">
      <c r="A880" s="397">
        <v>43598</v>
      </c>
      <c r="B880" s="384">
        <v>256363</v>
      </c>
      <c r="C880" s="397"/>
      <c r="D880" s="384"/>
    </row>
    <row r="881" spans="1:4" x14ac:dyDescent="0.2">
      <c r="A881" s="397">
        <v>43599</v>
      </c>
      <c r="B881" s="384">
        <v>220671.47</v>
      </c>
      <c r="C881" s="397"/>
      <c r="D881" s="384"/>
    </row>
    <row r="882" spans="1:4" x14ac:dyDescent="0.2">
      <c r="A882" s="397">
        <v>43600</v>
      </c>
      <c r="B882" s="384">
        <v>248680.89</v>
      </c>
      <c r="C882" s="397"/>
      <c r="D882" s="384"/>
    </row>
    <row r="883" spans="1:4" x14ac:dyDescent="0.2">
      <c r="A883" s="397">
        <v>43601</v>
      </c>
      <c r="B883" s="384">
        <v>254567.98</v>
      </c>
      <c r="C883" s="397"/>
      <c r="D883" s="384"/>
    </row>
    <row r="884" spans="1:4" x14ac:dyDescent="0.2">
      <c r="A884" s="397">
        <v>43602</v>
      </c>
      <c r="B884" s="384">
        <v>310563.12</v>
      </c>
      <c r="C884" s="397"/>
      <c r="D884" s="384"/>
    </row>
    <row r="885" spans="1:4" x14ac:dyDescent="0.2">
      <c r="A885" s="397">
        <v>43605</v>
      </c>
      <c r="B885" s="384">
        <v>310000.12</v>
      </c>
      <c r="C885" s="397"/>
      <c r="D885" s="384"/>
    </row>
    <row r="886" spans="1:4" x14ac:dyDescent="0.2">
      <c r="A886" s="397">
        <v>43606</v>
      </c>
      <c r="B886" s="384">
        <v>310000.12</v>
      </c>
      <c r="C886" s="397"/>
      <c r="D886" s="384"/>
    </row>
    <row r="887" spans="1:4" x14ac:dyDescent="0.2">
      <c r="A887" s="397">
        <v>43607</v>
      </c>
      <c r="B887" s="384">
        <v>310000.12</v>
      </c>
      <c r="C887" s="397"/>
      <c r="D887" s="384"/>
    </row>
    <row r="888" spans="1:4" x14ac:dyDescent="0.2">
      <c r="A888" s="397">
        <v>43608</v>
      </c>
      <c r="B888" s="384">
        <v>300109.28999999998</v>
      </c>
      <c r="C888" s="397"/>
      <c r="D888" s="384"/>
    </row>
    <row r="889" spans="1:4" x14ac:dyDescent="0.2">
      <c r="A889" s="397">
        <v>43609</v>
      </c>
      <c r="B889" s="384">
        <v>297396.90999999997</v>
      </c>
      <c r="C889" s="397"/>
      <c r="D889" s="384"/>
    </row>
    <row r="890" spans="1:4" x14ac:dyDescent="0.2">
      <c r="A890" s="397">
        <v>43612</v>
      </c>
      <c r="B890" s="384">
        <v>297397</v>
      </c>
      <c r="C890" s="397"/>
      <c r="D890" s="384"/>
    </row>
    <row r="891" spans="1:4" x14ac:dyDescent="0.2">
      <c r="A891" s="397">
        <v>43613</v>
      </c>
      <c r="B891" s="384">
        <v>309520.18</v>
      </c>
      <c r="C891" s="397"/>
      <c r="D891" s="384"/>
    </row>
    <row r="892" spans="1:4" x14ac:dyDescent="0.2">
      <c r="A892" s="397">
        <v>43614</v>
      </c>
      <c r="B892" s="384">
        <v>309520</v>
      </c>
      <c r="C892" s="397"/>
      <c r="D892" s="384"/>
    </row>
    <row r="893" spans="1:4" x14ac:dyDescent="0.2">
      <c r="A893" s="397">
        <v>43615</v>
      </c>
      <c r="B893" s="384">
        <v>306153.90000000002</v>
      </c>
      <c r="C893" s="397"/>
      <c r="D893" s="384"/>
    </row>
    <row r="894" spans="1:4" x14ac:dyDescent="0.2">
      <c r="A894" s="397">
        <v>43616</v>
      </c>
      <c r="B894" s="384">
        <v>307621.78000000003</v>
      </c>
      <c r="C894" s="397"/>
      <c r="D894" s="384"/>
    </row>
    <row r="895" spans="1:4" x14ac:dyDescent="0.2">
      <c r="A895" s="397">
        <v>43619</v>
      </c>
      <c r="B895" s="384">
        <v>307288.12</v>
      </c>
      <c r="C895" s="397"/>
      <c r="D895" s="384"/>
    </row>
    <row r="896" spans="1:4" x14ac:dyDescent="0.2">
      <c r="A896" s="397">
        <v>43620</v>
      </c>
      <c r="B896" s="384">
        <v>307288</v>
      </c>
      <c r="C896" s="397"/>
      <c r="D896" s="384"/>
    </row>
    <row r="897" spans="1:4" x14ac:dyDescent="0.2">
      <c r="A897" s="397">
        <v>43621</v>
      </c>
      <c r="B897" s="384">
        <v>307288</v>
      </c>
      <c r="C897" s="397"/>
      <c r="D897" s="384"/>
    </row>
    <row r="898" spans="1:4" x14ac:dyDescent="0.2">
      <c r="A898" s="397">
        <v>43622</v>
      </c>
      <c r="B898" s="384">
        <v>296580.19</v>
      </c>
      <c r="C898" s="397"/>
      <c r="D898" s="384"/>
    </row>
    <row r="899" spans="1:4" x14ac:dyDescent="0.2">
      <c r="A899" s="397">
        <v>43623</v>
      </c>
      <c r="B899" s="384">
        <v>295981.95</v>
      </c>
      <c r="C899" s="397"/>
      <c r="D899" s="384"/>
    </row>
    <row r="900" spans="1:4" x14ac:dyDescent="0.2">
      <c r="A900" s="397">
        <v>43626</v>
      </c>
      <c r="B900" s="384">
        <v>260513.06</v>
      </c>
      <c r="C900" s="397"/>
      <c r="D900" s="384"/>
    </row>
    <row r="901" spans="1:4" x14ac:dyDescent="0.2">
      <c r="A901" s="397">
        <v>43627</v>
      </c>
      <c r="B901" s="384">
        <v>260513</v>
      </c>
      <c r="C901" s="397"/>
      <c r="D901" s="384"/>
    </row>
    <row r="902" spans="1:4" x14ac:dyDescent="0.2">
      <c r="A902" s="397">
        <v>43628</v>
      </c>
      <c r="B902" s="384">
        <v>260513</v>
      </c>
      <c r="C902" s="397"/>
      <c r="D902" s="384"/>
    </row>
    <row r="903" spans="1:4" x14ac:dyDescent="0.2">
      <c r="A903" s="397">
        <v>43629</v>
      </c>
      <c r="B903" s="384">
        <v>255966.98</v>
      </c>
      <c r="C903" s="397"/>
      <c r="D903" s="384"/>
    </row>
    <row r="904" spans="1:4" x14ac:dyDescent="0.2">
      <c r="A904" s="397">
        <v>43630</v>
      </c>
      <c r="B904" s="384">
        <v>257507.94</v>
      </c>
      <c r="C904" s="397"/>
      <c r="D904" s="384"/>
    </row>
    <row r="905" spans="1:4" x14ac:dyDescent="0.2">
      <c r="A905" s="397">
        <v>43633</v>
      </c>
      <c r="B905" s="384">
        <v>257508</v>
      </c>
      <c r="C905" s="397"/>
      <c r="D905" s="384"/>
    </row>
    <row r="906" spans="1:4" x14ac:dyDescent="0.2">
      <c r="A906" s="397">
        <v>43634</v>
      </c>
      <c r="B906" s="384">
        <v>257508</v>
      </c>
      <c r="C906" s="397"/>
      <c r="D906" s="384"/>
    </row>
    <row r="907" spans="1:4" x14ac:dyDescent="0.2">
      <c r="A907" s="397">
        <v>43635</v>
      </c>
      <c r="B907" s="384">
        <v>257508</v>
      </c>
      <c r="C907" s="397"/>
      <c r="D907" s="384"/>
    </row>
    <row r="908" spans="1:4" x14ac:dyDescent="0.2">
      <c r="A908" s="397">
        <v>43636</v>
      </c>
      <c r="B908" s="384">
        <v>245601.94</v>
      </c>
      <c r="C908" s="397"/>
      <c r="D908" s="384"/>
    </row>
    <row r="909" spans="1:4" x14ac:dyDescent="0.2">
      <c r="A909" s="397">
        <v>43637</v>
      </c>
      <c r="B909" s="384">
        <v>245768.94</v>
      </c>
      <c r="C909" s="397"/>
      <c r="D909" s="384"/>
    </row>
    <row r="910" spans="1:4" x14ac:dyDescent="0.2">
      <c r="A910" s="397">
        <v>43640</v>
      </c>
      <c r="B910" s="384">
        <v>245769</v>
      </c>
      <c r="C910" s="397"/>
      <c r="D910" s="384"/>
    </row>
    <row r="911" spans="1:4" x14ac:dyDescent="0.2">
      <c r="A911" s="397">
        <v>43641</v>
      </c>
      <c r="B911" s="384">
        <v>209143.06</v>
      </c>
      <c r="C911" s="397"/>
      <c r="D911" s="384"/>
    </row>
    <row r="912" spans="1:4" x14ac:dyDescent="0.2">
      <c r="A912" s="397">
        <v>43642</v>
      </c>
      <c r="B912" s="384">
        <v>216087.16</v>
      </c>
      <c r="C912" s="397"/>
      <c r="D912" s="384"/>
    </row>
    <row r="913" spans="1:4" x14ac:dyDescent="0.2">
      <c r="A913" s="397">
        <v>43643</v>
      </c>
      <c r="B913" s="384">
        <v>218399.34</v>
      </c>
      <c r="C913" s="397"/>
      <c r="D913" s="384"/>
    </row>
    <row r="914" spans="1:4" x14ac:dyDescent="0.2">
      <c r="A914" s="397">
        <v>43644</v>
      </c>
      <c r="B914" s="384">
        <v>246675.15</v>
      </c>
      <c r="C914" s="397"/>
      <c r="D914" s="384"/>
    </row>
    <row r="915" spans="1:4" x14ac:dyDescent="0.2">
      <c r="A915" s="397">
        <v>43647</v>
      </c>
      <c r="B915" s="384">
        <v>246675</v>
      </c>
      <c r="C915" s="397"/>
      <c r="D915" s="384"/>
    </row>
    <row r="916" spans="1:4" x14ac:dyDescent="0.2">
      <c r="A916" s="397">
        <v>43648</v>
      </c>
      <c r="B916" s="384">
        <v>248377.32</v>
      </c>
      <c r="C916" s="397"/>
      <c r="D916" s="384"/>
    </row>
    <row r="917" spans="1:4" x14ac:dyDescent="0.2">
      <c r="A917" s="397">
        <v>43649</v>
      </c>
      <c r="B917" s="384">
        <v>277944.71000000002</v>
      </c>
      <c r="C917" s="397"/>
      <c r="D917" s="384"/>
    </row>
    <row r="918" spans="1:4" x14ac:dyDescent="0.2">
      <c r="A918" s="397">
        <v>43650</v>
      </c>
      <c r="B918" s="384">
        <v>277945</v>
      </c>
      <c r="C918" s="397"/>
      <c r="D918" s="384"/>
    </row>
    <row r="919" spans="1:4" x14ac:dyDescent="0.2">
      <c r="A919" s="397">
        <v>43651</v>
      </c>
      <c r="B919" s="384">
        <v>278046.71000000002</v>
      </c>
      <c r="C919" s="397"/>
      <c r="D919" s="384"/>
    </row>
    <row r="920" spans="1:4" x14ac:dyDescent="0.2">
      <c r="A920" s="397">
        <v>43654</v>
      </c>
      <c r="B920" s="384">
        <v>282590.19</v>
      </c>
      <c r="C920" s="397"/>
      <c r="D920" s="384"/>
    </row>
    <row r="921" spans="1:4" x14ac:dyDescent="0.2">
      <c r="A921" s="397">
        <v>43655</v>
      </c>
      <c r="B921" s="384">
        <v>247195.73</v>
      </c>
      <c r="C921" s="397"/>
      <c r="D921" s="384"/>
    </row>
    <row r="922" spans="1:4" x14ac:dyDescent="0.2">
      <c r="A922" s="397">
        <v>43656</v>
      </c>
      <c r="B922" s="384">
        <v>247195.73</v>
      </c>
      <c r="C922" s="397"/>
      <c r="D922" s="384"/>
    </row>
    <row r="923" spans="1:4" x14ac:dyDescent="0.2">
      <c r="A923" s="397">
        <v>43657</v>
      </c>
      <c r="B923" s="384">
        <v>235813.1</v>
      </c>
      <c r="C923" s="397"/>
      <c r="D923" s="384"/>
    </row>
    <row r="924" spans="1:4" x14ac:dyDescent="0.2">
      <c r="A924" s="397">
        <v>43658</v>
      </c>
      <c r="B924" s="384">
        <v>237210.07</v>
      </c>
      <c r="C924" s="397"/>
      <c r="D924" s="384"/>
    </row>
    <row r="925" spans="1:4" x14ac:dyDescent="0.2">
      <c r="A925" s="397">
        <v>43661</v>
      </c>
      <c r="B925" s="384">
        <v>237490.39</v>
      </c>
      <c r="C925" s="397"/>
      <c r="D925" s="384"/>
    </row>
    <row r="926" spans="1:4" x14ac:dyDescent="0.2">
      <c r="A926" s="397">
        <v>43662</v>
      </c>
      <c r="B926" s="384">
        <v>237490</v>
      </c>
      <c r="C926" s="397"/>
      <c r="D926" s="384"/>
    </row>
    <row r="927" spans="1:4" x14ac:dyDescent="0.2">
      <c r="A927" s="397">
        <v>43663</v>
      </c>
      <c r="B927" s="384">
        <v>237490.39</v>
      </c>
      <c r="C927" s="397"/>
      <c r="D927" s="384"/>
    </row>
    <row r="928" spans="1:4" x14ac:dyDescent="0.2">
      <c r="A928" s="397">
        <v>43664</v>
      </c>
      <c r="B928" s="384">
        <v>232593.57</v>
      </c>
      <c r="C928" s="397"/>
      <c r="D928" s="384"/>
    </row>
    <row r="929" spans="1:4" x14ac:dyDescent="0.2">
      <c r="A929" s="397">
        <v>43665</v>
      </c>
      <c r="B929" s="384">
        <v>232923.06</v>
      </c>
      <c r="C929" s="397"/>
      <c r="D929" s="384"/>
    </row>
    <row r="930" spans="1:4" x14ac:dyDescent="0.2">
      <c r="A930" s="397">
        <v>43668</v>
      </c>
      <c r="B930" s="384">
        <v>196798.51</v>
      </c>
      <c r="C930" s="397"/>
      <c r="D930" s="384"/>
    </row>
    <row r="931" spans="1:4" x14ac:dyDescent="0.2">
      <c r="A931" s="397">
        <v>43669</v>
      </c>
      <c r="B931" s="384">
        <v>199629.38</v>
      </c>
      <c r="C931" s="397"/>
      <c r="D931" s="384"/>
    </row>
    <row r="932" spans="1:4" x14ac:dyDescent="0.2">
      <c r="A932" s="397">
        <v>43670</v>
      </c>
      <c r="B932" s="384">
        <v>199629</v>
      </c>
      <c r="C932" s="397"/>
      <c r="D932" s="384"/>
    </row>
    <row r="933" spans="1:4" x14ac:dyDescent="0.2">
      <c r="A933" s="397">
        <v>43671</v>
      </c>
      <c r="B933" s="384">
        <v>195151.45</v>
      </c>
      <c r="C933" s="397"/>
      <c r="D933" s="384"/>
    </row>
    <row r="934" spans="1:4" x14ac:dyDescent="0.2">
      <c r="A934" s="397">
        <v>43672</v>
      </c>
      <c r="B934" s="384">
        <v>228843.78</v>
      </c>
      <c r="C934" s="397"/>
      <c r="D934" s="384"/>
    </row>
    <row r="935" spans="1:4" x14ac:dyDescent="0.2">
      <c r="A935" s="397">
        <v>43675</v>
      </c>
      <c r="B935" s="384">
        <v>228844</v>
      </c>
      <c r="C935" s="397"/>
      <c r="D935" s="384"/>
    </row>
    <row r="936" spans="1:4" x14ac:dyDescent="0.2">
      <c r="A936" s="397">
        <v>43676</v>
      </c>
      <c r="B936" s="384">
        <v>228844</v>
      </c>
      <c r="C936" s="397"/>
      <c r="D936" s="384"/>
    </row>
    <row r="937" spans="1:4" x14ac:dyDescent="0.2">
      <c r="A937" s="397">
        <v>43677</v>
      </c>
      <c r="B937" s="384">
        <v>229051.78</v>
      </c>
      <c r="C937" s="397"/>
      <c r="D937" s="384"/>
    </row>
    <row r="938" spans="1:4" x14ac:dyDescent="0.2">
      <c r="A938" s="397">
        <v>43678</v>
      </c>
      <c r="B938" s="384">
        <v>234767.17</v>
      </c>
      <c r="C938" s="397"/>
      <c r="D938" s="384"/>
    </row>
    <row r="939" spans="1:4" x14ac:dyDescent="0.2">
      <c r="A939" s="397">
        <v>43679</v>
      </c>
      <c r="B939" s="384">
        <v>236117.76000000001</v>
      </c>
      <c r="C939" s="397"/>
      <c r="D939" s="384"/>
    </row>
    <row r="940" spans="1:4" x14ac:dyDescent="0.2">
      <c r="A940" s="397">
        <v>43682</v>
      </c>
      <c r="B940" s="384">
        <v>236118</v>
      </c>
      <c r="C940" s="397"/>
      <c r="D940" s="384"/>
    </row>
    <row r="941" spans="1:4" x14ac:dyDescent="0.2">
      <c r="A941" s="397">
        <v>43683</v>
      </c>
      <c r="B941" s="384">
        <v>208888.5</v>
      </c>
      <c r="C941" s="397"/>
      <c r="D941" s="384"/>
    </row>
    <row r="942" spans="1:4" x14ac:dyDescent="0.2">
      <c r="A942" s="397">
        <v>43684</v>
      </c>
      <c r="B942" s="384">
        <v>208792.5</v>
      </c>
      <c r="C942" s="397"/>
      <c r="D942" s="384"/>
    </row>
    <row r="943" spans="1:4" x14ac:dyDescent="0.2">
      <c r="A943" s="397">
        <v>43685</v>
      </c>
      <c r="B943" s="384">
        <v>203219.37</v>
      </c>
      <c r="C943" s="397"/>
      <c r="D943" s="384"/>
    </row>
    <row r="944" spans="1:4" x14ac:dyDescent="0.2">
      <c r="A944" s="397">
        <v>43686</v>
      </c>
      <c r="B944" s="384">
        <v>205639.37</v>
      </c>
      <c r="C944" s="397"/>
      <c r="D944" s="384"/>
    </row>
    <row r="945" spans="1:4" x14ac:dyDescent="0.2">
      <c r="A945" s="397">
        <v>43689</v>
      </c>
      <c r="B945" s="384">
        <v>205639.37</v>
      </c>
      <c r="C945" s="397"/>
      <c r="D945" s="384"/>
    </row>
    <row r="946" spans="1:4" x14ac:dyDescent="0.2">
      <c r="A946" s="397">
        <v>43690</v>
      </c>
      <c r="B946" s="384">
        <v>232145.73</v>
      </c>
      <c r="C946" s="397"/>
      <c r="D946" s="384"/>
    </row>
    <row r="947" spans="1:4" x14ac:dyDescent="0.2">
      <c r="A947" s="397">
        <v>43691</v>
      </c>
      <c r="B947" s="384">
        <v>233325.32</v>
      </c>
      <c r="C947" s="397"/>
      <c r="D947" s="384"/>
    </row>
    <row r="948" spans="1:4" x14ac:dyDescent="0.2">
      <c r="A948" s="397">
        <v>43692</v>
      </c>
      <c r="B948" s="384">
        <v>225375.98</v>
      </c>
      <c r="C948" s="397"/>
      <c r="D948" s="384"/>
    </row>
    <row r="949" spans="1:4" x14ac:dyDescent="0.2">
      <c r="A949" s="397">
        <v>43693</v>
      </c>
      <c r="B949" s="384">
        <v>225424.1</v>
      </c>
      <c r="C949" s="397"/>
      <c r="D949" s="384"/>
    </row>
    <row r="950" spans="1:4" x14ac:dyDescent="0.2">
      <c r="A950" s="397">
        <v>43696</v>
      </c>
      <c r="B950" s="384">
        <v>187365.06</v>
      </c>
      <c r="C950" s="397"/>
      <c r="D950" s="384"/>
    </row>
    <row r="951" spans="1:4" x14ac:dyDescent="0.2">
      <c r="A951" s="397">
        <v>43697</v>
      </c>
      <c r="B951" s="384">
        <v>187365</v>
      </c>
      <c r="C951" s="397"/>
      <c r="D951" s="384"/>
    </row>
    <row r="952" spans="1:4" x14ac:dyDescent="0.2">
      <c r="A952" s="397">
        <v>43698</v>
      </c>
      <c r="B952" s="384">
        <v>187365</v>
      </c>
      <c r="C952" s="397"/>
      <c r="D952" s="384"/>
    </row>
    <row r="953" spans="1:4" x14ac:dyDescent="0.2">
      <c r="A953" s="397">
        <v>43699</v>
      </c>
      <c r="B953" s="425">
        <v>172667.6</v>
      </c>
      <c r="C953" s="397"/>
      <c r="D953" s="384"/>
    </row>
    <row r="954" spans="1:4" x14ac:dyDescent="0.2">
      <c r="A954" s="397">
        <v>43700</v>
      </c>
      <c r="B954" s="384">
        <v>172668</v>
      </c>
      <c r="C954" s="397"/>
      <c r="D954" s="384"/>
    </row>
    <row r="955" spans="1:4" x14ac:dyDescent="0.2">
      <c r="A955" s="397">
        <v>43703</v>
      </c>
      <c r="B955" s="384">
        <v>236616.35</v>
      </c>
      <c r="C955" s="397"/>
      <c r="D955" s="384"/>
    </row>
    <row r="956" spans="1:4" x14ac:dyDescent="0.2">
      <c r="A956" s="397">
        <v>43704</v>
      </c>
      <c r="B956" s="384">
        <v>237913.62</v>
      </c>
      <c r="C956" s="397"/>
      <c r="D956" s="384"/>
    </row>
    <row r="957" spans="1:4" x14ac:dyDescent="0.2">
      <c r="A957" s="397">
        <v>43705</v>
      </c>
      <c r="B957" s="384">
        <v>237914</v>
      </c>
      <c r="C957" s="397"/>
      <c r="D957" s="384"/>
    </row>
    <row r="958" spans="1:4" x14ac:dyDescent="0.2">
      <c r="A958" s="397">
        <v>43706</v>
      </c>
      <c r="B958" s="384">
        <v>244708.19</v>
      </c>
      <c r="C958" s="397"/>
      <c r="D958" s="384"/>
    </row>
    <row r="959" spans="1:4" x14ac:dyDescent="0.2">
      <c r="A959" s="397">
        <v>43707</v>
      </c>
      <c r="B959" s="384">
        <v>249899.19</v>
      </c>
      <c r="C959" s="397"/>
      <c r="D959" s="384"/>
    </row>
    <row r="960" spans="1:4" x14ac:dyDescent="0.2">
      <c r="A960" s="397">
        <v>43710</v>
      </c>
      <c r="B960" s="384">
        <v>249899</v>
      </c>
      <c r="C960" s="397"/>
      <c r="D960" s="384"/>
    </row>
    <row r="961" spans="1:4" x14ac:dyDescent="0.2">
      <c r="A961" s="397">
        <v>43711</v>
      </c>
      <c r="B961" s="384">
        <v>215930.73</v>
      </c>
      <c r="C961" s="397"/>
      <c r="D961" s="384"/>
    </row>
    <row r="962" spans="1:4" x14ac:dyDescent="0.2">
      <c r="A962" s="397">
        <v>43712</v>
      </c>
      <c r="B962" s="384">
        <v>215931</v>
      </c>
      <c r="C962" s="397"/>
      <c r="D962" s="384"/>
    </row>
    <row r="963" spans="1:4" x14ac:dyDescent="0.2">
      <c r="A963" s="397">
        <v>43713</v>
      </c>
      <c r="B963" s="384">
        <v>205664.34</v>
      </c>
      <c r="C963" s="397"/>
      <c r="D963" s="384"/>
    </row>
    <row r="964" spans="1:4" x14ac:dyDescent="0.2">
      <c r="A964" s="397">
        <v>43714</v>
      </c>
      <c r="B964" s="384">
        <v>205830.34</v>
      </c>
      <c r="C964" s="397"/>
      <c r="D964" s="384"/>
    </row>
    <row r="965" spans="1:4" x14ac:dyDescent="0.2">
      <c r="A965" s="397">
        <v>43717</v>
      </c>
      <c r="B965" s="384">
        <v>205830</v>
      </c>
      <c r="C965" s="397"/>
      <c r="D965" s="384"/>
    </row>
    <row r="966" spans="1:4" x14ac:dyDescent="0.2">
      <c r="A966" s="397">
        <v>43718</v>
      </c>
      <c r="B966" s="384">
        <v>205830</v>
      </c>
      <c r="C966" s="397"/>
      <c r="D966" s="384"/>
    </row>
    <row r="967" spans="1:4" x14ac:dyDescent="0.2">
      <c r="A967" s="397">
        <v>43719</v>
      </c>
      <c r="B967" s="384">
        <v>205830</v>
      </c>
      <c r="C967" s="397"/>
      <c r="D967" s="384"/>
    </row>
    <row r="968" spans="1:4" x14ac:dyDescent="0.2">
      <c r="A968" s="397">
        <v>43720</v>
      </c>
      <c r="B968" s="384">
        <v>207654.61</v>
      </c>
      <c r="C968" s="397"/>
      <c r="D968" s="384"/>
    </row>
    <row r="969" spans="1:4" x14ac:dyDescent="0.2">
      <c r="A969" s="397">
        <v>43721</v>
      </c>
      <c r="B969" s="384">
        <v>207743.24</v>
      </c>
      <c r="C969" s="397"/>
      <c r="D969" s="384"/>
    </row>
    <row r="970" spans="1:4" x14ac:dyDescent="0.2">
      <c r="A970" s="397">
        <v>43724</v>
      </c>
      <c r="B970" s="384">
        <v>207845.42</v>
      </c>
      <c r="C970" s="397"/>
      <c r="D970" s="384"/>
    </row>
    <row r="971" spans="1:4" x14ac:dyDescent="0.2">
      <c r="A971" s="397">
        <v>43725</v>
      </c>
      <c r="B971" s="384">
        <v>173840.8</v>
      </c>
      <c r="C971" s="397"/>
      <c r="D971" s="384"/>
    </row>
    <row r="972" spans="1:4" x14ac:dyDescent="0.2">
      <c r="A972" s="397">
        <v>43726</v>
      </c>
      <c r="B972" s="384">
        <v>212383.95</v>
      </c>
      <c r="C972" s="397"/>
      <c r="D972" s="384"/>
    </row>
    <row r="973" spans="1:4" x14ac:dyDescent="0.2">
      <c r="A973" s="397">
        <v>43727</v>
      </c>
      <c r="B973" s="384">
        <v>205191.98</v>
      </c>
      <c r="C973" s="397"/>
      <c r="D973" s="384"/>
    </row>
    <row r="974" spans="1:4" x14ac:dyDescent="0.2">
      <c r="A974" s="397">
        <v>43728</v>
      </c>
      <c r="B974" s="384">
        <v>205884.98</v>
      </c>
      <c r="C974" s="397"/>
      <c r="D974" s="384"/>
    </row>
    <row r="975" spans="1:4" x14ac:dyDescent="0.2">
      <c r="A975" s="397">
        <v>43731</v>
      </c>
      <c r="B975" s="384">
        <v>205884.98</v>
      </c>
      <c r="C975" s="397"/>
      <c r="D975" s="384"/>
    </row>
    <row r="976" spans="1:4" x14ac:dyDescent="0.2">
      <c r="A976" s="397">
        <v>43732</v>
      </c>
      <c r="B976" s="384">
        <v>205884.98</v>
      </c>
      <c r="C976" s="397"/>
      <c r="D976" s="384"/>
    </row>
    <row r="977" spans="1:4" x14ac:dyDescent="0.2">
      <c r="A977" s="397">
        <v>43733</v>
      </c>
      <c r="B977" s="384">
        <v>231641.34</v>
      </c>
      <c r="C977" s="397"/>
      <c r="D977" s="384"/>
    </row>
    <row r="978" spans="1:4" x14ac:dyDescent="0.2">
      <c r="A978" s="397">
        <v>43734</v>
      </c>
      <c r="B978" s="384">
        <v>236338.62</v>
      </c>
      <c r="C978" s="397"/>
      <c r="D978" s="384"/>
    </row>
    <row r="979" spans="1:4" x14ac:dyDescent="0.2">
      <c r="A979" s="397">
        <v>43735</v>
      </c>
      <c r="B979" s="384">
        <v>269514.5</v>
      </c>
      <c r="C979" s="397"/>
      <c r="D979" s="384"/>
    </row>
    <row r="980" spans="1:4" x14ac:dyDescent="0.2">
      <c r="A980" s="397">
        <v>43738</v>
      </c>
      <c r="B980" s="384">
        <v>287654.26</v>
      </c>
      <c r="C980" s="397"/>
      <c r="D980" s="384"/>
    </row>
    <row r="981" spans="1:4" x14ac:dyDescent="0.2">
      <c r="A981" s="397">
        <v>43739</v>
      </c>
      <c r="B981" s="384">
        <v>254047.41</v>
      </c>
      <c r="C981" s="397"/>
      <c r="D981" s="384"/>
    </row>
    <row r="982" spans="1:4" x14ac:dyDescent="0.2">
      <c r="A982" s="397">
        <v>43740</v>
      </c>
      <c r="B982" s="384">
        <v>254047</v>
      </c>
      <c r="C982" s="397"/>
      <c r="D982" s="384"/>
    </row>
    <row r="983" spans="1:4" x14ac:dyDescent="0.2">
      <c r="A983" s="397">
        <v>43741</v>
      </c>
      <c r="B983" s="384">
        <v>244596.04</v>
      </c>
      <c r="C983" s="397"/>
      <c r="D983" s="384"/>
    </row>
    <row r="984" spans="1:4" x14ac:dyDescent="0.2">
      <c r="A984" s="397">
        <v>43742</v>
      </c>
      <c r="B984" s="384">
        <v>244881.04</v>
      </c>
      <c r="C984" s="397"/>
      <c r="D984" s="384"/>
    </row>
    <row r="985" spans="1:4" x14ac:dyDescent="0.2">
      <c r="A985" s="397">
        <v>43745</v>
      </c>
      <c r="B985" s="384">
        <v>244881</v>
      </c>
      <c r="C985" s="397"/>
      <c r="D985" s="384"/>
    </row>
    <row r="986" spans="1:4" x14ac:dyDescent="0.2">
      <c r="A986" s="397">
        <v>43746</v>
      </c>
      <c r="B986" s="384">
        <v>244881</v>
      </c>
      <c r="C986" s="397"/>
      <c r="D986" s="384"/>
    </row>
    <row r="987" spans="1:4" x14ac:dyDescent="0.2">
      <c r="A987" s="397">
        <v>43747</v>
      </c>
      <c r="B987" s="384">
        <v>244881</v>
      </c>
      <c r="C987" s="397"/>
      <c r="D987" s="384"/>
    </row>
    <row r="988" spans="1:4" x14ac:dyDescent="0.2">
      <c r="A988" s="397">
        <v>43748</v>
      </c>
      <c r="B988" s="384">
        <v>247845.59</v>
      </c>
      <c r="C988" s="397"/>
      <c r="D988" s="384"/>
    </row>
    <row r="989" spans="1:4" x14ac:dyDescent="0.2">
      <c r="A989" s="397">
        <v>43749</v>
      </c>
      <c r="B989" s="384">
        <v>247846</v>
      </c>
      <c r="C989" s="397"/>
      <c r="D989" s="384"/>
    </row>
    <row r="990" spans="1:4" x14ac:dyDescent="0.2">
      <c r="A990" s="397">
        <v>43752</v>
      </c>
      <c r="B990" s="384">
        <v>247846</v>
      </c>
      <c r="C990" s="397"/>
      <c r="D990" s="384"/>
    </row>
    <row r="991" spans="1:4" x14ac:dyDescent="0.2">
      <c r="A991" s="397">
        <v>43753</v>
      </c>
      <c r="B991" s="384">
        <v>183161.53</v>
      </c>
      <c r="C991" s="397"/>
      <c r="D991" s="384"/>
    </row>
    <row r="992" spans="1:4" x14ac:dyDescent="0.2">
      <c r="A992" s="397">
        <v>43754</v>
      </c>
      <c r="B992" s="384">
        <v>185786.19</v>
      </c>
      <c r="C992" s="397"/>
      <c r="D992" s="384"/>
    </row>
    <row r="993" spans="1:4" x14ac:dyDescent="0.2">
      <c r="A993" s="397">
        <v>43755</v>
      </c>
      <c r="B993" s="384">
        <v>160581.73000000001</v>
      </c>
      <c r="C993" s="397"/>
      <c r="D993" s="384"/>
    </row>
    <row r="994" spans="1:4" x14ac:dyDescent="0.2">
      <c r="A994" s="397">
        <v>43756</v>
      </c>
      <c r="B994" s="384">
        <v>160581.73000000001</v>
      </c>
      <c r="C994" s="397"/>
      <c r="D994" s="384"/>
    </row>
    <row r="995" spans="1:4" x14ac:dyDescent="0.2">
      <c r="A995" s="397">
        <v>43759</v>
      </c>
      <c r="B995" s="384">
        <v>160581.73000000001</v>
      </c>
      <c r="C995" s="397"/>
      <c r="D995" s="384"/>
    </row>
    <row r="996" spans="1:4" x14ac:dyDescent="0.2">
      <c r="A996" s="397">
        <v>43760</v>
      </c>
      <c r="B996" s="384">
        <v>160581.73000000001</v>
      </c>
      <c r="C996" s="397"/>
      <c r="D996" s="384"/>
    </row>
    <row r="997" spans="1:4" x14ac:dyDescent="0.2">
      <c r="A997" s="397">
        <v>43761</v>
      </c>
      <c r="B997" s="384">
        <v>171996.42</v>
      </c>
      <c r="C997" s="397"/>
      <c r="D997" s="384"/>
    </row>
    <row r="998" spans="1:4" x14ac:dyDescent="0.2">
      <c r="A998" s="397">
        <v>43762</v>
      </c>
      <c r="B998" s="384">
        <v>167352.24</v>
      </c>
      <c r="C998" s="397"/>
      <c r="D998" s="384"/>
    </row>
    <row r="999" spans="1:4" x14ac:dyDescent="0.2">
      <c r="A999" s="397">
        <v>43763</v>
      </c>
      <c r="B999" s="384">
        <v>166766.24</v>
      </c>
      <c r="C999" s="397"/>
      <c r="D999" s="384"/>
    </row>
    <row r="1000" spans="1:4" x14ac:dyDescent="0.2">
      <c r="A1000" s="397">
        <v>43766</v>
      </c>
      <c r="B1000" s="425">
        <v>129051.26</v>
      </c>
      <c r="C1000" s="397"/>
      <c r="D1000" s="384"/>
    </row>
    <row r="1001" spans="1:4" x14ac:dyDescent="0.2">
      <c r="A1001" s="397">
        <v>43767</v>
      </c>
      <c r="B1001" s="384">
        <v>132306.64000000001</v>
      </c>
      <c r="C1001" s="397"/>
      <c r="D1001" s="384"/>
    </row>
    <row r="1002" spans="1:4" x14ac:dyDescent="0.2">
      <c r="A1002" s="397">
        <v>43768</v>
      </c>
      <c r="B1002" s="384">
        <v>181475.08</v>
      </c>
      <c r="C1002" s="397"/>
      <c r="D1002" s="384"/>
    </row>
    <row r="1003" spans="1:4" x14ac:dyDescent="0.2">
      <c r="A1003" s="397">
        <v>43769</v>
      </c>
      <c r="B1003" s="384">
        <v>169335.94</v>
      </c>
      <c r="C1003" s="397"/>
      <c r="D1003" s="384"/>
    </row>
    <row r="1004" spans="1:4" x14ac:dyDescent="0.2">
      <c r="A1004" s="397">
        <v>43770</v>
      </c>
      <c r="B1004" s="384">
        <v>171521.13</v>
      </c>
      <c r="C1004" s="397"/>
      <c r="D1004" s="384"/>
    </row>
    <row r="1005" spans="1:4" x14ac:dyDescent="0.2">
      <c r="A1005" s="397">
        <v>43773</v>
      </c>
      <c r="B1005" s="384">
        <v>171521</v>
      </c>
      <c r="C1005" s="397"/>
      <c r="D1005" s="384"/>
    </row>
    <row r="1006" spans="1:4" x14ac:dyDescent="0.2">
      <c r="A1006" s="397">
        <v>43774</v>
      </c>
      <c r="B1006" s="384">
        <v>171521</v>
      </c>
      <c r="C1006" s="397"/>
      <c r="D1006" s="384"/>
    </row>
    <row r="1007" spans="1:4" x14ac:dyDescent="0.2">
      <c r="A1007" s="397">
        <v>43775</v>
      </c>
      <c r="B1007" s="384">
        <v>201934.13</v>
      </c>
      <c r="C1007" s="397"/>
      <c r="D1007" s="384"/>
    </row>
    <row r="1008" spans="1:4" x14ac:dyDescent="0.2">
      <c r="A1008" s="397">
        <v>43776</v>
      </c>
      <c r="B1008" s="384">
        <v>198457.3</v>
      </c>
      <c r="C1008" s="397"/>
      <c r="D1008" s="384"/>
    </row>
    <row r="1009" spans="1:4" x14ac:dyDescent="0.2">
      <c r="A1009" s="397">
        <v>43777</v>
      </c>
      <c r="B1009" s="384">
        <v>198457</v>
      </c>
      <c r="C1009" s="397"/>
      <c r="D1009" s="384"/>
    </row>
    <row r="1010" spans="1:4" x14ac:dyDescent="0.2">
      <c r="A1010" s="397">
        <v>43780</v>
      </c>
      <c r="B1010" s="384">
        <v>164046.53</v>
      </c>
      <c r="C1010" s="397"/>
      <c r="D1010" s="384"/>
    </row>
    <row r="1011" spans="1:4" x14ac:dyDescent="0.2">
      <c r="A1011" s="397">
        <v>43781</v>
      </c>
      <c r="B1011" s="384">
        <v>164047</v>
      </c>
      <c r="C1011" s="397"/>
      <c r="D1011" s="384"/>
    </row>
    <row r="1012" spans="1:4" x14ac:dyDescent="0.2">
      <c r="A1012" s="397">
        <v>43782</v>
      </c>
      <c r="B1012" s="384">
        <v>198779.19</v>
      </c>
      <c r="C1012" s="397"/>
      <c r="D1012" s="384"/>
    </row>
    <row r="1013" spans="1:4" x14ac:dyDescent="0.2">
      <c r="A1013" s="397">
        <v>43783</v>
      </c>
      <c r="B1013" s="384">
        <v>188221.13</v>
      </c>
      <c r="C1013" s="397"/>
      <c r="D1013" s="384"/>
    </row>
    <row r="1014" spans="1:4" x14ac:dyDescent="0.2">
      <c r="A1014" s="397">
        <v>43784</v>
      </c>
      <c r="B1014" s="384">
        <v>190279.89</v>
      </c>
      <c r="C1014" s="397"/>
      <c r="D1014" s="384"/>
    </row>
    <row r="1015" spans="1:4" x14ac:dyDescent="0.2">
      <c r="A1015" s="397">
        <v>43787</v>
      </c>
      <c r="B1015" s="384">
        <v>190179.89</v>
      </c>
      <c r="C1015" s="397"/>
      <c r="D1015" s="384"/>
    </row>
    <row r="1016" spans="1:4" x14ac:dyDescent="0.2">
      <c r="A1016" s="397">
        <v>43788</v>
      </c>
      <c r="B1016" s="384">
        <v>190180</v>
      </c>
      <c r="C1016" s="397"/>
      <c r="D1016" s="384"/>
    </row>
    <row r="1017" spans="1:4" x14ac:dyDescent="0.2">
      <c r="A1017" s="397">
        <v>43789</v>
      </c>
      <c r="B1017" s="384">
        <v>190180</v>
      </c>
      <c r="C1017" s="397"/>
      <c r="D1017" s="384"/>
    </row>
    <row r="1018" spans="1:4" x14ac:dyDescent="0.2">
      <c r="A1018" s="397">
        <v>43790</v>
      </c>
      <c r="B1018" s="384">
        <v>188919.3</v>
      </c>
      <c r="C1018" s="397"/>
      <c r="D1018" s="384"/>
    </row>
    <row r="1019" spans="1:4" x14ac:dyDescent="0.2">
      <c r="A1019" s="397">
        <v>43791</v>
      </c>
      <c r="B1019" s="384">
        <v>188919</v>
      </c>
      <c r="C1019" s="397"/>
      <c r="D1019" s="384"/>
    </row>
    <row r="1020" spans="1:4" x14ac:dyDescent="0.2">
      <c r="A1020" s="397">
        <v>43794</v>
      </c>
      <c r="B1020" s="384">
        <v>153349.64000000001</v>
      </c>
      <c r="C1020" s="397"/>
      <c r="D1020" s="384"/>
    </row>
    <row r="1021" spans="1:4" x14ac:dyDescent="0.2">
      <c r="A1021" s="397">
        <v>43795</v>
      </c>
      <c r="B1021" s="384">
        <v>153226.64000000001</v>
      </c>
      <c r="C1021" s="397"/>
      <c r="D1021" s="384"/>
    </row>
    <row r="1022" spans="1:4" x14ac:dyDescent="0.2">
      <c r="A1022" s="397">
        <v>43796</v>
      </c>
      <c r="B1022" s="384">
        <v>154369.64000000001</v>
      </c>
      <c r="C1022" s="397"/>
      <c r="D1022" s="384"/>
    </row>
    <row r="1023" spans="1:4" x14ac:dyDescent="0.2">
      <c r="A1023" s="397">
        <v>43797</v>
      </c>
      <c r="B1023" s="384">
        <v>154370</v>
      </c>
      <c r="C1023" s="397"/>
      <c r="D1023" s="384"/>
    </row>
    <row r="1024" spans="1:4" x14ac:dyDescent="0.2">
      <c r="A1024" s="397">
        <v>43798</v>
      </c>
      <c r="B1024" s="384">
        <v>237011.17</v>
      </c>
      <c r="C1024" s="397"/>
      <c r="D1024" s="384"/>
    </row>
    <row r="1025" spans="1:4" x14ac:dyDescent="0.2">
      <c r="A1025" s="397">
        <v>43801</v>
      </c>
      <c r="B1025" s="384">
        <v>237011</v>
      </c>
      <c r="C1025" s="397"/>
      <c r="D1025" s="384"/>
    </row>
    <row r="1026" spans="1:4" x14ac:dyDescent="0.2">
      <c r="A1026" s="397">
        <v>43802</v>
      </c>
      <c r="B1026" s="384">
        <v>237011</v>
      </c>
      <c r="C1026" s="397"/>
      <c r="D1026" s="384"/>
    </row>
    <row r="1027" spans="1:4" x14ac:dyDescent="0.2">
      <c r="A1027" s="397">
        <v>43803</v>
      </c>
      <c r="B1027" s="384">
        <v>237011</v>
      </c>
      <c r="C1027" s="397"/>
      <c r="D1027" s="384"/>
    </row>
    <row r="1028" spans="1:4" x14ac:dyDescent="0.2">
      <c r="A1028" s="397">
        <v>43804</v>
      </c>
      <c r="B1028" s="384">
        <v>229967.75</v>
      </c>
      <c r="C1028" s="397"/>
      <c r="D1028" s="384"/>
    </row>
    <row r="1029" spans="1:4" x14ac:dyDescent="0.2">
      <c r="A1029" s="397">
        <v>43805</v>
      </c>
      <c r="B1029" s="384">
        <v>229968</v>
      </c>
      <c r="C1029" s="397"/>
      <c r="D1029" s="384"/>
    </row>
    <row r="1030" spans="1:4" x14ac:dyDescent="0.2">
      <c r="A1030" s="397">
        <v>43808</v>
      </c>
      <c r="B1030" s="384">
        <v>193352.99</v>
      </c>
      <c r="C1030" s="397"/>
      <c r="D1030" s="384"/>
    </row>
    <row r="1031" spans="1:4" x14ac:dyDescent="0.2">
      <c r="A1031" s="397">
        <v>43809</v>
      </c>
      <c r="B1031" s="384">
        <v>193629.99</v>
      </c>
      <c r="C1031" s="397"/>
      <c r="D1031" s="384"/>
    </row>
    <row r="1032" spans="1:4" x14ac:dyDescent="0.2">
      <c r="A1032" s="397">
        <v>43810</v>
      </c>
      <c r="B1032" s="384">
        <v>193630</v>
      </c>
      <c r="C1032" s="397"/>
      <c r="D1032" s="384"/>
    </row>
    <row r="1033" spans="1:4" x14ac:dyDescent="0.2">
      <c r="A1033" s="397">
        <v>43811</v>
      </c>
      <c r="B1033" s="384">
        <v>193945</v>
      </c>
      <c r="C1033" s="397"/>
      <c r="D1033" s="384"/>
    </row>
    <row r="1034" spans="1:4" x14ac:dyDescent="0.2">
      <c r="A1034" s="397">
        <v>43812</v>
      </c>
      <c r="B1034" s="384">
        <v>196370.92</v>
      </c>
      <c r="C1034" s="397"/>
      <c r="D1034" s="384"/>
    </row>
    <row r="1035" spans="1:4" x14ac:dyDescent="0.2">
      <c r="A1035" s="397">
        <v>43815</v>
      </c>
      <c r="B1035" s="384">
        <v>196370.92</v>
      </c>
      <c r="C1035" s="397"/>
      <c r="D1035" s="384"/>
    </row>
    <row r="1036" spans="1:4" x14ac:dyDescent="0.2">
      <c r="A1036" s="397">
        <v>43816</v>
      </c>
      <c r="B1036" s="384">
        <v>196370.92</v>
      </c>
      <c r="C1036" s="397"/>
      <c r="D1036" s="384"/>
    </row>
    <row r="1037" spans="1:4" x14ac:dyDescent="0.2">
      <c r="A1037" s="397">
        <v>43817</v>
      </c>
      <c r="B1037" s="384">
        <v>196370.92</v>
      </c>
      <c r="C1037" s="397"/>
      <c r="D1037" s="384"/>
    </row>
    <row r="1038" spans="1:4" x14ac:dyDescent="0.2">
      <c r="A1038" s="397">
        <v>43818</v>
      </c>
      <c r="B1038" s="384">
        <v>194997.56</v>
      </c>
      <c r="C1038" s="397"/>
      <c r="D1038" s="384"/>
    </row>
    <row r="1039" spans="1:4" x14ac:dyDescent="0.2">
      <c r="A1039" s="397">
        <v>43819</v>
      </c>
      <c r="B1039" s="384">
        <v>194998</v>
      </c>
      <c r="C1039" s="397"/>
      <c r="D1039" s="384"/>
    </row>
    <row r="1040" spans="1:4" x14ac:dyDescent="0.2">
      <c r="A1040" s="397">
        <v>43822</v>
      </c>
      <c r="B1040" s="384">
        <v>158280.26999999999</v>
      </c>
      <c r="C1040" s="397"/>
      <c r="D1040" s="384"/>
    </row>
    <row r="1041" spans="1:4" x14ac:dyDescent="0.2">
      <c r="A1041" s="397">
        <v>43823</v>
      </c>
      <c r="B1041" s="384">
        <v>163840.26999999999</v>
      </c>
      <c r="C1041" s="397"/>
      <c r="D1041" s="384"/>
    </row>
    <row r="1042" spans="1:4" x14ac:dyDescent="0.2">
      <c r="A1042" s="397">
        <v>43824</v>
      </c>
      <c r="B1042" s="384">
        <v>163840</v>
      </c>
      <c r="C1042" s="397"/>
      <c r="D1042" s="384"/>
    </row>
    <row r="1043" spans="1:4" x14ac:dyDescent="0.2">
      <c r="A1043" s="397">
        <v>43825</v>
      </c>
      <c r="B1043" s="384">
        <v>213174.46</v>
      </c>
      <c r="C1043" s="397"/>
      <c r="D1043" s="384"/>
    </row>
    <row r="1044" spans="1:4" x14ac:dyDescent="0.2">
      <c r="A1044" s="397">
        <v>43826</v>
      </c>
      <c r="B1044" s="384">
        <v>212851.46</v>
      </c>
      <c r="C1044" s="397"/>
      <c r="D1044" s="384"/>
    </row>
    <row r="1045" spans="1:4" x14ac:dyDescent="0.2">
      <c r="A1045" s="397">
        <v>43829</v>
      </c>
      <c r="B1045" s="384">
        <v>212221.74</v>
      </c>
      <c r="C1045" s="397"/>
      <c r="D1045" s="384"/>
    </row>
    <row r="1046" spans="1:4" x14ac:dyDescent="0.2">
      <c r="A1046" s="397">
        <v>43830</v>
      </c>
      <c r="B1046" s="384">
        <v>189055.83</v>
      </c>
      <c r="C1046" s="397"/>
      <c r="D1046" s="384"/>
    </row>
    <row r="1047" spans="1:4" ht="15" x14ac:dyDescent="0.25">
      <c r="A1047" s="561">
        <v>43831</v>
      </c>
      <c r="B1047" s="384">
        <v>189056</v>
      </c>
      <c r="C1047" s="397"/>
      <c r="D1047" s="384"/>
    </row>
    <row r="1048" spans="1:4" ht="15" x14ac:dyDescent="0.25">
      <c r="A1048" s="561">
        <v>43832</v>
      </c>
      <c r="B1048" s="384">
        <v>206403.28</v>
      </c>
      <c r="C1048" s="397"/>
      <c r="D1048" s="384"/>
    </row>
    <row r="1049" spans="1:4" ht="15" x14ac:dyDescent="0.25">
      <c r="A1049" s="561">
        <v>43833</v>
      </c>
      <c r="B1049" s="384">
        <v>206217.28</v>
      </c>
      <c r="C1049" s="397"/>
      <c r="D1049" s="384"/>
    </row>
    <row r="1050" spans="1:4" ht="15" x14ac:dyDescent="0.25">
      <c r="A1050" s="561">
        <v>43836</v>
      </c>
      <c r="B1050" s="384">
        <v>206129.28</v>
      </c>
      <c r="C1050" s="397"/>
      <c r="D1050" s="384"/>
    </row>
    <row r="1051" spans="1:4" ht="15" x14ac:dyDescent="0.25">
      <c r="A1051" s="561">
        <v>43837</v>
      </c>
      <c r="B1051" s="384">
        <v>172858.39</v>
      </c>
      <c r="C1051" s="397"/>
      <c r="D1051" s="384"/>
    </row>
    <row r="1052" spans="1:4" ht="15" x14ac:dyDescent="0.25">
      <c r="A1052" s="561">
        <v>43838</v>
      </c>
      <c r="B1052" s="384">
        <v>172585</v>
      </c>
      <c r="C1052" s="397"/>
      <c r="D1052" s="384"/>
    </row>
    <row r="1053" spans="1:4" ht="15" x14ac:dyDescent="0.25">
      <c r="A1053" s="561">
        <v>43839</v>
      </c>
      <c r="B1053" s="384">
        <v>184752.38</v>
      </c>
      <c r="C1053" s="397"/>
      <c r="D1053" s="384"/>
    </row>
    <row r="1054" spans="1:4" ht="15" x14ac:dyDescent="0.25">
      <c r="A1054" s="561">
        <v>43840</v>
      </c>
      <c r="B1054" s="384">
        <v>199849.93</v>
      </c>
      <c r="C1054" s="397"/>
      <c r="D1054" s="384"/>
    </row>
    <row r="1055" spans="1:4" ht="15" x14ac:dyDescent="0.25">
      <c r="A1055" s="561">
        <v>43843</v>
      </c>
      <c r="B1055" s="384">
        <v>199850</v>
      </c>
      <c r="C1055" s="397"/>
      <c r="D1055" s="384"/>
    </row>
    <row r="1056" spans="1:4" ht="15" x14ac:dyDescent="0.25">
      <c r="A1056" s="561">
        <v>43844</v>
      </c>
      <c r="B1056" s="384">
        <v>199850</v>
      </c>
      <c r="C1056" s="397"/>
      <c r="D1056" s="384"/>
    </row>
    <row r="1057" spans="1:4" ht="15" x14ac:dyDescent="0.25">
      <c r="A1057" s="561">
        <v>43845</v>
      </c>
      <c r="B1057" s="384">
        <v>199942.09</v>
      </c>
      <c r="C1057" s="397"/>
      <c r="D1057" s="384"/>
    </row>
    <row r="1058" spans="1:4" ht="15" x14ac:dyDescent="0.25">
      <c r="A1058" s="561">
        <v>43846</v>
      </c>
      <c r="B1058" s="384">
        <v>197586.14</v>
      </c>
      <c r="C1058" s="397"/>
      <c r="D1058" s="384"/>
    </row>
    <row r="1059" spans="1:4" ht="15" x14ac:dyDescent="0.25">
      <c r="A1059" s="561">
        <v>43847</v>
      </c>
      <c r="B1059" s="384">
        <v>197586</v>
      </c>
      <c r="C1059" s="397"/>
      <c r="D1059" s="384"/>
    </row>
    <row r="1060" spans="1:4" ht="15" x14ac:dyDescent="0.25">
      <c r="A1060" s="561">
        <v>43850</v>
      </c>
      <c r="B1060" s="384">
        <v>197586</v>
      </c>
      <c r="C1060" s="397"/>
      <c r="D1060" s="384"/>
    </row>
    <row r="1061" spans="1:4" ht="15" x14ac:dyDescent="0.25">
      <c r="A1061" s="561">
        <v>43851</v>
      </c>
      <c r="B1061" s="384">
        <v>160213.23000000001</v>
      </c>
      <c r="C1061" s="397"/>
      <c r="D1061" s="384"/>
    </row>
    <row r="1062" spans="1:4" ht="15" x14ac:dyDescent="0.25">
      <c r="A1062" s="561">
        <v>43852</v>
      </c>
      <c r="B1062" s="384">
        <v>160213</v>
      </c>
      <c r="C1062" s="397"/>
      <c r="D1062" s="384"/>
    </row>
    <row r="1063" spans="1:4" ht="15" x14ac:dyDescent="0.25">
      <c r="A1063" s="561">
        <v>43853</v>
      </c>
      <c r="B1063" s="384">
        <v>178835.97</v>
      </c>
      <c r="C1063" s="397"/>
      <c r="D1063" s="384"/>
    </row>
    <row r="1064" spans="1:4" ht="15" x14ac:dyDescent="0.25">
      <c r="A1064" s="561">
        <v>43854</v>
      </c>
      <c r="B1064" s="384">
        <v>177774.06</v>
      </c>
      <c r="C1064" s="397"/>
      <c r="D1064" s="384"/>
    </row>
    <row r="1065" spans="1:4" ht="15" x14ac:dyDescent="0.25">
      <c r="A1065" s="561">
        <v>43857</v>
      </c>
      <c r="B1065" s="384">
        <v>177774</v>
      </c>
      <c r="C1065" s="397"/>
      <c r="D1065" s="384"/>
    </row>
    <row r="1066" spans="1:4" ht="15" x14ac:dyDescent="0.25">
      <c r="A1066" s="561">
        <v>43858</v>
      </c>
      <c r="B1066" s="384">
        <v>177774</v>
      </c>
      <c r="C1066" s="397"/>
      <c r="D1066" s="384"/>
    </row>
    <row r="1067" spans="1:4" ht="15" x14ac:dyDescent="0.25">
      <c r="A1067" s="561">
        <v>43859</v>
      </c>
      <c r="B1067" s="384">
        <v>253459.84</v>
      </c>
      <c r="C1067" s="397"/>
      <c r="D1067" s="384"/>
    </row>
    <row r="1068" spans="1:4" ht="15" x14ac:dyDescent="0.25">
      <c r="A1068" s="561">
        <v>43860</v>
      </c>
      <c r="B1068" s="384">
        <v>235320.22</v>
      </c>
      <c r="C1068" s="397"/>
      <c r="D1068" s="384"/>
    </row>
    <row r="1069" spans="1:4" ht="15" x14ac:dyDescent="0.25">
      <c r="A1069" s="561">
        <v>43861</v>
      </c>
      <c r="B1069" s="384">
        <v>235320</v>
      </c>
      <c r="C1069" s="397"/>
      <c r="D1069" s="384"/>
    </row>
    <row r="1070" spans="1:4" ht="15" x14ac:dyDescent="0.25">
      <c r="A1070" s="561">
        <v>43864</v>
      </c>
      <c r="B1070" s="384">
        <v>198483.96</v>
      </c>
      <c r="C1070" s="397"/>
      <c r="D1070" s="384"/>
    </row>
    <row r="1071" spans="1:4" ht="15" x14ac:dyDescent="0.25">
      <c r="A1071" s="561">
        <v>43865</v>
      </c>
      <c r="B1071" s="384">
        <v>212819.68</v>
      </c>
      <c r="C1071" s="397"/>
      <c r="D1071" s="384"/>
    </row>
    <row r="1072" spans="1:4" ht="15" x14ac:dyDescent="0.25">
      <c r="A1072" s="561">
        <v>43866</v>
      </c>
      <c r="B1072" s="384">
        <v>212820</v>
      </c>
      <c r="C1072" s="397"/>
      <c r="D1072" s="384"/>
    </row>
    <row r="1073" spans="1:4" ht="15" x14ac:dyDescent="0.25">
      <c r="A1073" s="561">
        <v>43867</v>
      </c>
      <c r="B1073" s="384">
        <v>212584.24</v>
      </c>
      <c r="C1073" s="397"/>
      <c r="D1073" s="384"/>
    </row>
    <row r="1074" spans="1:4" ht="15" x14ac:dyDescent="0.25">
      <c r="A1074" s="561">
        <v>43868</v>
      </c>
      <c r="B1074" s="384">
        <v>270092.23</v>
      </c>
      <c r="C1074" s="397"/>
      <c r="D1074" s="384"/>
    </row>
    <row r="1075" spans="1:4" ht="15" x14ac:dyDescent="0.25">
      <c r="A1075" s="561">
        <v>43871</v>
      </c>
      <c r="B1075" s="384">
        <v>270092</v>
      </c>
      <c r="C1075" s="397"/>
      <c r="D1075" s="384"/>
    </row>
    <row r="1076" spans="1:4" ht="15" x14ac:dyDescent="0.25">
      <c r="A1076" s="561">
        <v>43872</v>
      </c>
      <c r="B1076" s="384">
        <v>273133.13</v>
      </c>
      <c r="C1076" s="397"/>
      <c r="D1076" s="384"/>
    </row>
    <row r="1077" spans="1:4" ht="15" x14ac:dyDescent="0.25">
      <c r="A1077" s="561">
        <v>43873</v>
      </c>
      <c r="B1077" s="384">
        <v>273133</v>
      </c>
      <c r="C1077" s="397"/>
      <c r="D1077" s="384"/>
    </row>
    <row r="1078" spans="1:4" ht="15" x14ac:dyDescent="0.25">
      <c r="A1078" s="561">
        <v>43874</v>
      </c>
      <c r="B1078" s="384">
        <v>280484.09000000003</v>
      </c>
      <c r="C1078" s="397"/>
      <c r="D1078" s="384"/>
    </row>
    <row r="1079" spans="1:4" ht="15" x14ac:dyDescent="0.25">
      <c r="A1079" s="561">
        <v>43875</v>
      </c>
      <c r="B1079" s="384">
        <v>279225.67</v>
      </c>
      <c r="C1079" s="397"/>
      <c r="D1079" s="384"/>
    </row>
    <row r="1080" spans="1:4" ht="15" x14ac:dyDescent="0.25">
      <c r="A1080" s="561">
        <v>43878</v>
      </c>
      <c r="B1080" s="384">
        <v>279226</v>
      </c>
      <c r="C1080" s="397"/>
      <c r="D1080" s="384"/>
    </row>
    <row r="1081" spans="1:4" ht="15" x14ac:dyDescent="0.25">
      <c r="A1081" s="561">
        <v>43879</v>
      </c>
      <c r="B1081" s="384">
        <v>241740.68</v>
      </c>
      <c r="C1081" s="397"/>
      <c r="D1081" s="384"/>
    </row>
    <row r="1082" spans="1:4" ht="15" x14ac:dyDescent="0.25">
      <c r="A1082" s="561">
        <v>43880</v>
      </c>
      <c r="B1082" s="384">
        <v>268478</v>
      </c>
      <c r="C1082" s="397"/>
      <c r="D1082" s="384"/>
    </row>
    <row r="1083" spans="1:4" ht="15" x14ac:dyDescent="0.25">
      <c r="A1083" s="561">
        <v>43881</v>
      </c>
      <c r="B1083" s="384">
        <v>258524.93</v>
      </c>
      <c r="C1083" s="397"/>
      <c r="D1083" s="384"/>
    </row>
    <row r="1084" spans="1:4" ht="15" x14ac:dyDescent="0.25">
      <c r="A1084" s="561">
        <v>43882</v>
      </c>
      <c r="B1084" s="384">
        <v>277316.53000000003</v>
      </c>
      <c r="C1084" s="397"/>
      <c r="D1084" s="384"/>
    </row>
    <row r="1085" spans="1:4" ht="15" x14ac:dyDescent="0.25">
      <c r="A1085" s="561">
        <v>43885</v>
      </c>
      <c r="B1085" s="384">
        <v>277317</v>
      </c>
      <c r="C1085" s="397"/>
      <c r="D1085" s="384"/>
    </row>
    <row r="1086" spans="1:4" ht="15" x14ac:dyDescent="0.25">
      <c r="A1086" s="561">
        <v>43886</v>
      </c>
      <c r="B1086" s="384">
        <v>279881.78999999998</v>
      </c>
      <c r="C1086" s="397"/>
      <c r="D1086" s="384"/>
    </row>
    <row r="1087" spans="1:4" ht="15" x14ac:dyDescent="0.25">
      <c r="A1087" s="561">
        <v>43887</v>
      </c>
      <c r="B1087" s="384">
        <v>279882</v>
      </c>
      <c r="C1087" s="397"/>
      <c r="D1087" s="384"/>
    </row>
    <row r="1088" spans="1:4" ht="15" x14ac:dyDescent="0.25">
      <c r="A1088" s="561">
        <v>43888</v>
      </c>
      <c r="B1088" s="384">
        <v>270773.33</v>
      </c>
      <c r="C1088" s="397"/>
      <c r="D1088" s="384"/>
    </row>
    <row r="1089" spans="1:4" ht="15" x14ac:dyDescent="0.25">
      <c r="A1089" s="561">
        <v>43889</v>
      </c>
      <c r="B1089" s="384">
        <v>306133.57</v>
      </c>
      <c r="C1089" s="397"/>
      <c r="D1089" s="384"/>
    </row>
    <row r="1090" spans="1:4" ht="15" x14ac:dyDescent="0.25">
      <c r="A1090" s="561">
        <v>43892</v>
      </c>
      <c r="B1090" s="384">
        <v>267343.68</v>
      </c>
      <c r="C1090" s="397"/>
      <c r="D1090" s="384"/>
    </row>
    <row r="1091" spans="1:4" ht="15" x14ac:dyDescent="0.25">
      <c r="A1091" s="561">
        <v>43893</v>
      </c>
      <c r="B1091" s="384">
        <v>267157.68</v>
      </c>
      <c r="C1091" s="397"/>
      <c r="D1091" s="384"/>
    </row>
    <row r="1092" spans="1:4" ht="15" x14ac:dyDescent="0.25">
      <c r="A1092" s="561">
        <v>43894</v>
      </c>
      <c r="B1092" s="384">
        <v>267157.68</v>
      </c>
      <c r="C1092" s="397"/>
      <c r="D1092" s="384"/>
    </row>
    <row r="1093" spans="1:4" ht="15" x14ac:dyDescent="0.25">
      <c r="A1093" s="561">
        <v>43895</v>
      </c>
      <c r="B1093" s="384">
        <v>264690.95</v>
      </c>
      <c r="C1093" s="397"/>
      <c r="D1093" s="384"/>
    </row>
    <row r="1094" spans="1:4" ht="15" x14ac:dyDescent="0.25">
      <c r="A1094" s="561">
        <v>43896</v>
      </c>
      <c r="B1094" s="384">
        <v>264495.03999999998</v>
      </c>
      <c r="C1094" s="397"/>
      <c r="D1094" s="384"/>
    </row>
    <row r="1095" spans="1:4" ht="15" x14ac:dyDescent="0.25">
      <c r="A1095" s="561">
        <v>43899</v>
      </c>
      <c r="B1095" s="384">
        <v>264495.03999999998</v>
      </c>
      <c r="C1095" s="397"/>
      <c r="D1095" s="384"/>
    </row>
    <row r="1096" spans="1:4" ht="15" x14ac:dyDescent="0.25">
      <c r="A1096" s="561">
        <v>43900</v>
      </c>
      <c r="B1096" s="384">
        <v>267283.63</v>
      </c>
      <c r="C1096" s="397"/>
      <c r="D1096" s="384"/>
    </row>
    <row r="1097" spans="1:4" ht="15" x14ac:dyDescent="0.25">
      <c r="A1097" s="561">
        <v>43901</v>
      </c>
      <c r="B1097" s="384">
        <v>267283.63</v>
      </c>
      <c r="C1097" s="397"/>
      <c r="D1097" s="384"/>
    </row>
    <row r="1098" spans="1:4" ht="15" x14ac:dyDescent="0.25">
      <c r="A1098" s="561">
        <v>43902</v>
      </c>
      <c r="B1098" s="384">
        <v>259537.69</v>
      </c>
      <c r="C1098" s="397"/>
      <c r="D1098" s="384"/>
    </row>
    <row r="1099" spans="1:4" ht="15" x14ac:dyDescent="0.25">
      <c r="A1099" s="561">
        <v>43903</v>
      </c>
      <c r="B1099" s="384">
        <v>259645.65</v>
      </c>
      <c r="C1099" s="397"/>
      <c r="D1099" s="384"/>
    </row>
    <row r="1100" spans="1:4" ht="15" x14ac:dyDescent="0.25">
      <c r="A1100" s="561">
        <v>43906</v>
      </c>
      <c r="B1100" s="384">
        <v>279221.03000000003</v>
      </c>
      <c r="C1100" s="397"/>
      <c r="D1100" s="384"/>
    </row>
    <row r="1101" spans="1:4" ht="15" x14ac:dyDescent="0.25">
      <c r="A1101" s="561">
        <v>43907</v>
      </c>
      <c r="B1101" s="384">
        <v>232150.36</v>
      </c>
      <c r="C1101" s="397"/>
      <c r="D1101" s="384"/>
    </row>
    <row r="1102" spans="1:4" ht="15" x14ac:dyDescent="0.25">
      <c r="A1102" s="561">
        <v>43908</v>
      </c>
      <c r="B1102" s="384">
        <v>274274.51</v>
      </c>
      <c r="C1102" s="397"/>
      <c r="D1102" s="384"/>
    </row>
    <row r="1103" spans="1:4" ht="15" x14ac:dyDescent="0.25">
      <c r="A1103" s="561">
        <v>43909</v>
      </c>
      <c r="B1103" s="384">
        <v>276629.48</v>
      </c>
      <c r="C1103" s="397"/>
      <c r="D1103" s="384"/>
    </row>
    <row r="1104" spans="1:4" ht="15" x14ac:dyDescent="0.25">
      <c r="A1104" s="561">
        <v>43910</v>
      </c>
      <c r="B1104" s="384">
        <v>276629.48</v>
      </c>
      <c r="C1104" s="397"/>
      <c r="D1104" s="384"/>
    </row>
    <row r="1105" spans="1:4" ht="15" x14ac:dyDescent="0.25">
      <c r="A1105" s="561">
        <v>43913</v>
      </c>
      <c r="B1105" s="384">
        <v>292626.55</v>
      </c>
      <c r="C1105" s="397"/>
      <c r="D1105" s="384"/>
    </row>
    <row r="1106" spans="1:4" ht="15" x14ac:dyDescent="0.25">
      <c r="A1106" s="561">
        <v>43914</v>
      </c>
      <c r="B1106" s="384">
        <v>292626.55</v>
      </c>
      <c r="C1106" s="397"/>
      <c r="D1106" s="384"/>
    </row>
    <row r="1107" spans="1:4" ht="15" x14ac:dyDescent="0.25">
      <c r="A1107" s="561">
        <v>43915</v>
      </c>
      <c r="B1107" s="384">
        <v>292626.55</v>
      </c>
      <c r="C1107" s="397"/>
      <c r="D1107" s="384"/>
    </row>
    <row r="1108" spans="1:4" ht="15" x14ac:dyDescent="0.25">
      <c r="A1108" s="561">
        <v>43916</v>
      </c>
      <c r="B1108" s="384">
        <v>292626.55</v>
      </c>
      <c r="C1108" s="397"/>
      <c r="D1108" s="384"/>
    </row>
    <row r="1109" spans="1:4" ht="15" x14ac:dyDescent="0.25">
      <c r="A1109" s="561">
        <v>43917</v>
      </c>
      <c r="B1109" s="384">
        <v>292582.55</v>
      </c>
      <c r="C1109" s="397"/>
      <c r="D1109" s="384"/>
    </row>
    <row r="1110" spans="1:4" ht="15" x14ac:dyDescent="0.25">
      <c r="A1110" s="561">
        <v>43920</v>
      </c>
      <c r="B1110" s="384">
        <v>292582.55</v>
      </c>
      <c r="C1110" s="397"/>
      <c r="D1110" s="384"/>
    </row>
    <row r="1111" spans="1:4" ht="15" x14ac:dyDescent="0.25">
      <c r="A1111" s="561">
        <v>43921</v>
      </c>
      <c r="B1111" s="384">
        <v>292582.55</v>
      </c>
      <c r="C1111" s="397"/>
      <c r="D1111" s="384"/>
    </row>
    <row r="1112" spans="1:4" ht="15" x14ac:dyDescent="0.25">
      <c r="A1112" s="561">
        <v>43922</v>
      </c>
      <c r="B1112" s="384">
        <v>256343.91</v>
      </c>
      <c r="C1112" s="397"/>
      <c r="D1112" s="384"/>
    </row>
    <row r="1113" spans="1:4" ht="15" x14ac:dyDescent="0.25">
      <c r="A1113" s="561">
        <v>43923</v>
      </c>
      <c r="B1113" s="384">
        <v>260066.55</v>
      </c>
      <c r="C1113" s="397"/>
      <c r="D1113" s="384"/>
    </row>
    <row r="1114" spans="1:4" ht="15" x14ac:dyDescent="0.25">
      <c r="A1114" s="561">
        <v>43924</v>
      </c>
      <c r="B1114" s="384">
        <v>259418.64</v>
      </c>
      <c r="C1114" s="397"/>
      <c r="D1114" s="384"/>
    </row>
    <row r="1115" spans="1:4" ht="15" x14ac:dyDescent="0.25">
      <c r="A1115" s="561">
        <v>43927</v>
      </c>
      <c r="B1115" s="384">
        <v>259418.64</v>
      </c>
      <c r="C1115" s="397"/>
      <c r="D1115" s="384"/>
    </row>
    <row r="1116" spans="1:4" ht="15" x14ac:dyDescent="0.25">
      <c r="A1116" s="561">
        <v>43928</v>
      </c>
      <c r="B1116" s="384">
        <v>259418.64</v>
      </c>
      <c r="C1116" s="397"/>
      <c r="D1116" s="384"/>
    </row>
    <row r="1117" spans="1:4" ht="15" x14ac:dyDescent="0.25">
      <c r="A1117" s="561">
        <v>43929</v>
      </c>
      <c r="B1117" s="384">
        <v>259418.64</v>
      </c>
      <c r="C1117" s="397"/>
      <c r="D1117" s="384"/>
    </row>
    <row r="1118" spans="1:4" ht="15" x14ac:dyDescent="0.25">
      <c r="A1118" s="561">
        <v>43930</v>
      </c>
      <c r="B1118" s="384">
        <v>256056.32000000001</v>
      </c>
      <c r="C1118" s="397"/>
      <c r="D1118" s="384"/>
    </row>
    <row r="1119" spans="1:4" ht="15" x14ac:dyDescent="0.25">
      <c r="A1119" s="561">
        <v>43931</v>
      </c>
      <c r="B1119" s="384">
        <v>256056.32000000001</v>
      </c>
      <c r="C1119" s="397"/>
      <c r="D1119" s="384"/>
    </row>
    <row r="1120" spans="1:4" ht="15" x14ac:dyDescent="0.25">
      <c r="A1120" s="561">
        <v>43934</v>
      </c>
      <c r="B1120" s="384">
        <v>256056.32000000001</v>
      </c>
      <c r="C1120" s="397"/>
      <c r="D1120" s="384"/>
    </row>
    <row r="1121" spans="1:4" ht="15" x14ac:dyDescent="0.25">
      <c r="A1121" s="561">
        <v>43935</v>
      </c>
      <c r="B1121" s="384">
        <v>256056.32000000001</v>
      </c>
      <c r="C1121" s="397"/>
      <c r="D1121" s="384"/>
    </row>
    <row r="1122" spans="1:4" ht="15" x14ac:dyDescent="0.25">
      <c r="A1122" s="561">
        <v>43936</v>
      </c>
      <c r="B1122" s="384">
        <v>222877.12</v>
      </c>
      <c r="C1122" s="397"/>
      <c r="D1122" s="384"/>
    </row>
    <row r="1123" spans="1:4" ht="15" x14ac:dyDescent="0.25">
      <c r="A1123" s="561">
        <v>43937</v>
      </c>
      <c r="B1123" s="384">
        <v>222877.12</v>
      </c>
      <c r="C1123" s="397"/>
      <c r="D1123" s="384"/>
    </row>
    <row r="1124" spans="1:4" ht="15" x14ac:dyDescent="0.25">
      <c r="A1124" s="561">
        <v>43938</v>
      </c>
      <c r="B1124" s="384">
        <v>222415.21</v>
      </c>
      <c r="C1124" s="397"/>
      <c r="D1124" s="384"/>
    </row>
    <row r="1125" spans="1:4" ht="15" x14ac:dyDescent="0.25">
      <c r="A1125" s="561">
        <v>43941</v>
      </c>
      <c r="B1125" s="384">
        <v>222415.21</v>
      </c>
      <c r="C1125" s="397"/>
      <c r="D1125" s="384"/>
    </row>
    <row r="1126" spans="1:4" ht="15" x14ac:dyDescent="0.25">
      <c r="A1126" s="561">
        <v>43942</v>
      </c>
      <c r="B1126" s="384">
        <v>222415.21</v>
      </c>
      <c r="C1126" s="397"/>
      <c r="D1126" s="384"/>
    </row>
    <row r="1127" spans="1:4" ht="15" x14ac:dyDescent="0.25">
      <c r="A1127" s="561">
        <v>43943</v>
      </c>
      <c r="B1127" s="384">
        <v>222415.21</v>
      </c>
      <c r="C1127" s="397"/>
      <c r="D1127" s="384"/>
    </row>
    <row r="1128" spans="1:4" ht="15" x14ac:dyDescent="0.25">
      <c r="A1128" s="561">
        <v>43944</v>
      </c>
      <c r="B1128" s="384">
        <v>185658.71</v>
      </c>
      <c r="C1128" s="397"/>
      <c r="D1128" s="384"/>
    </row>
    <row r="1129" spans="1:4" ht="15" x14ac:dyDescent="0.25">
      <c r="A1129" s="561">
        <v>43945</v>
      </c>
      <c r="B1129" s="384">
        <v>185658.71</v>
      </c>
      <c r="C1129" s="397"/>
      <c r="D1129" s="384"/>
    </row>
    <row r="1130" spans="1:4" ht="15" x14ac:dyDescent="0.25">
      <c r="A1130" s="561">
        <v>43948</v>
      </c>
      <c r="B1130" s="384">
        <v>185614.71</v>
      </c>
      <c r="C1130" s="397"/>
      <c r="D1130" s="384"/>
    </row>
    <row r="1131" spans="1:4" ht="15" x14ac:dyDescent="0.25">
      <c r="A1131" s="561">
        <v>43949</v>
      </c>
      <c r="B1131" s="425">
        <v>152434.01999999999</v>
      </c>
      <c r="C1131" s="397"/>
      <c r="D1131" s="425"/>
    </row>
    <row r="1132" spans="1:4" ht="15" x14ac:dyDescent="0.25">
      <c r="A1132" s="561">
        <v>43950</v>
      </c>
      <c r="B1132" s="384">
        <v>152434.01999999999</v>
      </c>
      <c r="C1132" s="397"/>
      <c r="D1132" s="384"/>
    </row>
    <row r="1133" spans="1:4" ht="15" x14ac:dyDescent="0.25">
      <c r="A1133" s="561">
        <v>43951</v>
      </c>
      <c r="B1133" s="384">
        <v>173230.55</v>
      </c>
      <c r="C1133" s="397"/>
      <c r="D1133" s="384"/>
    </row>
    <row r="1134" spans="1:4" ht="15" x14ac:dyDescent="0.25">
      <c r="A1134" s="561">
        <v>43952</v>
      </c>
      <c r="B1134" s="384">
        <f>C1134+D1134</f>
        <v>173492.71000000002</v>
      </c>
      <c r="C1134" s="564">
        <v>172768.64000000001</v>
      </c>
      <c r="D1134" s="565">
        <v>724.07</v>
      </c>
    </row>
    <row r="1135" spans="1:4" ht="15" x14ac:dyDescent="0.25">
      <c r="A1135" s="561">
        <v>43955</v>
      </c>
      <c r="B1135" s="384">
        <f t="shared" ref="B1135:B1198" si="5">C1135+D1135</f>
        <v>173306.64</v>
      </c>
      <c r="C1135" s="564">
        <v>172582.64</v>
      </c>
      <c r="D1135" s="565">
        <v>724</v>
      </c>
    </row>
    <row r="1136" spans="1:4" ht="15" x14ac:dyDescent="0.25">
      <c r="A1136" s="561">
        <v>43956</v>
      </c>
      <c r="B1136" s="384">
        <f t="shared" si="5"/>
        <v>173307</v>
      </c>
      <c r="C1136" s="564">
        <v>172583</v>
      </c>
      <c r="D1136" s="565">
        <f>D1135</f>
        <v>724</v>
      </c>
    </row>
    <row r="1137" spans="1:4" ht="15" x14ac:dyDescent="0.25">
      <c r="A1137" s="561">
        <v>43957</v>
      </c>
      <c r="B1137" s="384">
        <f t="shared" si="5"/>
        <v>173307</v>
      </c>
      <c r="C1137" s="564">
        <v>172583</v>
      </c>
      <c r="D1137" s="565">
        <f t="shared" ref="D1137:D1179" si="6">D1136</f>
        <v>724</v>
      </c>
    </row>
    <row r="1138" spans="1:4" ht="15" x14ac:dyDescent="0.25">
      <c r="A1138" s="561">
        <v>43958</v>
      </c>
      <c r="B1138" s="384">
        <f t="shared" si="5"/>
        <v>173307</v>
      </c>
      <c r="C1138" s="564">
        <v>172583</v>
      </c>
      <c r="D1138" s="565">
        <f t="shared" si="6"/>
        <v>724</v>
      </c>
    </row>
    <row r="1139" spans="1:4" ht="15" x14ac:dyDescent="0.25">
      <c r="A1139" s="561">
        <v>43959</v>
      </c>
      <c r="B1139" s="384">
        <f t="shared" si="5"/>
        <v>385709.68000000005</v>
      </c>
      <c r="C1139" s="564">
        <v>187582.64</v>
      </c>
      <c r="D1139" s="565">
        <v>198127.04</v>
      </c>
    </row>
    <row r="1140" spans="1:4" ht="15" x14ac:dyDescent="0.25">
      <c r="A1140" s="561">
        <v>43962</v>
      </c>
      <c r="B1140" s="384">
        <f t="shared" si="5"/>
        <v>385710.04000000004</v>
      </c>
      <c r="C1140" s="564">
        <v>187583</v>
      </c>
      <c r="D1140" s="565">
        <f t="shared" si="6"/>
        <v>198127.04</v>
      </c>
    </row>
    <row r="1141" spans="1:4" ht="15" x14ac:dyDescent="0.25">
      <c r="A1141" s="561">
        <v>43963</v>
      </c>
      <c r="B1141" s="425">
        <f t="shared" si="5"/>
        <v>385904.98</v>
      </c>
      <c r="C1141" s="564">
        <v>187777.94</v>
      </c>
      <c r="D1141" s="565">
        <f t="shared" si="6"/>
        <v>198127.04</v>
      </c>
    </row>
    <row r="1142" spans="1:4" ht="15" x14ac:dyDescent="0.25">
      <c r="A1142" s="561">
        <v>43964</v>
      </c>
      <c r="B1142" s="384">
        <f t="shared" si="5"/>
        <v>362979.35</v>
      </c>
      <c r="C1142" s="564">
        <v>187778</v>
      </c>
      <c r="D1142" s="565">
        <v>175201.35</v>
      </c>
    </row>
    <row r="1143" spans="1:4" ht="15" x14ac:dyDescent="0.25">
      <c r="A1143" s="561">
        <v>43965</v>
      </c>
      <c r="B1143" s="384">
        <f t="shared" si="5"/>
        <v>362979.35</v>
      </c>
      <c r="C1143" s="564">
        <v>187778</v>
      </c>
      <c r="D1143" s="565">
        <f t="shared" si="6"/>
        <v>175201.35</v>
      </c>
    </row>
    <row r="1144" spans="1:4" ht="15" x14ac:dyDescent="0.25">
      <c r="A1144" s="561">
        <v>43966</v>
      </c>
      <c r="B1144" s="384">
        <f t="shared" si="5"/>
        <v>362624.73</v>
      </c>
      <c r="C1144" s="564">
        <v>187400</v>
      </c>
      <c r="D1144" s="565">
        <v>175224.73</v>
      </c>
    </row>
    <row r="1145" spans="1:4" ht="15" x14ac:dyDescent="0.25">
      <c r="A1145" s="561">
        <v>43969</v>
      </c>
      <c r="B1145" s="384">
        <f t="shared" si="5"/>
        <v>362070.03</v>
      </c>
      <c r="C1145" s="564">
        <v>187400</v>
      </c>
      <c r="D1145" s="565">
        <v>174670.03</v>
      </c>
    </row>
    <row r="1146" spans="1:4" ht="15" x14ac:dyDescent="0.25">
      <c r="A1146" s="561">
        <v>43970</v>
      </c>
      <c r="B1146" s="384">
        <f t="shared" si="5"/>
        <v>352214.86</v>
      </c>
      <c r="C1146" s="564">
        <v>187400</v>
      </c>
      <c r="D1146" s="565">
        <v>164814.85999999999</v>
      </c>
    </row>
    <row r="1147" spans="1:4" ht="15" x14ac:dyDescent="0.25">
      <c r="A1147" s="561">
        <v>43971</v>
      </c>
      <c r="B1147" s="384">
        <f t="shared" si="5"/>
        <v>352214.86</v>
      </c>
      <c r="C1147" s="564">
        <v>187400</v>
      </c>
      <c r="D1147" s="565">
        <f t="shared" si="6"/>
        <v>164814.85999999999</v>
      </c>
    </row>
    <row r="1148" spans="1:4" ht="15" x14ac:dyDescent="0.25">
      <c r="A1148" s="561">
        <v>43972</v>
      </c>
      <c r="B1148" s="384">
        <f t="shared" si="5"/>
        <v>337570.28</v>
      </c>
      <c r="C1148" s="564">
        <v>178152.54</v>
      </c>
      <c r="D1148" s="565">
        <v>159417.74</v>
      </c>
    </row>
    <row r="1149" spans="1:4" ht="15" x14ac:dyDescent="0.25">
      <c r="A1149" s="561">
        <v>43973</v>
      </c>
      <c r="B1149" s="384">
        <f t="shared" si="5"/>
        <v>337570.28</v>
      </c>
      <c r="C1149" s="564">
        <v>178152.54</v>
      </c>
      <c r="D1149" s="565">
        <f t="shared" si="6"/>
        <v>159417.74</v>
      </c>
    </row>
    <row r="1150" spans="1:4" x14ac:dyDescent="0.2">
      <c r="A1150" s="397">
        <v>43976</v>
      </c>
      <c r="B1150" s="384">
        <f t="shared" si="5"/>
        <v>337570.28</v>
      </c>
      <c r="C1150" s="564">
        <v>178152.54</v>
      </c>
      <c r="D1150" s="565">
        <f t="shared" si="6"/>
        <v>159417.74</v>
      </c>
    </row>
    <row r="1151" spans="1:4" x14ac:dyDescent="0.2">
      <c r="A1151" s="397">
        <v>43977</v>
      </c>
      <c r="B1151" s="384">
        <f t="shared" si="5"/>
        <v>337570.28</v>
      </c>
      <c r="C1151" s="564">
        <v>178152.54</v>
      </c>
      <c r="D1151" s="565">
        <f t="shared" si="6"/>
        <v>159417.74</v>
      </c>
    </row>
    <row r="1152" spans="1:4" x14ac:dyDescent="0.2">
      <c r="A1152" s="397">
        <v>43978</v>
      </c>
      <c r="B1152" s="384">
        <f t="shared" si="5"/>
        <v>314828.33999999997</v>
      </c>
      <c r="C1152" s="564">
        <v>178108.54</v>
      </c>
      <c r="D1152" s="565">
        <v>136719.79999999999</v>
      </c>
    </row>
    <row r="1153" spans="1:4" x14ac:dyDescent="0.2">
      <c r="A1153" s="397">
        <v>43979</v>
      </c>
      <c r="B1153" s="384">
        <f t="shared" si="5"/>
        <v>314642.31</v>
      </c>
      <c r="C1153" s="564">
        <v>177922.51</v>
      </c>
      <c r="D1153" s="565">
        <f t="shared" si="6"/>
        <v>136719.79999999999</v>
      </c>
    </row>
    <row r="1154" spans="1:4" x14ac:dyDescent="0.2">
      <c r="A1154" s="397">
        <v>43980</v>
      </c>
      <c r="B1154" s="384">
        <f t="shared" si="5"/>
        <v>314180.40000000002</v>
      </c>
      <c r="C1154" s="564">
        <v>177460.6</v>
      </c>
      <c r="D1154" s="565">
        <f t="shared" si="6"/>
        <v>136719.79999999999</v>
      </c>
    </row>
    <row r="1155" spans="1:4" x14ac:dyDescent="0.2">
      <c r="A1155" s="397">
        <v>43983</v>
      </c>
      <c r="B1155" s="384">
        <f t="shared" si="5"/>
        <v>336211.19</v>
      </c>
      <c r="C1155" s="564">
        <v>201698.93</v>
      </c>
      <c r="D1155" s="565">
        <v>134512.26</v>
      </c>
    </row>
    <row r="1156" spans="1:4" x14ac:dyDescent="0.2">
      <c r="A1156" s="397">
        <v>43984</v>
      </c>
      <c r="B1156" s="384">
        <f t="shared" si="5"/>
        <v>327639.93</v>
      </c>
      <c r="C1156" s="564">
        <v>201512.93</v>
      </c>
      <c r="D1156" s="565">
        <v>126127</v>
      </c>
    </row>
    <row r="1157" spans="1:4" x14ac:dyDescent="0.2">
      <c r="A1157" s="397">
        <v>43985</v>
      </c>
      <c r="B1157" s="384">
        <f t="shared" si="5"/>
        <v>327640</v>
      </c>
      <c r="C1157" s="564">
        <v>201513</v>
      </c>
      <c r="D1157" s="565">
        <f t="shared" si="6"/>
        <v>126127</v>
      </c>
    </row>
    <row r="1158" spans="1:4" x14ac:dyDescent="0.2">
      <c r="A1158" s="397">
        <v>43986</v>
      </c>
      <c r="B1158" s="384">
        <f t="shared" si="5"/>
        <v>332166.29000000004</v>
      </c>
      <c r="C1158" s="564">
        <v>206039.29</v>
      </c>
      <c r="D1158" s="565">
        <f t="shared" si="6"/>
        <v>126127</v>
      </c>
    </row>
    <row r="1159" spans="1:4" x14ac:dyDescent="0.2">
      <c r="A1159" s="397">
        <v>43987</v>
      </c>
      <c r="B1159" s="384">
        <f t="shared" si="5"/>
        <v>332166.29000000004</v>
      </c>
      <c r="C1159" s="564">
        <f>C1158</f>
        <v>206039.29</v>
      </c>
      <c r="D1159" s="565">
        <f t="shared" si="6"/>
        <v>126127</v>
      </c>
    </row>
    <row r="1160" spans="1:4" x14ac:dyDescent="0.2">
      <c r="A1160" s="397">
        <v>43990</v>
      </c>
      <c r="B1160" s="384">
        <f t="shared" si="5"/>
        <v>378580.41000000003</v>
      </c>
      <c r="C1160" s="564">
        <v>252453.41</v>
      </c>
      <c r="D1160" s="565">
        <f t="shared" si="6"/>
        <v>126127</v>
      </c>
    </row>
    <row r="1161" spans="1:4" x14ac:dyDescent="0.2">
      <c r="A1161" s="397">
        <v>43991</v>
      </c>
      <c r="B1161" s="384">
        <f t="shared" si="5"/>
        <v>378580.41000000003</v>
      </c>
      <c r="C1161" s="564">
        <f t="shared" ref="C1161:C1175" si="7">C1160</f>
        <v>252453.41</v>
      </c>
      <c r="D1161" s="565">
        <f t="shared" si="6"/>
        <v>126127</v>
      </c>
    </row>
    <row r="1162" spans="1:4" x14ac:dyDescent="0.2">
      <c r="A1162" s="397">
        <v>43992</v>
      </c>
      <c r="B1162" s="384">
        <f t="shared" si="5"/>
        <v>355599.42</v>
      </c>
      <c r="C1162" s="564">
        <f t="shared" si="7"/>
        <v>252453.41</v>
      </c>
      <c r="D1162" s="565">
        <v>103146.01</v>
      </c>
    </row>
    <row r="1163" spans="1:4" x14ac:dyDescent="0.2">
      <c r="A1163" s="397">
        <v>43993</v>
      </c>
      <c r="B1163" s="384">
        <f t="shared" si="5"/>
        <v>348512.49</v>
      </c>
      <c r="C1163" s="564">
        <v>255461.07</v>
      </c>
      <c r="D1163" s="565">
        <v>93051.42</v>
      </c>
    </row>
    <row r="1164" spans="1:4" x14ac:dyDescent="0.2">
      <c r="A1164" s="397">
        <v>43994</v>
      </c>
      <c r="B1164" s="384">
        <f t="shared" si="5"/>
        <v>351663.19</v>
      </c>
      <c r="C1164" s="564">
        <v>258611.77</v>
      </c>
      <c r="D1164" s="565">
        <f t="shared" si="6"/>
        <v>93051.42</v>
      </c>
    </row>
    <row r="1165" spans="1:4" x14ac:dyDescent="0.2">
      <c r="A1165" s="397">
        <v>43997</v>
      </c>
      <c r="B1165" s="384">
        <f t="shared" si="5"/>
        <v>351097.70999999996</v>
      </c>
      <c r="C1165" s="564">
        <f t="shared" si="7"/>
        <v>258611.77</v>
      </c>
      <c r="D1165" s="565">
        <v>92485.94</v>
      </c>
    </row>
    <row r="1166" spans="1:4" x14ac:dyDescent="0.2">
      <c r="A1166" s="397">
        <v>43998</v>
      </c>
      <c r="B1166" s="384">
        <f t="shared" si="5"/>
        <v>351097.70999999996</v>
      </c>
      <c r="C1166" s="564">
        <f t="shared" si="7"/>
        <v>258611.77</v>
      </c>
      <c r="D1166" s="565">
        <f t="shared" si="6"/>
        <v>92485.94</v>
      </c>
    </row>
    <row r="1167" spans="1:4" x14ac:dyDescent="0.2">
      <c r="A1167" s="397">
        <v>43999</v>
      </c>
      <c r="B1167" s="384">
        <f t="shared" si="5"/>
        <v>342735.58</v>
      </c>
      <c r="C1167" s="564">
        <v>250249.64</v>
      </c>
      <c r="D1167" s="565">
        <f t="shared" si="6"/>
        <v>92485.94</v>
      </c>
    </row>
    <row r="1168" spans="1:4" x14ac:dyDescent="0.2">
      <c r="A1168" s="397">
        <v>44000</v>
      </c>
      <c r="B1168" s="384">
        <f t="shared" si="5"/>
        <v>344495.52</v>
      </c>
      <c r="C1168" s="564">
        <v>252009.58</v>
      </c>
      <c r="D1168" s="565">
        <f t="shared" si="6"/>
        <v>92485.94</v>
      </c>
    </row>
    <row r="1169" spans="1:4" x14ac:dyDescent="0.2">
      <c r="A1169" s="397">
        <v>44001</v>
      </c>
      <c r="B1169" s="384">
        <f t="shared" si="5"/>
        <v>344495.52</v>
      </c>
      <c r="C1169" s="564">
        <f t="shared" si="7"/>
        <v>252009.58</v>
      </c>
      <c r="D1169" s="565">
        <f t="shared" si="6"/>
        <v>92485.94</v>
      </c>
    </row>
    <row r="1170" spans="1:4" x14ac:dyDescent="0.2">
      <c r="A1170" s="397">
        <v>44004</v>
      </c>
      <c r="B1170" s="384">
        <f t="shared" si="5"/>
        <v>344495.52</v>
      </c>
      <c r="C1170" s="564">
        <f t="shared" si="7"/>
        <v>252009.58</v>
      </c>
      <c r="D1170" s="565">
        <f t="shared" si="6"/>
        <v>92485.94</v>
      </c>
    </row>
    <row r="1171" spans="1:4" x14ac:dyDescent="0.2">
      <c r="A1171" s="397">
        <v>44005</v>
      </c>
      <c r="B1171" s="384">
        <f t="shared" si="5"/>
        <v>334324.15000000002</v>
      </c>
      <c r="C1171" s="564">
        <v>241838.21</v>
      </c>
      <c r="D1171" s="565">
        <f t="shared" si="6"/>
        <v>92485.94</v>
      </c>
    </row>
    <row r="1172" spans="1:4" x14ac:dyDescent="0.2">
      <c r="A1172" s="397">
        <v>44006</v>
      </c>
      <c r="B1172" s="384">
        <f t="shared" si="5"/>
        <v>342928.85</v>
      </c>
      <c r="C1172" s="564">
        <v>275398.59999999998</v>
      </c>
      <c r="D1172" s="565">
        <v>67530.25</v>
      </c>
    </row>
    <row r="1173" spans="1:4" x14ac:dyDescent="0.2">
      <c r="A1173" s="397">
        <v>44007</v>
      </c>
      <c r="B1173" s="384">
        <f t="shared" si="5"/>
        <v>325375.87</v>
      </c>
      <c r="C1173" s="564">
        <v>268709.96999999997</v>
      </c>
      <c r="D1173" s="565">
        <v>56665.9</v>
      </c>
    </row>
    <row r="1174" spans="1:4" x14ac:dyDescent="0.2">
      <c r="A1174" s="397">
        <v>44008</v>
      </c>
      <c r="B1174" s="384">
        <f t="shared" si="5"/>
        <v>324225.81</v>
      </c>
      <c r="C1174" s="564">
        <v>268257.68</v>
      </c>
      <c r="D1174" s="565">
        <v>55968.13</v>
      </c>
    </row>
    <row r="1175" spans="1:4" x14ac:dyDescent="0.2">
      <c r="A1175" s="397">
        <v>44011</v>
      </c>
      <c r="B1175" s="384">
        <f t="shared" si="5"/>
        <v>324225.81</v>
      </c>
      <c r="C1175" s="564">
        <f t="shared" si="7"/>
        <v>268257.68</v>
      </c>
      <c r="D1175" s="565">
        <f t="shared" si="6"/>
        <v>55968.13</v>
      </c>
    </row>
    <row r="1176" spans="1:4" x14ac:dyDescent="0.2">
      <c r="A1176" s="397">
        <v>44012</v>
      </c>
      <c r="B1176" s="384">
        <f t="shared" si="5"/>
        <v>332737.41000000003</v>
      </c>
      <c r="C1176" s="564">
        <v>276769.28000000003</v>
      </c>
      <c r="D1176" s="565">
        <f t="shared" si="6"/>
        <v>55968.13</v>
      </c>
    </row>
    <row r="1177" spans="1:4" x14ac:dyDescent="0.2">
      <c r="A1177" s="397">
        <v>44013</v>
      </c>
      <c r="B1177" s="384">
        <f t="shared" si="5"/>
        <v>348287.12</v>
      </c>
      <c r="C1177" s="564">
        <v>292318.99</v>
      </c>
      <c r="D1177" s="565">
        <f t="shared" si="6"/>
        <v>55968.13</v>
      </c>
    </row>
    <row r="1178" spans="1:4" x14ac:dyDescent="0.2">
      <c r="A1178" s="397">
        <v>44014</v>
      </c>
      <c r="B1178" s="384">
        <f t="shared" si="5"/>
        <v>351754.67</v>
      </c>
      <c r="C1178" s="564">
        <v>295786.53999999998</v>
      </c>
      <c r="D1178" s="565">
        <f t="shared" si="6"/>
        <v>55968.13</v>
      </c>
    </row>
    <row r="1179" spans="1:4" x14ac:dyDescent="0.2">
      <c r="A1179" s="397">
        <v>44015</v>
      </c>
      <c r="B1179" s="384">
        <f t="shared" si="5"/>
        <v>352041.67</v>
      </c>
      <c r="C1179" s="564">
        <v>296073.53999999998</v>
      </c>
      <c r="D1179" s="565">
        <f t="shared" si="6"/>
        <v>55968.13</v>
      </c>
    </row>
    <row r="1180" spans="1:4" x14ac:dyDescent="0.2">
      <c r="A1180" s="397">
        <v>44018</v>
      </c>
      <c r="B1180" s="384">
        <f t="shared" si="5"/>
        <v>352042</v>
      </c>
      <c r="C1180" s="564">
        <v>296074</v>
      </c>
      <c r="D1180" s="565">
        <v>55968</v>
      </c>
    </row>
    <row r="1181" spans="1:4" x14ac:dyDescent="0.2">
      <c r="A1181" s="397">
        <v>44019</v>
      </c>
      <c r="B1181" s="384">
        <f t="shared" si="5"/>
        <v>352042</v>
      </c>
      <c r="C1181" s="564">
        <v>296074</v>
      </c>
      <c r="D1181" s="565">
        <v>55968</v>
      </c>
    </row>
    <row r="1182" spans="1:4" x14ac:dyDescent="0.2">
      <c r="A1182" s="397">
        <v>44020</v>
      </c>
      <c r="B1182" s="384">
        <f t="shared" si="5"/>
        <v>326415.09999999998</v>
      </c>
      <c r="C1182" s="564">
        <v>296074</v>
      </c>
      <c r="D1182" s="565">
        <v>30341.1</v>
      </c>
    </row>
    <row r="1183" spans="1:4" x14ac:dyDescent="0.2">
      <c r="A1183" s="397">
        <v>44021</v>
      </c>
      <c r="B1183" s="384">
        <f t="shared" si="5"/>
        <v>312231.88999999996</v>
      </c>
      <c r="C1183" s="564">
        <v>293240.15999999997</v>
      </c>
      <c r="D1183" s="565">
        <v>18991.73</v>
      </c>
    </row>
    <row r="1184" spans="1:4" x14ac:dyDescent="0.2">
      <c r="A1184" s="397">
        <v>44022</v>
      </c>
      <c r="B1184" s="384">
        <f t="shared" si="5"/>
        <v>311779.87</v>
      </c>
      <c r="C1184" s="564">
        <v>292787.87</v>
      </c>
      <c r="D1184" s="565">
        <v>18992</v>
      </c>
    </row>
    <row r="1185" spans="1:4" x14ac:dyDescent="0.2">
      <c r="A1185" s="397">
        <v>44025</v>
      </c>
      <c r="B1185" s="384">
        <f t="shared" si="5"/>
        <v>311474.96999999997</v>
      </c>
      <c r="C1185" s="564">
        <v>293190.87</v>
      </c>
      <c r="D1185" s="565">
        <v>18284.099999999999</v>
      </c>
    </row>
    <row r="1186" spans="1:4" x14ac:dyDescent="0.2">
      <c r="A1186" s="397">
        <v>44026</v>
      </c>
      <c r="B1186" s="384">
        <f t="shared" si="5"/>
        <v>315477.69</v>
      </c>
      <c r="C1186" s="564">
        <v>297193.59000000003</v>
      </c>
      <c r="D1186" s="565">
        <v>18284.099999999999</v>
      </c>
    </row>
    <row r="1187" spans="1:4" x14ac:dyDescent="0.2">
      <c r="A1187" s="397">
        <v>44027</v>
      </c>
      <c r="B1187" s="384">
        <f t="shared" si="5"/>
        <v>315594.98</v>
      </c>
      <c r="C1187" s="564">
        <v>297310.88</v>
      </c>
      <c r="D1187" s="565">
        <v>18284.099999999999</v>
      </c>
    </row>
    <row r="1188" spans="1:4" x14ac:dyDescent="0.2">
      <c r="A1188" s="397">
        <v>44028</v>
      </c>
      <c r="B1188" s="384">
        <f t="shared" si="5"/>
        <v>318211.11</v>
      </c>
      <c r="C1188" s="564">
        <v>299927.01</v>
      </c>
      <c r="D1188" s="565">
        <v>18284.099999999999</v>
      </c>
    </row>
    <row r="1189" spans="1:4" x14ac:dyDescent="0.2">
      <c r="A1189" s="397">
        <v>44029</v>
      </c>
      <c r="B1189" s="384">
        <f t="shared" si="5"/>
        <v>318211.09999999998</v>
      </c>
      <c r="C1189" s="564">
        <v>299927</v>
      </c>
      <c r="D1189" s="565">
        <v>18284.099999999999</v>
      </c>
    </row>
    <row r="1190" spans="1:4" x14ac:dyDescent="0.2">
      <c r="A1190" s="397">
        <v>44032</v>
      </c>
      <c r="B1190" s="384">
        <f t="shared" si="5"/>
        <v>339655.69</v>
      </c>
      <c r="C1190" s="564">
        <v>304374.55</v>
      </c>
      <c r="D1190" s="565">
        <v>35281.14</v>
      </c>
    </row>
    <row r="1191" spans="1:4" x14ac:dyDescent="0.2">
      <c r="A1191" s="397">
        <v>44033</v>
      </c>
      <c r="B1191" s="384">
        <f t="shared" si="5"/>
        <v>328838.90999999997</v>
      </c>
      <c r="C1191" s="564">
        <v>293557.90999999997</v>
      </c>
      <c r="D1191" s="565">
        <v>35281</v>
      </c>
    </row>
    <row r="1192" spans="1:4" x14ac:dyDescent="0.2">
      <c r="A1192" s="397">
        <v>44034</v>
      </c>
      <c r="B1192" s="384">
        <f t="shared" si="5"/>
        <v>315049.81</v>
      </c>
      <c r="C1192" s="564">
        <v>305336.09999999998</v>
      </c>
      <c r="D1192" s="565">
        <v>9713.7099999999991</v>
      </c>
    </row>
    <row r="1193" spans="1:4" x14ac:dyDescent="0.2">
      <c r="A1193" s="397">
        <v>44035</v>
      </c>
      <c r="B1193" s="384">
        <f t="shared" si="5"/>
        <v>308750.14999999997</v>
      </c>
      <c r="C1193" s="564">
        <v>307782.98</v>
      </c>
      <c r="D1193" s="565">
        <v>967.17</v>
      </c>
    </row>
    <row r="1194" spans="1:4" x14ac:dyDescent="0.2">
      <c r="A1194" s="397">
        <v>44036</v>
      </c>
      <c r="B1194" s="384">
        <f t="shared" si="5"/>
        <v>309653.73</v>
      </c>
      <c r="C1194" s="564">
        <v>309453.73</v>
      </c>
      <c r="D1194" s="565">
        <v>200</v>
      </c>
    </row>
    <row r="1195" spans="1:4" x14ac:dyDescent="0.2">
      <c r="A1195" s="397">
        <v>44039</v>
      </c>
      <c r="B1195" s="384">
        <f t="shared" si="5"/>
        <v>300292.32</v>
      </c>
      <c r="C1195" s="564">
        <v>300092.32</v>
      </c>
      <c r="D1195" s="565">
        <v>200</v>
      </c>
    </row>
    <row r="1196" spans="1:4" x14ac:dyDescent="0.2">
      <c r="A1196" s="397">
        <v>44040</v>
      </c>
      <c r="B1196" s="384">
        <f t="shared" si="5"/>
        <v>300248.32000000001</v>
      </c>
      <c r="C1196" s="564">
        <v>300048.32</v>
      </c>
      <c r="D1196" s="565">
        <v>200</v>
      </c>
    </row>
    <row r="1197" spans="1:4" x14ac:dyDescent="0.2">
      <c r="A1197" s="397">
        <v>44041</v>
      </c>
      <c r="B1197" s="384">
        <f t="shared" si="5"/>
        <v>298885.23</v>
      </c>
      <c r="C1197" s="564">
        <v>298685.23</v>
      </c>
      <c r="D1197" s="565">
        <v>200</v>
      </c>
    </row>
    <row r="1198" spans="1:4" x14ac:dyDescent="0.2">
      <c r="A1198" s="397">
        <v>44042</v>
      </c>
      <c r="B1198" s="384">
        <f t="shared" si="5"/>
        <v>298918.89</v>
      </c>
      <c r="C1198" s="564">
        <v>298718.89</v>
      </c>
      <c r="D1198" s="565">
        <v>200</v>
      </c>
    </row>
    <row r="1199" spans="1:4" x14ac:dyDescent="0.2">
      <c r="A1199" s="397">
        <v>44043</v>
      </c>
      <c r="B1199" s="384">
        <f t="shared" ref="B1199:B1262" si="8">C1199+D1199</f>
        <v>298919</v>
      </c>
      <c r="C1199" s="564">
        <v>298719</v>
      </c>
      <c r="D1199" s="565">
        <v>200</v>
      </c>
    </row>
    <row r="1200" spans="1:4" x14ac:dyDescent="0.2">
      <c r="A1200" s="397">
        <v>44046</v>
      </c>
      <c r="B1200" s="384">
        <f t="shared" si="8"/>
        <v>262470.13</v>
      </c>
      <c r="C1200" s="564">
        <v>262270.13</v>
      </c>
      <c r="D1200" s="565">
        <v>200</v>
      </c>
    </row>
    <row r="1201" spans="1:4" x14ac:dyDescent="0.2">
      <c r="A1201" s="397">
        <v>44047</v>
      </c>
      <c r="B1201" s="384">
        <f t="shared" si="8"/>
        <v>254560.85</v>
      </c>
      <c r="C1201" s="564">
        <v>254360.85</v>
      </c>
      <c r="D1201" s="565">
        <v>200</v>
      </c>
    </row>
    <row r="1202" spans="1:4" x14ac:dyDescent="0.2">
      <c r="A1202" s="397">
        <v>44048</v>
      </c>
      <c r="B1202" s="384">
        <f t="shared" si="8"/>
        <v>254561</v>
      </c>
      <c r="C1202" s="564">
        <v>254361</v>
      </c>
      <c r="D1202" s="565">
        <v>200</v>
      </c>
    </row>
    <row r="1203" spans="1:4" x14ac:dyDescent="0.2">
      <c r="A1203" s="397">
        <v>44049</v>
      </c>
      <c r="B1203" s="384">
        <f t="shared" si="8"/>
        <v>256783.26</v>
      </c>
      <c r="C1203" s="564">
        <v>256583.26</v>
      </c>
      <c r="D1203" s="565">
        <v>200</v>
      </c>
    </row>
    <row r="1204" spans="1:4" x14ac:dyDescent="0.2">
      <c r="A1204" s="397">
        <v>44050</v>
      </c>
      <c r="B1204" s="384">
        <f t="shared" si="8"/>
        <v>256330.97</v>
      </c>
      <c r="C1204" s="564">
        <v>256130.97</v>
      </c>
      <c r="D1204" s="565">
        <v>200</v>
      </c>
    </row>
    <row r="1205" spans="1:4" x14ac:dyDescent="0.2">
      <c r="A1205" s="397">
        <v>44053</v>
      </c>
      <c r="B1205" s="384">
        <f t="shared" si="8"/>
        <v>256331</v>
      </c>
      <c r="C1205" s="564">
        <v>256131</v>
      </c>
      <c r="D1205" s="565">
        <v>200</v>
      </c>
    </row>
    <row r="1206" spans="1:4" x14ac:dyDescent="0.2">
      <c r="A1206" s="397">
        <v>44054</v>
      </c>
      <c r="B1206" s="384">
        <f t="shared" si="8"/>
        <v>256331</v>
      </c>
      <c r="C1206" s="564">
        <v>256131</v>
      </c>
      <c r="D1206" s="565">
        <v>200</v>
      </c>
    </row>
    <row r="1207" spans="1:4" x14ac:dyDescent="0.2">
      <c r="A1207" s="397">
        <v>44055</v>
      </c>
      <c r="B1207" s="384">
        <f t="shared" si="8"/>
        <v>256420.97</v>
      </c>
      <c r="C1207" s="564">
        <v>256220.97</v>
      </c>
      <c r="D1207" s="565">
        <v>200</v>
      </c>
    </row>
    <row r="1208" spans="1:4" x14ac:dyDescent="0.2">
      <c r="A1208" s="397">
        <v>44056</v>
      </c>
      <c r="B1208" s="384">
        <f t="shared" si="8"/>
        <v>256421</v>
      </c>
      <c r="C1208" s="564">
        <v>256221</v>
      </c>
      <c r="D1208" s="565">
        <v>200</v>
      </c>
    </row>
    <row r="1209" spans="1:4" x14ac:dyDescent="0.2">
      <c r="A1209" s="397">
        <v>44057</v>
      </c>
      <c r="B1209" s="384">
        <f t="shared" si="8"/>
        <v>296838.09999999998</v>
      </c>
      <c r="C1209" s="564">
        <v>296638.09999999998</v>
      </c>
      <c r="D1209" s="565">
        <v>200</v>
      </c>
    </row>
    <row r="1210" spans="1:4" x14ac:dyDescent="0.2">
      <c r="A1210" s="397">
        <v>44060</v>
      </c>
      <c r="B1210" s="384">
        <f t="shared" si="8"/>
        <v>261012.14</v>
      </c>
      <c r="C1210" s="564">
        <v>260812.14</v>
      </c>
      <c r="D1210" s="565">
        <v>200</v>
      </c>
    </row>
    <row r="1211" spans="1:4" x14ac:dyDescent="0.2">
      <c r="A1211" s="397">
        <v>44061</v>
      </c>
      <c r="B1211" s="384">
        <f t="shared" si="8"/>
        <v>345553.24</v>
      </c>
      <c r="C1211" s="564">
        <v>345353.24</v>
      </c>
      <c r="D1211" s="565">
        <v>200</v>
      </c>
    </row>
    <row r="1212" spans="1:4" x14ac:dyDescent="0.2">
      <c r="A1212" s="397">
        <v>44062</v>
      </c>
      <c r="B1212" s="384">
        <f t="shared" si="8"/>
        <v>345720.24</v>
      </c>
      <c r="C1212" s="564">
        <v>345520.24</v>
      </c>
      <c r="D1212" s="565">
        <v>200</v>
      </c>
    </row>
    <row r="1213" spans="1:4" x14ac:dyDescent="0.2">
      <c r="A1213" s="397">
        <v>44063</v>
      </c>
      <c r="B1213" s="384">
        <f t="shared" si="8"/>
        <v>343380.65</v>
      </c>
      <c r="C1213" s="564">
        <v>343180.65</v>
      </c>
      <c r="D1213" s="565">
        <v>200</v>
      </c>
    </row>
    <row r="1214" spans="1:4" x14ac:dyDescent="0.2">
      <c r="A1214" s="397">
        <v>44064</v>
      </c>
      <c r="B1214" s="384">
        <f t="shared" si="8"/>
        <v>342938.36</v>
      </c>
      <c r="C1214" s="564">
        <v>342738.36</v>
      </c>
      <c r="D1214" s="565">
        <v>200</v>
      </c>
    </row>
    <row r="1215" spans="1:4" x14ac:dyDescent="0.2">
      <c r="A1215" s="397">
        <v>44067</v>
      </c>
      <c r="B1215" s="384">
        <f t="shared" si="8"/>
        <v>342938</v>
      </c>
      <c r="C1215" s="564">
        <v>342738</v>
      </c>
      <c r="D1215" s="565">
        <v>200</v>
      </c>
    </row>
    <row r="1216" spans="1:4" x14ac:dyDescent="0.2">
      <c r="A1216" s="397">
        <v>44068</v>
      </c>
      <c r="B1216" s="384">
        <f t="shared" si="8"/>
        <v>340515.33</v>
      </c>
      <c r="C1216" s="564">
        <v>340315.33</v>
      </c>
      <c r="D1216" s="565">
        <v>200</v>
      </c>
    </row>
    <row r="1217" spans="1:4" x14ac:dyDescent="0.2">
      <c r="A1217" s="397">
        <v>44069</v>
      </c>
      <c r="B1217" s="384">
        <f t="shared" si="8"/>
        <v>359946.57</v>
      </c>
      <c r="C1217" s="564">
        <v>359746.57</v>
      </c>
      <c r="D1217" s="565">
        <v>200</v>
      </c>
    </row>
    <row r="1218" spans="1:4" x14ac:dyDescent="0.2">
      <c r="A1218" s="397">
        <v>44070</v>
      </c>
      <c r="B1218" s="384">
        <f t="shared" si="8"/>
        <v>359946.57</v>
      </c>
      <c r="C1218" s="564">
        <v>359746.57</v>
      </c>
      <c r="D1218" s="565">
        <v>200</v>
      </c>
    </row>
    <row r="1219" spans="1:4" x14ac:dyDescent="0.2">
      <c r="A1219" s="397">
        <v>44071</v>
      </c>
      <c r="B1219" s="384">
        <f t="shared" si="8"/>
        <v>359946.57</v>
      </c>
      <c r="C1219" s="564">
        <v>359746.57</v>
      </c>
      <c r="D1219" s="565">
        <v>200</v>
      </c>
    </row>
    <row r="1220" spans="1:4" x14ac:dyDescent="0.2">
      <c r="A1220" s="397">
        <v>44074</v>
      </c>
      <c r="B1220" s="384">
        <f t="shared" si="8"/>
        <v>359946.57</v>
      </c>
      <c r="C1220" s="564">
        <v>359746.57</v>
      </c>
      <c r="D1220" s="565">
        <v>200</v>
      </c>
    </row>
    <row r="1221" spans="1:4" x14ac:dyDescent="0.2">
      <c r="A1221" s="397">
        <v>44075</v>
      </c>
      <c r="B1221" s="384">
        <f t="shared" si="8"/>
        <v>347126.06</v>
      </c>
      <c r="C1221" s="564">
        <v>346926.06</v>
      </c>
      <c r="D1221" s="565">
        <v>200</v>
      </c>
    </row>
    <row r="1222" spans="1:4" x14ac:dyDescent="0.2">
      <c r="A1222" s="397">
        <v>44076</v>
      </c>
      <c r="B1222" s="384">
        <f t="shared" si="8"/>
        <v>347075.06</v>
      </c>
      <c r="C1222" s="564">
        <v>346875.06</v>
      </c>
      <c r="D1222" s="565">
        <v>200</v>
      </c>
    </row>
    <row r="1223" spans="1:4" x14ac:dyDescent="0.2">
      <c r="A1223" s="397">
        <v>44077</v>
      </c>
      <c r="B1223" s="384">
        <f t="shared" si="8"/>
        <v>350416.44</v>
      </c>
      <c r="C1223" s="564">
        <v>350216.44</v>
      </c>
      <c r="D1223" s="565">
        <v>200</v>
      </c>
    </row>
    <row r="1224" spans="1:4" x14ac:dyDescent="0.2">
      <c r="A1224" s="397">
        <v>44078</v>
      </c>
      <c r="B1224" s="384">
        <f t="shared" si="8"/>
        <v>343258.81</v>
      </c>
      <c r="C1224" s="564">
        <v>343058.81</v>
      </c>
      <c r="D1224" s="565">
        <v>200</v>
      </c>
    </row>
    <row r="1225" spans="1:4" x14ac:dyDescent="0.2">
      <c r="A1225" s="397">
        <v>44081</v>
      </c>
      <c r="B1225" s="384">
        <f t="shared" si="8"/>
        <v>343258.81</v>
      </c>
      <c r="C1225" s="564">
        <v>343058.81</v>
      </c>
      <c r="D1225" s="565">
        <v>200</v>
      </c>
    </row>
    <row r="1226" spans="1:4" x14ac:dyDescent="0.2">
      <c r="A1226" s="397">
        <v>44082</v>
      </c>
      <c r="B1226" s="384">
        <f t="shared" si="8"/>
        <v>343258.81</v>
      </c>
      <c r="C1226" s="564">
        <v>343058.81</v>
      </c>
      <c r="D1226" s="565">
        <v>200</v>
      </c>
    </row>
    <row r="1227" spans="1:4" x14ac:dyDescent="0.2">
      <c r="A1227" s="397">
        <v>44083</v>
      </c>
      <c r="B1227" s="384">
        <f t="shared" si="8"/>
        <v>343258.81</v>
      </c>
      <c r="C1227" s="564">
        <v>343058.81</v>
      </c>
      <c r="D1227" s="565">
        <v>200</v>
      </c>
    </row>
    <row r="1228" spans="1:4" x14ac:dyDescent="0.2">
      <c r="A1228" s="397">
        <v>44084</v>
      </c>
      <c r="B1228" s="384">
        <f t="shared" si="8"/>
        <v>351420.85</v>
      </c>
      <c r="C1228" s="564">
        <v>351220.85</v>
      </c>
      <c r="D1228" s="565">
        <v>200</v>
      </c>
    </row>
    <row r="1229" spans="1:4" x14ac:dyDescent="0.2">
      <c r="A1229" s="397">
        <v>44085</v>
      </c>
      <c r="B1229" s="384">
        <f t="shared" si="8"/>
        <v>351420.85</v>
      </c>
      <c r="C1229" s="564">
        <v>351220.85</v>
      </c>
      <c r="D1229" s="565">
        <v>200</v>
      </c>
    </row>
    <row r="1230" spans="1:4" x14ac:dyDescent="0.2">
      <c r="A1230" s="397">
        <v>44088</v>
      </c>
      <c r="B1230" s="384">
        <f t="shared" si="8"/>
        <v>319295.21000000002</v>
      </c>
      <c r="C1230" s="564">
        <v>319095.21000000002</v>
      </c>
      <c r="D1230" s="565">
        <v>200</v>
      </c>
    </row>
    <row r="1231" spans="1:4" x14ac:dyDescent="0.2">
      <c r="A1231" s="397">
        <v>44089</v>
      </c>
      <c r="B1231" s="384">
        <f t="shared" si="8"/>
        <v>319390.87</v>
      </c>
      <c r="C1231" s="564">
        <v>319190.87</v>
      </c>
      <c r="D1231" s="565">
        <v>200</v>
      </c>
    </row>
    <row r="1232" spans="1:4" x14ac:dyDescent="0.2">
      <c r="A1232" s="397">
        <v>44090</v>
      </c>
      <c r="B1232" s="384">
        <f t="shared" si="8"/>
        <v>318221.31</v>
      </c>
      <c r="C1232" s="564">
        <v>318021.31</v>
      </c>
      <c r="D1232" s="565">
        <v>200</v>
      </c>
    </row>
    <row r="1233" spans="1:4" x14ac:dyDescent="0.2">
      <c r="A1233" s="397">
        <v>44091</v>
      </c>
      <c r="B1233" s="384">
        <f t="shared" si="8"/>
        <v>321494.34000000003</v>
      </c>
      <c r="C1233" s="564">
        <v>321294.34000000003</v>
      </c>
      <c r="D1233" s="565">
        <v>200</v>
      </c>
    </row>
    <row r="1234" spans="1:4" x14ac:dyDescent="0.2">
      <c r="A1234" s="397">
        <v>44092</v>
      </c>
      <c r="B1234" s="384">
        <f t="shared" si="8"/>
        <v>321052.05</v>
      </c>
      <c r="C1234" s="564">
        <v>320852.05</v>
      </c>
      <c r="D1234" s="565">
        <v>200</v>
      </c>
    </row>
    <row r="1235" spans="1:4" x14ac:dyDescent="0.2">
      <c r="A1235" s="397">
        <v>44095</v>
      </c>
      <c r="B1235" s="384">
        <f t="shared" si="8"/>
        <v>321052</v>
      </c>
      <c r="C1235" s="564">
        <v>320852</v>
      </c>
      <c r="D1235" s="565">
        <v>200</v>
      </c>
    </row>
    <row r="1236" spans="1:4" x14ac:dyDescent="0.2">
      <c r="A1236" s="397">
        <v>44096</v>
      </c>
      <c r="B1236" s="384">
        <f t="shared" si="8"/>
        <v>347075.9</v>
      </c>
      <c r="C1236" s="564">
        <v>346875.9</v>
      </c>
      <c r="D1236" s="565">
        <v>200</v>
      </c>
    </row>
    <row r="1237" spans="1:4" x14ac:dyDescent="0.2">
      <c r="A1237" s="397">
        <v>44097</v>
      </c>
      <c r="B1237" s="384">
        <f t="shared" si="8"/>
        <v>348950.3</v>
      </c>
      <c r="C1237" s="564">
        <v>348750.3</v>
      </c>
      <c r="D1237" s="565">
        <v>200</v>
      </c>
    </row>
    <row r="1238" spans="1:4" x14ac:dyDescent="0.2">
      <c r="A1238" s="397">
        <v>44098</v>
      </c>
      <c r="B1238" s="384">
        <f t="shared" si="8"/>
        <v>354130.18</v>
      </c>
      <c r="C1238" s="564">
        <v>353930.18</v>
      </c>
      <c r="D1238" s="565">
        <v>200</v>
      </c>
    </row>
    <row r="1239" spans="1:4" x14ac:dyDescent="0.2">
      <c r="A1239" s="397">
        <v>44099</v>
      </c>
      <c r="B1239" s="384">
        <f t="shared" si="8"/>
        <v>354086.18</v>
      </c>
      <c r="C1239" s="564">
        <v>353886.18</v>
      </c>
      <c r="D1239" s="565">
        <v>200</v>
      </c>
    </row>
    <row r="1240" spans="1:4" x14ac:dyDescent="0.2">
      <c r="A1240" s="397">
        <v>44102</v>
      </c>
      <c r="B1240" s="384">
        <f t="shared" si="8"/>
        <v>348608</v>
      </c>
      <c r="C1240" s="564">
        <v>348408</v>
      </c>
      <c r="D1240" s="565">
        <v>200</v>
      </c>
    </row>
    <row r="1241" spans="1:4" x14ac:dyDescent="0.2">
      <c r="A1241" s="397">
        <v>44103</v>
      </c>
      <c r="B1241" s="384">
        <f t="shared" si="8"/>
        <v>313591.89</v>
      </c>
      <c r="C1241" s="564">
        <v>313391.89</v>
      </c>
      <c r="D1241" s="565">
        <v>200</v>
      </c>
    </row>
    <row r="1242" spans="1:4" x14ac:dyDescent="0.2">
      <c r="A1242" s="397">
        <v>44104</v>
      </c>
      <c r="B1242" s="384">
        <f t="shared" si="8"/>
        <v>348489.68</v>
      </c>
      <c r="C1242" s="564">
        <v>348289.68</v>
      </c>
      <c r="D1242" s="565">
        <v>200</v>
      </c>
    </row>
    <row r="1243" spans="1:4" x14ac:dyDescent="0.2">
      <c r="A1243" s="397">
        <v>44105</v>
      </c>
      <c r="B1243" s="384">
        <f t="shared" si="8"/>
        <v>346634.44</v>
      </c>
      <c r="C1243" s="564">
        <v>346434.44</v>
      </c>
      <c r="D1243" s="565">
        <v>200</v>
      </c>
    </row>
    <row r="1244" spans="1:4" x14ac:dyDescent="0.2">
      <c r="A1244" s="397">
        <v>44106</v>
      </c>
      <c r="B1244" s="384">
        <f t="shared" si="8"/>
        <v>346390.75</v>
      </c>
      <c r="C1244" s="564">
        <v>346190.75</v>
      </c>
      <c r="D1244" s="565">
        <v>200</v>
      </c>
    </row>
    <row r="1245" spans="1:4" x14ac:dyDescent="0.2">
      <c r="A1245" s="397">
        <v>44109</v>
      </c>
      <c r="B1245" s="384">
        <f t="shared" si="8"/>
        <v>346313.83</v>
      </c>
      <c r="C1245" s="564">
        <v>346113.83</v>
      </c>
      <c r="D1245" s="565">
        <v>200</v>
      </c>
    </row>
    <row r="1246" spans="1:4" x14ac:dyDescent="0.2">
      <c r="A1246" s="397">
        <v>44110</v>
      </c>
      <c r="B1246" s="384">
        <f t="shared" si="8"/>
        <v>346084.99</v>
      </c>
      <c r="C1246" s="564">
        <v>345884.99</v>
      </c>
      <c r="D1246" s="565">
        <v>200</v>
      </c>
    </row>
    <row r="1247" spans="1:4" x14ac:dyDescent="0.2">
      <c r="A1247" s="397">
        <v>44111</v>
      </c>
      <c r="B1247" s="384">
        <f t="shared" si="8"/>
        <v>346085</v>
      </c>
      <c r="C1247" s="564">
        <v>345885</v>
      </c>
      <c r="D1247" s="565">
        <v>200</v>
      </c>
    </row>
    <row r="1248" spans="1:4" x14ac:dyDescent="0.2">
      <c r="A1248" s="397">
        <v>44112</v>
      </c>
      <c r="B1248" s="384">
        <f t="shared" si="8"/>
        <v>380839.99</v>
      </c>
      <c r="C1248" s="564">
        <v>380639.99</v>
      </c>
      <c r="D1248" s="565">
        <v>200</v>
      </c>
    </row>
    <row r="1249" spans="1:4" x14ac:dyDescent="0.2">
      <c r="A1249" s="397">
        <v>44113</v>
      </c>
      <c r="B1249" s="384">
        <f t="shared" si="8"/>
        <v>380840</v>
      </c>
      <c r="C1249" s="564">
        <v>380640</v>
      </c>
      <c r="D1249" s="565">
        <v>200</v>
      </c>
    </row>
    <row r="1250" spans="1:4" x14ac:dyDescent="0.2">
      <c r="A1250" s="397">
        <v>44116</v>
      </c>
      <c r="B1250" s="384">
        <f t="shared" si="8"/>
        <v>380840</v>
      </c>
      <c r="C1250" s="564">
        <v>380640</v>
      </c>
      <c r="D1250" s="565">
        <v>200</v>
      </c>
    </row>
    <row r="1251" spans="1:4" x14ac:dyDescent="0.2">
      <c r="A1251" s="397">
        <v>44117</v>
      </c>
      <c r="B1251" s="384">
        <f t="shared" si="8"/>
        <v>346182.3</v>
      </c>
      <c r="C1251" s="564">
        <v>345982.3</v>
      </c>
      <c r="D1251" s="565">
        <v>200</v>
      </c>
    </row>
    <row r="1252" spans="1:4" x14ac:dyDescent="0.2">
      <c r="A1252" s="397">
        <v>44118</v>
      </c>
      <c r="B1252" s="384">
        <f t="shared" si="8"/>
        <v>346103.46</v>
      </c>
      <c r="C1252" s="564">
        <v>345903.46</v>
      </c>
      <c r="D1252" s="565">
        <v>200</v>
      </c>
    </row>
    <row r="1253" spans="1:4" x14ac:dyDescent="0.2">
      <c r="A1253" s="397">
        <v>44119</v>
      </c>
      <c r="B1253" s="384">
        <f t="shared" si="8"/>
        <v>339569.88</v>
      </c>
      <c r="C1253" s="564">
        <v>339369.88</v>
      </c>
      <c r="D1253" s="565">
        <v>200</v>
      </c>
    </row>
    <row r="1254" spans="1:4" x14ac:dyDescent="0.2">
      <c r="A1254" s="397">
        <v>44120</v>
      </c>
      <c r="B1254" s="384">
        <f t="shared" si="8"/>
        <v>364967.49</v>
      </c>
      <c r="C1254" s="564">
        <v>364767.49</v>
      </c>
      <c r="D1254" s="565">
        <v>200</v>
      </c>
    </row>
    <row r="1255" spans="1:4" x14ac:dyDescent="0.2">
      <c r="A1255" s="397">
        <v>44123</v>
      </c>
      <c r="B1255" s="384">
        <f t="shared" si="8"/>
        <v>343525.33</v>
      </c>
      <c r="C1255" s="564">
        <v>343325.33</v>
      </c>
      <c r="D1255" s="565">
        <v>200</v>
      </c>
    </row>
    <row r="1256" spans="1:4" x14ac:dyDescent="0.2">
      <c r="A1256" s="397">
        <v>44124</v>
      </c>
      <c r="B1256" s="384">
        <f t="shared" si="8"/>
        <v>343525</v>
      </c>
      <c r="C1256" s="564">
        <v>343325</v>
      </c>
      <c r="D1256" s="565">
        <v>200</v>
      </c>
    </row>
    <row r="1257" spans="1:4" x14ac:dyDescent="0.2">
      <c r="A1257" s="397">
        <v>44125</v>
      </c>
      <c r="B1257" s="384">
        <f t="shared" si="8"/>
        <v>340413.21</v>
      </c>
      <c r="C1257" s="564">
        <v>340213.21</v>
      </c>
      <c r="D1257" s="565">
        <v>200</v>
      </c>
    </row>
    <row r="1258" spans="1:4" x14ac:dyDescent="0.2">
      <c r="A1258" s="397">
        <v>44126</v>
      </c>
      <c r="B1258" s="384">
        <f t="shared" si="8"/>
        <v>354245.2</v>
      </c>
      <c r="C1258" s="564">
        <v>354045.2</v>
      </c>
      <c r="D1258" s="565">
        <v>200</v>
      </c>
    </row>
    <row r="1259" spans="1:4" x14ac:dyDescent="0.2">
      <c r="A1259" s="397">
        <v>44127</v>
      </c>
      <c r="B1259" s="384">
        <f t="shared" si="8"/>
        <v>354086.35</v>
      </c>
      <c r="C1259" s="564">
        <v>353886.35</v>
      </c>
      <c r="D1259" s="565">
        <v>200</v>
      </c>
    </row>
    <row r="1260" spans="1:4" x14ac:dyDescent="0.2">
      <c r="A1260" s="397">
        <v>44130</v>
      </c>
      <c r="B1260" s="384">
        <f t="shared" si="8"/>
        <v>354086</v>
      </c>
      <c r="C1260" s="564">
        <v>353886</v>
      </c>
      <c r="D1260" s="565">
        <v>200</v>
      </c>
    </row>
    <row r="1261" spans="1:4" x14ac:dyDescent="0.2">
      <c r="A1261" s="397">
        <v>44131</v>
      </c>
      <c r="B1261" s="384">
        <f t="shared" si="8"/>
        <v>312941.49</v>
      </c>
      <c r="C1261" s="564">
        <v>312741.49</v>
      </c>
      <c r="D1261" s="565">
        <v>200</v>
      </c>
    </row>
    <row r="1262" spans="1:4" x14ac:dyDescent="0.2">
      <c r="A1262" s="397">
        <v>44132</v>
      </c>
      <c r="B1262" s="384">
        <f t="shared" si="8"/>
        <v>312941</v>
      </c>
      <c r="C1262" s="564">
        <v>312741</v>
      </c>
      <c r="D1262" s="565">
        <v>200</v>
      </c>
    </row>
    <row r="1263" spans="1:4" x14ac:dyDescent="0.2">
      <c r="A1263" s="397">
        <v>44133</v>
      </c>
      <c r="B1263" s="384">
        <f t="shared" ref="B1263:B1326" si="9">C1263+D1263</f>
        <v>312941</v>
      </c>
      <c r="C1263" s="564">
        <v>312741</v>
      </c>
      <c r="D1263" s="565">
        <v>200</v>
      </c>
    </row>
    <row r="1264" spans="1:4" x14ac:dyDescent="0.2">
      <c r="A1264" s="397">
        <v>44134</v>
      </c>
      <c r="B1264" s="384">
        <f t="shared" si="9"/>
        <v>336359.66</v>
      </c>
      <c r="C1264" s="564">
        <v>336159.66</v>
      </c>
      <c r="D1264" s="565">
        <v>200</v>
      </c>
    </row>
    <row r="1265" spans="1:4" x14ac:dyDescent="0.2">
      <c r="A1265" s="397">
        <v>44137</v>
      </c>
      <c r="B1265" s="384">
        <f t="shared" si="9"/>
        <v>336077.1</v>
      </c>
      <c r="C1265" s="564">
        <v>335877.1</v>
      </c>
      <c r="D1265" s="565">
        <v>200</v>
      </c>
    </row>
    <row r="1266" spans="1:4" x14ac:dyDescent="0.2">
      <c r="A1266" s="397">
        <v>44138</v>
      </c>
      <c r="B1266" s="384">
        <f t="shared" si="9"/>
        <v>336077</v>
      </c>
      <c r="C1266" s="564">
        <v>335877</v>
      </c>
      <c r="D1266" s="565">
        <v>200</v>
      </c>
    </row>
    <row r="1267" spans="1:4" x14ac:dyDescent="0.2">
      <c r="A1267" s="397">
        <v>44139</v>
      </c>
      <c r="B1267" s="384">
        <f t="shared" si="9"/>
        <v>328153.34999999998</v>
      </c>
      <c r="C1267" s="564">
        <v>327953.34999999998</v>
      </c>
      <c r="D1267" s="565">
        <v>200</v>
      </c>
    </row>
    <row r="1268" spans="1:4" x14ac:dyDescent="0.2">
      <c r="A1268" s="397">
        <v>44140</v>
      </c>
      <c r="B1268" s="384">
        <f t="shared" si="9"/>
        <v>328497.34999999998</v>
      </c>
      <c r="C1268" s="564">
        <v>328297.34999999998</v>
      </c>
      <c r="D1268" s="565">
        <v>200</v>
      </c>
    </row>
    <row r="1269" spans="1:4" x14ac:dyDescent="0.2">
      <c r="A1269" s="397">
        <v>44141</v>
      </c>
      <c r="B1269" s="384">
        <f t="shared" si="9"/>
        <v>327078.57</v>
      </c>
      <c r="C1269" s="564">
        <v>326878.57</v>
      </c>
      <c r="D1269" s="565">
        <v>200</v>
      </c>
    </row>
    <row r="1270" spans="1:4" x14ac:dyDescent="0.2">
      <c r="A1270" s="397">
        <v>44144</v>
      </c>
      <c r="B1270" s="384">
        <f t="shared" si="9"/>
        <v>293224.96000000002</v>
      </c>
      <c r="C1270" s="564">
        <v>293024.96000000002</v>
      </c>
      <c r="D1270" s="565">
        <v>200</v>
      </c>
    </row>
    <row r="1271" spans="1:4" x14ac:dyDescent="0.2">
      <c r="A1271" s="397">
        <v>44145</v>
      </c>
      <c r="B1271" s="384">
        <f t="shared" si="9"/>
        <v>297955.08</v>
      </c>
      <c r="C1271" s="564">
        <v>297755.08</v>
      </c>
      <c r="D1271" s="565">
        <v>200</v>
      </c>
    </row>
    <row r="1272" spans="1:4" x14ac:dyDescent="0.2">
      <c r="A1272" s="397">
        <v>44146</v>
      </c>
      <c r="B1272" s="384">
        <f t="shared" si="9"/>
        <v>297955</v>
      </c>
      <c r="C1272" s="564">
        <v>297755</v>
      </c>
      <c r="D1272" s="565">
        <v>200</v>
      </c>
    </row>
    <row r="1273" spans="1:4" x14ac:dyDescent="0.2">
      <c r="A1273" s="397">
        <v>44147</v>
      </c>
      <c r="B1273" s="384">
        <f t="shared" si="9"/>
        <v>301097.59000000003</v>
      </c>
      <c r="C1273" s="564">
        <v>300897.59000000003</v>
      </c>
      <c r="D1273" s="565">
        <v>200</v>
      </c>
    </row>
    <row r="1274" spans="1:4" x14ac:dyDescent="0.2">
      <c r="A1274" s="397">
        <v>44148</v>
      </c>
      <c r="B1274" s="384">
        <f t="shared" si="9"/>
        <v>300720.71000000002</v>
      </c>
      <c r="C1274" s="564">
        <v>300520.71000000002</v>
      </c>
      <c r="D1274" s="565">
        <v>200</v>
      </c>
    </row>
    <row r="1275" spans="1:4" x14ac:dyDescent="0.2">
      <c r="A1275" s="397">
        <v>44151</v>
      </c>
      <c r="B1275" s="384">
        <f t="shared" si="9"/>
        <v>300721</v>
      </c>
      <c r="C1275" s="564">
        <v>300521</v>
      </c>
      <c r="D1275" s="565">
        <v>200</v>
      </c>
    </row>
    <row r="1276" spans="1:4" x14ac:dyDescent="0.2">
      <c r="A1276" s="397">
        <v>44152</v>
      </c>
      <c r="B1276" s="384">
        <f t="shared" si="9"/>
        <v>300721</v>
      </c>
      <c r="C1276" s="564">
        <v>300521</v>
      </c>
      <c r="D1276" s="565">
        <v>200</v>
      </c>
    </row>
    <row r="1277" spans="1:4" x14ac:dyDescent="0.2">
      <c r="A1277" s="397">
        <v>44153</v>
      </c>
      <c r="B1277" s="384">
        <f t="shared" si="9"/>
        <v>298371.37</v>
      </c>
      <c r="C1277" s="564">
        <v>298171.37</v>
      </c>
      <c r="D1277" s="565">
        <v>200</v>
      </c>
    </row>
    <row r="1278" spans="1:4" x14ac:dyDescent="0.2">
      <c r="A1278" s="397">
        <v>44154</v>
      </c>
      <c r="B1278" s="384">
        <f t="shared" si="9"/>
        <v>298371</v>
      </c>
      <c r="C1278" s="564">
        <v>298171</v>
      </c>
      <c r="D1278" s="565">
        <v>200</v>
      </c>
    </row>
    <row r="1279" spans="1:4" x14ac:dyDescent="0.2">
      <c r="A1279" s="397">
        <v>44155</v>
      </c>
      <c r="B1279" s="384">
        <f t="shared" si="9"/>
        <v>297912.75</v>
      </c>
      <c r="C1279" s="564">
        <v>297712.75</v>
      </c>
      <c r="D1279" s="565">
        <v>200</v>
      </c>
    </row>
    <row r="1280" spans="1:4" x14ac:dyDescent="0.2">
      <c r="A1280" s="397">
        <v>44158</v>
      </c>
      <c r="B1280" s="384">
        <f t="shared" si="9"/>
        <v>260100.75</v>
      </c>
      <c r="C1280" s="564">
        <v>259900.75</v>
      </c>
      <c r="D1280" s="565">
        <v>200</v>
      </c>
    </row>
    <row r="1281" spans="1:4" x14ac:dyDescent="0.2">
      <c r="A1281" s="397">
        <v>44159</v>
      </c>
      <c r="B1281" s="384">
        <f t="shared" si="9"/>
        <v>260101</v>
      </c>
      <c r="C1281" s="564">
        <v>259901</v>
      </c>
      <c r="D1281" s="565">
        <v>200</v>
      </c>
    </row>
    <row r="1282" spans="1:4" x14ac:dyDescent="0.2">
      <c r="A1282" s="397">
        <v>44160</v>
      </c>
      <c r="B1282" s="384">
        <f t="shared" si="9"/>
        <v>259952.43</v>
      </c>
      <c r="C1282" s="564">
        <v>259752.43</v>
      </c>
      <c r="D1282" s="565">
        <v>200</v>
      </c>
    </row>
    <row r="1283" spans="1:4" x14ac:dyDescent="0.2">
      <c r="A1283" s="397">
        <v>44161</v>
      </c>
      <c r="B1283" s="384">
        <f t="shared" si="9"/>
        <v>259952</v>
      </c>
      <c r="C1283" s="564">
        <v>259752</v>
      </c>
      <c r="D1283" s="565">
        <v>200</v>
      </c>
    </row>
    <row r="1284" spans="1:4" x14ac:dyDescent="0.2">
      <c r="A1284" s="397">
        <v>44162</v>
      </c>
      <c r="B1284" s="384">
        <f t="shared" si="9"/>
        <v>261011.41</v>
      </c>
      <c r="C1284" s="564">
        <v>260811.41</v>
      </c>
      <c r="D1284" s="565">
        <v>200</v>
      </c>
    </row>
    <row r="1285" spans="1:4" x14ac:dyDescent="0.2">
      <c r="A1285" s="397">
        <v>44165</v>
      </c>
      <c r="B1285" s="384">
        <f t="shared" si="9"/>
        <v>256570.76</v>
      </c>
      <c r="C1285" s="564">
        <v>256370.76</v>
      </c>
      <c r="D1285" s="565">
        <v>200</v>
      </c>
    </row>
    <row r="1286" spans="1:4" x14ac:dyDescent="0.2">
      <c r="A1286" s="397">
        <v>44166</v>
      </c>
      <c r="B1286" s="384">
        <f t="shared" si="9"/>
        <v>256571</v>
      </c>
      <c r="C1286" s="564">
        <v>256371</v>
      </c>
      <c r="D1286" s="565">
        <v>200</v>
      </c>
    </row>
    <row r="1287" spans="1:4" x14ac:dyDescent="0.2">
      <c r="A1287" s="397">
        <v>44167</v>
      </c>
      <c r="B1287" s="384">
        <f t="shared" si="9"/>
        <v>343824.57</v>
      </c>
      <c r="C1287" s="564">
        <v>343624.57</v>
      </c>
      <c r="D1287" s="565">
        <v>200</v>
      </c>
    </row>
    <row r="1288" spans="1:4" x14ac:dyDescent="0.2">
      <c r="A1288" s="397">
        <v>44168</v>
      </c>
      <c r="B1288" s="384">
        <f t="shared" si="9"/>
        <v>348428.77</v>
      </c>
      <c r="C1288" s="564">
        <v>348228.77</v>
      </c>
      <c r="D1288" s="565">
        <v>200</v>
      </c>
    </row>
    <row r="1289" spans="1:4" x14ac:dyDescent="0.2">
      <c r="A1289" s="397">
        <v>44169</v>
      </c>
      <c r="B1289" s="384">
        <f t="shared" si="9"/>
        <v>348429</v>
      </c>
      <c r="C1289" s="564">
        <v>348229</v>
      </c>
      <c r="D1289" s="565">
        <v>200</v>
      </c>
    </row>
    <row r="1290" spans="1:4" x14ac:dyDescent="0.2">
      <c r="A1290" s="397">
        <v>44172</v>
      </c>
      <c r="B1290" s="384">
        <f t="shared" si="9"/>
        <v>313593.81</v>
      </c>
      <c r="C1290" s="564">
        <v>313393.81</v>
      </c>
      <c r="D1290" s="565">
        <v>200</v>
      </c>
    </row>
    <row r="1291" spans="1:4" x14ac:dyDescent="0.2">
      <c r="A1291" s="397">
        <v>44173</v>
      </c>
      <c r="B1291" s="384">
        <f t="shared" si="9"/>
        <v>320775.28999999998</v>
      </c>
      <c r="C1291" s="564">
        <v>320575.28999999998</v>
      </c>
      <c r="D1291" s="565">
        <v>200</v>
      </c>
    </row>
    <row r="1292" spans="1:4" x14ac:dyDescent="0.2">
      <c r="A1292" s="397">
        <v>44174</v>
      </c>
      <c r="B1292" s="384">
        <f t="shared" si="9"/>
        <v>321115.28999999998</v>
      </c>
      <c r="C1292" s="564">
        <v>320915.28999999998</v>
      </c>
      <c r="D1292" s="565">
        <v>200</v>
      </c>
    </row>
    <row r="1293" spans="1:4" x14ac:dyDescent="0.2">
      <c r="A1293" s="397">
        <v>44175</v>
      </c>
      <c r="B1293" s="384">
        <f t="shared" si="9"/>
        <v>314719.49</v>
      </c>
      <c r="C1293" s="564">
        <v>314519.49</v>
      </c>
      <c r="D1293" s="565">
        <v>200</v>
      </c>
    </row>
    <row r="1294" spans="1:4" x14ac:dyDescent="0.2">
      <c r="A1294" s="397">
        <v>44176</v>
      </c>
      <c r="B1294" s="384">
        <f t="shared" si="9"/>
        <v>317009.81</v>
      </c>
      <c r="C1294" s="564">
        <v>316809.81</v>
      </c>
      <c r="D1294" s="565">
        <v>200</v>
      </c>
    </row>
    <row r="1295" spans="1:4" x14ac:dyDescent="0.2">
      <c r="A1295" s="397">
        <v>44179</v>
      </c>
      <c r="B1295" s="384">
        <f t="shared" si="9"/>
        <v>316409.81</v>
      </c>
      <c r="C1295" s="564">
        <v>316209.81</v>
      </c>
      <c r="D1295" s="565">
        <v>200</v>
      </c>
    </row>
    <row r="1296" spans="1:4" x14ac:dyDescent="0.2">
      <c r="A1296" s="397">
        <v>44180</v>
      </c>
      <c r="B1296" s="384">
        <f t="shared" si="9"/>
        <v>316462.65000000002</v>
      </c>
      <c r="C1296" s="564">
        <v>316262.65000000002</v>
      </c>
      <c r="D1296" s="565">
        <v>200</v>
      </c>
    </row>
    <row r="1297" spans="1:4" x14ac:dyDescent="0.2">
      <c r="A1297" s="397">
        <v>44181</v>
      </c>
      <c r="B1297" s="384">
        <f t="shared" si="9"/>
        <v>337790.61</v>
      </c>
      <c r="C1297" s="564">
        <v>337590.61</v>
      </c>
      <c r="D1297" s="565">
        <v>200</v>
      </c>
    </row>
    <row r="1298" spans="1:4" x14ac:dyDescent="0.2">
      <c r="A1298" s="397">
        <v>44182</v>
      </c>
      <c r="B1298" s="384">
        <f t="shared" si="9"/>
        <v>337791</v>
      </c>
      <c r="C1298" s="564">
        <v>337591</v>
      </c>
      <c r="D1298" s="565">
        <v>200</v>
      </c>
    </row>
    <row r="1299" spans="1:4" x14ac:dyDescent="0.2">
      <c r="A1299" s="397">
        <v>44183</v>
      </c>
      <c r="B1299" s="384">
        <f t="shared" si="9"/>
        <v>337791</v>
      </c>
      <c r="C1299" s="564">
        <v>337591</v>
      </c>
      <c r="D1299" s="565">
        <v>200</v>
      </c>
    </row>
    <row r="1300" spans="1:4" x14ac:dyDescent="0.2">
      <c r="A1300" s="397">
        <v>44186</v>
      </c>
      <c r="B1300" s="384">
        <f t="shared" si="9"/>
        <v>304627.44</v>
      </c>
      <c r="C1300" s="564">
        <v>304427.44</v>
      </c>
      <c r="D1300" s="565">
        <v>200</v>
      </c>
    </row>
    <row r="1301" spans="1:4" x14ac:dyDescent="0.2">
      <c r="A1301" s="397">
        <v>44187</v>
      </c>
      <c r="B1301" s="384">
        <f t="shared" si="9"/>
        <v>304802.88</v>
      </c>
      <c r="C1301" s="564">
        <v>304602.88</v>
      </c>
      <c r="D1301" s="565">
        <v>200</v>
      </c>
    </row>
    <row r="1302" spans="1:4" x14ac:dyDescent="0.2">
      <c r="A1302" s="397">
        <v>44188</v>
      </c>
      <c r="B1302" s="384">
        <f t="shared" si="9"/>
        <v>304803</v>
      </c>
      <c r="C1302" s="564">
        <v>304603</v>
      </c>
      <c r="D1302" s="565">
        <v>200</v>
      </c>
    </row>
    <row r="1303" spans="1:4" x14ac:dyDescent="0.2">
      <c r="A1303" s="397">
        <v>44189</v>
      </c>
      <c r="B1303" s="384">
        <f t="shared" si="9"/>
        <v>338461.96</v>
      </c>
      <c r="C1303" s="564">
        <v>338261.96</v>
      </c>
      <c r="D1303" s="565">
        <v>200</v>
      </c>
    </row>
    <row r="1304" spans="1:4" x14ac:dyDescent="0.2">
      <c r="A1304" s="397">
        <v>44190</v>
      </c>
      <c r="B1304" s="384">
        <f t="shared" si="9"/>
        <v>338462</v>
      </c>
      <c r="C1304" s="564">
        <v>338262</v>
      </c>
      <c r="D1304" s="565">
        <v>200</v>
      </c>
    </row>
    <row r="1305" spans="1:4" x14ac:dyDescent="0.2">
      <c r="A1305" s="397">
        <v>44193</v>
      </c>
      <c r="B1305" s="384">
        <f t="shared" si="9"/>
        <v>373533.96</v>
      </c>
      <c r="C1305" s="564">
        <v>373333.96</v>
      </c>
      <c r="D1305" s="565">
        <v>200</v>
      </c>
    </row>
    <row r="1306" spans="1:4" x14ac:dyDescent="0.2">
      <c r="A1306" s="397">
        <v>44194</v>
      </c>
      <c r="B1306" s="384">
        <f t="shared" si="9"/>
        <v>373168.21</v>
      </c>
      <c r="C1306" s="564">
        <v>372968.21</v>
      </c>
      <c r="D1306" s="565">
        <v>200</v>
      </c>
    </row>
    <row r="1307" spans="1:4" x14ac:dyDescent="0.2">
      <c r="A1307" s="397">
        <v>44195</v>
      </c>
      <c r="B1307" s="384">
        <f t="shared" si="9"/>
        <v>375552.7</v>
      </c>
      <c r="C1307" s="564">
        <v>375352.7</v>
      </c>
      <c r="D1307" s="565">
        <v>200</v>
      </c>
    </row>
    <row r="1308" spans="1:4" x14ac:dyDescent="0.2">
      <c r="A1308" s="397">
        <v>44196</v>
      </c>
      <c r="B1308" s="384">
        <f t="shared" si="9"/>
        <v>397543.49</v>
      </c>
      <c r="C1308" s="564">
        <v>397343.49</v>
      </c>
      <c r="D1308" s="565">
        <v>200</v>
      </c>
    </row>
    <row r="1309" spans="1:4" x14ac:dyDescent="0.2">
      <c r="A1309" s="397">
        <v>44197</v>
      </c>
      <c r="B1309" s="384">
        <f t="shared" si="9"/>
        <v>397543</v>
      </c>
      <c r="C1309" s="564">
        <v>397343</v>
      </c>
      <c r="D1309" s="565">
        <v>200</v>
      </c>
    </row>
    <row r="1310" spans="1:4" x14ac:dyDescent="0.2">
      <c r="A1310" s="397">
        <v>44200</v>
      </c>
      <c r="B1310" s="384">
        <f t="shared" si="9"/>
        <v>380539.51</v>
      </c>
      <c r="C1310" s="564">
        <v>380339.51</v>
      </c>
      <c r="D1310" s="565">
        <v>200</v>
      </c>
    </row>
    <row r="1311" spans="1:4" x14ac:dyDescent="0.2">
      <c r="A1311" s="397">
        <v>44201</v>
      </c>
      <c r="B1311" s="384">
        <f t="shared" si="9"/>
        <v>349091.91</v>
      </c>
      <c r="C1311" s="564">
        <v>348891.91</v>
      </c>
      <c r="D1311" s="565">
        <v>200</v>
      </c>
    </row>
    <row r="1312" spans="1:4" x14ac:dyDescent="0.2">
      <c r="A1312" s="397">
        <v>44202</v>
      </c>
      <c r="B1312" s="384">
        <f t="shared" si="9"/>
        <v>349092</v>
      </c>
      <c r="C1312" s="564">
        <v>348892</v>
      </c>
      <c r="D1312" s="565">
        <v>200</v>
      </c>
    </row>
    <row r="1313" spans="1:4" x14ac:dyDescent="0.2">
      <c r="A1313" s="397">
        <v>44203</v>
      </c>
      <c r="B1313" s="384">
        <f t="shared" si="9"/>
        <v>409281.75</v>
      </c>
      <c r="C1313" s="564">
        <v>409081.75</v>
      </c>
      <c r="D1313" s="565">
        <v>200</v>
      </c>
    </row>
    <row r="1314" spans="1:4" x14ac:dyDescent="0.2">
      <c r="A1314" s="397">
        <v>44204</v>
      </c>
      <c r="B1314" s="384">
        <f t="shared" si="9"/>
        <v>408971.69</v>
      </c>
      <c r="C1314" s="564">
        <v>408771.69</v>
      </c>
      <c r="D1314" s="565">
        <v>200</v>
      </c>
    </row>
    <row r="1315" spans="1:4" x14ac:dyDescent="0.2">
      <c r="A1315" s="397">
        <v>44207</v>
      </c>
      <c r="B1315" s="384">
        <f t="shared" si="9"/>
        <v>408739.83</v>
      </c>
      <c r="C1315" s="564">
        <v>408539.83</v>
      </c>
      <c r="D1315" s="565">
        <v>200</v>
      </c>
    </row>
    <row r="1316" spans="1:4" x14ac:dyDescent="0.2">
      <c r="A1316" s="397">
        <v>44208</v>
      </c>
      <c r="B1316" s="384">
        <f t="shared" si="9"/>
        <v>401650.97</v>
      </c>
      <c r="C1316" s="564">
        <v>401450.97</v>
      </c>
      <c r="D1316" s="565">
        <v>200</v>
      </c>
    </row>
    <row r="1317" spans="1:4" x14ac:dyDescent="0.2">
      <c r="A1317" s="397">
        <v>44209</v>
      </c>
      <c r="B1317" s="384">
        <f t="shared" si="9"/>
        <v>413709.67</v>
      </c>
      <c r="C1317" s="564">
        <v>413509.67</v>
      </c>
      <c r="D1317" s="565">
        <v>200</v>
      </c>
    </row>
    <row r="1318" spans="1:4" x14ac:dyDescent="0.2">
      <c r="A1318" s="397">
        <v>44210</v>
      </c>
      <c r="B1318" s="384">
        <f t="shared" si="9"/>
        <v>412321.56</v>
      </c>
      <c r="C1318" s="564">
        <v>412121.56</v>
      </c>
      <c r="D1318" s="565">
        <v>200</v>
      </c>
    </row>
    <row r="1319" spans="1:4" x14ac:dyDescent="0.2">
      <c r="A1319" s="397">
        <v>44211</v>
      </c>
      <c r="B1319" s="384">
        <f t="shared" si="9"/>
        <v>412384.91</v>
      </c>
      <c r="C1319" s="564">
        <v>412184.91</v>
      </c>
      <c r="D1319" s="565">
        <v>200</v>
      </c>
    </row>
    <row r="1320" spans="1:4" x14ac:dyDescent="0.2">
      <c r="A1320" s="397">
        <v>44214</v>
      </c>
      <c r="B1320" s="384">
        <f t="shared" si="9"/>
        <v>412385</v>
      </c>
      <c r="C1320" s="564">
        <v>412185</v>
      </c>
      <c r="D1320" s="565">
        <v>200</v>
      </c>
    </row>
    <row r="1321" spans="1:4" x14ac:dyDescent="0.2">
      <c r="A1321" s="397">
        <v>44215</v>
      </c>
      <c r="B1321" s="384">
        <f t="shared" si="9"/>
        <v>417699.08</v>
      </c>
      <c r="C1321" s="564">
        <v>417499.08</v>
      </c>
      <c r="D1321" s="565">
        <v>200</v>
      </c>
    </row>
    <row r="1322" spans="1:4" x14ac:dyDescent="0.2">
      <c r="A1322" s="397">
        <v>44216</v>
      </c>
      <c r="B1322" s="425">
        <f t="shared" si="9"/>
        <v>417952.08</v>
      </c>
      <c r="C1322" s="564">
        <v>417752.08</v>
      </c>
      <c r="D1322" s="565">
        <v>200</v>
      </c>
    </row>
    <row r="1323" spans="1:4" x14ac:dyDescent="0.2">
      <c r="A1323" s="397">
        <v>44217</v>
      </c>
      <c r="B1323" s="384">
        <f t="shared" si="9"/>
        <v>402996.41</v>
      </c>
      <c r="C1323" s="564">
        <v>402796.41</v>
      </c>
      <c r="D1323" s="565">
        <v>200</v>
      </c>
    </row>
    <row r="1324" spans="1:4" x14ac:dyDescent="0.2">
      <c r="A1324" s="397">
        <v>44218</v>
      </c>
      <c r="B1324" s="384">
        <f t="shared" si="9"/>
        <v>402527.5</v>
      </c>
      <c r="C1324" s="564">
        <v>402327.5</v>
      </c>
      <c r="D1324" s="565">
        <v>200</v>
      </c>
    </row>
    <row r="1325" spans="1:4" x14ac:dyDescent="0.2">
      <c r="A1325" s="397">
        <v>44221</v>
      </c>
      <c r="B1325" s="384">
        <f t="shared" si="9"/>
        <v>402528</v>
      </c>
      <c r="C1325" s="564">
        <v>402328</v>
      </c>
      <c r="D1325" s="565">
        <v>200</v>
      </c>
    </row>
    <row r="1326" spans="1:4" x14ac:dyDescent="0.2">
      <c r="A1326" s="397">
        <v>44222</v>
      </c>
      <c r="B1326" s="384">
        <f t="shared" si="9"/>
        <v>399742.18</v>
      </c>
      <c r="C1326" s="564">
        <v>399542.18</v>
      </c>
      <c r="D1326" s="565">
        <v>200</v>
      </c>
    </row>
    <row r="1327" spans="1:4" x14ac:dyDescent="0.2">
      <c r="A1327" s="397">
        <v>44223</v>
      </c>
      <c r="B1327" s="384">
        <f t="shared" ref="B1327:B1390" si="10">C1327+D1327</f>
        <v>399886.18</v>
      </c>
      <c r="C1327" s="564">
        <v>399686.18</v>
      </c>
      <c r="D1327" s="565">
        <v>200</v>
      </c>
    </row>
    <row r="1328" spans="1:4" x14ac:dyDescent="0.2">
      <c r="A1328" s="397">
        <v>44224</v>
      </c>
      <c r="B1328" s="384">
        <f t="shared" si="10"/>
        <v>393628.47</v>
      </c>
      <c r="C1328" s="564">
        <v>393428.47</v>
      </c>
      <c r="D1328" s="565">
        <v>200</v>
      </c>
    </row>
    <row r="1329" spans="1:4" x14ac:dyDescent="0.2">
      <c r="A1329" s="397">
        <v>44225</v>
      </c>
      <c r="B1329" s="384">
        <f t="shared" si="10"/>
        <v>393628</v>
      </c>
      <c r="C1329" s="564">
        <v>393428</v>
      </c>
      <c r="D1329" s="565">
        <v>200</v>
      </c>
    </row>
    <row r="1330" spans="1:4" x14ac:dyDescent="0.2">
      <c r="A1330" s="397">
        <v>44228</v>
      </c>
      <c r="B1330" s="384">
        <f t="shared" si="10"/>
        <v>393628</v>
      </c>
      <c r="C1330" s="564">
        <v>393428</v>
      </c>
      <c r="D1330" s="565">
        <v>200</v>
      </c>
    </row>
    <row r="1331" spans="1:4" x14ac:dyDescent="0.2">
      <c r="A1331" s="397">
        <v>44229</v>
      </c>
      <c r="B1331" s="384">
        <f t="shared" si="10"/>
        <v>359326.4</v>
      </c>
      <c r="C1331" s="564">
        <v>359126.4</v>
      </c>
      <c r="D1331" s="565">
        <v>200</v>
      </c>
    </row>
    <row r="1332" spans="1:4" x14ac:dyDescent="0.2">
      <c r="A1332" s="397">
        <v>44230</v>
      </c>
      <c r="B1332" s="384">
        <f t="shared" si="10"/>
        <v>359521.7</v>
      </c>
      <c r="C1332" s="564">
        <v>359321.7</v>
      </c>
      <c r="D1332" s="565">
        <v>200</v>
      </c>
    </row>
    <row r="1333" spans="1:4" x14ac:dyDescent="0.2">
      <c r="A1333" s="397">
        <v>44231</v>
      </c>
      <c r="B1333" s="384">
        <f t="shared" si="10"/>
        <v>359522</v>
      </c>
      <c r="C1333" s="564">
        <v>359322</v>
      </c>
      <c r="D1333" s="565">
        <v>200</v>
      </c>
    </row>
    <row r="1334" spans="1:4" x14ac:dyDescent="0.2">
      <c r="A1334" s="397">
        <v>44232</v>
      </c>
      <c r="B1334" s="384">
        <f t="shared" si="10"/>
        <v>347055.28</v>
      </c>
      <c r="C1334" s="564">
        <v>346855.28</v>
      </c>
      <c r="D1334" s="565">
        <v>200</v>
      </c>
    </row>
    <row r="1335" spans="1:4" x14ac:dyDescent="0.2">
      <c r="A1335" s="397">
        <v>44235</v>
      </c>
      <c r="B1335" s="384">
        <f t="shared" si="10"/>
        <v>369629.13</v>
      </c>
      <c r="C1335" s="564">
        <v>369429.13</v>
      </c>
      <c r="D1335" s="565">
        <v>200</v>
      </c>
    </row>
    <row r="1336" spans="1:4" x14ac:dyDescent="0.2">
      <c r="A1336" s="397">
        <v>44236</v>
      </c>
      <c r="B1336" s="384">
        <f t="shared" si="10"/>
        <v>382278.77</v>
      </c>
      <c r="C1336" s="564">
        <v>382078.77</v>
      </c>
      <c r="D1336" s="565">
        <v>200</v>
      </c>
    </row>
    <row r="1337" spans="1:4" x14ac:dyDescent="0.2">
      <c r="A1337" s="397">
        <v>44237</v>
      </c>
      <c r="B1337" s="384">
        <f t="shared" si="10"/>
        <v>382279</v>
      </c>
      <c r="C1337" s="564">
        <v>382079</v>
      </c>
      <c r="D1337" s="565">
        <v>200</v>
      </c>
    </row>
    <row r="1338" spans="1:4" x14ac:dyDescent="0.2">
      <c r="A1338" s="397">
        <v>44238</v>
      </c>
      <c r="B1338" s="384">
        <f t="shared" si="10"/>
        <v>378310.6</v>
      </c>
      <c r="C1338" s="564">
        <v>378110.6</v>
      </c>
      <c r="D1338" s="565">
        <v>200</v>
      </c>
    </row>
    <row r="1339" spans="1:4" x14ac:dyDescent="0.2">
      <c r="A1339" s="397">
        <v>44239</v>
      </c>
      <c r="B1339" s="384">
        <f t="shared" si="10"/>
        <v>378369.91</v>
      </c>
      <c r="C1339" s="564">
        <v>378169.91</v>
      </c>
      <c r="D1339" s="565">
        <v>200</v>
      </c>
    </row>
    <row r="1340" spans="1:4" x14ac:dyDescent="0.2">
      <c r="A1340" s="397">
        <v>44242</v>
      </c>
      <c r="B1340" s="384">
        <f t="shared" si="10"/>
        <v>378370</v>
      </c>
      <c r="C1340" s="564">
        <v>378170</v>
      </c>
      <c r="D1340" s="565">
        <v>200</v>
      </c>
    </row>
    <row r="1341" spans="1:4" x14ac:dyDescent="0.2">
      <c r="A1341" s="397">
        <v>44243</v>
      </c>
      <c r="B1341" s="425">
        <f t="shared" si="10"/>
        <v>345442.81</v>
      </c>
      <c r="C1341" s="564">
        <v>345242.81</v>
      </c>
      <c r="D1341" s="565">
        <v>200</v>
      </c>
    </row>
    <row r="1342" spans="1:4" x14ac:dyDescent="0.2">
      <c r="A1342" s="397">
        <v>44244</v>
      </c>
      <c r="B1342" s="384">
        <f t="shared" si="10"/>
        <v>345443</v>
      </c>
      <c r="C1342" s="564">
        <v>345243</v>
      </c>
      <c r="D1342" s="565">
        <v>200</v>
      </c>
    </row>
    <row r="1343" spans="1:4" x14ac:dyDescent="0.2">
      <c r="A1343" s="397">
        <v>44245</v>
      </c>
      <c r="B1343" s="384">
        <f t="shared" si="10"/>
        <v>345443</v>
      </c>
      <c r="C1343" s="564">
        <v>345243</v>
      </c>
      <c r="D1343" s="565">
        <v>200</v>
      </c>
    </row>
    <row r="1344" spans="1:4" x14ac:dyDescent="0.2">
      <c r="A1344" s="397">
        <v>44246</v>
      </c>
      <c r="B1344" s="384">
        <f t="shared" si="10"/>
        <v>364859.97</v>
      </c>
      <c r="C1344" s="564">
        <v>364659.97</v>
      </c>
      <c r="D1344" s="565">
        <v>200</v>
      </c>
    </row>
    <row r="1345" spans="1:4" x14ac:dyDescent="0.2">
      <c r="A1345" s="397">
        <v>44249</v>
      </c>
      <c r="B1345" s="384">
        <f t="shared" si="10"/>
        <v>368452.97</v>
      </c>
      <c r="C1345" s="564">
        <v>368252.97</v>
      </c>
      <c r="D1345" s="565">
        <v>200</v>
      </c>
    </row>
    <row r="1346" spans="1:4" x14ac:dyDescent="0.2">
      <c r="A1346" s="397">
        <v>44250</v>
      </c>
      <c r="B1346" s="384">
        <f t="shared" si="10"/>
        <v>368407.65</v>
      </c>
      <c r="C1346" s="564">
        <v>368207.65</v>
      </c>
      <c r="D1346" s="565">
        <v>200</v>
      </c>
    </row>
    <row r="1347" spans="1:4" x14ac:dyDescent="0.2">
      <c r="A1347" s="397">
        <v>44251</v>
      </c>
      <c r="B1347" s="384">
        <f t="shared" si="10"/>
        <v>373249.01</v>
      </c>
      <c r="C1347" s="564">
        <v>373049.01</v>
      </c>
      <c r="D1347" s="565">
        <v>200</v>
      </c>
    </row>
    <row r="1348" spans="1:4" x14ac:dyDescent="0.2">
      <c r="A1348" s="397">
        <v>44252</v>
      </c>
      <c r="B1348" s="384">
        <f t="shared" si="10"/>
        <v>373249.01</v>
      </c>
      <c r="C1348" s="564">
        <v>373049.01</v>
      </c>
      <c r="D1348" s="565">
        <v>200</v>
      </c>
    </row>
    <row r="1349" spans="1:4" x14ac:dyDescent="0.2">
      <c r="A1349" s="397">
        <v>44253</v>
      </c>
      <c r="B1349" s="384">
        <f t="shared" si="10"/>
        <v>404359.4</v>
      </c>
      <c r="C1349" s="564">
        <v>404159.4</v>
      </c>
      <c r="D1349" s="565">
        <v>200</v>
      </c>
    </row>
    <row r="1350" spans="1:4" x14ac:dyDescent="0.2">
      <c r="A1350" s="397">
        <v>44256</v>
      </c>
      <c r="B1350" s="384">
        <f t="shared" si="10"/>
        <v>398860.85</v>
      </c>
      <c r="C1350" s="564">
        <v>398660.85</v>
      </c>
      <c r="D1350" s="565">
        <v>200</v>
      </c>
    </row>
    <row r="1351" spans="1:4" x14ac:dyDescent="0.2">
      <c r="A1351" s="397">
        <v>44257</v>
      </c>
      <c r="B1351" s="384">
        <f t="shared" si="10"/>
        <v>365079.52</v>
      </c>
      <c r="C1351" s="564">
        <v>364879.52</v>
      </c>
      <c r="D1351" s="565">
        <v>200</v>
      </c>
    </row>
    <row r="1352" spans="1:4" x14ac:dyDescent="0.2">
      <c r="A1352" s="397">
        <v>44258</v>
      </c>
      <c r="B1352" s="384">
        <f t="shared" si="10"/>
        <v>406124.9</v>
      </c>
      <c r="C1352" s="564">
        <v>405924.9</v>
      </c>
      <c r="D1352" s="565">
        <v>200</v>
      </c>
    </row>
    <row r="1353" spans="1:4" x14ac:dyDescent="0.2">
      <c r="A1353" s="397">
        <v>44259</v>
      </c>
      <c r="B1353" s="384">
        <f t="shared" si="10"/>
        <v>409953.76</v>
      </c>
      <c r="C1353" s="564">
        <v>409753.76</v>
      </c>
      <c r="D1353" s="565">
        <v>200</v>
      </c>
    </row>
    <row r="1354" spans="1:4" x14ac:dyDescent="0.2">
      <c r="A1354" s="397">
        <v>44260</v>
      </c>
      <c r="B1354" s="384">
        <f t="shared" si="10"/>
        <v>400983.29</v>
      </c>
      <c r="C1354" s="564">
        <v>400783.29</v>
      </c>
      <c r="D1354" s="565">
        <v>200</v>
      </c>
    </row>
    <row r="1355" spans="1:4" x14ac:dyDescent="0.2">
      <c r="A1355" s="397">
        <v>44263</v>
      </c>
      <c r="B1355" s="384">
        <f t="shared" si="10"/>
        <v>400983</v>
      </c>
      <c r="C1355" s="564">
        <v>400783</v>
      </c>
      <c r="D1355" s="565">
        <v>200</v>
      </c>
    </row>
    <row r="1356" spans="1:4" x14ac:dyDescent="0.2">
      <c r="A1356" s="397">
        <v>44264</v>
      </c>
      <c r="B1356" s="384">
        <f t="shared" si="10"/>
        <v>399908.16</v>
      </c>
      <c r="C1356" s="564">
        <v>399708.15999999997</v>
      </c>
      <c r="D1356" s="565">
        <v>200</v>
      </c>
    </row>
    <row r="1357" spans="1:4" x14ac:dyDescent="0.2">
      <c r="A1357" s="397">
        <v>44265</v>
      </c>
      <c r="B1357" s="384">
        <f t="shared" si="10"/>
        <v>399908</v>
      </c>
      <c r="C1357" s="564">
        <v>399708</v>
      </c>
      <c r="D1357" s="565">
        <v>200</v>
      </c>
    </row>
    <row r="1358" spans="1:4" x14ac:dyDescent="0.2">
      <c r="A1358" s="397">
        <v>44266</v>
      </c>
      <c r="B1358" s="384">
        <f t="shared" si="10"/>
        <v>399908</v>
      </c>
      <c r="C1358" s="564">
        <v>399708</v>
      </c>
      <c r="D1358" s="565">
        <v>200</v>
      </c>
    </row>
    <row r="1359" spans="1:4" x14ac:dyDescent="0.2">
      <c r="A1359" s="397">
        <v>44267</v>
      </c>
      <c r="B1359" s="384">
        <f t="shared" si="10"/>
        <v>399766.22</v>
      </c>
      <c r="C1359" s="564">
        <v>399566.22</v>
      </c>
      <c r="D1359" s="565">
        <v>200</v>
      </c>
    </row>
    <row r="1360" spans="1:4" x14ac:dyDescent="0.2">
      <c r="A1360" s="397">
        <v>44270</v>
      </c>
      <c r="B1360" s="384">
        <f t="shared" si="10"/>
        <v>366689.23</v>
      </c>
      <c r="C1360" s="564">
        <v>366489.23</v>
      </c>
      <c r="D1360" s="565">
        <v>200</v>
      </c>
    </row>
    <row r="1361" spans="1:4" x14ac:dyDescent="0.2">
      <c r="A1361" s="397">
        <v>44271</v>
      </c>
      <c r="B1361" s="384">
        <f t="shared" si="10"/>
        <v>392136.38</v>
      </c>
      <c r="C1361" s="564">
        <v>391936.38</v>
      </c>
      <c r="D1361" s="565">
        <v>200</v>
      </c>
    </row>
    <row r="1362" spans="1:4" x14ac:dyDescent="0.2">
      <c r="A1362" s="397">
        <v>44272</v>
      </c>
      <c r="B1362" s="384">
        <f t="shared" si="10"/>
        <v>414771.89</v>
      </c>
      <c r="C1362" s="564">
        <v>414571.89</v>
      </c>
      <c r="D1362" s="565">
        <v>200</v>
      </c>
    </row>
    <row r="1363" spans="1:4" x14ac:dyDescent="0.2">
      <c r="A1363" s="397">
        <v>44273</v>
      </c>
      <c r="B1363" s="384">
        <f t="shared" si="10"/>
        <v>442093.39</v>
      </c>
      <c r="C1363" s="564">
        <v>441893.39</v>
      </c>
      <c r="D1363" s="565">
        <v>200</v>
      </c>
    </row>
    <row r="1364" spans="1:4" x14ac:dyDescent="0.2">
      <c r="A1364" s="397">
        <v>44274</v>
      </c>
      <c r="B1364" s="384">
        <f t="shared" si="10"/>
        <v>439966.74</v>
      </c>
      <c r="C1364" s="564">
        <v>439766.74</v>
      </c>
      <c r="D1364" s="565">
        <v>200</v>
      </c>
    </row>
    <row r="1365" spans="1:4" x14ac:dyDescent="0.2">
      <c r="A1365" s="397">
        <v>44277</v>
      </c>
      <c r="B1365" s="384">
        <f t="shared" si="10"/>
        <v>439966.74</v>
      </c>
      <c r="C1365" s="564">
        <v>439766.74</v>
      </c>
      <c r="D1365" s="565">
        <v>200</v>
      </c>
    </row>
    <row r="1366" spans="1:4" x14ac:dyDescent="0.2">
      <c r="A1366" s="397">
        <v>44278</v>
      </c>
      <c r="B1366" s="384">
        <f t="shared" si="10"/>
        <v>439966.74</v>
      </c>
      <c r="C1366" s="564">
        <v>439766.74</v>
      </c>
      <c r="D1366" s="565">
        <v>200</v>
      </c>
    </row>
    <row r="1367" spans="1:4" x14ac:dyDescent="0.2">
      <c r="A1367" s="397">
        <v>44279</v>
      </c>
      <c r="B1367" s="384">
        <f t="shared" si="10"/>
        <v>440251.74</v>
      </c>
      <c r="C1367" s="564">
        <v>440051.74</v>
      </c>
      <c r="D1367" s="565">
        <v>200</v>
      </c>
    </row>
    <row r="1368" spans="1:4" x14ac:dyDescent="0.2">
      <c r="A1368" s="397">
        <v>44280</v>
      </c>
      <c r="B1368" s="384">
        <f t="shared" si="10"/>
        <v>440252</v>
      </c>
      <c r="C1368" s="564">
        <v>440052</v>
      </c>
      <c r="D1368" s="565">
        <v>200</v>
      </c>
    </row>
    <row r="1369" spans="1:4" x14ac:dyDescent="0.2">
      <c r="A1369" s="397">
        <v>44281</v>
      </c>
      <c r="B1369" s="384">
        <f t="shared" si="10"/>
        <v>424641.64</v>
      </c>
      <c r="C1369" s="564">
        <v>424441.64</v>
      </c>
      <c r="D1369" s="565">
        <v>200</v>
      </c>
    </row>
    <row r="1370" spans="1:4" x14ac:dyDescent="0.2">
      <c r="A1370" s="397">
        <v>44284</v>
      </c>
      <c r="B1370" s="384">
        <f t="shared" si="10"/>
        <v>527059.86</v>
      </c>
      <c r="C1370" s="564">
        <v>526859.86</v>
      </c>
      <c r="D1370" s="565">
        <v>200</v>
      </c>
    </row>
    <row r="1371" spans="1:4" x14ac:dyDescent="0.2">
      <c r="A1371" s="397">
        <v>44285</v>
      </c>
      <c r="B1371" s="384">
        <f t="shared" si="10"/>
        <v>552226.89</v>
      </c>
      <c r="C1371" s="564">
        <v>552026.89</v>
      </c>
      <c r="D1371" s="565">
        <v>200</v>
      </c>
    </row>
    <row r="1372" spans="1:4" x14ac:dyDescent="0.2">
      <c r="A1372" s="397">
        <v>44286</v>
      </c>
      <c r="B1372" s="384">
        <f t="shared" si="10"/>
        <v>552439.89</v>
      </c>
      <c r="C1372" s="564">
        <v>552239.89</v>
      </c>
      <c r="D1372" s="565">
        <v>200</v>
      </c>
    </row>
    <row r="1373" spans="1:4" x14ac:dyDescent="0.2">
      <c r="A1373" s="397">
        <v>44287</v>
      </c>
      <c r="B1373" s="384">
        <f t="shared" si="10"/>
        <v>552439.89</v>
      </c>
      <c r="C1373" s="564">
        <v>552239.89</v>
      </c>
      <c r="D1373" s="565">
        <v>200</v>
      </c>
    </row>
    <row r="1374" spans="1:4" x14ac:dyDescent="0.2">
      <c r="A1374" s="397">
        <v>44288</v>
      </c>
      <c r="B1374" s="384">
        <f t="shared" si="10"/>
        <v>552129.82999999996</v>
      </c>
      <c r="C1374" s="564">
        <v>551929.82999999996</v>
      </c>
      <c r="D1374" s="565">
        <v>200</v>
      </c>
    </row>
    <row r="1375" spans="1:4" x14ac:dyDescent="0.2">
      <c r="A1375" s="397">
        <v>44291</v>
      </c>
      <c r="B1375" s="384">
        <f t="shared" si="10"/>
        <v>552130</v>
      </c>
      <c r="C1375" s="564">
        <v>551930</v>
      </c>
      <c r="D1375" s="565">
        <v>200</v>
      </c>
    </row>
    <row r="1376" spans="1:4" x14ac:dyDescent="0.2">
      <c r="A1376" s="397">
        <v>44292</v>
      </c>
      <c r="B1376" s="384">
        <f t="shared" si="10"/>
        <v>552377.82999999996</v>
      </c>
      <c r="C1376" s="564">
        <v>552177.82999999996</v>
      </c>
      <c r="D1376" s="565">
        <v>200</v>
      </c>
    </row>
    <row r="1377" spans="1:4" x14ac:dyDescent="0.2">
      <c r="A1377" s="397">
        <v>44293</v>
      </c>
      <c r="B1377" s="384">
        <f t="shared" si="10"/>
        <v>552378</v>
      </c>
      <c r="C1377" s="564">
        <v>552178</v>
      </c>
      <c r="D1377" s="565">
        <v>200</v>
      </c>
    </row>
    <row r="1378" spans="1:4" x14ac:dyDescent="0.2">
      <c r="A1378" s="397">
        <v>44294</v>
      </c>
      <c r="B1378" s="425">
        <f t="shared" si="10"/>
        <v>553005.37</v>
      </c>
      <c r="C1378" s="564">
        <v>552805.37</v>
      </c>
      <c r="D1378" s="565">
        <v>200</v>
      </c>
    </row>
    <row r="1379" spans="1:4" x14ac:dyDescent="0.2">
      <c r="A1379" s="397">
        <v>44295</v>
      </c>
      <c r="B1379" s="384">
        <f t="shared" si="10"/>
        <v>553005</v>
      </c>
      <c r="C1379" s="564">
        <v>552805</v>
      </c>
      <c r="D1379" s="565">
        <v>200</v>
      </c>
    </row>
    <row r="1380" spans="1:4" x14ac:dyDescent="0.2">
      <c r="A1380" s="397">
        <v>44298</v>
      </c>
      <c r="B1380" s="384">
        <f t="shared" si="10"/>
        <v>536104.62</v>
      </c>
      <c r="C1380" s="564">
        <v>535904.62</v>
      </c>
      <c r="D1380" s="565">
        <v>200</v>
      </c>
    </row>
    <row r="1381" spans="1:4" x14ac:dyDescent="0.2">
      <c r="A1381" s="397">
        <v>44299</v>
      </c>
      <c r="B1381" s="384">
        <f t="shared" si="10"/>
        <v>503475.62</v>
      </c>
      <c r="C1381" s="564">
        <v>503275.62</v>
      </c>
      <c r="D1381" s="565">
        <v>200</v>
      </c>
    </row>
    <row r="1382" spans="1:4" x14ac:dyDescent="0.2">
      <c r="A1382" s="397">
        <v>44300</v>
      </c>
      <c r="B1382" s="384">
        <f t="shared" si="10"/>
        <v>515272.72</v>
      </c>
      <c r="C1382" s="564">
        <v>515072.72</v>
      </c>
      <c r="D1382" s="565">
        <v>200</v>
      </c>
    </row>
    <row r="1383" spans="1:4" x14ac:dyDescent="0.2">
      <c r="A1383" s="397">
        <v>44301</v>
      </c>
      <c r="B1383" s="384">
        <f t="shared" si="10"/>
        <v>519939.48</v>
      </c>
      <c r="C1383" s="564">
        <v>519739.48</v>
      </c>
      <c r="D1383" s="565">
        <v>200</v>
      </c>
    </row>
    <row r="1384" spans="1:4" x14ac:dyDescent="0.2">
      <c r="A1384" s="397">
        <v>44302</v>
      </c>
      <c r="B1384" s="384">
        <f t="shared" si="10"/>
        <v>518569.61</v>
      </c>
      <c r="C1384" s="564">
        <v>518369.61</v>
      </c>
      <c r="D1384" s="565">
        <v>200</v>
      </c>
    </row>
    <row r="1385" spans="1:4" x14ac:dyDescent="0.2">
      <c r="A1385" s="397">
        <v>44305</v>
      </c>
      <c r="B1385" s="384">
        <f t="shared" si="10"/>
        <v>518755.61</v>
      </c>
      <c r="C1385" s="564">
        <v>518555.61</v>
      </c>
      <c r="D1385" s="565">
        <v>200</v>
      </c>
    </row>
    <row r="1386" spans="1:4" x14ac:dyDescent="0.2">
      <c r="A1386" s="397">
        <v>44306</v>
      </c>
      <c r="B1386" s="384">
        <f t="shared" si="10"/>
        <v>518755.61</v>
      </c>
      <c r="C1386" s="564">
        <v>518555.61</v>
      </c>
      <c r="D1386" s="565">
        <v>200</v>
      </c>
    </row>
    <row r="1387" spans="1:4" x14ac:dyDescent="0.2">
      <c r="A1387" s="397">
        <v>44307</v>
      </c>
      <c r="B1387" s="384">
        <f t="shared" si="10"/>
        <v>518755.61</v>
      </c>
      <c r="C1387" s="564">
        <v>518555.61</v>
      </c>
      <c r="D1387" s="565">
        <v>200</v>
      </c>
    </row>
    <row r="1388" spans="1:4" x14ac:dyDescent="0.2">
      <c r="A1388" s="397">
        <v>44308</v>
      </c>
      <c r="B1388" s="384">
        <f t="shared" si="10"/>
        <v>507528.36</v>
      </c>
      <c r="C1388" s="564">
        <v>507328.36</v>
      </c>
      <c r="D1388" s="565">
        <v>200</v>
      </c>
    </row>
    <row r="1389" spans="1:4" x14ac:dyDescent="0.2">
      <c r="A1389" s="397">
        <v>44309</v>
      </c>
      <c r="B1389" s="384">
        <f t="shared" si="10"/>
        <v>506769.51</v>
      </c>
      <c r="C1389" s="564">
        <v>506569.51</v>
      </c>
      <c r="D1389" s="565">
        <v>200</v>
      </c>
    </row>
    <row r="1390" spans="1:4" x14ac:dyDescent="0.2">
      <c r="A1390" s="397">
        <v>44312</v>
      </c>
      <c r="B1390" s="384">
        <f t="shared" si="10"/>
        <v>506770</v>
      </c>
      <c r="C1390" s="564">
        <v>506570</v>
      </c>
      <c r="D1390" s="565">
        <v>200</v>
      </c>
    </row>
    <row r="1391" spans="1:4" x14ac:dyDescent="0.2">
      <c r="A1391" s="397">
        <v>44313</v>
      </c>
      <c r="B1391" s="384">
        <f t="shared" ref="B1391:B1454" si="11">C1391+D1391</f>
        <v>473061.43</v>
      </c>
      <c r="C1391" s="564">
        <v>472861.43</v>
      </c>
      <c r="D1391" s="565">
        <v>200</v>
      </c>
    </row>
    <row r="1392" spans="1:4" x14ac:dyDescent="0.2">
      <c r="A1392" s="397">
        <v>44314</v>
      </c>
      <c r="B1392" s="384">
        <f t="shared" si="11"/>
        <v>479261.62</v>
      </c>
      <c r="C1392" s="564">
        <v>479061.62</v>
      </c>
      <c r="D1392" s="565">
        <v>200</v>
      </c>
    </row>
    <row r="1393" spans="1:4" x14ac:dyDescent="0.2">
      <c r="A1393" s="397">
        <v>44315</v>
      </c>
      <c r="B1393" s="384">
        <f t="shared" si="11"/>
        <v>478222.46</v>
      </c>
      <c r="C1393" s="564">
        <v>478022.46</v>
      </c>
      <c r="D1393" s="565">
        <v>200</v>
      </c>
    </row>
    <row r="1394" spans="1:4" x14ac:dyDescent="0.2">
      <c r="A1394" s="397">
        <v>44316</v>
      </c>
      <c r="B1394" s="384">
        <f t="shared" si="11"/>
        <v>477922.01</v>
      </c>
      <c r="C1394" s="564">
        <v>477722.01</v>
      </c>
      <c r="D1394" s="565">
        <v>200</v>
      </c>
    </row>
    <row r="1395" spans="1:4" x14ac:dyDescent="0.2">
      <c r="A1395" s="397">
        <v>44319</v>
      </c>
      <c r="B1395" s="384">
        <f t="shared" si="11"/>
        <v>477922.01</v>
      </c>
      <c r="C1395" s="564">
        <v>477722.01</v>
      </c>
      <c r="D1395" s="565">
        <v>200</v>
      </c>
    </row>
    <row r="1396" spans="1:4" x14ac:dyDescent="0.2">
      <c r="A1396" s="397">
        <v>44320</v>
      </c>
      <c r="B1396" s="384">
        <f t="shared" si="11"/>
        <v>477922.01</v>
      </c>
      <c r="C1396" s="564">
        <v>477722.01</v>
      </c>
      <c r="D1396" s="565">
        <v>200</v>
      </c>
    </row>
    <row r="1397" spans="1:4" x14ac:dyDescent="0.2">
      <c r="A1397" s="397">
        <v>44321</v>
      </c>
      <c r="B1397" s="384">
        <f t="shared" si="11"/>
        <v>477922.01</v>
      </c>
      <c r="C1397" s="564">
        <v>477722.01</v>
      </c>
      <c r="D1397" s="565">
        <v>200</v>
      </c>
    </row>
    <row r="1398" spans="1:4" x14ac:dyDescent="0.2">
      <c r="A1398" s="397">
        <v>44322</v>
      </c>
      <c r="B1398" s="384">
        <f t="shared" si="11"/>
        <v>477922.01</v>
      </c>
      <c r="C1398" s="564">
        <v>477722.01</v>
      </c>
      <c r="D1398" s="565">
        <v>200</v>
      </c>
    </row>
    <row r="1399" spans="1:4" x14ac:dyDescent="0.2">
      <c r="A1399" s="397">
        <v>44323</v>
      </c>
      <c r="B1399" s="384">
        <f t="shared" si="11"/>
        <v>463576.89</v>
      </c>
      <c r="C1399" s="564">
        <v>463376.89</v>
      </c>
      <c r="D1399" s="565">
        <v>200</v>
      </c>
    </row>
    <row r="1400" spans="1:4" x14ac:dyDescent="0.2">
      <c r="A1400" s="397">
        <v>44326</v>
      </c>
      <c r="B1400" s="384">
        <f t="shared" si="11"/>
        <v>473954.09</v>
      </c>
      <c r="C1400" s="564">
        <v>473754.09</v>
      </c>
      <c r="D1400" s="565">
        <v>200</v>
      </c>
    </row>
    <row r="1401" spans="1:4" x14ac:dyDescent="0.2">
      <c r="A1401" s="397">
        <v>44327</v>
      </c>
      <c r="B1401" s="384">
        <f t="shared" si="11"/>
        <v>520561.7</v>
      </c>
      <c r="C1401" s="564">
        <v>520361.7</v>
      </c>
      <c r="D1401" s="565">
        <v>200</v>
      </c>
    </row>
    <row r="1402" spans="1:4" x14ac:dyDescent="0.2">
      <c r="A1402" s="397">
        <v>44328</v>
      </c>
      <c r="B1402" s="384">
        <f t="shared" si="11"/>
        <v>520562</v>
      </c>
      <c r="C1402" s="564">
        <v>520362</v>
      </c>
      <c r="D1402" s="565">
        <v>200</v>
      </c>
    </row>
    <row r="1403" spans="1:4" x14ac:dyDescent="0.2">
      <c r="A1403" s="397">
        <v>44329</v>
      </c>
      <c r="B1403" s="384">
        <f t="shared" si="11"/>
        <v>525995.02</v>
      </c>
      <c r="C1403" s="564">
        <v>525795.02</v>
      </c>
      <c r="D1403" s="565">
        <v>200</v>
      </c>
    </row>
    <row r="1404" spans="1:4" x14ac:dyDescent="0.2">
      <c r="A1404" s="397">
        <v>44330</v>
      </c>
      <c r="B1404" s="384">
        <f t="shared" si="11"/>
        <v>521947.98</v>
      </c>
      <c r="C1404" s="564">
        <v>521747.98</v>
      </c>
      <c r="D1404" s="565">
        <v>200</v>
      </c>
    </row>
    <row r="1405" spans="1:4" x14ac:dyDescent="0.2">
      <c r="A1405" s="397">
        <v>44333</v>
      </c>
      <c r="B1405" s="384">
        <f t="shared" si="11"/>
        <v>521948</v>
      </c>
      <c r="C1405" s="564">
        <v>521748</v>
      </c>
      <c r="D1405" s="565">
        <v>200</v>
      </c>
    </row>
    <row r="1406" spans="1:4" x14ac:dyDescent="0.2">
      <c r="A1406" s="397">
        <v>44334</v>
      </c>
      <c r="B1406" s="384">
        <f t="shared" si="11"/>
        <v>521948</v>
      </c>
      <c r="C1406" s="564">
        <v>521748</v>
      </c>
      <c r="D1406" s="565">
        <v>200</v>
      </c>
    </row>
    <row r="1407" spans="1:4" x14ac:dyDescent="0.2">
      <c r="A1407" s="397">
        <v>44335</v>
      </c>
      <c r="B1407" s="384">
        <f t="shared" si="11"/>
        <v>522186.98</v>
      </c>
      <c r="C1407" s="564">
        <v>521986.98</v>
      </c>
      <c r="D1407" s="565">
        <v>200</v>
      </c>
    </row>
    <row r="1408" spans="1:4" x14ac:dyDescent="0.2">
      <c r="A1408" s="397">
        <v>44336</v>
      </c>
      <c r="B1408" s="384">
        <f t="shared" si="11"/>
        <v>518466.54</v>
      </c>
      <c r="C1408" s="564">
        <v>518266.54</v>
      </c>
      <c r="D1408" s="565">
        <v>200</v>
      </c>
    </row>
    <row r="1409" spans="1:4" x14ac:dyDescent="0.2">
      <c r="A1409" s="397">
        <v>44337</v>
      </c>
      <c r="B1409" s="384">
        <f t="shared" si="11"/>
        <v>518467</v>
      </c>
      <c r="C1409" s="564">
        <v>518267</v>
      </c>
      <c r="D1409" s="565">
        <v>200</v>
      </c>
    </row>
    <row r="1410" spans="1:4" x14ac:dyDescent="0.2">
      <c r="A1410" s="397">
        <v>44340</v>
      </c>
      <c r="B1410" s="384">
        <f t="shared" si="11"/>
        <v>486541.35</v>
      </c>
      <c r="C1410" s="564">
        <v>486341.35</v>
      </c>
      <c r="D1410" s="565">
        <v>200</v>
      </c>
    </row>
    <row r="1411" spans="1:4" x14ac:dyDescent="0.2">
      <c r="A1411" s="397">
        <v>44341</v>
      </c>
      <c r="B1411" s="384">
        <f t="shared" si="11"/>
        <v>486541</v>
      </c>
      <c r="C1411" s="564">
        <v>486341</v>
      </c>
      <c r="D1411" s="565">
        <v>200</v>
      </c>
    </row>
    <row r="1412" spans="1:4" x14ac:dyDescent="0.2">
      <c r="A1412" s="397">
        <v>44342</v>
      </c>
      <c r="B1412" s="384">
        <f t="shared" si="11"/>
        <v>512462.15</v>
      </c>
      <c r="C1412" s="564">
        <v>512262.15</v>
      </c>
      <c r="D1412" s="565">
        <v>200</v>
      </c>
    </row>
    <row r="1413" spans="1:4" x14ac:dyDescent="0.2">
      <c r="A1413" s="397">
        <v>44343</v>
      </c>
      <c r="B1413" s="384">
        <f t="shared" si="11"/>
        <v>512462</v>
      </c>
      <c r="C1413" s="564">
        <v>512262</v>
      </c>
      <c r="D1413" s="565">
        <v>200</v>
      </c>
    </row>
    <row r="1414" spans="1:4" x14ac:dyDescent="0.2">
      <c r="A1414" s="397">
        <v>44344</v>
      </c>
      <c r="B1414" s="384">
        <f t="shared" si="11"/>
        <v>513609.04</v>
      </c>
      <c r="C1414" s="564">
        <v>513409.04</v>
      </c>
      <c r="D1414" s="565">
        <v>200</v>
      </c>
    </row>
    <row r="1415" spans="1:4" x14ac:dyDescent="0.2">
      <c r="A1415" s="397">
        <v>44347</v>
      </c>
      <c r="B1415" s="384">
        <f t="shared" si="11"/>
        <v>513609</v>
      </c>
      <c r="C1415" s="564">
        <v>513409</v>
      </c>
      <c r="D1415" s="565">
        <v>200</v>
      </c>
    </row>
    <row r="1416" spans="1:4" x14ac:dyDescent="0.2">
      <c r="A1416" s="397">
        <v>44348</v>
      </c>
      <c r="B1416" s="384">
        <f t="shared" si="11"/>
        <v>513579.05</v>
      </c>
      <c r="C1416" s="564">
        <v>513379.05</v>
      </c>
      <c r="D1416" s="565">
        <v>200</v>
      </c>
    </row>
    <row r="1417" spans="1:4" x14ac:dyDescent="0.2">
      <c r="A1417" s="397">
        <v>44349</v>
      </c>
      <c r="B1417" s="384">
        <f t="shared" si="11"/>
        <v>514399.44</v>
      </c>
      <c r="C1417" s="564">
        <v>514199.44</v>
      </c>
      <c r="D1417" s="565">
        <v>200</v>
      </c>
    </row>
    <row r="1418" spans="1:4" x14ac:dyDescent="0.2">
      <c r="A1418" s="397">
        <v>44350</v>
      </c>
      <c r="B1418" s="384">
        <f t="shared" si="11"/>
        <v>501741.57</v>
      </c>
      <c r="C1418" s="564">
        <v>501541.57</v>
      </c>
      <c r="D1418" s="565">
        <v>200</v>
      </c>
    </row>
    <row r="1419" spans="1:4" x14ac:dyDescent="0.2">
      <c r="A1419" s="397">
        <v>44351</v>
      </c>
      <c r="B1419" s="384">
        <f t="shared" si="11"/>
        <v>501742</v>
      </c>
      <c r="C1419" s="564">
        <v>501542</v>
      </c>
      <c r="D1419" s="565">
        <v>200</v>
      </c>
    </row>
    <row r="1420" spans="1:4" x14ac:dyDescent="0.2">
      <c r="A1420" s="397">
        <v>44354</v>
      </c>
      <c r="B1420" s="384">
        <f t="shared" si="11"/>
        <v>502500.51</v>
      </c>
      <c r="C1420" s="564">
        <v>502300.51</v>
      </c>
      <c r="D1420" s="565">
        <v>200</v>
      </c>
    </row>
    <row r="1421" spans="1:4" x14ac:dyDescent="0.2">
      <c r="A1421" s="397">
        <v>44355</v>
      </c>
      <c r="B1421" s="384">
        <f t="shared" si="11"/>
        <v>502953.51</v>
      </c>
      <c r="C1421" s="564">
        <v>502753.51</v>
      </c>
      <c r="D1421" s="565">
        <v>200</v>
      </c>
    </row>
    <row r="1422" spans="1:4" x14ac:dyDescent="0.2">
      <c r="A1422" s="397">
        <v>44356</v>
      </c>
      <c r="B1422" s="384">
        <f t="shared" si="11"/>
        <v>502954</v>
      </c>
      <c r="C1422" s="564">
        <v>502754</v>
      </c>
      <c r="D1422" s="565">
        <v>200</v>
      </c>
    </row>
    <row r="1423" spans="1:4" x14ac:dyDescent="0.2">
      <c r="A1423" s="397">
        <v>44357</v>
      </c>
      <c r="B1423" s="384">
        <f t="shared" si="11"/>
        <v>483592.4</v>
      </c>
      <c r="C1423" s="564">
        <v>483392.4</v>
      </c>
      <c r="D1423" s="565">
        <v>200</v>
      </c>
    </row>
    <row r="1424" spans="1:4" x14ac:dyDescent="0.2">
      <c r="A1424" s="397">
        <v>44358</v>
      </c>
      <c r="B1424" s="384">
        <f t="shared" si="11"/>
        <v>483291.95</v>
      </c>
      <c r="C1424" s="564">
        <v>483091.95</v>
      </c>
      <c r="D1424" s="565">
        <v>200</v>
      </c>
    </row>
    <row r="1425" spans="1:4" x14ac:dyDescent="0.2">
      <c r="A1425" s="397">
        <v>44361</v>
      </c>
      <c r="B1425" s="384">
        <f t="shared" si="11"/>
        <v>495768.59</v>
      </c>
      <c r="C1425" s="564">
        <v>495568.59</v>
      </c>
      <c r="D1425" s="565">
        <v>200</v>
      </c>
    </row>
    <row r="1426" spans="1:4" x14ac:dyDescent="0.2">
      <c r="A1426" s="397">
        <v>44362</v>
      </c>
      <c r="B1426" s="384">
        <f t="shared" si="11"/>
        <v>495822.72</v>
      </c>
      <c r="C1426" s="564">
        <v>495622.72</v>
      </c>
      <c r="D1426" s="565">
        <v>200</v>
      </c>
    </row>
    <row r="1427" spans="1:4" x14ac:dyDescent="0.2">
      <c r="A1427" s="397">
        <v>44363</v>
      </c>
      <c r="B1427" s="384">
        <f t="shared" si="11"/>
        <v>520028.1</v>
      </c>
      <c r="C1427" s="564">
        <v>519828.1</v>
      </c>
      <c r="D1427" s="565">
        <v>200</v>
      </c>
    </row>
    <row r="1428" spans="1:4" x14ac:dyDescent="0.2">
      <c r="A1428" s="397">
        <v>44364</v>
      </c>
      <c r="B1428" s="384">
        <f t="shared" si="11"/>
        <v>517161.8</v>
      </c>
      <c r="C1428" s="564">
        <v>516961.8</v>
      </c>
      <c r="D1428" s="565">
        <v>200</v>
      </c>
    </row>
    <row r="1429" spans="1:4" x14ac:dyDescent="0.2">
      <c r="A1429" s="397">
        <v>44365</v>
      </c>
      <c r="B1429" s="384">
        <f t="shared" si="11"/>
        <v>518094.91</v>
      </c>
      <c r="C1429" s="564">
        <v>517894.91</v>
      </c>
      <c r="D1429" s="565">
        <v>200</v>
      </c>
    </row>
    <row r="1430" spans="1:4" x14ac:dyDescent="0.2">
      <c r="A1430" s="397">
        <v>44368</v>
      </c>
      <c r="B1430" s="384">
        <f t="shared" si="11"/>
        <v>484042.38</v>
      </c>
      <c r="C1430" s="564">
        <v>483842.38</v>
      </c>
      <c r="D1430" s="565">
        <v>200</v>
      </c>
    </row>
    <row r="1431" spans="1:4" x14ac:dyDescent="0.2">
      <c r="A1431" s="397">
        <v>44369</v>
      </c>
      <c r="B1431" s="384">
        <f t="shared" si="11"/>
        <v>497746.99</v>
      </c>
      <c r="C1431" s="564">
        <v>497546.99</v>
      </c>
      <c r="D1431" s="565">
        <v>200</v>
      </c>
    </row>
    <row r="1432" spans="1:4" x14ac:dyDescent="0.2">
      <c r="A1432" s="397">
        <v>44370</v>
      </c>
      <c r="B1432" s="384">
        <f t="shared" si="11"/>
        <v>497747</v>
      </c>
      <c r="C1432" s="564">
        <v>497547</v>
      </c>
      <c r="D1432" s="565">
        <v>200</v>
      </c>
    </row>
    <row r="1433" spans="1:4" x14ac:dyDescent="0.2">
      <c r="A1433" s="397">
        <v>44371</v>
      </c>
      <c r="B1433" s="384">
        <f t="shared" si="11"/>
        <v>495381.8</v>
      </c>
      <c r="C1433" s="564">
        <v>495181.8</v>
      </c>
      <c r="D1433" s="565">
        <v>200</v>
      </c>
    </row>
    <row r="1434" spans="1:4" x14ac:dyDescent="0.2">
      <c r="A1434" s="397">
        <v>44372</v>
      </c>
      <c r="B1434" s="384">
        <f t="shared" si="11"/>
        <v>495081.35</v>
      </c>
      <c r="C1434" s="564">
        <v>494881.35</v>
      </c>
      <c r="D1434" s="565">
        <v>200</v>
      </c>
    </row>
    <row r="1435" spans="1:4" x14ac:dyDescent="0.2">
      <c r="A1435" s="397">
        <v>44375</v>
      </c>
      <c r="B1435" s="384">
        <f t="shared" si="11"/>
        <v>495055.65</v>
      </c>
      <c r="C1435" s="564">
        <v>494855.65</v>
      </c>
      <c r="D1435" s="565">
        <v>200</v>
      </c>
    </row>
    <row r="1436" spans="1:4" x14ac:dyDescent="0.2">
      <c r="A1436" s="397">
        <v>44376</v>
      </c>
      <c r="B1436" s="384">
        <f t="shared" si="11"/>
        <v>495056</v>
      </c>
      <c r="C1436" s="564">
        <v>494856</v>
      </c>
      <c r="D1436" s="565">
        <v>200</v>
      </c>
    </row>
    <row r="1437" spans="1:4" x14ac:dyDescent="0.2">
      <c r="A1437" s="397">
        <v>44377</v>
      </c>
      <c r="B1437" s="384">
        <f t="shared" si="11"/>
        <v>497588.94</v>
      </c>
      <c r="C1437" s="564">
        <v>497388.94</v>
      </c>
      <c r="D1437" s="565">
        <v>200</v>
      </c>
    </row>
    <row r="1438" spans="1:4" x14ac:dyDescent="0.2">
      <c r="A1438" s="397">
        <v>44378</v>
      </c>
      <c r="B1438" s="384">
        <f t="shared" si="11"/>
        <v>488300.76</v>
      </c>
      <c r="C1438" s="564">
        <v>488100.76</v>
      </c>
      <c r="D1438" s="565">
        <v>200</v>
      </c>
    </row>
    <row r="1439" spans="1:4" x14ac:dyDescent="0.2">
      <c r="A1439" s="397">
        <v>44379</v>
      </c>
      <c r="B1439" s="384">
        <f t="shared" si="11"/>
        <v>488301</v>
      </c>
      <c r="C1439" s="564">
        <v>488101</v>
      </c>
      <c r="D1439" s="565">
        <v>200</v>
      </c>
    </row>
    <row r="1440" spans="1:4" x14ac:dyDescent="0.2">
      <c r="A1440" s="397">
        <v>44382</v>
      </c>
      <c r="B1440" s="384">
        <f t="shared" si="11"/>
        <v>488301</v>
      </c>
      <c r="C1440" s="564">
        <v>488101</v>
      </c>
      <c r="D1440" s="565">
        <v>200</v>
      </c>
    </row>
    <row r="1441" spans="1:4" x14ac:dyDescent="0.2">
      <c r="A1441" s="397">
        <v>44383</v>
      </c>
      <c r="B1441" s="384">
        <f t="shared" si="11"/>
        <v>453460.75</v>
      </c>
      <c r="C1441" s="564">
        <v>453260.75</v>
      </c>
      <c r="D1441" s="565">
        <v>200</v>
      </c>
    </row>
    <row r="1442" spans="1:4" x14ac:dyDescent="0.2">
      <c r="A1442" s="397">
        <v>44384</v>
      </c>
      <c r="B1442" s="384">
        <f t="shared" si="11"/>
        <v>453461</v>
      </c>
      <c r="C1442" s="564">
        <v>453261</v>
      </c>
      <c r="D1442" s="565">
        <v>200</v>
      </c>
    </row>
    <row r="1443" spans="1:4" x14ac:dyDescent="0.2">
      <c r="A1443" s="397">
        <v>44385</v>
      </c>
      <c r="B1443" s="384">
        <f t="shared" si="11"/>
        <v>453914.75</v>
      </c>
      <c r="C1443" s="564">
        <v>453714.75</v>
      </c>
      <c r="D1443" s="565">
        <v>200</v>
      </c>
    </row>
    <row r="1444" spans="1:4" x14ac:dyDescent="0.2">
      <c r="A1444" s="397">
        <v>44386</v>
      </c>
      <c r="B1444" s="384">
        <f t="shared" si="11"/>
        <v>451808.36</v>
      </c>
      <c r="C1444" s="564">
        <v>451608.36</v>
      </c>
      <c r="D1444" s="565">
        <v>200</v>
      </c>
    </row>
    <row r="1445" spans="1:4" x14ac:dyDescent="0.2">
      <c r="A1445" s="397">
        <v>44389</v>
      </c>
      <c r="B1445" s="384">
        <f t="shared" si="11"/>
        <v>451808</v>
      </c>
      <c r="C1445" s="564">
        <v>451608</v>
      </c>
      <c r="D1445" s="565">
        <v>200</v>
      </c>
    </row>
    <row r="1446" spans="1:4" x14ac:dyDescent="0.2">
      <c r="A1446" s="397">
        <v>44390</v>
      </c>
      <c r="B1446" s="384">
        <f t="shared" si="11"/>
        <v>452941.65</v>
      </c>
      <c r="C1446" s="564">
        <v>452741.65</v>
      </c>
      <c r="D1446" s="565">
        <v>200</v>
      </c>
    </row>
    <row r="1447" spans="1:4" x14ac:dyDescent="0.2">
      <c r="A1447" s="397">
        <v>44391</v>
      </c>
      <c r="B1447" s="384">
        <f t="shared" si="11"/>
        <v>453131.97</v>
      </c>
      <c r="C1447" s="564">
        <v>452931.97</v>
      </c>
      <c r="D1447" s="565">
        <v>200</v>
      </c>
    </row>
    <row r="1448" spans="1:4" x14ac:dyDescent="0.2">
      <c r="A1448" s="397">
        <v>44392</v>
      </c>
      <c r="B1448" s="384">
        <f t="shared" si="11"/>
        <v>453180.49</v>
      </c>
      <c r="C1448" s="564">
        <v>452980.49</v>
      </c>
      <c r="D1448" s="565">
        <v>200</v>
      </c>
    </row>
    <row r="1449" spans="1:4" x14ac:dyDescent="0.2">
      <c r="A1449" s="397">
        <v>44393</v>
      </c>
      <c r="B1449" s="384">
        <f t="shared" si="11"/>
        <v>453180</v>
      </c>
      <c r="C1449" s="564">
        <v>452980</v>
      </c>
      <c r="D1449" s="565">
        <v>200</v>
      </c>
    </row>
    <row r="1450" spans="1:4" x14ac:dyDescent="0.2">
      <c r="A1450" s="397">
        <v>44396</v>
      </c>
      <c r="B1450" s="384">
        <f t="shared" si="11"/>
        <v>436299.85</v>
      </c>
      <c r="C1450" s="564">
        <v>436099.85</v>
      </c>
      <c r="D1450" s="565">
        <v>200</v>
      </c>
    </row>
    <row r="1451" spans="1:4" x14ac:dyDescent="0.2">
      <c r="A1451" s="397">
        <v>44397</v>
      </c>
      <c r="B1451" s="384">
        <f t="shared" si="11"/>
        <v>400936.9</v>
      </c>
      <c r="C1451" s="564">
        <v>400736.9</v>
      </c>
      <c r="D1451" s="565">
        <v>200</v>
      </c>
    </row>
    <row r="1452" spans="1:4" x14ac:dyDescent="0.2">
      <c r="A1452" s="397">
        <v>44398</v>
      </c>
      <c r="B1452" s="384">
        <f t="shared" si="11"/>
        <v>400937</v>
      </c>
      <c r="C1452" s="564">
        <v>400737</v>
      </c>
      <c r="D1452" s="565">
        <v>200</v>
      </c>
    </row>
    <row r="1453" spans="1:4" x14ac:dyDescent="0.2">
      <c r="A1453" s="397">
        <v>44399</v>
      </c>
      <c r="B1453" s="384">
        <f t="shared" si="11"/>
        <v>298716.2</v>
      </c>
      <c r="C1453" s="564">
        <v>298516.2</v>
      </c>
      <c r="D1453" s="565">
        <v>200</v>
      </c>
    </row>
    <row r="1454" spans="1:4" x14ac:dyDescent="0.2">
      <c r="A1454" s="397">
        <v>44400</v>
      </c>
      <c r="B1454" s="384">
        <f t="shared" si="11"/>
        <v>298557.34999999998</v>
      </c>
      <c r="C1454" s="564">
        <v>298357.34999999998</v>
      </c>
      <c r="D1454" s="565">
        <v>200</v>
      </c>
    </row>
    <row r="1455" spans="1:4" x14ac:dyDescent="0.2">
      <c r="A1455" s="397">
        <v>44403</v>
      </c>
      <c r="B1455" s="384">
        <f t="shared" ref="B1455" si="12">C1455+D1455</f>
        <v>298557</v>
      </c>
      <c r="C1455" s="564">
        <v>298357</v>
      </c>
      <c r="D1455" s="565">
        <v>200</v>
      </c>
    </row>
    <row r="1456" spans="1:4" x14ac:dyDescent="0.2">
      <c r="A1456" s="397">
        <v>44404</v>
      </c>
      <c r="B1456" s="384">
        <v>298047.28999999998</v>
      </c>
      <c r="C1456" s="564">
        <v>298357</v>
      </c>
      <c r="D1456" s="565">
        <v>200</v>
      </c>
    </row>
    <row r="1457" spans="1:4" x14ac:dyDescent="0.2">
      <c r="A1457" s="397">
        <v>44405</v>
      </c>
      <c r="B1457" s="384">
        <f t="shared" ref="B1457:B1520" si="13">C1457+D1457</f>
        <v>298221.59000000003</v>
      </c>
      <c r="C1457" s="384">
        <v>298021.59000000003</v>
      </c>
      <c r="D1457" s="565">
        <v>200</v>
      </c>
    </row>
    <row r="1458" spans="1:4" x14ac:dyDescent="0.2">
      <c r="A1458" s="397">
        <v>44406</v>
      </c>
      <c r="B1458" s="384">
        <f t="shared" si="13"/>
        <v>298222</v>
      </c>
      <c r="C1458" s="384">
        <v>298022</v>
      </c>
      <c r="D1458" s="565">
        <v>200</v>
      </c>
    </row>
    <row r="1459" spans="1:4" x14ac:dyDescent="0.2">
      <c r="A1459" s="397">
        <v>44407</v>
      </c>
      <c r="B1459" s="384">
        <f t="shared" si="13"/>
        <v>286090</v>
      </c>
      <c r="C1459" s="384">
        <v>285890</v>
      </c>
      <c r="D1459" s="565">
        <v>200</v>
      </c>
    </row>
    <row r="1460" spans="1:4" x14ac:dyDescent="0.2">
      <c r="A1460" s="397">
        <v>44410</v>
      </c>
      <c r="B1460" s="384">
        <f t="shared" si="13"/>
        <v>285690.83</v>
      </c>
      <c r="C1460" s="384">
        <v>285490.83</v>
      </c>
      <c r="D1460" s="565">
        <v>200</v>
      </c>
    </row>
    <row r="1461" spans="1:4" x14ac:dyDescent="0.2">
      <c r="A1461" s="397">
        <v>44411</v>
      </c>
      <c r="B1461" s="384">
        <f t="shared" si="13"/>
        <v>250196.9</v>
      </c>
      <c r="C1461" s="384">
        <v>249996.9</v>
      </c>
      <c r="D1461" s="565">
        <v>200</v>
      </c>
    </row>
    <row r="1462" spans="1:4" x14ac:dyDescent="0.2">
      <c r="A1462" s="397">
        <v>44412</v>
      </c>
      <c r="B1462" s="384">
        <f t="shared" si="13"/>
        <v>250197</v>
      </c>
      <c r="C1462" s="384">
        <v>249997</v>
      </c>
      <c r="D1462" s="565">
        <v>200</v>
      </c>
    </row>
    <row r="1463" spans="1:4" x14ac:dyDescent="0.2">
      <c r="A1463" s="397">
        <v>44413</v>
      </c>
      <c r="B1463" s="384">
        <f t="shared" si="13"/>
        <v>242217.24</v>
      </c>
      <c r="C1463" s="384">
        <v>242017.24</v>
      </c>
      <c r="D1463" s="565">
        <v>200</v>
      </c>
    </row>
    <row r="1464" spans="1:4" x14ac:dyDescent="0.2">
      <c r="A1464" s="397">
        <v>44414</v>
      </c>
      <c r="B1464" s="384">
        <f t="shared" si="13"/>
        <v>241916.79</v>
      </c>
      <c r="C1464" s="384">
        <v>241716.79</v>
      </c>
      <c r="D1464" s="565">
        <v>200</v>
      </c>
    </row>
    <row r="1465" spans="1:4" x14ac:dyDescent="0.2">
      <c r="A1465" s="397">
        <v>44417</v>
      </c>
      <c r="B1465" s="384">
        <f t="shared" si="13"/>
        <v>242014.29</v>
      </c>
      <c r="C1465" s="384">
        <v>241814.29</v>
      </c>
      <c r="D1465" s="565">
        <v>200</v>
      </c>
    </row>
    <row r="1466" spans="1:4" x14ac:dyDescent="0.2">
      <c r="A1466" s="397">
        <v>44418</v>
      </c>
      <c r="B1466" s="384">
        <f t="shared" si="13"/>
        <v>260028.48</v>
      </c>
      <c r="C1466" s="384">
        <v>259828.48000000001</v>
      </c>
      <c r="D1466" s="565">
        <v>200</v>
      </c>
    </row>
    <row r="1467" spans="1:4" x14ac:dyDescent="0.2">
      <c r="A1467" s="397">
        <v>44419</v>
      </c>
      <c r="B1467" s="384">
        <f t="shared" si="13"/>
        <v>261085.42</v>
      </c>
      <c r="C1467" s="384">
        <v>260885.42</v>
      </c>
      <c r="D1467" s="565">
        <v>200</v>
      </c>
    </row>
    <row r="1468" spans="1:4" x14ac:dyDescent="0.2">
      <c r="A1468" s="397">
        <v>44420</v>
      </c>
      <c r="B1468" s="384">
        <f t="shared" si="13"/>
        <v>261983.68</v>
      </c>
      <c r="C1468" s="384">
        <v>261783.67999999999</v>
      </c>
      <c r="D1468" s="565">
        <v>200</v>
      </c>
    </row>
    <row r="1469" spans="1:4" x14ac:dyDescent="0.2">
      <c r="A1469" s="397">
        <v>44421</v>
      </c>
      <c r="B1469" s="384">
        <f t="shared" si="13"/>
        <v>262016.54</v>
      </c>
      <c r="C1469" s="384">
        <v>261816.54</v>
      </c>
      <c r="D1469" s="565">
        <v>200</v>
      </c>
    </row>
    <row r="1470" spans="1:4" x14ac:dyDescent="0.2">
      <c r="A1470" s="397">
        <v>44424</v>
      </c>
      <c r="B1470" s="384">
        <f t="shared" si="13"/>
        <v>262016.54</v>
      </c>
      <c r="C1470" s="384">
        <f t="shared" ref="C1470:C1522" si="14">C1469</f>
        <v>261816.54</v>
      </c>
      <c r="D1470" s="565">
        <v>200</v>
      </c>
    </row>
    <row r="1471" spans="1:4" x14ac:dyDescent="0.2">
      <c r="A1471" s="397">
        <v>44425</v>
      </c>
      <c r="B1471" s="384">
        <f t="shared" si="13"/>
        <v>226196.56</v>
      </c>
      <c r="C1471" s="384">
        <v>225996.56</v>
      </c>
      <c r="D1471" s="565">
        <v>200</v>
      </c>
    </row>
    <row r="1472" spans="1:4" x14ac:dyDescent="0.2">
      <c r="A1472" s="397">
        <v>44426</v>
      </c>
      <c r="B1472" s="384">
        <f t="shared" si="13"/>
        <v>245030.16</v>
      </c>
      <c r="C1472" s="384">
        <v>244830.16</v>
      </c>
      <c r="D1472" s="565">
        <v>200</v>
      </c>
    </row>
    <row r="1473" spans="1:4" x14ac:dyDescent="0.2">
      <c r="A1473" s="397">
        <v>44427</v>
      </c>
      <c r="B1473" s="384">
        <f t="shared" si="13"/>
        <v>229633.33</v>
      </c>
      <c r="C1473" s="384">
        <v>229433.33</v>
      </c>
      <c r="D1473" s="565">
        <v>200</v>
      </c>
    </row>
    <row r="1474" spans="1:4" x14ac:dyDescent="0.2">
      <c r="A1474" s="397">
        <v>44428</v>
      </c>
      <c r="B1474" s="384">
        <f t="shared" si="13"/>
        <v>247195.12</v>
      </c>
      <c r="C1474" s="384">
        <v>246995.12</v>
      </c>
      <c r="D1474" s="565">
        <v>200</v>
      </c>
    </row>
    <row r="1475" spans="1:4" x14ac:dyDescent="0.2">
      <c r="A1475" s="397">
        <v>44431</v>
      </c>
      <c r="B1475" s="384">
        <f t="shared" si="13"/>
        <v>247195.12</v>
      </c>
      <c r="C1475" s="384">
        <f t="shared" si="14"/>
        <v>246995.12</v>
      </c>
      <c r="D1475" s="565">
        <v>200</v>
      </c>
    </row>
    <row r="1476" spans="1:4" x14ac:dyDescent="0.2">
      <c r="A1476" s="397">
        <v>44432</v>
      </c>
      <c r="B1476" s="384">
        <f t="shared" si="13"/>
        <v>347649.83</v>
      </c>
      <c r="C1476" s="384">
        <v>347449.83</v>
      </c>
      <c r="D1476" s="565">
        <v>200</v>
      </c>
    </row>
    <row r="1477" spans="1:4" x14ac:dyDescent="0.2">
      <c r="A1477" s="397">
        <v>44433</v>
      </c>
      <c r="B1477" s="384">
        <f t="shared" si="13"/>
        <v>347649.83</v>
      </c>
      <c r="C1477" s="384">
        <f t="shared" si="14"/>
        <v>347449.83</v>
      </c>
      <c r="D1477" s="565">
        <v>200</v>
      </c>
    </row>
    <row r="1478" spans="1:4" x14ac:dyDescent="0.2">
      <c r="A1478" s="397">
        <v>44434</v>
      </c>
      <c r="B1478" s="384">
        <f t="shared" si="13"/>
        <v>341237.68</v>
      </c>
      <c r="C1478" s="384">
        <v>341037.68</v>
      </c>
      <c r="D1478" s="565">
        <v>200</v>
      </c>
    </row>
    <row r="1479" spans="1:4" x14ac:dyDescent="0.2">
      <c r="A1479" s="397">
        <v>44435</v>
      </c>
      <c r="B1479" s="384">
        <f t="shared" si="13"/>
        <v>373525.01</v>
      </c>
      <c r="C1479" s="384">
        <v>373325.01</v>
      </c>
      <c r="D1479" s="565">
        <v>200</v>
      </c>
    </row>
    <row r="1480" spans="1:4" x14ac:dyDescent="0.2">
      <c r="A1480" s="397">
        <v>44438</v>
      </c>
      <c r="B1480" s="384">
        <f t="shared" si="13"/>
        <v>373525.01</v>
      </c>
      <c r="C1480" s="384">
        <f t="shared" si="14"/>
        <v>373325.01</v>
      </c>
      <c r="D1480" s="565">
        <v>200</v>
      </c>
    </row>
    <row r="1481" spans="1:4" x14ac:dyDescent="0.2">
      <c r="A1481" s="397">
        <v>44439</v>
      </c>
      <c r="B1481" s="384">
        <f t="shared" si="13"/>
        <v>336851.39</v>
      </c>
      <c r="C1481" s="384">
        <v>336651.39</v>
      </c>
      <c r="D1481" s="565">
        <v>200</v>
      </c>
    </row>
    <row r="1482" spans="1:4" x14ac:dyDescent="0.2">
      <c r="A1482" s="397">
        <v>44440</v>
      </c>
      <c r="B1482" s="384">
        <f t="shared" si="13"/>
        <v>336851.39</v>
      </c>
      <c r="C1482" s="384">
        <f t="shared" si="14"/>
        <v>336651.39</v>
      </c>
      <c r="D1482" s="565">
        <v>200</v>
      </c>
    </row>
    <row r="1483" spans="1:4" x14ac:dyDescent="0.2">
      <c r="A1483" s="397">
        <v>44441</v>
      </c>
      <c r="B1483" s="384">
        <f t="shared" si="13"/>
        <v>336851.39</v>
      </c>
      <c r="C1483" s="384">
        <f t="shared" si="14"/>
        <v>336651.39</v>
      </c>
      <c r="D1483" s="565">
        <v>200</v>
      </c>
    </row>
    <row r="1484" spans="1:4" x14ac:dyDescent="0.2">
      <c r="A1484" s="397">
        <v>44442</v>
      </c>
      <c r="B1484" s="384">
        <f t="shared" si="13"/>
        <v>360197.14</v>
      </c>
      <c r="C1484" s="384">
        <v>359997.14</v>
      </c>
      <c r="D1484" s="565">
        <v>200</v>
      </c>
    </row>
    <row r="1485" spans="1:4" x14ac:dyDescent="0.2">
      <c r="A1485" s="397">
        <v>44445</v>
      </c>
      <c r="B1485" s="384">
        <f t="shared" si="13"/>
        <v>360197.14</v>
      </c>
      <c r="C1485" s="384">
        <f t="shared" si="14"/>
        <v>359997.14</v>
      </c>
      <c r="D1485" s="565">
        <v>200</v>
      </c>
    </row>
    <row r="1486" spans="1:4" x14ac:dyDescent="0.2">
      <c r="A1486" s="397">
        <v>44446</v>
      </c>
      <c r="B1486" s="384">
        <f t="shared" si="13"/>
        <v>354806.36</v>
      </c>
      <c r="C1486" s="384">
        <v>354606.36</v>
      </c>
      <c r="D1486" s="565">
        <v>200</v>
      </c>
    </row>
    <row r="1487" spans="1:4" x14ac:dyDescent="0.2">
      <c r="A1487" s="397">
        <v>44447</v>
      </c>
      <c r="B1487" s="384">
        <f t="shared" si="13"/>
        <v>354806.36</v>
      </c>
      <c r="C1487" s="384">
        <f t="shared" si="14"/>
        <v>354606.36</v>
      </c>
      <c r="D1487" s="565">
        <v>200</v>
      </c>
    </row>
    <row r="1488" spans="1:4" x14ac:dyDescent="0.2">
      <c r="A1488" s="397">
        <v>44448</v>
      </c>
      <c r="B1488" s="384">
        <f t="shared" si="13"/>
        <v>354806.36</v>
      </c>
      <c r="C1488" s="384">
        <f t="shared" si="14"/>
        <v>354606.36</v>
      </c>
      <c r="D1488" s="565">
        <v>200</v>
      </c>
    </row>
    <row r="1489" spans="1:4" x14ac:dyDescent="0.2">
      <c r="A1489" s="397">
        <v>44449</v>
      </c>
      <c r="B1489" s="384">
        <f t="shared" si="13"/>
        <v>354806.36</v>
      </c>
      <c r="C1489" s="384">
        <f t="shared" si="14"/>
        <v>354606.36</v>
      </c>
      <c r="D1489" s="565">
        <v>200</v>
      </c>
    </row>
    <row r="1490" spans="1:4" x14ac:dyDescent="0.2">
      <c r="A1490" s="397">
        <v>44452</v>
      </c>
      <c r="B1490" s="384">
        <f t="shared" si="13"/>
        <v>317290.98</v>
      </c>
      <c r="C1490" s="384">
        <v>317090.98</v>
      </c>
      <c r="D1490" s="565">
        <v>200</v>
      </c>
    </row>
    <row r="1491" spans="1:4" x14ac:dyDescent="0.2">
      <c r="A1491" s="397">
        <v>44453</v>
      </c>
      <c r="B1491" s="384">
        <f t="shared" si="13"/>
        <v>365898.08</v>
      </c>
      <c r="C1491" s="384">
        <v>365698.08</v>
      </c>
      <c r="D1491" s="565">
        <v>200</v>
      </c>
    </row>
    <row r="1492" spans="1:4" x14ac:dyDescent="0.2">
      <c r="A1492" s="397">
        <v>44454</v>
      </c>
      <c r="B1492" s="384">
        <f t="shared" si="13"/>
        <v>365935.11</v>
      </c>
      <c r="C1492" s="384">
        <v>365735.11</v>
      </c>
      <c r="D1492" s="565">
        <v>200</v>
      </c>
    </row>
    <row r="1493" spans="1:4" x14ac:dyDescent="0.2">
      <c r="A1493" s="397">
        <v>44455</v>
      </c>
      <c r="B1493" s="384">
        <f t="shared" si="13"/>
        <v>365935.11</v>
      </c>
      <c r="C1493" s="384">
        <f t="shared" si="14"/>
        <v>365735.11</v>
      </c>
      <c r="D1493" s="565">
        <v>200</v>
      </c>
    </row>
    <row r="1494" spans="1:4" x14ac:dyDescent="0.2">
      <c r="A1494" s="397">
        <v>44456</v>
      </c>
      <c r="B1494" s="384">
        <f t="shared" si="13"/>
        <v>357664.5</v>
      </c>
      <c r="C1494" s="384">
        <v>357464.5</v>
      </c>
      <c r="D1494" s="565">
        <v>200</v>
      </c>
    </row>
    <row r="1495" spans="1:4" x14ac:dyDescent="0.2">
      <c r="A1495" s="397">
        <v>44459</v>
      </c>
      <c r="B1495" s="384">
        <f t="shared" si="13"/>
        <v>357664.5</v>
      </c>
      <c r="C1495" s="384">
        <f t="shared" si="14"/>
        <v>357464.5</v>
      </c>
      <c r="D1495" s="565">
        <v>200</v>
      </c>
    </row>
    <row r="1496" spans="1:4" x14ac:dyDescent="0.2">
      <c r="A1496" s="397">
        <v>44460</v>
      </c>
      <c r="B1496" s="384">
        <f t="shared" si="13"/>
        <v>357664.5</v>
      </c>
      <c r="C1496" s="384">
        <f t="shared" si="14"/>
        <v>357464.5</v>
      </c>
      <c r="D1496" s="565">
        <v>200</v>
      </c>
    </row>
    <row r="1497" spans="1:4" x14ac:dyDescent="0.2">
      <c r="A1497" s="397">
        <v>44461</v>
      </c>
      <c r="B1497" s="384">
        <f t="shared" si="13"/>
        <v>364108.39</v>
      </c>
      <c r="C1497" s="384">
        <v>363908.39</v>
      </c>
      <c r="D1497" s="565">
        <v>200</v>
      </c>
    </row>
    <row r="1498" spans="1:4" x14ac:dyDescent="0.2">
      <c r="A1498" s="397">
        <v>44462</v>
      </c>
      <c r="B1498" s="384">
        <f t="shared" si="13"/>
        <v>372557.83</v>
      </c>
      <c r="C1498" s="384">
        <v>372357.83</v>
      </c>
      <c r="D1498" s="565">
        <v>200</v>
      </c>
    </row>
    <row r="1499" spans="1:4" x14ac:dyDescent="0.2">
      <c r="A1499" s="397">
        <v>44463</v>
      </c>
      <c r="B1499" s="384">
        <f t="shared" si="13"/>
        <v>372557.83</v>
      </c>
      <c r="C1499" s="384">
        <f t="shared" si="14"/>
        <v>372357.83</v>
      </c>
      <c r="D1499" s="565">
        <v>200</v>
      </c>
    </row>
    <row r="1500" spans="1:4" x14ac:dyDescent="0.2">
      <c r="A1500" s="397">
        <v>44466</v>
      </c>
      <c r="B1500" s="384">
        <f t="shared" si="13"/>
        <v>393073.43</v>
      </c>
      <c r="C1500" s="384">
        <v>392873.43</v>
      </c>
      <c r="D1500" s="565">
        <v>200</v>
      </c>
    </row>
    <row r="1501" spans="1:4" x14ac:dyDescent="0.2">
      <c r="A1501" s="397">
        <v>44467</v>
      </c>
      <c r="B1501" s="384">
        <f t="shared" si="13"/>
        <v>354832.22</v>
      </c>
      <c r="C1501" s="384">
        <v>354632.22</v>
      </c>
      <c r="D1501" s="565">
        <v>200</v>
      </c>
    </row>
    <row r="1502" spans="1:4" x14ac:dyDescent="0.2">
      <c r="A1502" s="397">
        <v>44468</v>
      </c>
      <c r="B1502" s="384">
        <f t="shared" si="13"/>
        <v>354832.22</v>
      </c>
      <c r="C1502" s="384">
        <f t="shared" si="14"/>
        <v>354632.22</v>
      </c>
      <c r="D1502" s="565">
        <v>200</v>
      </c>
    </row>
    <row r="1503" spans="1:4" x14ac:dyDescent="0.2">
      <c r="A1503" s="397">
        <v>44469</v>
      </c>
      <c r="B1503" s="384">
        <f t="shared" si="13"/>
        <v>354832.22</v>
      </c>
      <c r="C1503" s="384">
        <f t="shared" si="14"/>
        <v>354632.22</v>
      </c>
      <c r="D1503" s="565">
        <v>200</v>
      </c>
    </row>
    <row r="1504" spans="1:4" x14ac:dyDescent="0.2">
      <c r="A1504" s="397">
        <v>44470</v>
      </c>
      <c r="B1504" s="384">
        <f t="shared" si="13"/>
        <v>343420.25</v>
      </c>
      <c r="C1504" s="384">
        <v>343220.25</v>
      </c>
      <c r="D1504" s="565">
        <v>200</v>
      </c>
    </row>
    <row r="1505" spans="1:4" x14ac:dyDescent="0.2">
      <c r="A1505" s="397">
        <v>44473</v>
      </c>
      <c r="B1505" s="384">
        <f t="shared" si="13"/>
        <v>343420.25</v>
      </c>
      <c r="C1505" s="384">
        <f t="shared" si="14"/>
        <v>343220.25</v>
      </c>
      <c r="D1505" s="565">
        <v>200</v>
      </c>
    </row>
    <row r="1506" spans="1:4" x14ac:dyDescent="0.2">
      <c r="A1506" s="397">
        <v>44474</v>
      </c>
      <c r="B1506" s="384">
        <f t="shared" si="13"/>
        <v>343582.25</v>
      </c>
      <c r="C1506" s="384">
        <v>343382.25</v>
      </c>
      <c r="D1506" s="565">
        <v>200</v>
      </c>
    </row>
    <row r="1507" spans="1:4" x14ac:dyDescent="0.2">
      <c r="A1507" s="397">
        <v>44475</v>
      </c>
      <c r="B1507" s="384">
        <f t="shared" si="13"/>
        <v>343582.25</v>
      </c>
      <c r="C1507" s="384">
        <f t="shared" si="14"/>
        <v>343382.25</v>
      </c>
      <c r="D1507" s="565">
        <v>200</v>
      </c>
    </row>
    <row r="1508" spans="1:4" x14ac:dyDescent="0.2">
      <c r="A1508" s="397">
        <v>44476</v>
      </c>
      <c r="B1508" s="384">
        <f t="shared" si="13"/>
        <v>343606.26</v>
      </c>
      <c r="C1508" s="384">
        <v>343406.26</v>
      </c>
      <c r="D1508" s="565">
        <v>200</v>
      </c>
    </row>
    <row r="1509" spans="1:4" x14ac:dyDescent="0.2">
      <c r="A1509" s="397">
        <v>44477</v>
      </c>
      <c r="B1509" s="384">
        <f t="shared" si="13"/>
        <v>329221.56</v>
      </c>
      <c r="C1509" s="384">
        <v>329021.56</v>
      </c>
      <c r="D1509" s="565">
        <v>200</v>
      </c>
    </row>
    <row r="1510" spans="1:4" x14ac:dyDescent="0.2">
      <c r="A1510" s="397">
        <v>44480</v>
      </c>
      <c r="B1510" s="384">
        <f t="shared" si="13"/>
        <v>329221.56</v>
      </c>
      <c r="C1510" s="384">
        <f t="shared" si="14"/>
        <v>329021.56</v>
      </c>
      <c r="D1510" s="565">
        <v>200</v>
      </c>
    </row>
    <row r="1511" spans="1:4" x14ac:dyDescent="0.2">
      <c r="A1511" s="397">
        <v>44481</v>
      </c>
      <c r="B1511" s="384">
        <f t="shared" si="13"/>
        <v>288818.46999999997</v>
      </c>
      <c r="C1511" s="384">
        <v>288618.46999999997</v>
      </c>
      <c r="D1511" s="565">
        <v>200</v>
      </c>
    </row>
    <row r="1512" spans="1:4" x14ac:dyDescent="0.2">
      <c r="A1512" s="397">
        <v>44482</v>
      </c>
      <c r="B1512" s="384">
        <f t="shared" si="13"/>
        <v>288818.46999999997</v>
      </c>
      <c r="C1512" s="384">
        <f t="shared" si="14"/>
        <v>288618.46999999997</v>
      </c>
      <c r="D1512" s="565">
        <v>200</v>
      </c>
    </row>
    <row r="1513" spans="1:4" x14ac:dyDescent="0.2">
      <c r="A1513" s="397">
        <v>44483</v>
      </c>
      <c r="B1513" s="384">
        <f t="shared" si="13"/>
        <v>295077.74</v>
      </c>
      <c r="C1513" s="384">
        <v>294877.74</v>
      </c>
      <c r="D1513" s="565">
        <v>200</v>
      </c>
    </row>
    <row r="1514" spans="1:4" x14ac:dyDescent="0.2">
      <c r="A1514" s="397">
        <v>44484</v>
      </c>
      <c r="B1514" s="384">
        <f t="shared" si="13"/>
        <v>313755.08</v>
      </c>
      <c r="C1514" s="384">
        <v>313555.08</v>
      </c>
      <c r="D1514" s="565">
        <v>200</v>
      </c>
    </row>
    <row r="1515" spans="1:4" x14ac:dyDescent="0.2">
      <c r="A1515" s="397">
        <v>44487</v>
      </c>
      <c r="B1515" s="384">
        <f t="shared" si="13"/>
        <v>314129.08</v>
      </c>
      <c r="C1515" s="384">
        <v>313929.08</v>
      </c>
      <c r="D1515" s="565">
        <v>200</v>
      </c>
    </row>
    <row r="1516" spans="1:4" x14ac:dyDescent="0.2">
      <c r="A1516" s="397">
        <v>44488</v>
      </c>
      <c r="B1516" s="384">
        <f t="shared" si="13"/>
        <v>314618.64</v>
      </c>
      <c r="C1516" s="384">
        <v>314418.64</v>
      </c>
      <c r="D1516" s="565">
        <v>200</v>
      </c>
    </row>
    <row r="1517" spans="1:4" x14ac:dyDescent="0.2">
      <c r="A1517" s="397">
        <v>44489</v>
      </c>
      <c r="B1517" s="384">
        <f t="shared" si="13"/>
        <v>312798.90999999997</v>
      </c>
      <c r="C1517" s="384">
        <v>312598.90999999997</v>
      </c>
      <c r="D1517" s="565">
        <v>200</v>
      </c>
    </row>
    <row r="1518" spans="1:4" x14ac:dyDescent="0.2">
      <c r="A1518" s="397">
        <v>44490</v>
      </c>
      <c r="B1518" s="384">
        <f t="shared" si="13"/>
        <v>312798.90999999997</v>
      </c>
      <c r="C1518" s="384">
        <f t="shared" si="14"/>
        <v>312598.90999999997</v>
      </c>
      <c r="D1518" s="565">
        <v>200</v>
      </c>
    </row>
    <row r="1519" spans="1:4" x14ac:dyDescent="0.2">
      <c r="A1519" s="397">
        <v>44491</v>
      </c>
      <c r="B1519" s="384">
        <f t="shared" si="13"/>
        <v>312852.06</v>
      </c>
      <c r="C1519" s="384">
        <v>312652.06</v>
      </c>
      <c r="D1519" s="565">
        <v>200</v>
      </c>
    </row>
    <row r="1520" spans="1:4" x14ac:dyDescent="0.2">
      <c r="A1520" s="397">
        <v>44494</v>
      </c>
      <c r="B1520" s="384">
        <f t="shared" si="13"/>
        <v>276164.93</v>
      </c>
      <c r="C1520" s="384">
        <v>275964.93</v>
      </c>
      <c r="D1520" s="565">
        <v>200</v>
      </c>
    </row>
    <row r="1521" spans="1:4" x14ac:dyDescent="0.2">
      <c r="A1521" s="397">
        <v>44495</v>
      </c>
      <c r="B1521" s="384">
        <f t="shared" ref="B1521:B1584" si="15">C1521+D1521</f>
        <v>272175.64</v>
      </c>
      <c r="C1521" s="384">
        <v>271975.64</v>
      </c>
      <c r="D1521" s="565">
        <v>200</v>
      </c>
    </row>
    <row r="1522" spans="1:4" x14ac:dyDescent="0.2">
      <c r="A1522" s="397">
        <v>44496</v>
      </c>
      <c r="B1522" s="384">
        <f t="shared" si="15"/>
        <v>272175.64</v>
      </c>
      <c r="C1522" s="384">
        <f t="shared" si="14"/>
        <v>271975.64</v>
      </c>
      <c r="D1522" s="565">
        <v>200</v>
      </c>
    </row>
    <row r="1523" spans="1:4" x14ac:dyDescent="0.2">
      <c r="A1523" s="397">
        <v>44497</v>
      </c>
      <c r="B1523" s="384">
        <f t="shared" si="15"/>
        <v>272474.64</v>
      </c>
      <c r="C1523" s="384">
        <v>272274.64</v>
      </c>
      <c r="D1523" s="565">
        <v>200</v>
      </c>
    </row>
    <row r="1524" spans="1:4" x14ac:dyDescent="0.2">
      <c r="A1524" s="397">
        <v>44498</v>
      </c>
      <c r="B1524" s="384">
        <f t="shared" si="15"/>
        <v>272174.19</v>
      </c>
      <c r="C1524" s="384">
        <v>271974.19</v>
      </c>
      <c r="D1524" s="565">
        <v>200</v>
      </c>
    </row>
    <row r="1525" spans="1:4" x14ac:dyDescent="0.2">
      <c r="A1525" s="397">
        <v>44501</v>
      </c>
      <c r="B1525" s="384">
        <f t="shared" si="15"/>
        <v>272174.19</v>
      </c>
      <c r="C1525" s="384">
        <f>C1524</f>
        <v>271974.19</v>
      </c>
      <c r="D1525" s="565">
        <v>200</v>
      </c>
    </row>
    <row r="1526" spans="1:4" x14ac:dyDescent="0.2">
      <c r="A1526" s="397">
        <v>44502</v>
      </c>
      <c r="B1526" s="384">
        <f t="shared" si="15"/>
        <v>272174.19</v>
      </c>
      <c r="C1526" s="384">
        <f t="shared" ref="C1526:C1564" si="16">C1525</f>
        <v>271974.19</v>
      </c>
      <c r="D1526" s="565">
        <v>200</v>
      </c>
    </row>
    <row r="1527" spans="1:4" x14ac:dyDescent="0.2">
      <c r="A1527" s="397">
        <v>44503</v>
      </c>
      <c r="B1527" s="384">
        <f t="shared" si="15"/>
        <v>260821.81</v>
      </c>
      <c r="C1527" s="384">
        <v>260621.81</v>
      </c>
      <c r="D1527" s="565">
        <v>200</v>
      </c>
    </row>
    <row r="1528" spans="1:4" x14ac:dyDescent="0.2">
      <c r="A1528" s="397">
        <v>44504</v>
      </c>
      <c r="B1528" s="384">
        <f t="shared" si="15"/>
        <v>260821.81</v>
      </c>
      <c r="C1528" s="384">
        <f t="shared" si="16"/>
        <v>260621.81</v>
      </c>
      <c r="D1528" s="565">
        <v>200</v>
      </c>
    </row>
    <row r="1529" spans="1:4" x14ac:dyDescent="0.2">
      <c r="A1529" s="397">
        <v>44505</v>
      </c>
      <c r="B1529" s="384">
        <f t="shared" si="15"/>
        <v>260821.81</v>
      </c>
      <c r="C1529" s="384">
        <f t="shared" si="16"/>
        <v>260621.81</v>
      </c>
      <c r="D1529" s="565">
        <v>200</v>
      </c>
    </row>
    <row r="1530" spans="1:4" x14ac:dyDescent="0.2">
      <c r="A1530" s="397">
        <v>44508</v>
      </c>
      <c r="B1530" s="425">
        <f t="shared" si="15"/>
        <v>224274.32</v>
      </c>
      <c r="C1530" s="384">
        <v>224074.32</v>
      </c>
      <c r="D1530" s="565">
        <v>200</v>
      </c>
    </row>
    <row r="1531" spans="1:4" x14ac:dyDescent="0.2">
      <c r="A1531" s="397">
        <v>44509</v>
      </c>
      <c r="B1531" s="384">
        <f t="shared" si="15"/>
        <v>239871.56</v>
      </c>
      <c r="C1531" s="384">
        <v>239671.56</v>
      </c>
      <c r="D1531" s="565">
        <v>200</v>
      </c>
    </row>
    <row r="1532" spans="1:4" x14ac:dyDescent="0.2">
      <c r="A1532" s="397">
        <v>44510</v>
      </c>
      <c r="B1532" s="384">
        <f t="shared" si="15"/>
        <v>260426.56</v>
      </c>
      <c r="C1532" s="384">
        <v>260226.56</v>
      </c>
      <c r="D1532" s="565">
        <v>200</v>
      </c>
    </row>
    <row r="1533" spans="1:4" x14ac:dyDescent="0.2">
      <c r="A1533" s="397">
        <v>44511</v>
      </c>
      <c r="B1533" s="384">
        <f t="shared" si="15"/>
        <v>260426.56</v>
      </c>
      <c r="C1533" s="384">
        <f t="shared" si="16"/>
        <v>260226.56</v>
      </c>
      <c r="D1533" s="565">
        <v>200</v>
      </c>
    </row>
    <row r="1534" spans="1:4" x14ac:dyDescent="0.2">
      <c r="A1534" s="397">
        <v>44512</v>
      </c>
      <c r="B1534" s="384">
        <f t="shared" si="15"/>
        <v>260450.57</v>
      </c>
      <c r="C1534" s="384">
        <v>260250.57</v>
      </c>
      <c r="D1534" s="565">
        <v>200</v>
      </c>
    </row>
    <row r="1535" spans="1:4" x14ac:dyDescent="0.2">
      <c r="A1535" s="397">
        <v>44515</v>
      </c>
      <c r="B1535" s="384">
        <f t="shared" si="15"/>
        <v>260178.68</v>
      </c>
      <c r="C1535" s="384">
        <v>259978.68</v>
      </c>
      <c r="D1535" s="565">
        <v>200</v>
      </c>
    </row>
    <row r="1536" spans="1:4" x14ac:dyDescent="0.2">
      <c r="A1536" s="397">
        <v>44516</v>
      </c>
      <c r="B1536" s="384">
        <f t="shared" si="15"/>
        <v>260178.68</v>
      </c>
      <c r="C1536" s="384">
        <f t="shared" si="16"/>
        <v>259978.68</v>
      </c>
      <c r="D1536" s="565">
        <v>200</v>
      </c>
    </row>
    <row r="1537" spans="1:4" x14ac:dyDescent="0.2">
      <c r="A1537" s="397">
        <v>44517</v>
      </c>
      <c r="B1537" s="384">
        <f t="shared" si="15"/>
        <v>260178.68</v>
      </c>
      <c r="C1537" s="384">
        <f t="shared" si="16"/>
        <v>259978.68</v>
      </c>
      <c r="D1537" s="565">
        <v>200</v>
      </c>
    </row>
    <row r="1538" spans="1:4" x14ac:dyDescent="0.2">
      <c r="A1538" s="397">
        <v>44518</v>
      </c>
      <c r="B1538" s="384">
        <f t="shared" si="15"/>
        <v>298441.25</v>
      </c>
      <c r="C1538" s="384">
        <v>298241.25</v>
      </c>
      <c r="D1538" s="565">
        <v>200</v>
      </c>
    </row>
    <row r="1539" spans="1:4" x14ac:dyDescent="0.2">
      <c r="A1539" s="397">
        <v>44519</v>
      </c>
      <c r="B1539" s="384">
        <f t="shared" si="15"/>
        <v>302391.25</v>
      </c>
      <c r="C1539" s="384">
        <v>302191.25</v>
      </c>
      <c r="D1539" s="565">
        <v>200</v>
      </c>
    </row>
    <row r="1540" spans="1:4" x14ac:dyDescent="0.2">
      <c r="A1540" s="397">
        <v>44522</v>
      </c>
      <c r="B1540" s="384">
        <f t="shared" si="15"/>
        <v>261860.06</v>
      </c>
      <c r="C1540" s="384">
        <v>261660.06</v>
      </c>
      <c r="D1540" s="565">
        <v>200</v>
      </c>
    </row>
    <row r="1541" spans="1:4" x14ac:dyDescent="0.2">
      <c r="A1541" s="397">
        <v>44523</v>
      </c>
      <c r="B1541" s="384">
        <f t="shared" si="15"/>
        <v>261860.06</v>
      </c>
      <c r="C1541" s="384">
        <f t="shared" si="16"/>
        <v>261660.06</v>
      </c>
      <c r="D1541" s="565">
        <v>200</v>
      </c>
    </row>
    <row r="1542" spans="1:4" x14ac:dyDescent="0.2">
      <c r="A1542" s="397">
        <v>44524</v>
      </c>
      <c r="B1542" s="384">
        <f t="shared" si="15"/>
        <v>336740.96</v>
      </c>
      <c r="C1542" s="384">
        <v>336540.96</v>
      </c>
      <c r="D1542" s="565">
        <v>200</v>
      </c>
    </row>
    <row r="1543" spans="1:4" x14ac:dyDescent="0.2">
      <c r="A1543" s="397">
        <v>44525</v>
      </c>
      <c r="B1543" s="384">
        <f t="shared" si="15"/>
        <v>336740.96</v>
      </c>
      <c r="C1543" s="384">
        <f t="shared" si="16"/>
        <v>336540.96</v>
      </c>
      <c r="D1543" s="565">
        <v>200</v>
      </c>
    </row>
    <row r="1544" spans="1:4" x14ac:dyDescent="0.2">
      <c r="A1544" s="397">
        <v>44526</v>
      </c>
      <c r="B1544" s="384">
        <f t="shared" si="15"/>
        <v>396383.57</v>
      </c>
      <c r="C1544" s="384">
        <v>396183.57</v>
      </c>
      <c r="D1544" s="565">
        <v>200</v>
      </c>
    </row>
    <row r="1545" spans="1:4" x14ac:dyDescent="0.2">
      <c r="A1545" s="397">
        <v>44529</v>
      </c>
      <c r="B1545" s="384">
        <f t="shared" si="15"/>
        <v>396383.57</v>
      </c>
      <c r="C1545" s="384">
        <f t="shared" si="16"/>
        <v>396183.57</v>
      </c>
      <c r="D1545" s="565">
        <v>200</v>
      </c>
    </row>
    <row r="1546" spans="1:4" x14ac:dyDescent="0.2">
      <c r="A1546" s="397">
        <v>44530</v>
      </c>
      <c r="B1546" s="384">
        <f t="shared" si="15"/>
        <v>396383.57</v>
      </c>
      <c r="C1546" s="384">
        <f t="shared" si="16"/>
        <v>396183.57</v>
      </c>
      <c r="D1546" s="565">
        <v>200</v>
      </c>
    </row>
    <row r="1547" spans="1:4" x14ac:dyDescent="0.2">
      <c r="A1547" s="397">
        <v>44531</v>
      </c>
      <c r="B1547" s="384">
        <f t="shared" si="15"/>
        <v>406646.33</v>
      </c>
      <c r="C1547" s="384">
        <v>406446.33</v>
      </c>
      <c r="D1547" s="565">
        <v>200</v>
      </c>
    </row>
    <row r="1548" spans="1:4" x14ac:dyDescent="0.2">
      <c r="A1548" s="397">
        <v>44532</v>
      </c>
      <c r="B1548" s="384">
        <f t="shared" si="15"/>
        <v>406646.33</v>
      </c>
      <c r="C1548" s="384">
        <f t="shared" si="16"/>
        <v>406446.33</v>
      </c>
      <c r="D1548" s="565">
        <v>200</v>
      </c>
    </row>
    <row r="1549" spans="1:4" x14ac:dyDescent="0.2">
      <c r="A1549" s="397">
        <v>44533</v>
      </c>
      <c r="B1549" s="384">
        <f t="shared" si="15"/>
        <v>402705.53</v>
      </c>
      <c r="C1549" s="384">
        <v>402505.53</v>
      </c>
      <c r="D1549" s="565">
        <v>200</v>
      </c>
    </row>
    <row r="1550" spans="1:4" x14ac:dyDescent="0.2">
      <c r="A1550" s="397">
        <v>44536</v>
      </c>
      <c r="B1550" s="384">
        <f t="shared" si="15"/>
        <v>402705.53</v>
      </c>
      <c r="C1550" s="384">
        <f t="shared" si="16"/>
        <v>402505.53</v>
      </c>
      <c r="D1550" s="565">
        <v>200</v>
      </c>
    </row>
    <row r="1551" spans="1:4" x14ac:dyDescent="0.2">
      <c r="A1551" s="397">
        <v>44537</v>
      </c>
      <c r="B1551" s="384">
        <f t="shared" si="15"/>
        <v>367227.88</v>
      </c>
      <c r="C1551" s="384">
        <v>367027.88</v>
      </c>
      <c r="D1551" s="565">
        <v>200</v>
      </c>
    </row>
    <row r="1552" spans="1:4" x14ac:dyDescent="0.2">
      <c r="A1552" s="397">
        <v>44538</v>
      </c>
      <c r="B1552" s="384">
        <f t="shared" si="15"/>
        <v>367227.88</v>
      </c>
      <c r="C1552" s="384">
        <f t="shared" si="16"/>
        <v>367027.88</v>
      </c>
      <c r="D1552" s="565">
        <v>200</v>
      </c>
    </row>
    <row r="1553" spans="1:4" x14ac:dyDescent="0.2">
      <c r="A1553" s="397">
        <v>44539</v>
      </c>
      <c r="B1553" s="384">
        <f t="shared" si="15"/>
        <v>361816.56</v>
      </c>
      <c r="C1553" s="384">
        <v>361616.56</v>
      </c>
      <c r="D1553" s="565">
        <v>200</v>
      </c>
    </row>
    <row r="1554" spans="1:4" x14ac:dyDescent="0.2">
      <c r="A1554" s="397">
        <v>44540</v>
      </c>
      <c r="B1554" s="384">
        <f t="shared" si="15"/>
        <v>363428.01</v>
      </c>
      <c r="C1554" s="384">
        <v>363228.01</v>
      </c>
      <c r="D1554" s="565">
        <v>200</v>
      </c>
    </row>
    <row r="1555" spans="1:4" x14ac:dyDescent="0.2">
      <c r="A1555" s="397">
        <v>44543</v>
      </c>
      <c r="B1555" s="384">
        <f t="shared" si="15"/>
        <v>363428.01</v>
      </c>
      <c r="C1555" s="384">
        <f t="shared" si="16"/>
        <v>363228.01</v>
      </c>
      <c r="D1555" s="565">
        <v>200</v>
      </c>
    </row>
    <row r="1556" spans="1:4" x14ac:dyDescent="0.2">
      <c r="A1556" s="397">
        <v>44544</v>
      </c>
      <c r="B1556" s="384">
        <f t="shared" si="15"/>
        <v>388311.01</v>
      </c>
      <c r="C1556" s="384">
        <v>388111.01</v>
      </c>
      <c r="D1556" s="565">
        <v>200</v>
      </c>
    </row>
    <row r="1557" spans="1:4" x14ac:dyDescent="0.2">
      <c r="A1557" s="397">
        <v>44545</v>
      </c>
      <c r="B1557" s="384">
        <f t="shared" si="15"/>
        <v>388648.09</v>
      </c>
      <c r="C1557" s="384">
        <v>388448.09</v>
      </c>
      <c r="D1557" s="565">
        <v>200</v>
      </c>
    </row>
    <row r="1558" spans="1:4" x14ac:dyDescent="0.2">
      <c r="A1558" s="397">
        <v>44546</v>
      </c>
      <c r="B1558" s="384">
        <f t="shared" si="15"/>
        <v>388648.09</v>
      </c>
      <c r="C1558" s="384">
        <f t="shared" si="16"/>
        <v>388448.09</v>
      </c>
      <c r="D1558" s="565">
        <v>200</v>
      </c>
    </row>
    <row r="1559" spans="1:4" x14ac:dyDescent="0.2">
      <c r="A1559" s="397">
        <v>44547</v>
      </c>
      <c r="B1559" s="384">
        <f t="shared" si="15"/>
        <v>388648.09</v>
      </c>
      <c r="C1559" s="384">
        <f t="shared" si="16"/>
        <v>388448.09</v>
      </c>
      <c r="D1559" s="565">
        <v>200</v>
      </c>
    </row>
    <row r="1560" spans="1:4" x14ac:dyDescent="0.2">
      <c r="A1560" s="397">
        <v>44550</v>
      </c>
      <c r="B1560" s="384">
        <f t="shared" si="15"/>
        <v>402388.44</v>
      </c>
      <c r="C1560" s="384">
        <v>402188.44</v>
      </c>
      <c r="D1560" s="565">
        <v>200</v>
      </c>
    </row>
    <row r="1561" spans="1:4" x14ac:dyDescent="0.2">
      <c r="A1561" s="397">
        <v>44551</v>
      </c>
      <c r="B1561" s="384">
        <f t="shared" si="15"/>
        <v>364870.61</v>
      </c>
      <c r="C1561" s="384">
        <v>364670.61</v>
      </c>
      <c r="D1561" s="565">
        <v>200</v>
      </c>
    </row>
    <row r="1562" spans="1:4" x14ac:dyDescent="0.2">
      <c r="A1562" s="397">
        <v>44552</v>
      </c>
      <c r="B1562" s="384">
        <f t="shared" si="15"/>
        <v>364870.61</v>
      </c>
      <c r="C1562" s="384">
        <f t="shared" si="16"/>
        <v>364670.61</v>
      </c>
      <c r="D1562" s="565">
        <v>200</v>
      </c>
    </row>
    <row r="1563" spans="1:4" x14ac:dyDescent="0.2">
      <c r="A1563" s="397">
        <v>44553</v>
      </c>
      <c r="B1563" s="384">
        <f t="shared" si="15"/>
        <v>364270.61</v>
      </c>
      <c r="C1563" s="384">
        <v>364070.61</v>
      </c>
      <c r="D1563" s="565">
        <v>200</v>
      </c>
    </row>
    <row r="1564" spans="1:4" x14ac:dyDescent="0.2">
      <c r="A1564" s="397">
        <v>44554</v>
      </c>
      <c r="B1564" s="384">
        <f t="shared" si="15"/>
        <v>364270.61</v>
      </c>
      <c r="C1564" s="384">
        <f t="shared" si="16"/>
        <v>364070.61</v>
      </c>
      <c r="D1564" s="565">
        <v>200</v>
      </c>
    </row>
    <row r="1565" spans="1:4" x14ac:dyDescent="0.2">
      <c r="A1565" s="397">
        <v>44557</v>
      </c>
      <c r="B1565" s="384">
        <f t="shared" si="15"/>
        <v>364511.61</v>
      </c>
      <c r="C1565" s="384">
        <v>364311.61</v>
      </c>
      <c r="D1565" s="565">
        <v>200</v>
      </c>
    </row>
    <row r="1566" spans="1:4" x14ac:dyDescent="0.2">
      <c r="A1566" s="397">
        <v>44558</v>
      </c>
      <c r="B1566" s="384">
        <f t="shared" si="15"/>
        <v>366287.78</v>
      </c>
      <c r="C1566" s="384">
        <v>366087.78</v>
      </c>
      <c r="D1566" s="565">
        <v>200</v>
      </c>
    </row>
    <row r="1567" spans="1:4" x14ac:dyDescent="0.2">
      <c r="A1567" s="397">
        <v>44559</v>
      </c>
      <c r="B1567" s="384">
        <f t="shared" si="15"/>
        <v>406505.93</v>
      </c>
      <c r="C1567" s="384">
        <v>406305.93</v>
      </c>
      <c r="D1567" s="565">
        <v>200</v>
      </c>
    </row>
    <row r="1568" spans="1:4" x14ac:dyDescent="0.2">
      <c r="A1568" s="397">
        <v>44560</v>
      </c>
      <c r="B1568" s="384">
        <f>C1568+D1568</f>
        <v>406602.93</v>
      </c>
      <c r="C1568" s="384">
        <v>406402.93</v>
      </c>
      <c r="D1568" s="565">
        <v>200</v>
      </c>
    </row>
    <row r="1569" spans="1:4" x14ac:dyDescent="0.2">
      <c r="A1569" s="397">
        <v>44561</v>
      </c>
      <c r="B1569" s="384">
        <f t="shared" si="15"/>
        <v>406700.45</v>
      </c>
      <c r="C1569" s="384">
        <v>406500.45</v>
      </c>
      <c r="D1569" s="565">
        <v>200</v>
      </c>
    </row>
    <row r="1570" spans="1:4" x14ac:dyDescent="0.2">
      <c r="A1570" s="397">
        <v>44564</v>
      </c>
      <c r="B1570" s="384">
        <f t="shared" si="15"/>
        <v>406650.45</v>
      </c>
      <c r="C1570" s="384">
        <v>406450.45</v>
      </c>
      <c r="D1570" s="565">
        <v>200</v>
      </c>
    </row>
    <row r="1571" spans="1:4" x14ac:dyDescent="0.2">
      <c r="A1571" s="397">
        <v>44565</v>
      </c>
      <c r="B1571" s="384">
        <f t="shared" si="15"/>
        <v>372842.39</v>
      </c>
      <c r="C1571" s="384">
        <v>372642.39</v>
      </c>
      <c r="D1571" s="565">
        <v>200</v>
      </c>
    </row>
    <row r="1572" spans="1:4" x14ac:dyDescent="0.2">
      <c r="A1572" s="397">
        <v>44566</v>
      </c>
      <c r="B1572" s="384">
        <f t="shared" si="15"/>
        <v>370078.36</v>
      </c>
      <c r="C1572" s="384">
        <v>369878.36</v>
      </c>
      <c r="D1572" s="565">
        <v>200</v>
      </c>
    </row>
    <row r="1573" spans="1:4" x14ac:dyDescent="0.2">
      <c r="A1573" s="397">
        <v>44567</v>
      </c>
      <c r="B1573" s="384">
        <f t="shared" si="15"/>
        <v>368257.32</v>
      </c>
      <c r="C1573" s="384">
        <v>368057.32</v>
      </c>
      <c r="D1573" s="565">
        <v>200</v>
      </c>
    </row>
    <row r="1574" spans="1:4" x14ac:dyDescent="0.2">
      <c r="A1574" s="397">
        <v>44568</v>
      </c>
      <c r="B1574" s="384">
        <f t="shared" si="15"/>
        <v>369146.3</v>
      </c>
      <c r="C1574" s="384">
        <v>368946.3</v>
      </c>
      <c r="D1574" s="565">
        <v>200</v>
      </c>
    </row>
    <row r="1575" spans="1:4" x14ac:dyDescent="0.2">
      <c r="A1575" s="397">
        <v>44571</v>
      </c>
      <c r="B1575" s="384">
        <f t="shared" si="15"/>
        <v>369146.3</v>
      </c>
      <c r="C1575" s="384">
        <f t="shared" ref="C1575:C1637" si="17">C1574</f>
        <v>368946.3</v>
      </c>
      <c r="D1575" s="565">
        <v>200</v>
      </c>
    </row>
    <row r="1576" spans="1:4" x14ac:dyDescent="0.2">
      <c r="A1576" s="397">
        <v>44572</v>
      </c>
      <c r="B1576" s="384">
        <f t="shared" si="15"/>
        <v>369146.3</v>
      </c>
      <c r="C1576" s="384">
        <f t="shared" si="17"/>
        <v>368946.3</v>
      </c>
      <c r="D1576" s="565">
        <v>200</v>
      </c>
    </row>
    <row r="1577" spans="1:4" x14ac:dyDescent="0.2">
      <c r="A1577" s="397">
        <v>44573</v>
      </c>
      <c r="B1577" s="384">
        <f t="shared" si="15"/>
        <v>369146.3</v>
      </c>
      <c r="C1577" s="384">
        <f t="shared" si="17"/>
        <v>368946.3</v>
      </c>
      <c r="D1577" s="565">
        <v>200</v>
      </c>
    </row>
    <row r="1578" spans="1:4" x14ac:dyDescent="0.2">
      <c r="A1578" s="397">
        <v>44574</v>
      </c>
      <c r="B1578" s="384">
        <f t="shared" si="15"/>
        <v>369318.3</v>
      </c>
      <c r="C1578" s="384">
        <v>369118.3</v>
      </c>
      <c r="D1578" s="565">
        <v>200</v>
      </c>
    </row>
    <row r="1579" spans="1:4" x14ac:dyDescent="0.2">
      <c r="A1579" s="397">
        <v>44575</v>
      </c>
      <c r="B1579" s="384">
        <f t="shared" si="15"/>
        <v>369357.16</v>
      </c>
      <c r="C1579" s="384">
        <v>369157.16</v>
      </c>
      <c r="D1579" s="565">
        <v>200</v>
      </c>
    </row>
    <row r="1580" spans="1:4" x14ac:dyDescent="0.2">
      <c r="A1580" s="397">
        <v>44578</v>
      </c>
      <c r="B1580" s="384">
        <f t="shared" si="15"/>
        <v>369357.16</v>
      </c>
      <c r="C1580" s="384">
        <f t="shared" si="17"/>
        <v>369157.16</v>
      </c>
      <c r="D1580" s="565">
        <v>200</v>
      </c>
    </row>
    <row r="1581" spans="1:4" x14ac:dyDescent="0.2">
      <c r="A1581" s="397">
        <v>44579</v>
      </c>
      <c r="B1581" s="384">
        <f t="shared" si="15"/>
        <v>328912.42</v>
      </c>
      <c r="C1581" s="384">
        <v>328712.42</v>
      </c>
      <c r="D1581" s="565">
        <v>200</v>
      </c>
    </row>
    <row r="1582" spans="1:4" x14ac:dyDescent="0.2">
      <c r="A1582" s="397">
        <v>44580</v>
      </c>
      <c r="B1582" s="384">
        <f t="shared" si="15"/>
        <v>324854.01</v>
      </c>
      <c r="C1582" s="384">
        <v>324654.01</v>
      </c>
      <c r="D1582" s="565">
        <v>200</v>
      </c>
    </row>
    <row r="1583" spans="1:4" x14ac:dyDescent="0.2">
      <c r="A1583" s="397">
        <v>44581</v>
      </c>
      <c r="B1583" s="384">
        <f t="shared" si="15"/>
        <v>373026.22</v>
      </c>
      <c r="C1583" s="384">
        <v>372826.22</v>
      </c>
      <c r="D1583" s="565">
        <v>200</v>
      </c>
    </row>
    <row r="1584" spans="1:4" ht="12.75" customHeight="1" x14ac:dyDescent="0.2">
      <c r="A1584" s="397">
        <v>44582</v>
      </c>
      <c r="B1584" s="384">
        <f t="shared" si="15"/>
        <v>372715.39</v>
      </c>
      <c r="C1584" s="384">
        <v>372515.39</v>
      </c>
      <c r="D1584" s="565">
        <v>200</v>
      </c>
    </row>
    <row r="1585" spans="1:4" x14ac:dyDescent="0.2">
      <c r="A1585" s="397">
        <v>44585</v>
      </c>
      <c r="B1585" s="384">
        <f t="shared" ref="B1585:B1648" si="18">C1585+D1585</f>
        <v>352413.78</v>
      </c>
      <c r="C1585" s="384">
        <v>352213.78</v>
      </c>
      <c r="D1585" s="565">
        <v>200</v>
      </c>
    </row>
    <row r="1586" spans="1:4" x14ac:dyDescent="0.2">
      <c r="A1586" s="397">
        <v>44586</v>
      </c>
      <c r="B1586" s="384">
        <f t="shared" si="18"/>
        <v>324543.71999999997</v>
      </c>
      <c r="C1586" s="384">
        <v>324343.71999999997</v>
      </c>
      <c r="D1586" s="565">
        <v>200</v>
      </c>
    </row>
    <row r="1587" spans="1:4" x14ac:dyDescent="0.2">
      <c r="A1587" s="397">
        <v>44587</v>
      </c>
      <c r="B1587" s="384">
        <f t="shared" si="18"/>
        <v>324510.76</v>
      </c>
      <c r="C1587" s="384">
        <v>324310.76</v>
      </c>
      <c r="D1587" s="565">
        <v>200</v>
      </c>
    </row>
    <row r="1588" spans="1:4" x14ac:dyDescent="0.2">
      <c r="A1588" s="397">
        <v>44588</v>
      </c>
      <c r="B1588" s="384">
        <f t="shared" si="18"/>
        <v>290902.11</v>
      </c>
      <c r="C1588" s="384">
        <v>290702.11</v>
      </c>
      <c r="D1588" s="565">
        <v>200</v>
      </c>
    </row>
    <row r="1589" spans="1:4" x14ac:dyDescent="0.2">
      <c r="A1589" s="397">
        <v>44589</v>
      </c>
      <c r="B1589" s="384">
        <f t="shared" si="18"/>
        <v>290902.11</v>
      </c>
      <c r="C1589" s="384">
        <f t="shared" si="17"/>
        <v>290702.11</v>
      </c>
      <c r="D1589" s="565">
        <v>200</v>
      </c>
    </row>
    <row r="1590" spans="1:4" x14ac:dyDescent="0.2">
      <c r="A1590" s="397">
        <v>44592</v>
      </c>
      <c r="B1590" s="384">
        <f t="shared" si="18"/>
        <v>309578.59999999998</v>
      </c>
      <c r="C1590" s="384">
        <v>309378.59999999998</v>
      </c>
      <c r="D1590" s="565">
        <v>200</v>
      </c>
    </row>
    <row r="1591" spans="1:4" x14ac:dyDescent="0.2">
      <c r="A1591" s="397">
        <v>44593</v>
      </c>
      <c r="B1591" s="384">
        <f t="shared" si="18"/>
        <v>292963.95</v>
      </c>
      <c r="C1591" s="384">
        <v>292763.95</v>
      </c>
      <c r="D1591" s="565">
        <v>200</v>
      </c>
    </row>
    <row r="1592" spans="1:4" x14ac:dyDescent="0.2">
      <c r="A1592" s="397">
        <v>44594</v>
      </c>
      <c r="B1592" s="384">
        <f t="shared" si="18"/>
        <v>345714.5</v>
      </c>
      <c r="C1592" s="384">
        <v>345514.5</v>
      </c>
      <c r="D1592" s="565">
        <v>200</v>
      </c>
    </row>
    <row r="1593" spans="1:4" x14ac:dyDescent="0.2">
      <c r="A1593" s="397">
        <v>44595</v>
      </c>
      <c r="B1593" s="384">
        <f t="shared" si="18"/>
        <v>344030.58</v>
      </c>
      <c r="C1593" s="384">
        <v>343830.58</v>
      </c>
      <c r="D1593" s="565">
        <v>200</v>
      </c>
    </row>
    <row r="1594" spans="1:4" x14ac:dyDescent="0.2">
      <c r="A1594" s="397">
        <v>44596</v>
      </c>
      <c r="B1594" s="384">
        <f t="shared" si="18"/>
        <v>387503.42</v>
      </c>
      <c r="C1594" s="384">
        <v>387303.42</v>
      </c>
      <c r="D1594" s="565">
        <v>200</v>
      </c>
    </row>
    <row r="1595" spans="1:4" x14ac:dyDescent="0.2">
      <c r="A1595" s="397">
        <v>44599</v>
      </c>
      <c r="B1595" s="384">
        <f t="shared" si="18"/>
        <v>387503.42</v>
      </c>
      <c r="C1595" s="384">
        <f t="shared" si="17"/>
        <v>387303.42</v>
      </c>
      <c r="D1595" s="565">
        <v>200</v>
      </c>
    </row>
    <row r="1596" spans="1:4" x14ac:dyDescent="0.2">
      <c r="A1596" s="397">
        <v>44600</v>
      </c>
      <c r="B1596" s="384">
        <f t="shared" si="18"/>
        <v>387503.42</v>
      </c>
      <c r="C1596" s="384">
        <f t="shared" si="17"/>
        <v>387303.42</v>
      </c>
      <c r="D1596" s="565">
        <v>200</v>
      </c>
    </row>
    <row r="1597" spans="1:4" x14ac:dyDescent="0.2">
      <c r="A1597" s="397">
        <v>44601</v>
      </c>
      <c r="B1597" s="384">
        <f t="shared" si="18"/>
        <v>387503.42</v>
      </c>
      <c r="C1597" s="384">
        <f t="shared" si="17"/>
        <v>387303.42</v>
      </c>
      <c r="D1597" s="565">
        <v>200</v>
      </c>
    </row>
    <row r="1598" spans="1:4" x14ac:dyDescent="0.2">
      <c r="A1598" s="397">
        <v>44602</v>
      </c>
      <c r="B1598" s="425">
        <f t="shared" si="18"/>
        <v>411517.59</v>
      </c>
      <c r="C1598" s="384">
        <v>411317.59</v>
      </c>
      <c r="D1598" s="565">
        <v>200</v>
      </c>
    </row>
    <row r="1599" spans="1:4" x14ac:dyDescent="0.2">
      <c r="A1599" s="397">
        <v>44603</v>
      </c>
      <c r="B1599" s="384">
        <f t="shared" si="18"/>
        <v>388476.71</v>
      </c>
      <c r="C1599" s="384">
        <v>388276.71</v>
      </c>
      <c r="D1599" s="565">
        <v>200</v>
      </c>
    </row>
    <row r="1600" spans="1:4" x14ac:dyDescent="0.2">
      <c r="A1600" s="397">
        <v>44606</v>
      </c>
      <c r="B1600" s="384">
        <f t="shared" si="18"/>
        <v>388476.71</v>
      </c>
      <c r="C1600" s="384">
        <f t="shared" si="17"/>
        <v>388276.71</v>
      </c>
      <c r="D1600" s="565">
        <v>200</v>
      </c>
    </row>
    <row r="1601" spans="1:4" x14ac:dyDescent="0.2">
      <c r="A1601" s="397">
        <v>44607</v>
      </c>
      <c r="B1601" s="384">
        <f t="shared" si="18"/>
        <v>350398.25</v>
      </c>
      <c r="C1601" s="384">
        <v>350198.25</v>
      </c>
      <c r="D1601" s="565">
        <v>200</v>
      </c>
    </row>
    <row r="1602" spans="1:4" x14ac:dyDescent="0.2">
      <c r="A1602" s="397">
        <v>44608</v>
      </c>
      <c r="B1602" s="384">
        <f t="shared" si="18"/>
        <v>350398.25</v>
      </c>
      <c r="C1602" s="384">
        <f t="shared" si="17"/>
        <v>350198.25</v>
      </c>
      <c r="D1602" s="565">
        <v>200</v>
      </c>
    </row>
    <row r="1603" spans="1:4" x14ac:dyDescent="0.2">
      <c r="A1603" s="397">
        <v>44609</v>
      </c>
      <c r="B1603" s="384">
        <f t="shared" si="18"/>
        <v>329726.17</v>
      </c>
      <c r="C1603" s="384">
        <v>329526.17</v>
      </c>
      <c r="D1603" s="565">
        <v>200</v>
      </c>
    </row>
    <row r="1604" spans="1:4" x14ac:dyDescent="0.2">
      <c r="A1604" s="397">
        <v>44610</v>
      </c>
      <c r="B1604" s="384">
        <f t="shared" si="18"/>
        <v>329566.19</v>
      </c>
      <c r="C1604" s="384">
        <v>329366.19</v>
      </c>
      <c r="D1604" s="565">
        <v>200</v>
      </c>
    </row>
    <row r="1605" spans="1:4" x14ac:dyDescent="0.2">
      <c r="A1605" s="397">
        <v>44613</v>
      </c>
      <c r="B1605" s="384">
        <f t="shared" si="18"/>
        <v>329566.19</v>
      </c>
      <c r="C1605" s="384">
        <f t="shared" si="17"/>
        <v>329366.19</v>
      </c>
      <c r="D1605" s="565">
        <v>200</v>
      </c>
    </row>
    <row r="1606" spans="1:4" x14ac:dyDescent="0.2">
      <c r="A1606" s="397">
        <v>44614</v>
      </c>
      <c r="B1606" s="384">
        <f t="shared" si="18"/>
        <v>329566.19</v>
      </c>
      <c r="C1606" s="384">
        <f t="shared" si="17"/>
        <v>329366.19</v>
      </c>
      <c r="D1606" s="565">
        <v>200</v>
      </c>
    </row>
    <row r="1607" spans="1:4" x14ac:dyDescent="0.2">
      <c r="A1607" s="397">
        <v>44615</v>
      </c>
      <c r="B1607" s="384">
        <f t="shared" si="18"/>
        <v>330827.17</v>
      </c>
      <c r="C1607" s="384">
        <v>330627.17</v>
      </c>
      <c r="D1607" s="565">
        <v>200</v>
      </c>
    </row>
    <row r="1608" spans="1:4" x14ac:dyDescent="0.2">
      <c r="A1608" s="397">
        <v>44616</v>
      </c>
      <c r="B1608" s="384">
        <f t="shared" si="18"/>
        <v>331382.17</v>
      </c>
      <c r="C1608" s="384">
        <v>331182.17</v>
      </c>
      <c r="D1608" s="565">
        <v>200</v>
      </c>
    </row>
    <row r="1609" spans="1:4" x14ac:dyDescent="0.2">
      <c r="A1609" s="397">
        <v>44617</v>
      </c>
      <c r="B1609" s="384">
        <f t="shared" si="18"/>
        <v>331382.17</v>
      </c>
      <c r="C1609" s="384">
        <f t="shared" si="17"/>
        <v>331182.17</v>
      </c>
      <c r="D1609" s="565">
        <v>200</v>
      </c>
    </row>
    <row r="1610" spans="1:4" x14ac:dyDescent="0.2">
      <c r="A1610" s="397">
        <v>44620</v>
      </c>
      <c r="B1610" s="384">
        <f t="shared" si="18"/>
        <v>331382.17</v>
      </c>
      <c r="C1610" s="384">
        <f t="shared" si="17"/>
        <v>331182.17</v>
      </c>
      <c r="D1610" s="565">
        <v>200</v>
      </c>
    </row>
    <row r="1611" spans="1:4" x14ac:dyDescent="0.2">
      <c r="A1611" s="397">
        <v>44621</v>
      </c>
      <c r="B1611" s="384">
        <f t="shared" si="18"/>
        <v>293888.99</v>
      </c>
      <c r="C1611" s="384">
        <v>293688.99</v>
      </c>
      <c r="D1611" s="565">
        <v>200</v>
      </c>
    </row>
    <row r="1612" spans="1:4" x14ac:dyDescent="0.2">
      <c r="A1612" s="397">
        <v>44622</v>
      </c>
      <c r="B1612" s="384">
        <f t="shared" si="18"/>
        <v>321342.32</v>
      </c>
      <c r="C1612" s="384">
        <v>321142.32</v>
      </c>
      <c r="D1612" s="565">
        <v>200</v>
      </c>
    </row>
    <row r="1613" spans="1:4" x14ac:dyDescent="0.2">
      <c r="A1613" s="397">
        <v>44623</v>
      </c>
      <c r="B1613" s="384">
        <f t="shared" si="18"/>
        <v>328875.55</v>
      </c>
      <c r="C1613" s="384">
        <v>328675.55</v>
      </c>
      <c r="D1613" s="565">
        <v>200</v>
      </c>
    </row>
    <row r="1614" spans="1:4" x14ac:dyDescent="0.2">
      <c r="A1614" s="397">
        <v>44624</v>
      </c>
      <c r="B1614" s="384">
        <f t="shared" si="18"/>
        <v>311978.17</v>
      </c>
      <c r="C1614" s="384">
        <v>311778.17</v>
      </c>
      <c r="D1614" s="565">
        <v>200</v>
      </c>
    </row>
    <row r="1615" spans="1:4" x14ac:dyDescent="0.2">
      <c r="A1615" s="397">
        <v>44627</v>
      </c>
      <c r="B1615" s="384">
        <f t="shared" si="18"/>
        <v>311978.17</v>
      </c>
      <c r="C1615" s="384">
        <f t="shared" si="17"/>
        <v>311778.17</v>
      </c>
      <c r="D1615" s="565">
        <v>200</v>
      </c>
    </row>
    <row r="1616" spans="1:4" x14ac:dyDescent="0.2">
      <c r="A1616" s="397">
        <v>44628</v>
      </c>
      <c r="B1616" s="384">
        <f t="shared" si="18"/>
        <v>323791.65000000002</v>
      </c>
      <c r="C1616" s="384">
        <v>323591.65000000002</v>
      </c>
      <c r="D1616" s="565">
        <v>200</v>
      </c>
    </row>
    <row r="1617" spans="1:4" x14ac:dyDescent="0.2">
      <c r="A1617" s="397">
        <v>44629</v>
      </c>
      <c r="B1617" s="384">
        <f t="shared" si="18"/>
        <v>323791.65000000002</v>
      </c>
      <c r="C1617" s="384">
        <f t="shared" si="17"/>
        <v>323591.65000000002</v>
      </c>
      <c r="D1617" s="565">
        <v>200</v>
      </c>
    </row>
    <row r="1618" spans="1:4" x14ac:dyDescent="0.2">
      <c r="A1618" s="397">
        <v>44630</v>
      </c>
      <c r="B1618" s="384">
        <f t="shared" si="18"/>
        <v>304395.95</v>
      </c>
      <c r="C1618" s="384">
        <v>304195.95</v>
      </c>
      <c r="D1618" s="565">
        <v>200</v>
      </c>
    </row>
    <row r="1619" spans="1:4" x14ac:dyDescent="0.2">
      <c r="A1619" s="397">
        <v>44631</v>
      </c>
      <c r="B1619" s="384">
        <f t="shared" si="18"/>
        <v>304395.95</v>
      </c>
      <c r="C1619" s="384">
        <f t="shared" si="17"/>
        <v>304195.95</v>
      </c>
      <c r="D1619" s="565">
        <v>200</v>
      </c>
    </row>
    <row r="1620" spans="1:4" x14ac:dyDescent="0.2">
      <c r="A1620" s="397">
        <v>44634</v>
      </c>
      <c r="B1620" s="384">
        <f t="shared" si="18"/>
        <v>304395.95</v>
      </c>
      <c r="C1620" s="384">
        <f t="shared" si="17"/>
        <v>304195.95</v>
      </c>
      <c r="D1620" s="565">
        <v>200</v>
      </c>
    </row>
    <row r="1621" spans="1:4" x14ac:dyDescent="0.2">
      <c r="A1621" s="397">
        <v>44635</v>
      </c>
      <c r="B1621" s="384">
        <f t="shared" si="18"/>
        <v>354177.58</v>
      </c>
      <c r="C1621" s="384">
        <v>353977.58</v>
      </c>
      <c r="D1621" s="565">
        <v>200</v>
      </c>
    </row>
    <row r="1622" spans="1:4" x14ac:dyDescent="0.2">
      <c r="A1622" s="397">
        <v>44636</v>
      </c>
      <c r="B1622" s="384">
        <f t="shared" si="18"/>
        <v>354177.58</v>
      </c>
      <c r="C1622" s="384">
        <f t="shared" si="17"/>
        <v>353977.58</v>
      </c>
      <c r="D1622" s="565">
        <v>200</v>
      </c>
    </row>
    <row r="1623" spans="1:4" x14ac:dyDescent="0.2">
      <c r="A1623" s="397">
        <v>44637</v>
      </c>
      <c r="B1623" s="384">
        <f t="shared" si="18"/>
        <v>272443</v>
      </c>
      <c r="C1623" s="384">
        <v>272243</v>
      </c>
      <c r="D1623" s="565">
        <v>200</v>
      </c>
    </row>
    <row r="1624" spans="1:4" x14ac:dyDescent="0.2">
      <c r="A1624" s="397">
        <v>44638</v>
      </c>
      <c r="B1624" s="384">
        <f t="shared" si="18"/>
        <v>271968.02</v>
      </c>
      <c r="C1624" s="384">
        <v>271768.02</v>
      </c>
      <c r="D1624" s="565">
        <v>200</v>
      </c>
    </row>
    <row r="1625" spans="1:4" x14ac:dyDescent="0.2">
      <c r="A1625" s="397">
        <v>44641</v>
      </c>
      <c r="B1625" s="384">
        <f t="shared" si="18"/>
        <v>287143.02</v>
      </c>
      <c r="C1625" s="384">
        <v>286943.02</v>
      </c>
      <c r="D1625" s="565">
        <v>200</v>
      </c>
    </row>
    <row r="1626" spans="1:4" x14ac:dyDescent="0.2">
      <c r="A1626" s="397">
        <v>44642</v>
      </c>
      <c r="B1626" s="384">
        <f t="shared" si="18"/>
        <v>287143.02</v>
      </c>
      <c r="C1626" s="384">
        <f t="shared" si="17"/>
        <v>286943.02</v>
      </c>
      <c r="D1626" s="565">
        <v>200</v>
      </c>
    </row>
    <row r="1627" spans="1:4" x14ac:dyDescent="0.2">
      <c r="A1627" s="397">
        <v>44643</v>
      </c>
      <c r="B1627" s="384">
        <f t="shared" si="18"/>
        <v>171561.3</v>
      </c>
      <c r="C1627" s="384">
        <v>171361.3</v>
      </c>
      <c r="D1627" s="565">
        <v>200</v>
      </c>
    </row>
    <row r="1628" spans="1:4" x14ac:dyDescent="0.2">
      <c r="A1628" s="397">
        <v>44644</v>
      </c>
      <c r="B1628" s="384">
        <f t="shared" si="18"/>
        <v>171561.3</v>
      </c>
      <c r="C1628" s="384">
        <f t="shared" si="17"/>
        <v>171361.3</v>
      </c>
      <c r="D1628" s="565">
        <v>200</v>
      </c>
    </row>
    <row r="1629" spans="1:4" x14ac:dyDescent="0.2">
      <c r="A1629" s="397">
        <v>44645</v>
      </c>
      <c r="B1629" s="384">
        <f t="shared" si="18"/>
        <v>194069.16</v>
      </c>
      <c r="C1629" s="384">
        <v>193869.16</v>
      </c>
      <c r="D1629" s="565">
        <v>200</v>
      </c>
    </row>
    <row r="1630" spans="1:4" x14ac:dyDescent="0.2">
      <c r="A1630" s="397">
        <v>44648</v>
      </c>
      <c r="B1630" s="384">
        <f t="shared" si="18"/>
        <v>184965.34</v>
      </c>
      <c r="C1630" s="384">
        <v>184765.34</v>
      </c>
      <c r="D1630" s="565">
        <v>200</v>
      </c>
    </row>
    <row r="1631" spans="1:4" x14ac:dyDescent="0.2">
      <c r="A1631" s="397">
        <v>44649</v>
      </c>
      <c r="B1631" s="384">
        <f t="shared" si="18"/>
        <v>140741.59</v>
      </c>
      <c r="C1631" s="384">
        <v>140541.59</v>
      </c>
      <c r="D1631" s="565">
        <v>200</v>
      </c>
    </row>
    <row r="1632" spans="1:4" x14ac:dyDescent="0.2">
      <c r="A1632" s="397">
        <v>44650</v>
      </c>
      <c r="B1632" s="425">
        <f t="shared" si="18"/>
        <v>140708.63</v>
      </c>
      <c r="C1632" s="384">
        <v>140508.63</v>
      </c>
      <c r="D1632" s="565">
        <v>200</v>
      </c>
    </row>
    <row r="1633" spans="1:4" x14ac:dyDescent="0.2">
      <c r="A1633" s="397">
        <v>44651</v>
      </c>
      <c r="B1633" s="384">
        <f t="shared" si="18"/>
        <v>281239.25</v>
      </c>
      <c r="C1633" s="384">
        <v>281039.25</v>
      </c>
      <c r="D1633" s="565">
        <v>200</v>
      </c>
    </row>
    <row r="1634" spans="1:4" x14ac:dyDescent="0.2">
      <c r="A1634" s="397">
        <v>44652</v>
      </c>
      <c r="B1634" s="384">
        <f t="shared" si="18"/>
        <v>283716.02</v>
      </c>
      <c r="C1634" s="384">
        <v>283516.02</v>
      </c>
      <c r="D1634" s="565">
        <v>200</v>
      </c>
    </row>
    <row r="1635" spans="1:4" x14ac:dyDescent="0.2">
      <c r="A1635" s="397">
        <v>44655</v>
      </c>
      <c r="B1635" s="384">
        <f t="shared" si="18"/>
        <v>283716.02</v>
      </c>
      <c r="C1635" s="384">
        <f t="shared" si="17"/>
        <v>283516.02</v>
      </c>
      <c r="D1635" s="565">
        <v>200</v>
      </c>
    </row>
    <row r="1636" spans="1:4" x14ac:dyDescent="0.2">
      <c r="A1636" s="397">
        <v>44656</v>
      </c>
      <c r="B1636" s="384">
        <f t="shared" si="18"/>
        <v>300477.89</v>
      </c>
      <c r="C1636" s="384">
        <v>300277.89</v>
      </c>
      <c r="D1636" s="565">
        <v>200</v>
      </c>
    </row>
    <row r="1637" spans="1:4" x14ac:dyDescent="0.2">
      <c r="A1637" s="397">
        <v>44657</v>
      </c>
      <c r="B1637" s="384">
        <f t="shared" si="18"/>
        <v>300477.89</v>
      </c>
      <c r="C1637" s="384">
        <f t="shared" si="17"/>
        <v>300277.89</v>
      </c>
      <c r="D1637" s="565">
        <v>200</v>
      </c>
    </row>
    <row r="1638" spans="1:4" x14ac:dyDescent="0.2">
      <c r="A1638" s="397">
        <v>44658</v>
      </c>
      <c r="B1638" s="384">
        <f t="shared" si="18"/>
        <v>301029.09000000003</v>
      </c>
      <c r="C1638" s="384">
        <v>300829.09000000003</v>
      </c>
      <c r="D1638" s="565">
        <v>200</v>
      </c>
    </row>
    <row r="1639" spans="1:4" x14ac:dyDescent="0.2">
      <c r="A1639" s="397">
        <v>44659</v>
      </c>
      <c r="B1639" s="384">
        <f t="shared" si="18"/>
        <v>296794.44</v>
      </c>
      <c r="C1639" s="384">
        <v>296594.44</v>
      </c>
      <c r="D1639" s="565">
        <v>200</v>
      </c>
    </row>
    <row r="1640" spans="1:4" x14ac:dyDescent="0.2">
      <c r="A1640" s="397">
        <v>44662</v>
      </c>
      <c r="B1640" s="384">
        <f t="shared" si="18"/>
        <v>296989.44</v>
      </c>
      <c r="C1640" s="384">
        <v>296789.44</v>
      </c>
      <c r="D1640" s="565">
        <v>200</v>
      </c>
    </row>
    <row r="1641" spans="1:4" x14ac:dyDescent="0.2">
      <c r="A1641" s="397">
        <v>44663</v>
      </c>
      <c r="B1641" s="384">
        <f t="shared" si="18"/>
        <v>274755.46000000002</v>
      </c>
      <c r="C1641" s="384">
        <v>274555.46000000002</v>
      </c>
      <c r="D1641" s="565">
        <v>200</v>
      </c>
    </row>
    <row r="1642" spans="1:4" x14ac:dyDescent="0.2">
      <c r="A1642" s="397">
        <v>44664</v>
      </c>
      <c r="B1642" s="384">
        <f t="shared" si="18"/>
        <v>274755.46000000002</v>
      </c>
      <c r="C1642" s="384">
        <f t="shared" ref="C1642:C1656" si="19">C1641</f>
        <v>274555.46000000002</v>
      </c>
      <c r="D1642" s="565">
        <v>200</v>
      </c>
    </row>
    <row r="1643" spans="1:4" x14ac:dyDescent="0.2">
      <c r="A1643" s="397">
        <v>44665</v>
      </c>
      <c r="B1643" s="384">
        <f t="shared" si="18"/>
        <v>273817.88</v>
      </c>
      <c r="C1643" s="384">
        <v>273617.88</v>
      </c>
      <c r="D1643" s="565">
        <v>200</v>
      </c>
    </row>
    <row r="1644" spans="1:4" x14ac:dyDescent="0.2">
      <c r="A1644" s="397">
        <v>44666</v>
      </c>
      <c r="B1644" s="384">
        <f t="shared" si="18"/>
        <v>273375.03999999998</v>
      </c>
      <c r="C1644" s="384">
        <v>273175.03999999998</v>
      </c>
      <c r="D1644" s="565">
        <v>200</v>
      </c>
    </row>
    <row r="1645" spans="1:4" x14ac:dyDescent="0.2">
      <c r="A1645" s="397">
        <v>44669</v>
      </c>
      <c r="B1645" s="384">
        <f t="shared" si="18"/>
        <v>306978.36</v>
      </c>
      <c r="C1645" s="384">
        <v>306778.36</v>
      </c>
      <c r="D1645" s="565">
        <v>200</v>
      </c>
    </row>
    <row r="1646" spans="1:4" x14ac:dyDescent="0.2">
      <c r="A1646" s="397">
        <v>44670</v>
      </c>
      <c r="B1646" s="384">
        <f t="shared" si="18"/>
        <v>306978.36</v>
      </c>
      <c r="C1646" s="384">
        <f t="shared" si="19"/>
        <v>306778.36</v>
      </c>
      <c r="D1646" s="565">
        <v>200</v>
      </c>
    </row>
    <row r="1647" spans="1:4" x14ac:dyDescent="0.2">
      <c r="A1647" s="397">
        <v>44671</v>
      </c>
      <c r="B1647" s="384">
        <f t="shared" si="18"/>
        <v>266613.8</v>
      </c>
      <c r="C1647" s="384">
        <v>266413.8</v>
      </c>
      <c r="D1647" s="565">
        <v>200</v>
      </c>
    </row>
    <row r="1648" spans="1:4" x14ac:dyDescent="0.2">
      <c r="A1648" s="397">
        <v>44672</v>
      </c>
      <c r="B1648" s="384">
        <f t="shared" si="18"/>
        <v>271958.33</v>
      </c>
      <c r="C1648" s="384">
        <v>271758.33</v>
      </c>
      <c r="D1648" s="565">
        <v>200</v>
      </c>
    </row>
    <row r="1649" spans="1:4" x14ac:dyDescent="0.2">
      <c r="A1649" s="397">
        <v>44673</v>
      </c>
      <c r="B1649" s="384">
        <f t="shared" ref="B1649:B1655" si="20">C1649+D1649</f>
        <v>271799.48</v>
      </c>
      <c r="C1649" s="384">
        <v>271599.48</v>
      </c>
      <c r="D1649" s="565">
        <v>200</v>
      </c>
    </row>
    <row r="1650" spans="1:4" x14ac:dyDescent="0.2">
      <c r="A1650" s="397">
        <v>44676</v>
      </c>
      <c r="B1650" s="384">
        <f t="shared" si="20"/>
        <v>271799.48</v>
      </c>
      <c r="C1650" s="384">
        <f t="shared" si="19"/>
        <v>271599.48</v>
      </c>
      <c r="D1650" s="565">
        <v>200</v>
      </c>
    </row>
    <row r="1651" spans="1:4" x14ac:dyDescent="0.2">
      <c r="A1651" s="397">
        <v>44677</v>
      </c>
      <c r="B1651" s="384">
        <f t="shared" si="20"/>
        <v>231449.55</v>
      </c>
      <c r="C1651" s="384">
        <v>231249.55</v>
      </c>
      <c r="D1651" s="565">
        <v>200</v>
      </c>
    </row>
    <row r="1652" spans="1:4" x14ac:dyDescent="0.2">
      <c r="A1652" s="397">
        <v>44678</v>
      </c>
      <c r="B1652" s="384">
        <f t="shared" si="20"/>
        <v>255926.54</v>
      </c>
      <c r="C1652" s="384">
        <v>255726.54</v>
      </c>
      <c r="D1652" s="565">
        <v>200</v>
      </c>
    </row>
    <row r="1653" spans="1:4" x14ac:dyDescent="0.2">
      <c r="A1653" s="397">
        <v>44679</v>
      </c>
      <c r="B1653" s="384">
        <f t="shared" si="20"/>
        <v>256457.54</v>
      </c>
      <c r="C1653" s="384">
        <v>256257.54</v>
      </c>
      <c r="D1653" s="565">
        <v>200</v>
      </c>
    </row>
    <row r="1654" spans="1:4" x14ac:dyDescent="0.2">
      <c r="A1654" s="397">
        <v>44680</v>
      </c>
      <c r="B1654" s="384">
        <f t="shared" si="20"/>
        <v>255982.56</v>
      </c>
      <c r="C1654" s="384">
        <v>255782.56</v>
      </c>
      <c r="D1654" s="565">
        <v>200</v>
      </c>
    </row>
    <row r="1655" spans="1:4" x14ac:dyDescent="0.2">
      <c r="A1655" s="397">
        <v>44683</v>
      </c>
      <c r="B1655" s="384">
        <f t="shared" si="20"/>
        <v>255982.56</v>
      </c>
      <c r="C1655" s="384">
        <f t="shared" si="19"/>
        <v>255782.56</v>
      </c>
      <c r="D1655" s="565">
        <v>200</v>
      </c>
    </row>
    <row r="1656" spans="1:4" x14ac:dyDescent="0.2">
      <c r="A1656" s="397">
        <v>44684</v>
      </c>
      <c r="B1656" s="384">
        <f t="shared" ref="B1656:B1659" si="21">C1656+D1656</f>
        <v>255982.56</v>
      </c>
      <c r="C1656" s="384">
        <f t="shared" si="19"/>
        <v>255782.56</v>
      </c>
      <c r="D1656" s="565">
        <v>200</v>
      </c>
    </row>
    <row r="1657" spans="1:4" x14ac:dyDescent="0.2">
      <c r="A1657" s="397">
        <v>44685</v>
      </c>
      <c r="B1657" s="384">
        <f t="shared" si="21"/>
        <v>237408.49</v>
      </c>
      <c r="C1657" s="384">
        <v>237208.49</v>
      </c>
      <c r="D1657" s="565">
        <v>200</v>
      </c>
    </row>
    <row r="1658" spans="1:4" x14ac:dyDescent="0.2">
      <c r="A1658" s="397">
        <v>44686</v>
      </c>
      <c r="B1658" s="384">
        <f t="shared" si="21"/>
        <v>237595.16</v>
      </c>
      <c r="C1658" s="384">
        <v>237395.16</v>
      </c>
      <c r="D1658" s="565">
        <v>200</v>
      </c>
    </row>
    <row r="1659" spans="1:4" x14ac:dyDescent="0.2">
      <c r="A1659" s="397">
        <v>44687</v>
      </c>
      <c r="B1659" s="384">
        <f t="shared" si="21"/>
        <v>237595.16</v>
      </c>
      <c r="C1659" s="384">
        <f>C1658</f>
        <v>237395.16</v>
      </c>
      <c r="D1659" s="565">
        <v>200</v>
      </c>
    </row>
    <row r="1660" spans="1:4" x14ac:dyDescent="0.2">
      <c r="A1660" s="397">
        <v>44690</v>
      </c>
      <c r="B1660" s="384">
        <f t="shared" ref="B1660:B1664" si="22">C1660+D1660</f>
        <v>237595.16</v>
      </c>
      <c r="C1660" s="384">
        <f>C1659</f>
        <v>237395.16</v>
      </c>
      <c r="D1660" s="565">
        <v>200</v>
      </c>
    </row>
    <row r="1661" spans="1:4" x14ac:dyDescent="0.2">
      <c r="A1661" s="397">
        <v>44691</v>
      </c>
      <c r="B1661" s="384">
        <f t="shared" si="22"/>
        <v>198176.08</v>
      </c>
      <c r="C1661" s="384">
        <v>197976.08</v>
      </c>
      <c r="D1661" s="565">
        <v>200</v>
      </c>
    </row>
    <row r="1662" spans="1:4" x14ac:dyDescent="0.2">
      <c r="A1662" s="397">
        <v>44692</v>
      </c>
      <c r="B1662" s="384">
        <f t="shared" si="22"/>
        <v>206509.41</v>
      </c>
      <c r="C1662" s="384">
        <v>206309.41</v>
      </c>
      <c r="D1662" s="565">
        <v>200</v>
      </c>
    </row>
    <row r="1663" spans="1:4" x14ac:dyDescent="0.2">
      <c r="A1663" s="397">
        <v>44693</v>
      </c>
      <c r="B1663" s="384">
        <f t="shared" si="22"/>
        <v>196309.39</v>
      </c>
      <c r="C1663" s="384">
        <v>196109.39</v>
      </c>
      <c r="D1663" s="565">
        <v>200</v>
      </c>
    </row>
    <row r="1664" spans="1:4" x14ac:dyDescent="0.2">
      <c r="A1664" s="397">
        <v>44694</v>
      </c>
      <c r="B1664" s="384">
        <f t="shared" si="22"/>
        <v>217592.12</v>
      </c>
      <c r="C1664" s="384">
        <v>217392.12</v>
      </c>
      <c r="D1664" s="565">
        <v>200</v>
      </c>
    </row>
    <row r="1665" spans="1:4" x14ac:dyDescent="0.2">
      <c r="A1665" s="397">
        <v>44697</v>
      </c>
      <c r="B1665" s="384">
        <f t="shared" ref="B1665:B1801" si="23">C1665+D1665</f>
        <v>217592.12</v>
      </c>
      <c r="C1665" s="384">
        <f t="shared" ref="C1665:C1707" si="24">C1664</f>
        <v>217392.12</v>
      </c>
      <c r="D1665" s="565">
        <v>200</v>
      </c>
    </row>
    <row r="1666" spans="1:4" x14ac:dyDescent="0.2">
      <c r="A1666" s="397">
        <v>44698</v>
      </c>
      <c r="B1666" s="384">
        <f t="shared" si="23"/>
        <v>217592.12</v>
      </c>
      <c r="C1666" s="384">
        <f t="shared" si="24"/>
        <v>217392.12</v>
      </c>
      <c r="D1666" s="565">
        <v>200</v>
      </c>
    </row>
    <row r="1667" spans="1:4" x14ac:dyDescent="0.2">
      <c r="A1667" s="397">
        <v>44699</v>
      </c>
      <c r="B1667" s="384">
        <f t="shared" si="23"/>
        <v>217592.12</v>
      </c>
      <c r="C1667" s="384">
        <f t="shared" si="24"/>
        <v>217392.12</v>
      </c>
      <c r="D1667" s="565">
        <v>200</v>
      </c>
    </row>
    <row r="1668" spans="1:4" x14ac:dyDescent="0.2">
      <c r="A1668" s="397">
        <v>44700</v>
      </c>
      <c r="B1668" s="384">
        <f t="shared" si="23"/>
        <v>221731.08</v>
      </c>
      <c r="C1668" s="384">
        <v>221531.08</v>
      </c>
      <c r="D1668" s="565">
        <v>200</v>
      </c>
    </row>
    <row r="1669" spans="1:4" x14ac:dyDescent="0.2">
      <c r="A1669" s="397">
        <v>44701</v>
      </c>
      <c r="B1669" s="384">
        <f t="shared" si="23"/>
        <v>217798.74</v>
      </c>
      <c r="C1669" s="384">
        <v>217598.74</v>
      </c>
      <c r="D1669" s="565">
        <v>200</v>
      </c>
    </row>
    <row r="1670" spans="1:4" x14ac:dyDescent="0.2">
      <c r="A1670" s="397">
        <v>44704</v>
      </c>
      <c r="B1670" s="384">
        <f t="shared" si="23"/>
        <v>176485.8</v>
      </c>
      <c r="C1670" s="384">
        <v>176285.8</v>
      </c>
      <c r="D1670" s="565">
        <v>200</v>
      </c>
    </row>
    <row r="1671" spans="1:4" x14ac:dyDescent="0.2">
      <c r="A1671" s="397">
        <v>44705</v>
      </c>
      <c r="B1671" s="384">
        <f t="shared" si="23"/>
        <v>176485.8</v>
      </c>
      <c r="C1671" s="384">
        <f t="shared" si="24"/>
        <v>176285.8</v>
      </c>
      <c r="D1671" s="565">
        <v>200</v>
      </c>
    </row>
    <row r="1672" spans="1:4" x14ac:dyDescent="0.2">
      <c r="A1672" s="397">
        <v>44706</v>
      </c>
      <c r="B1672" s="384">
        <f t="shared" si="23"/>
        <v>176485.8</v>
      </c>
      <c r="C1672" s="384">
        <f t="shared" si="24"/>
        <v>176285.8</v>
      </c>
      <c r="D1672" s="565">
        <v>200</v>
      </c>
    </row>
    <row r="1673" spans="1:4" x14ac:dyDescent="0.2">
      <c r="A1673" s="397">
        <v>44707</v>
      </c>
      <c r="B1673" s="384">
        <f t="shared" si="23"/>
        <v>317719.40999999997</v>
      </c>
      <c r="C1673" s="384">
        <v>317519.40999999997</v>
      </c>
      <c r="D1673" s="565">
        <v>200</v>
      </c>
    </row>
    <row r="1674" spans="1:4" x14ac:dyDescent="0.2">
      <c r="A1674" s="397">
        <v>44708</v>
      </c>
      <c r="B1674" s="384">
        <f t="shared" si="23"/>
        <v>317244.43</v>
      </c>
      <c r="C1674" s="384">
        <v>317044.43</v>
      </c>
      <c r="D1674" s="565">
        <v>200</v>
      </c>
    </row>
    <row r="1675" spans="1:4" x14ac:dyDescent="0.2">
      <c r="A1675" s="397">
        <v>44711</v>
      </c>
      <c r="B1675" s="384">
        <f t="shared" si="23"/>
        <v>317244.43</v>
      </c>
      <c r="C1675" s="384">
        <f t="shared" si="24"/>
        <v>317044.43</v>
      </c>
      <c r="D1675" s="565">
        <v>200</v>
      </c>
    </row>
    <row r="1676" spans="1:4" x14ac:dyDescent="0.2">
      <c r="A1676" s="397">
        <v>44712</v>
      </c>
      <c r="B1676" s="384">
        <f t="shared" si="23"/>
        <v>317244.43</v>
      </c>
      <c r="C1676" s="384">
        <f t="shared" si="24"/>
        <v>317044.43</v>
      </c>
      <c r="D1676" s="565">
        <v>200</v>
      </c>
    </row>
    <row r="1677" spans="1:4" x14ac:dyDescent="0.2">
      <c r="A1677" s="397">
        <v>44713</v>
      </c>
      <c r="B1677" s="384">
        <f t="shared" si="23"/>
        <v>317244.43</v>
      </c>
      <c r="C1677" s="384">
        <f t="shared" si="24"/>
        <v>317044.43</v>
      </c>
      <c r="D1677" s="565">
        <v>200</v>
      </c>
    </row>
    <row r="1678" spans="1:4" x14ac:dyDescent="0.2">
      <c r="A1678" s="397">
        <v>44714</v>
      </c>
      <c r="B1678" s="384">
        <f t="shared" si="23"/>
        <v>317244.43</v>
      </c>
      <c r="C1678" s="384">
        <f t="shared" si="24"/>
        <v>317044.43</v>
      </c>
      <c r="D1678" s="565">
        <v>200</v>
      </c>
    </row>
    <row r="1679" spans="1:4" x14ac:dyDescent="0.2">
      <c r="A1679" s="397">
        <v>44715</v>
      </c>
      <c r="B1679" s="384">
        <f t="shared" si="23"/>
        <v>311632.77</v>
      </c>
      <c r="C1679" s="384">
        <v>311432.77</v>
      </c>
      <c r="D1679" s="565">
        <v>200</v>
      </c>
    </row>
    <row r="1680" spans="1:4" x14ac:dyDescent="0.2">
      <c r="A1680" s="397">
        <v>44718</v>
      </c>
      <c r="B1680" s="384">
        <f t="shared" si="23"/>
        <v>311632.77</v>
      </c>
      <c r="C1680" s="384">
        <f t="shared" si="24"/>
        <v>311432.77</v>
      </c>
      <c r="D1680" s="565">
        <v>200</v>
      </c>
    </row>
    <row r="1681" spans="1:4" x14ac:dyDescent="0.2">
      <c r="A1681" s="397">
        <v>44719</v>
      </c>
      <c r="B1681" s="384">
        <f t="shared" si="23"/>
        <v>272576.3</v>
      </c>
      <c r="C1681" s="384">
        <v>272376.3</v>
      </c>
      <c r="D1681" s="565">
        <v>200</v>
      </c>
    </row>
    <row r="1682" spans="1:4" x14ac:dyDescent="0.2">
      <c r="A1682" s="397">
        <v>44720</v>
      </c>
      <c r="B1682" s="384">
        <f t="shared" si="23"/>
        <v>272576.3</v>
      </c>
      <c r="C1682" s="384">
        <f t="shared" si="24"/>
        <v>272376.3</v>
      </c>
      <c r="D1682" s="565">
        <v>200</v>
      </c>
    </row>
    <row r="1683" spans="1:4" x14ac:dyDescent="0.2">
      <c r="A1683" s="397">
        <v>44721</v>
      </c>
      <c r="B1683" s="384">
        <f t="shared" si="23"/>
        <v>262789.33</v>
      </c>
      <c r="C1683" s="384">
        <v>262589.33</v>
      </c>
      <c r="D1683" s="565">
        <v>200</v>
      </c>
    </row>
    <row r="1684" spans="1:4" x14ac:dyDescent="0.2">
      <c r="A1684" s="397">
        <v>44722</v>
      </c>
      <c r="B1684" s="384">
        <f t="shared" si="23"/>
        <v>262314.34999999998</v>
      </c>
      <c r="C1684" s="384">
        <v>262114.35</v>
      </c>
      <c r="D1684" s="565">
        <v>200</v>
      </c>
    </row>
    <row r="1685" spans="1:4" x14ac:dyDescent="0.2">
      <c r="A1685" s="397">
        <v>44725</v>
      </c>
      <c r="B1685" s="384">
        <f t="shared" si="23"/>
        <v>262577.34999999998</v>
      </c>
      <c r="C1685" s="384">
        <v>262377.34999999998</v>
      </c>
      <c r="D1685" s="565">
        <v>200</v>
      </c>
    </row>
    <row r="1686" spans="1:4" x14ac:dyDescent="0.2">
      <c r="A1686" s="397">
        <v>44726</v>
      </c>
      <c r="B1686" s="384">
        <f t="shared" si="23"/>
        <v>262577.34999999998</v>
      </c>
      <c r="C1686" s="384">
        <f t="shared" si="24"/>
        <v>262377.34999999998</v>
      </c>
      <c r="D1686" s="565">
        <v>200</v>
      </c>
    </row>
    <row r="1687" spans="1:4" x14ac:dyDescent="0.2">
      <c r="A1687" s="397">
        <v>44727</v>
      </c>
      <c r="B1687" s="384">
        <f t="shared" si="23"/>
        <v>359115.13</v>
      </c>
      <c r="C1687" s="384">
        <v>358915.13</v>
      </c>
      <c r="D1687" s="565">
        <v>200</v>
      </c>
    </row>
    <row r="1688" spans="1:4" x14ac:dyDescent="0.2">
      <c r="A1688" s="397">
        <v>44728</v>
      </c>
      <c r="B1688" s="384">
        <f t="shared" si="23"/>
        <v>359115.13</v>
      </c>
      <c r="C1688" s="384">
        <f t="shared" si="24"/>
        <v>358915.13</v>
      </c>
      <c r="D1688" s="565">
        <v>200</v>
      </c>
    </row>
    <row r="1689" spans="1:4" x14ac:dyDescent="0.2">
      <c r="A1689" s="397">
        <v>44729</v>
      </c>
      <c r="B1689" s="384">
        <f t="shared" si="23"/>
        <v>359115.13</v>
      </c>
      <c r="C1689" s="384">
        <f t="shared" si="24"/>
        <v>358915.13</v>
      </c>
      <c r="D1689" s="565">
        <v>200</v>
      </c>
    </row>
    <row r="1690" spans="1:4" x14ac:dyDescent="0.2">
      <c r="A1690" s="397">
        <v>44732</v>
      </c>
      <c r="B1690" s="384">
        <f t="shared" si="23"/>
        <v>317912.34000000003</v>
      </c>
      <c r="C1690" s="384">
        <v>317712.34000000003</v>
      </c>
      <c r="D1690" s="565">
        <v>200</v>
      </c>
    </row>
    <row r="1691" spans="1:4" x14ac:dyDescent="0.2">
      <c r="A1691" s="397">
        <v>44733</v>
      </c>
      <c r="B1691" s="384">
        <f t="shared" si="23"/>
        <v>318373.34000000003</v>
      </c>
      <c r="C1691" s="384">
        <v>318173.34000000003</v>
      </c>
      <c r="D1691" s="565">
        <v>200</v>
      </c>
    </row>
    <row r="1692" spans="1:4" x14ac:dyDescent="0.2">
      <c r="A1692" s="397">
        <v>44734</v>
      </c>
      <c r="B1692" s="384">
        <f t="shared" si="23"/>
        <v>319350.08</v>
      </c>
      <c r="C1692" s="384">
        <v>319150.08000000002</v>
      </c>
      <c r="D1692" s="565">
        <v>200</v>
      </c>
    </row>
    <row r="1693" spans="1:4" x14ac:dyDescent="0.2">
      <c r="A1693" s="397">
        <v>44735</v>
      </c>
      <c r="B1693" s="384">
        <f t="shared" si="23"/>
        <v>329131.38</v>
      </c>
      <c r="C1693" s="384">
        <v>328931.38</v>
      </c>
      <c r="D1693" s="565">
        <v>200</v>
      </c>
    </row>
    <row r="1694" spans="1:4" x14ac:dyDescent="0.2">
      <c r="A1694" s="397">
        <v>44736</v>
      </c>
      <c r="B1694" s="384">
        <f t="shared" si="23"/>
        <v>329131.38</v>
      </c>
      <c r="C1694" s="384">
        <f t="shared" si="24"/>
        <v>328931.38</v>
      </c>
      <c r="D1694" s="565">
        <v>200</v>
      </c>
    </row>
    <row r="1695" spans="1:4" x14ac:dyDescent="0.2">
      <c r="A1695" s="397">
        <v>44739</v>
      </c>
      <c r="B1695" s="384">
        <f t="shared" si="23"/>
        <v>329131.38</v>
      </c>
      <c r="C1695" s="384">
        <f t="shared" si="24"/>
        <v>328931.38</v>
      </c>
      <c r="D1695" s="565">
        <v>200</v>
      </c>
    </row>
    <row r="1696" spans="1:4" x14ac:dyDescent="0.2">
      <c r="A1696" s="397">
        <v>44740</v>
      </c>
      <c r="B1696" s="384">
        <f t="shared" si="23"/>
        <v>329131.38</v>
      </c>
      <c r="C1696" s="384">
        <f t="shared" si="24"/>
        <v>328931.38</v>
      </c>
      <c r="D1696" s="565">
        <v>200</v>
      </c>
    </row>
    <row r="1697" spans="1:4" x14ac:dyDescent="0.2">
      <c r="A1697" s="397">
        <v>44741</v>
      </c>
      <c r="B1697" s="384">
        <f t="shared" si="23"/>
        <v>358518.98</v>
      </c>
      <c r="C1697" s="384">
        <v>358318.98</v>
      </c>
      <c r="D1697" s="565">
        <v>200</v>
      </c>
    </row>
    <row r="1698" spans="1:4" x14ac:dyDescent="0.2">
      <c r="A1698" s="397">
        <v>44742</v>
      </c>
      <c r="B1698" s="384">
        <f t="shared" si="23"/>
        <v>388026.98</v>
      </c>
      <c r="C1698" s="384">
        <v>387826.98</v>
      </c>
      <c r="D1698" s="565">
        <v>200</v>
      </c>
    </row>
    <row r="1699" spans="1:4" x14ac:dyDescent="0.2">
      <c r="A1699" s="397">
        <v>44743</v>
      </c>
      <c r="B1699" s="384">
        <f t="shared" si="23"/>
        <v>388026.98</v>
      </c>
      <c r="C1699" s="384">
        <f t="shared" si="24"/>
        <v>387826.98</v>
      </c>
      <c r="D1699" s="565">
        <v>200</v>
      </c>
    </row>
    <row r="1700" spans="1:4" x14ac:dyDescent="0.2">
      <c r="A1700" s="397">
        <v>44746</v>
      </c>
      <c r="B1700" s="384">
        <f t="shared" si="23"/>
        <v>388026.98</v>
      </c>
      <c r="C1700" s="384">
        <f t="shared" si="24"/>
        <v>387826.98</v>
      </c>
      <c r="D1700" s="565">
        <v>200</v>
      </c>
    </row>
    <row r="1701" spans="1:4" x14ac:dyDescent="0.2">
      <c r="A1701" s="397">
        <v>44747</v>
      </c>
      <c r="B1701" s="384">
        <f t="shared" si="23"/>
        <v>347383.35</v>
      </c>
      <c r="C1701" s="384">
        <v>347183.35</v>
      </c>
      <c r="D1701" s="565">
        <v>200</v>
      </c>
    </row>
    <row r="1702" spans="1:4" x14ac:dyDescent="0.2">
      <c r="A1702" s="397">
        <v>44748</v>
      </c>
      <c r="B1702" s="384">
        <f t="shared" si="23"/>
        <v>347507.35</v>
      </c>
      <c r="C1702" s="384">
        <v>347307.35</v>
      </c>
      <c r="D1702" s="565">
        <v>200</v>
      </c>
    </row>
    <row r="1703" spans="1:4" x14ac:dyDescent="0.2">
      <c r="A1703" s="397">
        <v>44749</v>
      </c>
      <c r="B1703" s="384">
        <f t="shared" si="23"/>
        <v>347648.35</v>
      </c>
      <c r="C1703" s="384">
        <v>347448.35</v>
      </c>
      <c r="D1703" s="565">
        <v>200</v>
      </c>
    </row>
    <row r="1704" spans="1:4" x14ac:dyDescent="0.2">
      <c r="A1704" s="397">
        <v>44750</v>
      </c>
      <c r="B1704" s="384">
        <f t="shared" si="23"/>
        <v>347173.37</v>
      </c>
      <c r="C1704" s="384">
        <v>346973.37</v>
      </c>
      <c r="D1704" s="565">
        <v>200</v>
      </c>
    </row>
    <row r="1705" spans="1:4" x14ac:dyDescent="0.2">
      <c r="A1705" s="397">
        <v>44753</v>
      </c>
      <c r="B1705" s="384">
        <f t="shared" si="23"/>
        <v>347173.37</v>
      </c>
      <c r="C1705" s="384">
        <f t="shared" si="24"/>
        <v>346973.37</v>
      </c>
      <c r="D1705" s="565">
        <v>200</v>
      </c>
    </row>
    <row r="1706" spans="1:4" x14ac:dyDescent="0.2">
      <c r="A1706" s="397">
        <v>44754</v>
      </c>
      <c r="B1706" s="384">
        <f t="shared" si="23"/>
        <v>347422.37</v>
      </c>
      <c r="C1706" s="384">
        <v>347222.37</v>
      </c>
      <c r="D1706" s="565">
        <v>200</v>
      </c>
    </row>
    <row r="1707" spans="1:4" x14ac:dyDescent="0.2">
      <c r="A1707" s="397">
        <v>44755</v>
      </c>
      <c r="B1707" s="384">
        <f t="shared" si="23"/>
        <v>347422.37</v>
      </c>
      <c r="C1707" s="384">
        <f t="shared" si="24"/>
        <v>347222.37</v>
      </c>
      <c r="D1707" s="565">
        <v>200</v>
      </c>
    </row>
    <row r="1708" spans="1:4" x14ac:dyDescent="0.2">
      <c r="A1708" s="397">
        <v>44756</v>
      </c>
      <c r="B1708" s="384">
        <f t="shared" si="23"/>
        <v>353674.1</v>
      </c>
      <c r="C1708" s="384">
        <v>353474.1</v>
      </c>
      <c r="D1708" s="565">
        <v>200</v>
      </c>
    </row>
    <row r="1709" spans="1:4" x14ac:dyDescent="0.2">
      <c r="A1709" s="397">
        <v>44757</v>
      </c>
      <c r="B1709" s="384">
        <f t="shared" si="23"/>
        <v>355815.56</v>
      </c>
      <c r="C1709" s="384">
        <v>355615.56</v>
      </c>
      <c r="D1709" s="565">
        <v>200</v>
      </c>
    </row>
    <row r="1710" spans="1:4" x14ac:dyDescent="0.2">
      <c r="A1710" s="397">
        <v>44760</v>
      </c>
      <c r="B1710" s="384">
        <f t="shared" si="23"/>
        <v>319836.78000000003</v>
      </c>
      <c r="C1710" s="384">
        <v>319636.78000000003</v>
      </c>
      <c r="D1710" s="565">
        <v>200</v>
      </c>
    </row>
    <row r="1711" spans="1:4" x14ac:dyDescent="0.2">
      <c r="A1711" s="397">
        <v>44761</v>
      </c>
      <c r="B1711" s="384">
        <f t="shared" si="23"/>
        <v>296807.06</v>
      </c>
      <c r="C1711" s="384">
        <v>296607.06</v>
      </c>
      <c r="D1711" s="565">
        <v>200</v>
      </c>
    </row>
    <row r="1712" spans="1:4" x14ac:dyDescent="0.2">
      <c r="A1712" s="397">
        <v>44762</v>
      </c>
      <c r="B1712" s="384">
        <f t="shared" si="23"/>
        <v>296807.06</v>
      </c>
      <c r="C1712" s="384">
        <f t="shared" ref="C1712:C1774" si="25">C1711</f>
        <v>296607.06</v>
      </c>
      <c r="D1712" s="565">
        <v>200</v>
      </c>
    </row>
    <row r="1713" spans="1:4" x14ac:dyDescent="0.2">
      <c r="A1713" s="397">
        <v>44763</v>
      </c>
      <c r="B1713" s="384">
        <f t="shared" si="23"/>
        <v>291257.96000000002</v>
      </c>
      <c r="C1713" s="384">
        <v>291057.96000000002</v>
      </c>
      <c r="D1713" s="565">
        <v>200</v>
      </c>
    </row>
    <row r="1714" spans="1:4" x14ac:dyDescent="0.2">
      <c r="A1714" s="397">
        <v>44764</v>
      </c>
      <c r="B1714" s="384">
        <f t="shared" si="23"/>
        <v>290782.98</v>
      </c>
      <c r="C1714" s="384">
        <v>290582.98</v>
      </c>
      <c r="D1714" s="565">
        <v>200</v>
      </c>
    </row>
    <row r="1715" spans="1:4" x14ac:dyDescent="0.2">
      <c r="A1715" s="397">
        <v>44767</v>
      </c>
      <c r="B1715" s="384">
        <f t="shared" si="23"/>
        <v>290782.98</v>
      </c>
      <c r="C1715" s="384">
        <f t="shared" si="25"/>
        <v>290582.98</v>
      </c>
      <c r="D1715" s="565">
        <v>200</v>
      </c>
    </row>
    <row r="1716" spans="1:4" x14ac:dyDescent="0.2">
      <c r="A1716" s="397">
        <v>44768</v>
      </c>
      <c r="B1716" s="384">
        <f t="shared" si="23"/>
        <v>290754.14</v>
      </c>
      <c r="C1716" s="384">
        <v>290554.14</v>
      </c>
      <c r="D1716" s="565">
        <v>200</v>
      </c>
    </row>
    <row r="1717" spans="1:4" x14ac:dyDescent="0.2">
      <c r="A1717" s="397">
        <v>44769</v>
      </c>
      <c r="B1717" s="384">
        <f t="shared" si="23"/>
        <v>290450.96000000002</v>
      </c>
      <c r="C1717" s="384">
        <v>290250.96000000002</v>
      </c>
      <c r="D1717" s="565">
        <v>200</v>
      </c>
    </row>
    <row r="1718" spans="1:4" x14ac:dyDescent="0.2">
      <c r="A1718" s="397">
        <v>44770</v>
      </c>
      <c r="B1718" s="384">
        <f t="shared" si="23"/>
        <v>282840.40000000002</v>
      </c>
      <c r="C1718" s="384">
        <v>282640.40000000002</v>
      </c>
      <c r="D1718" s="565">
        <v>200</v>
      </c>
    </row>
    <row r="1719" spans="1:4" x14ac:dyDescent="0.2">
      <c r="A1719" s="397">
        <v>44771</v>
      </c>
      <c r="B1719" s="384">
        <f t="shared" si="23"/>
        <v>318945.52</v>
      </c>
      <c r="C1719" s="384">
        <v>318745.52</v>
      </c>
      <c r="D1719" s="565">
        <v>200</v>
      </c>
    </row>
    <row r="1720" spans="1:4" x14ac:dyDescent="0.2">
      <c r="A1720" s="397">
        <v>44774</v>
      </c>
      <c r="B1720" s="384">
        <f t="shared" si="23"/>
        <v>318945.52</v>
      </c>
      <c r="C1720" s="384">
        <f t="shared" si="25"/>
        <v>318745.52</v>
      </c>
      <c r="D1720" s="565">
        <v>200</v>
      </c>
    </row>
    <row r="1721" spans="1:4" x14ac:dyDescent="0.2">
      <c r="A1721" s="397">
        <v>44775</v>
      </c>
      <c r="B1721" s="384">
        <f t="shared" si="23"/>
        <v>278401.03999999998</v>
      </c>
      <c r="C1721" s="384">
        <v>278201.03999999998</v>
      </c>
      <c r="D1721" s="565">
        <v>200</v>
      </c>
    </row>
    <row r="1722" spans="1:4" x14ac:dyDescent="0.2">
      <c r="A1722" s="397">
        <v>44776</v>
      </c>
      <c r="B1722" s="384">
        <f t="shared" si="23"/>
        <v>277801.03999999998</v>
      </c>
      <c r="C1722" s="384">
        <v>277601.03999999998</v>
      </c>
      <c r="D1722" s="565">
        <v>200</v>
      </c>
    </row>
    <row r="1723" spans="1:4" x14ac:dyDescent="0.2">
      <c r="A1723" s="397">
        <v>44777</v>
      </c>
      <c r="B1723" s="384">
        <f t="shared" si="23"/>
        <v>277801.03999999998</v>
      </c>
      <c r="C1723" s="384">
        <f t="shared" si="25"/>
        <v>277601.03999999998</v>
      </c>
      <c r="D1723" s="565">
        <v>200</v>
      </c>
    </row>
    <row r="1724" spans="1:4" x14ac:dyDescent="0.2">
      <c r="A1724" s="397">
        <v>44778</v>
      </c>
      <c r="B1724" s="384">
        <f t="shared" si="23"/>
        <v>277326.06</v>
      </c>
      <c r="C1724" s="384">
        <v>277126.06</v>
      </c>
      <c r="D1724" s="565">
        <v>200</v>
      </c>
    </row>
    <row r="1725" spans="1:4" x14ac:dyDescent="0.2">
      <c r="A1725" s="397">
        <v>44781</v>
      </c>
      <c r="B1725" s="384">
        <f t="shared" si="23"/>
        <v>277326.06</v>
      </c>
      <c r="C1725" s="384">
        <f t="shared" si="25"/>
        <v>277126.06</v>
      </c>
      <c r="D1725" s="565">
        <v>200</v>
      </c>
    </row>
    <row r="1726" spans="1:4" x14ac:dyDescent="0.2">
      <c r="A1726" s="397">
        <v>44782</v>
      </c>
      <c r="B1726" s="384">
        <f t="shared" si="23"/>
        <v>254730.8</v>
      </c>
      <c r="C1726" s="384">
        <v>254530.8</v>
      </c>
      <c r="D1726" s="565">
        <v>200</v>
      </c>
    </row>
    <row r="1727" spans="1:4" x14ac:dyDescent="0.2">
      <c r="A1727" s="397">
        <v>44783</v>
      </c>
      <c r="B1727" s="384">
        <f t="shared" si="23"/>
        <v>254730.8</v>
      </c>
      <c r="C1727" s="384">
        <f t="shared" si="25"/>
        <v>254530.8</v>
      </c>
      <c r="D1727" s="565">
        <v>200</v>
      </c>
    </row>
    <row r="1728" spans="1:4" x14ac:dyDescent="0.2">
      <c r="A1728" s="397">
        <v>44784</v>
      </c>
      <c r="B1728" s="384">
        <f t="shared" si="23"/>
        <v>277867.62</v>
      </c>
      <c r="C1728" s="384">
        <v>277667.62</v>
      </c>
      <c r="D1728" s="565">
        <v>200</v>
      </c>
    </row>
    <row r="1729" spans="1:4" x14ac:dyDescent="0.2">
      <c r="A1729" s="397">
        <v>44785</v>
      </c>
      <c r="B1729" s="384">
        <f t="shared" si="23"/>
        <v>278679.81</v>
      </c>
      <c r="C1729" s="384">
        <v>278479.81</v>
      </c>
      <c r="D1729" s="565">
        <v>200</v>
      </c>
    </row>
    <row r="1730" spans="1:4" x14ac:dyDescent="0.2">
      <c r="A1730" s="397">
        <v>44788</v>
      </c>
      <c r="B1730" s="384">
        <f t="shared" si="23"/>
        <v>278711.32</v>
      </c>
      <c r="C1730" s="384">
        <v>278511.32</v>
      </c>
      <c r="D1730" s="565">
        <v>200</v>
      </c>
    </row>
    <row r="1731" spans="1:4" x14ac:dyDescent="0.2">
      <c r="A1731" s="397">
        <v>44789</v>
      </c>
      <c r="B1731" s="384">
        <f t="shared" si="23"/>
        <v>238555.14</v>
      </c>
      <c r="C1731" s="384">
        <v>238355.14</v>
      </c>
      <c r="D1731" s="565">
        <v>200</v>
      </c>
    </row>
    <row r="1732" spans="1:4" x14ac:dyDescent="0.2">
      <c r="A1732" s="397">
        <v>44790</v>
      </c>
      <c r="B1732" s="384">
        <f t="shared" si="23"/>
        <v>238555.14</v>
      </c>
      <c r="C1732" s="384">
        <f t="shared" si="25"/>
        <v>238355.14</v>
      </c>
      <c r="D1732" s="565">
        <v>200</v>
      </c>
    </row>
    <row r="1733" spans="1:4" x14ac:dyDescent="0.2">
      <c r="A1733" s="397">
        <v>44791</v>
      </c>
      <c r="B1733" s="384">
        <f t="shared" si="23"/>
        <v>238555.14</v>
      </c>
      <c r="C1733" s="384">
        <f t="shared" si="25"/>
        <v>238355.14</v>
      </c>
      <c r="D1733" s="565">
        <v>200</v>
      </c>
    </row>
    <row r="1734" spans="1:4" x14ac:dyDescent="0.2">
      <c r="A1734" s="397">
        <v>44792</v>
      </c>
      <c r="B1734" s="384">
        <f t="shared" si="23"/>
        <v>227371.3</v>
      </c>
      <c r="C1734" s="384">
        <v>227171.3</v>
      </c>
      <c r="D1734" s="565">
        <v>200</v>
      </c>
    </row>
    <row r="1735" spans="1:4" x14ac:dyDescent="0.2">
      <c r="A1735" s="397">
        <v>44795</v>
      </c>
      <c r="B1735" s="384">
        <f t="shared" si="23"/>
        <v>227907.61</v>
      </c>
      <c r="C1735" s="384">
        <v>227707.61</v>
      </c>
      <c r="D1735" s="565">
        <v>200</v>
      </c>
    </row>
    <row r="1736" spans="1:4" x14ac:dyDescent="0.2">
      <c r="A1736" s="397">
        <v>44796</v>
      </c>
      <c r="B1736" s="384">
        <f t="shared" si="23"/>
        <v>227907.61</v>
      </c>
      <c r="C1736" s="384">
        <f t="shared" si="25"/>
        <v>227707.61</v>
      </c>
      <c r="D1736" s="565">
        <v>200</v>
      </c>
    </row>
    <row r="1737" spans="1:4" x14ac:dyDescent="0.2">
      <c r="A1737" s="397">
        <v>44797</v>
      </c>
      <c r="B1737" s="384">
        <f t="shared" si="23"/>
        <v>250036.67</v>
      </c>
      <c r="C1737" s="384">
        <v>249836.67</v>
      </c>
      <c r="D1737" s="565">
        <v>200</v>
      </c>
    </row>
    <row r="1738" spans="1:4" x14ac:dyDescent="0.2">
      <c r="A1738" s="397">
        <v>44798</v>
      </c>
      <c r="B1738" s="384">
        <f t="shared" si="23"/>
        <v>255964.71</v>
      </c>
      <c r="C1738" s="384">
        <v>255764.71</v>
      </c>
      <c r="D1738" s="565">
        <v>200</v>
      </c>
    </row>
    <row r="1739" spans="1:4" x14ac:dyDescent="0.2">
      <c r="A1739" s="397">
        <v>44799</v>
      </c>
      <c r="B1739" s="384">
        <f t="shared" si="23"/>
        <v>315493.2</v>
      </c>
      <c r="C1739" s="384">
        <v>315293.2</v>
      </c>
      <c r="D1739" s="565">
        <v>200</v>
      </c>
    </row>
    <row r="1740" spans="1:4" x14ac:dyDescent="0.2">
      <c r="A1740" s="397">
        <v>44802</v>
      </c>
      <c r="B1740" s="384">
        <f t="shared" si="23"/>
        <v>315493.2</v>
      </c>
      <c r="C1740" s="384">
        <f t="shared" si="25"/>
        <v>315293.2</v>
      </c>
      <c r="D1740" s="565">
        <v>200</v>
      </c>
    </row>
    <row r="1741" spans="1:4" x14ac:dyDescent="0.2">
      <c r="A1741" s="397">
        <v>44803</v>
      </c>
      <c r="B1741" s="384">
        <f t="shared" si="23"/>
        <v>332334.94</v>
      </c>
      <c r="C1741" s="384">
        <v>332134.94</v>
      </c>
      <c r="D1741" s="565">
        <v>200</v>
      </c>
    </row>
    <row r="1742" spans="1:4" x14ac:dyDescent="0.2">
      <c r="A1742" s="397">
        <v>44804</v>
      </c>
      <c r="B1742" s="384">
        <f t="shared" si="23"/>
        <v>332334.94</v>
      </c>
      <c r="C1742" s="384">
        <f t="shared" si="25"/>
        <v>332134.94</v>
      </c>
      <c r="D1742" s="565">
        <v>200</v>
      </c>
    </row>
    <row r="1743" spans="1:4" x14ac:dyDescent="0.2">
      <c r="A1743" s="397">
        <v>44805</v>
      </c>
      <c r="B1743" s="384">
        <f t="shared" si="23"/>
        <v>370869.56</v>
      </c>
      <c r="C1743" s="384">
        <v>370669.56</v>
      </c>
      <c r="D1743" s="565">
        <v>200</v>
      </c>
    </row>
    <row r="1744" spans="1:4" x14ac:dyDescent="0.2">
      <c r="A1744" s="397">
        <v>44806</v>
      </c>
      <c r="B1744" s="384">
        <f t="shared" si="23"/>
        <v>370394.58</v>
      </c>
      <c r="C1744" s="384">
        <v>370194.58</v>
      </c>
      <c r="D1744" s="565">
        <v>200</v>
      </c>
    </row>
    <row r="1745" spans="1:4" x14ac:dyDescent="0.2">
      <c r="A1745" s="397">
        <v>44809</v>
      </c>
      <c r="B1745" s="384">
        <f t="shared" si="23"/>
        <v>370394.58</v>
      </c>
      <c r="C1745" s="384">
        <f t="shared" si="25"/>
        <v>370194.58</v>
      </c>
      <c r="D1745" s="565">
        <v>200</v>
      </c>
    </row>
    <row r="1746" spans="1:4" x14ac:dyDescent="0.2">
      <c r="A1746" s="397">
        <v>44810</v>
      </c>
      <c r="B1746" s="384">
        <f t="shared" si="23"/>
        <v>346842.59</v>
      </c>
      <c r="C1746" s="384">
        <v>346642.59</v>
      </c>
      <c r="D1746" s="565">
        <v>200</v>
      </c>
    </row>
    <row r="1747" spans="1:4" x14ac:dyDescent="0.2">
      <c r="A1747" s="397">
        <v>44811</v>
      </c>
      <c r="B1747" s="384">
        <f t="shared" si="23"/>
        <v>346842.59</v>
      </c>
      <c r="C1747" s="384">
        <f t="shared" si="25"/>
        <v>346642.59</v>
      </c>
      <c r="D1747" s="565">
        <v>200</v>
      </c>
    </row>
    <row r="1748" spans="1:4" x14ac:dyDescent="0.2">
      <c r="A1748" s="397">
        <v>44812</v>
      </c>
      <c r="B1748" s="384">
        <f t="shared" si="23"/>
        <v>346842.59</v>
      </c>
      <c r="C1748" s="384">
        <f t="shared" si="25"/>
        <v>346642.59</v>
      </c>
      <c r="D1748" s="565">
        <v>200</v>
      </c>
    </row>
    <row r="1749" spans="1:4" x14ac:dyDescent="0.2">
      <c r="A1749" s="397">
        <v>44813</v>
      </c>
      <c r="B1749" s="384">
        <f t="shared" si="23"/>
        <v>347076.59</v>
      </c>
      <c r="C1749" s="384">
        <v>346876.59</v>
      </c>
      <c r="D1749" s="565">
        <v>200</v>
      </c>
    </row>
    <row r="1750" spans="1:4" x14ac:dyDescent="0.2">
      <c r="A1750" s="397">
        <v>44816</v>
      </c>
      <c r="B1750" s="384">
        <f t="shared" si="23"/>
        <v>308665.48</v>
      </c>
      <c r="C1750" s="384">
        <v>308465.48</v>
      </c>
      <c r="D1750" s="565">
        <v>200</v>
      </c>
    </row>
    <row r="1751" spans="1:4" x14ac:dyDescent="0.2">
      <c r="A1751" s="397">
        <v>44817</v>
      </c>
      <c r="B1751" s="384">
        <f t="shared" si="23"/>
        <v>308665.48</v>
      </c>
      <c r="C1751" s="384">
        <f t="shared" si="25"/>
        <v>308465.48</v>
      </c>
      <c r="D1751" s="565">
        <v>200</v>
      </c>
    </row>
    <row r="1752" spans="1:4" x14ac:dyDescent="0.2">
      <c r="A1752" s="397">
        <v>44818</v>
      </c>
      <c r="B1752" s="384">
        <f t="shared" si="23"/>
        <v>320782.46999999997</v>
      </c>
      <c r="C1752" s="384">
        <v>320582.46999999997</v>
      </c>
      <c r="D1752" s="565">
        <v>200</v>
      </c>
    </row>
    <row r="1753" spans="1:4" x14ac:dyDescent="0.2">
      <c r="A1753" s="397">
        <v>44819</v>
      </c>
      <c r="B1753" s="384">
        <f t="shared" si="23"/>
        <v>317911.17</v>
      </c>
      <c r="C1753" s="384">
        <v>317711.17</v>
      </c>
      <c r="D1753" s="565">
        <v>200</v>
      </c>
    </row>
    <row r="1754" spans="1:4" x14ac:dyDescent="0.2">
      <c r="A1754" s="397">
        <v>44820</v>
      </c>
      <c r="B1754" s="384">
        <f t="shared" si="23"/>
        <v>317436.19</v>
      </c>
      <c r="C1754" s="384">
        <v>317236.19</v>
      </c>
      <c r="D1754" s="565">
        <v>200</v>
      </c>
    </row>
    <row r="1755" spans="1:4" x14ac:dyDescent="0.2">
      <c r="A1755" s="397">
        <v>44823</v>
      </c>
      <c r="B1755" s="384">
        <f t="shared" si="23"/>
        <v>317436.19</v>
      </c>
      <c r="C1755" s="384">
        <f t="shared" si="25"/>
        <v>317236.19</v>
      </c>
      <c r="D1755" s="565">
        <v>200</v>
      </c>
    </row>
    <row r="1756" spans="1:4" x14ac:dyDescent="0.2">
      <c r="A1756" s="397">
        <v>44824</v>
      </c>
      <c r="B1756" s="384">
        <f t="shared" si="23"/>
        <v>428386.24</v>
      </c>
      <c r="C1756" s="384">
        <v>428186.24</v>
      </c>
      <c r="D1756" s="565">
        <v>200</v>
      </c>
    </row>
    <row r="1757" spans="1:4" x14ac:dyDescent="0.2">
      <c r="A1757" s="397">
        <v>44825</v>
      </c>
      <c r="B1757" s="384">
        <f t="shared" si="23"/>
        <v>428386.24</v>
      </c>
      <c r="C1757" s="384">
        <f t="shared" si="25"/>
        <v>428186.24</v>
      </c>
      <c r="D1757" s="565">
        <v>200</v>
      </c>
    </row>
    <row r="1758" spans="1:4" x14ac:dyDescent="0.2">
      <c r="A1758" s="397">
        <v>44826</v>
      </c>
      <c r="B1758" s="384">
        <f t="shared" si="23"/>
        <v>425851.86</v>
      </c>
      <c r="C1758" s="384">
        <v>425651.86</v>
      </c>
      <c r="D1758" s="565">
        <v>200</v>
      </c>
    </row>
    <row r="1759" spans="1:4" x14ac:dyDescent="0.2">
      <c r="A1759" s="397">
        <v>44827</v>
      </c>
      <c r="B1759" s="384">
        <f t="shared" si="23"/>
        <v>453679.91</v>
      </c>
      <c r="C1759" s="384">
        <v>453479.91</v>
      </c>
      <c r="D1759" s="565">
        <v>200</v>
      </c>
    </row>
    <row r="1760" spans="1:4" x14ac:dyDescent="0.2">
      <c r="A1760" s="397">
        <v>44830</v>
      </c>
      <c r="B1760" s="384">
        <f t="shared" si="23"/>
        <v>412431.05</v>
      </c>
      <c r="C1760" s="384">
        <v>412231.05</v>
      </c>
      <c r="D1760" s="565">
        <v>200</v>
      </c>
    </row>
    <row r="1761" spans="1:4" x14ac:dyDescent="0.2">
      <c r="A1761" s="397">
        <v>44831</v>
      </c>
      <c r="B1761" s="384">
        <f t="shared" si="23"/>
        <v>412402.21</v>
      </c>
      <c r="C1761" s="384">
        <v>412202.21</v>
      </c>
      <c r="D1761" s="565">
        <v>200</v>
      </c>
    </row>
    <row r="1762" spans="1:4" x14ac:dyDescent="0.2">
      <c r="A1762" s="397">
        <v>44832</v>
      </c>
      <c r="B1762" s="384">
        <f t="shared" si="23"/>
        <v>417372.63</v>
      </c>
      <c r="C1762" s="384">
        <v>417172.63</v>
      </c>
      <c r="D1762" s="565">
        <v>200</v>
      </c>
    </row>
    <row r="1763" spans="1:4" x14ac:dyDescent="0.2">
      <c r="A1763" s="397">
        <v>44833</v>
      </c>
      <c r="B1763" s="384">
        <f t="shared" si="23"/>
        <v>415449.23</v>
      </c>
      <c r="C1763" s="384">
        <v>415249.23</v>
      </c>
      <c r="D1763" s="565">
        <v>200</v>
      </c>
    </row>
    <row r="1764" spans="1:4" x14ac:dyDescent="0.2">
      <c r="A1764" s="397">
        <v>44834</v>
      </c>
      <c r="B1764" s="384">
        <f t="shared" si="23"/>
        <v>435708</v>
      </c>
      <c r="C1764" s="384">
        <v>435508</v>
      </c>
      <c r="D1764" s="565">
        <v>200</v>
      </c>
    </row>
    <row r="1765" spans="1:4" x14ac:dyDescent="0.2">
      <c r="A1765" s="397">
        <v>44835</v>
      </c>
      <c r="B1765" s="384">
        <f t="shared" si="23"/>
        <v>435708</v>
      </c>
      <c r="C1765" s="384">
        <f t="shared" si="25"/>
        <v>435508</v>
      </c>
      <c r="D1765" s="565">
        <v>200</v>
      </c>
    </row>
    <row r="1766" spans="1:4" x14ac:dyDescent="0.2">
      <c r="A1766" s="397">
        <v>44836</v>
      </c>
      <c r="B1766" s="384">
        <f t="shared" si="23"/>
        <v>435708</v>
      </c>
      <c r="C1766" s="384">
        <f t="shared" si="25"/>
        <v>435508</v>
      </c>
      <c r="D1766" s="565">
        <v>200</v>
      </c>
    </row>
    <row r="1767" spans="1:4" x14ac:dyDescent="0.2">
      <c r="A1767" s="397">
        <v>44837</v>
      </c>
      <c r="B1767" s="384">
        <f t="shared" si="23"/>
        <v>435708</v>
      </c>
      <c r="C1767" s="384">
        <f t="shared" si="25"/>
        <v>435508</v>
      </c>
      <c r="D1767" s="565">
        <v>200</v>
      </c>
    </row>
    <row r="1768" spans="1:4" x14ac:dyDescent="0.2">
      <c r="A1768" s="397">
        <v>44838</v>
      </c>
      <c r="B1768" s="384">
        <f t="shared" si="23"/>
        <v>435708</v>
      </c>
      <c r="C1768" s="384">
        <f t="shared" si="25"/>
        <v>435508</v>
      </c>
      <c r="D1768" s="565">
        <v>200</v>
      </c>
    </row>
    <row r="1769" spans="1:4" x14ac:dyDescent="0.2">
      <c r="A1769" s="397">
        <v>44839</v>
      </c>
      <c r="B1769" s="384">
        <f t="shared" si="23"/>
        <v>436040</v>
      </c>
      <c r="C1769" s="384">
        <v>435840</v>
      </c>
      <c r="D1769" s="565">
        <v>200</v>
      </c>
    </row>
    <row r="1770" spans="1:4" x14ac:dyDescent="0.2">
      <c r="A1770" s="397">
        <v>44840</v>
      </c>
      <c r="B1770" s="384">
        <f t="shared" si="23"/>
        <v>427559.36</v>
      </c>
      <c r="C1770" s="384">
        <v>427359.36</v>
      </c>
      <c r="D1770" s="565">
        <v>200</v>
      </c>
    </row>
    <row r="1771" spans="1:4" x14ac:dyDescent="0.2">
      <c r="A1771" s="397">
        <v>44841</v>
      </c>
      <c r="B1771" s="384">
        <f t="shared" si="23"/>
        <v>427559.36</v>
      </c>
      <c r="C1771" s="384">
        <f t="shared" si="25"/>
        <v>427359.36</v>
      </c>
      <c r="D1771" s="565">
        <v>200</v>
      </c>
    </row>
    <row r="1772" spans="1:4" x14ac:dyDescent="0.2">
      <c r="A1772" s="397">
        <v>44844</v>
      </c>
      <c r="B1772" s="384">
        <f t="shared" si="23"/>
        <v>427559.36</v>
      </c>
      <c r="C1772" s="384">
        <f t="shared" si="25"/>
        <v>427359.36</v>
      </c>
      <c r="D1772" s="565">
        <v>200</v>
      </c>
    </row>
    <row r="1773" spans="1:4" x14ac:dyDescent="0.2">
      <c r="A1773" s="397">
        <v>44845</v>
      </c>
      <c r="B1773" s="384">
        <f t="shared" si="23"/>
        <v>388161.54</v>
      </c>
      <c r="C1773" s="384">
        <v>387961.54</v>
      </c>
      <c r="D1773" s="565">
        <v>200</v>
      </c>
    </row>
    <row r="1774" spans="1:4" x14ac:dyDescent="0.2">
      <c r="A1774" s="397">
        <v>44846</v>
      </c>
      <c r="B1774" s="384">
        <f t="shared" si="23"/>
        <v>388161.54</v>
      </c>
      <c r="C1774" s="384">
        <f t="shared" si="25"/>
        <v>387961.54</v>
      </c>
      <c r="D1774" s="565">
        <v>200</v>
      </c>
    </row>
    <row r="1775" spans="1:4" x14ac:dyDescent="0.2">
      <c r="A1775" s="397">
        <v>44847</v>
      </c>
      <c r="B1775" s="384">
        <f t="shared" si="23"/>
        <v>381514.53</v>
      </c>
      <c r="C1775" s="384">
        <v>381314.53</v>
      </c>
      <c r="D1775" s="565">
        <v>200</v>
      </c>
    </row>
    <row r="1776" spans="1:4" x14ac:dyDescent="0.2">
      <c r="A1776" s="397">
        <v>44848</v>
      </c>
      <c r="B1776" s="384">
        <f t="shared" si="23"/>
        <v>389507.01</v>
      </c>
      <c r="C1776" s="384">
        <v>389307.01</v>
      </c>
      <c r="D1776" s="565">
        <v>200</v>
      </c>
    </row>
    <row r="1777" spans="1:4" x14ac:dyDescent="0.2">
      <c r="A1777" s="397">
        <v>44849</v>
      </c>
      <c r="B1777" s="384">
        <f t="shared" si="23"/>
        <v>389507.01</v>
      </c>
      <c r="C1777" s="384">
        <f t="shared" ref="C1777:C1840" si="26">C1776</f>
        <v>389307.01</v>
      </c>
      <c r="D1777" s="565">
        <v>200</v>
      </c>
    </row>
    <row r="1778" spans="1:4" x14ac:dyDescent="0.2">
      <c r="A1778" s="397">
        <v>44850</v>
      </c>
      <c r="B1778" s="384">
        <f t="shared" si="23"/>
        <v>389507.01</v>
      </c>
      <c r="C1778" s="384">
        <f t="shared" si="26"/>
        <v>389307.01</v>
      </c>
      <c r="D1778" s="565">
        <v>200</v>
      </c>
    </row>
    <row r="1779" spans="1:4" x14ac:dyDescent="0.2">
      <c r="A1779" s="397">
        <v>44851</v>
      </c>
      <c r="B1779" s="384">
        <f t="shared" si="23"/>
        <v>414035.71</v>
      </c>
      <c r="C1779" s="384">
        <v>413835.71</v>
      </c>
      <c r="D1779" s="565">
        <v>200</v>
      </c>
    </row>
    <row r="1780" spans="1:4" x14ac:dyDescent="0.2">
      <c r="A1780" s="397">
        <v>44852</v>
      </c>
      <c r="B1780" s="384">
        <f t="shared" si="23"/>
        <v>413985.71</v>
      </c>
      <c r="C1780" s="384">
        <v>413785.71</v>
      </c>
      <c r="D1780" s="565">
        <v>200</v>
      </c>
    </row>
    <row r="1781" spans="1:4" x14ac:dyDescent="0.2">
      <c r="A1781" s="397">
        <v>44853</v>
      </c>
      <c r="B1781" s="384">
        <f t="shared" si="23"/>
        <v>413985.71</v>
      </c>
      <c r="C1781" s="384">
        <f t="shared" si="26"/>
        <v>413785.71</v>
      </c>
      <c r="D1781" s="565">
        <v>200</v>
      </c>
    </row>
    <row r="1782" spans="1:4" x14ac:dyDescent="0.2">
      <c r="A1782" s="397">
        <v>44854</v>
      </c>
      <c r="B1782" s="384">
        <f t="shared" si="23"/>
        <v>411319.14</v>
      </c>
      <c r="C1782" s="384">
        <v>411119.14</v>
      </c>
      <c r="D1782" s="565">
        <v>200</v>
      </c>
    </row>
    <row r="1783" spans="1:4" x14ac:dyDescent="0.2">
      <c r="A1783" s="397">
        <v>44855</v>
      </c>
      <c r="B1783" s="384">
        <f t="shared" si="23"/>
        <v>411160.29</v>
      </c>
      <c r="C1783" s="384">
        <v>410960.29</v>
      </c>
      <c r="D1783" s="565">
        <v>200</v>
      </c>
    </row>
    <row r="1784" spans="1:4" x14ac:dyDescent="0.2">
      <c r="A1784" s="397">
        <v>44856</v>
      </c>
      <c r="B1784" s="384">
        <f t="shared" si="23"/>
        <v>411160.29</v>
      </c>
      <c r="C1784" s="384">
        <f t="shared" si="26"/>
        <v>410960.29</v>
      </c>
      <c r="D1784" s="565">
        <v>200</v>
      </c>
    </row>
    <row r="1785" spans="1:4" x14ac:dyDescent="0.2">
      <c r="A1785" s="397">
        <v>44857</v>
      </c>
      <c r="B1785" s="384">
        <f t="shared" si="23"/>
        <v>411160.29</v>
      </c>
      <c r="C1785" s="384">
        <f t="shared" si="26"/>
        <v>410960.29</v>
      </c>
      <c r="D1785" s="565">
        <v>200</v>
      </c>
    </row>
    <row r="1786" spans="1:4" x14ac:dyDescent="0.2">
      <c r="A1786" s="397">
        <v>44858</v>
      </c>
      <c r="B1786" s="384">
        <f t="shared" si="23"/>
        <v>372476.51</v>
      </c>
      <c r="C1786" s="384">
        <v>372276.51</v>
      </c>
      <c r="D1786" s="565">
        <v>200</v>
      </c>
    </row>
    <row r="1787" spans="1:4" x14ac:dyDescent="0.2">
      <c r="A1787" s="397">
        <v>44859</v>
      </c>
      <c r="B1787" s="384">
        <f t="shared" si="23"/>
        <v>376660.01</v>
      </c>
      <c r="C1787" s="384">
        <v>376460.01</v>
      </c>
      <c r="D1787" s="565">
        <v>200</v>
      </c>
    </row>
    <row r="1788" spans="1:4" x14ac:dyDescent="0.2">
      <c r="A1788" s="397">
        <v>44860</v>
      </c>
      <c r="B1788" s="384">
        <f t="shared" si="23"/>
        <v>397613.66</v>
      </c>
      <c r="C1788" s="384">
        <v>397413.66</v>
      </c>
      <c r="D1788" s="565">
        <v>200</v>
      </c>
    </row>
    <row r="1789" spans="1:4" x14ac:dyDescent="0.2">
      <c r="A1789" s="397">
        <v>44861</v>
      </c>
      <c r="B1789" s="384">
        <f t="shared" si="23"/>
        <v>387878.55</v>
      </c>
      <c r="C1789" s="384">
        <v>387678.55</v>
      </c>
      <c r="D1789" s="565">
        <v>200</v>
      </c>
    </row>
    <row r="1790" spans="1:4" x14ac:dyDescent="0.2">
      <c r="A1790" s="397">
        <v>44862</v>
      </c>
      <c r="B1790" s="384">
        <f t="shared" si="23"/>
        <v>387403.57</v>
      </c>
      <c r="C1790" s="384">
        <v>387203.57</v>
      </c>
      <c r="D1790" s="565">
        <v>200</v>
      </c>
    </row>
    <row r="1791" spans="1:4" x14ac:dyDescent="0.2">
      <c r="A1791" s="397">
        <v>44863</v>
      </c>
      <c r="B1791" s="384">
        <f t="shared" si="23"/>
        <v>387403.57</v>
      </c>
      <c r="C1791" s="384">
        <f t="shared" si="26"/>
        <v>387203.57</v>
      </c>
      <c r="D1791" s="565">
        <v>200</v>
      </c>
    </row>
    <row r="1792" spans="1:4" x14ac:dyDescent="0.2">
      <c r="A1792" s="397">
        <v>44864</v>
      </c>
      <c r="B1792" s="384">
        <f t="shared" si="23"/>
        <v>387403.57</v>
      </c>
      <c r="C1792" s="384">
        <f t="shared" si="26"/>
        <v>387203.57</v>
      </c>
      <c r="D1792" s="565">
        <v>200</v>
      </c>
    </row>
    <row r="1793" spans="1:4" x14ac:dyDescent="0.2">
      <c r="A1793" s="397">
        <v>44865</v>
      </c>
      <c r="B1793" s="384">
        <f t="shared" si="23"/>
        <v>417270.82</v>
      </c>
      <c r="C1793" s="384">
        <v>417070.82</v>
      </c>
      <c r="D1793" s="565">
        <v>200</v>
      </c>
    </row>
    <row r="1794" spans="1:4" x14ac:dyDescent="0.2">
      <c r="A1794" s="397">
        <v>44866</v>
      </c>
      <c r="B1794" s="384">
        <f t="shared" si="23"/>
        <v>417270.82</v>
      </c>
      <c r="C1794" s="384">
        <f t="shared" si="26"/>
        <v>417070.82</v>
      </c>
      <c r="D1794" s="565">
        <v>200</v>
      </c>
    </row>
    <row r="1795" spans="1:4" x14ac:dyDescent="0.2">
      <c r="A1795" s="397">
        <v>44867</v>
      </c>
      <c r="B1795" s="384">
        <f t="shared" si="23"/>
        <v>417270.82</v>
      </c>
      <c r="C1795" s="384">
        <f t="shared" si="26"/>
        <v>417070.82</v>
      </c>
      <c r="D1795" s="565">
        <v>200</v>
      </c>
    </row>
    <row r="1796" spans="1:4" x14ac:dyDescent="0.2">
      <c r="A1796" s="397">
        <v>44868</v>
      </c>
      <c r="B1796" s="384">
        <f t="shared" si="23"/>
        <v>411865.95</v>
      </c>
      <c r="C1796" s="384">
        <v>411665.95</v>
      </c>
      <c r="D1796" s="565">
        <v>200</v>
      </c>
    </row>
    <row r="1797" spans="1:4" x14ac:dyDescent="0.2">
      <c r="A1797" s="397">
        <v>44869</v>
      </c>
      <c r="B1797" s="384">
        <f t="shared" si="23"/>
        <v>411865.95</v>
      </c>
      <c r="C1797" s="384">
        <f t="shared" si="26"/>
        <v>411665.95</v>
      </c>
      <c r="D1797" s="565">
        <v>200</v>
      </c>
    </row>
    <row r="1798" spans="1:4" x14ac:dyDescent="0.2">
      <c r="A1798" s="397">
        <v>44870</v>
      </c>
      <c r="B1798" s="384">
        <f t="shared" si="23"/>
        <v>411865.95</v>
      </c>
      <c r="C1798" s="384">
        <f t="shared" si="26"/>
        <v>411665.95</v>
      </c>
      <c r="D1798" s="565">
        <v>200</v>
      </c>
    </row>
    <row r="1799" spans="1:4" x14ac:dyDescent="0.2">
      <c r="A1799" s="397">
        <v>44871</v>
      </c>
      <c r="B1799" s="384">
        <f t="shared" si="23"/>
        <v>411865.95</v>
      </c>
      <c r="C1799" s="384">
        <f t="shared" si="26"/>
        <v>411665.95</v>
      </c>
      <c r="D1799" s="565">
        <v>200</v>
      </c>
    </row>
    <row r="1800" spans="1:4" x14ac:dyDescent="0.2">
      <c r="A1800" s="397">
        <v>44872</v>
      </c>
      <c r="B1800" s="384">
        <f t="shared" si="23"/>
        <v>368529.24</v>
      </c>
      <c r="C1800" s="384">
        <v>368329.24</v>
      </c>
      <c r="D1800" s="565">
        <v>200</v>
      </c>
    </row>
    <row r="1801" spans="1:4" x14ac:dyDescent="0.2">
      <c r="A1801" s="397">
        <v>44873</v>
      </c>
      <c r="B1801" s="384">
        <f t="shared" si="23"/>
        <v>369146.24</v>
      </c>
      <c r="C1801" s="384">
        <v>368946.24</v>
      </c>
      <c r="D1801" s="565">
        <v>200</v>
      </c>
    </row>
    <row r="1802" spans="1:4" x14ac:dyDescent="0.2">
      <c r="A1802" s="397">
        <v>44874</v>
      </c>
      <c r="B1802" s="384">
        <f t="shared" ref="B1802:B1865" si="27">C1802+D1802</f>
        <v>369146.24</v>
      </c>
      <c r="C1802" s="384">
        <f t="shared" si="26"/>
        <v>368946.24</v>
      </c>
      <c r="D1802" s="565">
        <v>200</v>
      </c>
    </row>
    <row r="1803" spans="1:4" x14ac:dyDescent="0.2">
      <c r="A1803" s="397">
        <v>44875</v>
      </c>
      <c r="B1803" s="384">
        <f t="shared" si="27"/>
        <v>423875.79</v>
      </c>
      <c r="C1803" s="384">
        <v>423675.79</v>
      </c>
      <c r="D1803" s="565">
        <v>200</v>
      </c>
    </row>
    <row r="1804" spans="1:4" x14ac:dyDescent="0.2">
      <c r="A1804" s="397">
        <v>44876</v>
      </c>
      <c r="B1804" s="384">
        <f t="shared" si="27"/>
        <v>423875.79</v>
      </c>
      <c r="C1804" s="384">
        <f t="shared" si="26"/>
        <v>423675.79</v>
      </c>
      <c r="D1804" s="565">
        <v>200</v>
      </c>
    </row>
    <row r="1805" spans="1:4" x14ac:dyDescent="0.2">
      <c r="A1805" s="397">
        <v>44879</v>
      </c>
      <c r="B1805" s="384">
        <f t="shared" si="27"/>
        <v>423400.81</v>
      </c>
      <c r="C1805" s="384">
        <v>423200.81</v>
      </c>
      <c r="D1805" s="565">
        <v>200</v>
      </c>
    </row>
    <row r="1806" spans="1:4" x14ac:dyDescent="0.2">
      <c r="A1806" s="397">
        <v>44880</v>
      </c>
      <c r="B1806" s="384">
        <f t="shared" si="27"/>
        <v>423210.99</v>
      </c>
      <c r="C1806" s="384">
        <v>423010.99</v>
      </c>
      <c r="D1806" s="565">
        <v>200</v>
      </c>
    </row>
    <row r="1807" spans="1:4" x14ac:dyDescent="0.2">
      <c r="A1807" s="397">
        <v>44881</v>
      </c>
      <c r="B1807" s="384">
        <f t="shared" si="27"/>
        <v>473210.99</v>
      </c>
      <c r="C1807" s="384">
        <v>473010.99</v>
      </c>
      <c r="D1807" s="565">
        <v>200</v>
      </c>
    </row>
    <row r="1808" spans="1:4" x14ac:dyDescent="0.2">
      <c r="A1808" s="397">
        <v>44882</v>
      </c>
      <c r="B1808" s="384">
        <f t="shared" si="27"/>
        <v>470084.64</v>
      </c>
      <c r="C1808" s="384">
        <v>469884.64</v>
      </c>
      <c r="D1808" s="565">
        <v>200</v>
      </c>
    </row>
    <row r="1809" spans="1:4" x14ac:dyDescent="0.2">
      <c r="A1809" s="397">
        <v>44883</v>
      </c>
      <c r="B1809" s="384">
        <f t="shared" si="27"/>
        <v>470084.64</v>
      </c>
      <c r="C1809" s="384">
        <f t="shared" si="26"/>
        <v>469884.64</v>
      </c>
      <c r="D1809" s="565">
        <v>200</v>
      </c>
    </row>
    <row r="1810" spans="1:4" x14ac:dyDescent="0.2">
      <c r="A1810" s="397">
        <v>44886</v>
      </c>
      <c r="B1810" s="384">
        <f t="shared" si="27"/>
        <v>424767.46</v>
      </c>
      <c r="C1810" s="384">
        <v>424567.46</v>
      </c>
      <c r="D1810" s="565">
        <v>200</v>
      </c>
    </row>
    <row r="1811" spans="1:4" x14ac:dyDescent="0.2">
      <c r="A1811" s="397">
        <v>44887</v>
      </c>
      <c r="B1811" s="384">
        <f t="shared" si="27"/>
        <v>424767.46</v>
      </c>
      <c r="C1811" s="384">
        <f t="shared" si="26"/>
        <v>424567.46</v>
      </c>
      <c r="D1811" s="565">
        <v>200</v>
      </c>
    </row>
    <row r="1812" spans="1:4" x14ac:dyDescent="0.2">
      <c r="A1812" s="397">
        <v>44888</v>
      </c>
      <c r="B1812" s="384">
        <f t="shared" si="27"/>
        <v>424767.46</v>
      </c>
      <c r="C1812" s="384">
        <f t="shared" si="26"/>
        <v>424567.46</v>
      </c>
      <c r="D1812" s="565">
        <v>200</v>
      </c>
    </row>
    <row r="1813" spans="1:4" x14ac:dyDescent="0.2">
      <c r="A1813" s="397">
        <v>44889</v>
      </c>
      <c r="B1813" s="384">
        <f t="shared" si="27"/>
        <v>424767.46</v>
      </c>
      <c r="C1813" s="384">
        <f t="shared" si="26"/>
        <v>424567.46</v>
      </c>
      <c r="D1813" s="565">
        <v>200</v>
      </c>
    </row>
    <row r="1814" spans="1:4" x14ac:dyDescent="0.2">
      <c r="A1814" s="397">
        <v>44890</v>
      </c>
      <c r="B1814" s="384">
        <f t="shared" si="27"/>
        <v>442650.11</v>
      </c>
      <c r="C1814" s="384">
        <v>442450.11</v>
      </c>
      <c r="D1814" s="565">
        <v>200</v>
      </c>
    </row>
    <row r="1815" spans="1:4" x14ac:dyDescent="0.2">
      <c r="A1815" s="397">
        <v>44893</v>
      </c>
      <c r="B1815" s="384">
        <f t="shared" si="27"/>
        <v>442518.27</v>
      </c>
      <c r="C1815" s="384">
        <v>442318.27</v>
      </c>
      <c r="D1815" s="565">
        <v>200</v>
      </c>
    </row>
    <row r="1816" spans="1:4" x14ac:dyDescent="0.2">
      <c r="A1816" s="397">
        <v>44894</v>
      </c>
      <c r="B1816" s="384">
        <f t="shared" si="27"/>
        <v>442518.27</v>
      </c>
      <c r="C1816" s="384">
        <f t="shared" si="26"/>
        <v>442318.27</v>
      </c>
      <c r="D1816" s="565">
        <v>200</v>
      </c>
    </row>
    <row r="1817" spans="1:4" x14ac:dyDescent="0.2">
      <c r="A1817" s="397">
        <v>44895</v>
      </c>
      <c r="B1817" s="384">
        <f t="shared" si="27"/>
        <v>442518.27</v>
      </c>
      <c r="C1817" s="384">
        <f t="shared" si="26"/>
        <v>442318.27</v>
      </c>
      <c r="D1817" s="565">
        <v>200</v>
      </c>
    </row>
    <row r="1818" spans="1:4" x14ac:dyDescent="0.2">
      <c r="A1818" s="397">
        <v>44896</v>
      </c>
      <c r="B1818" s="384">
        <f t="shared" si="27"/>
        <v>442518.27</v>
      </c>
      <c r="C1818" s="384">
        <f t="shared" si="26"/>
        <v>442318.27</v>
      </c>
      <c r="D1818" s="565">
        <v>200</v>
      </c>
    </row>
    <row r="1819" spans="1:4" x14ac:dyDescent="0.2">
      <c r="A1819" s="397">
        <v>44897</v>
      </c>
      <c r="B1819" s="384">
        <f t="shared" si="27"/>
        <v>420942.38</v>
      </c>
      <c r="C1819" s="384">
        <v>420742.38</v>
      </c>
      <c r="D1819" s="565">
        <v>200</v>
      </c>
    </row>
    <row r="1820" spans="1:4" x14ac:dyDescent="0.2">
      <c r="A1820" s="397">
        <v>44900</v>
      </c>
      <c r="B1820" s="384">
        <f t="shared" si="27"/>
        <v>379216.39</v>
      </c>
      <c r="C1820" s="384">
        <v>379016.39</v>
      </c>
      <c r="D1820" s="565">
        <v>200</v>
      </c>
    </row>
    <row r="1821" spans="1:4" x14ac:dyDescent="0.2">
      <c r="A1821" s="397">
        <v>44901</v>
      </c>
      <c r="B1821" s="384">
        <f t="shared" si="27"/>
        <v>379216.39</v>
      </c>
      <c r="C1821" s="384">
        <f t="shared" si="26"/>
        <v>379016.39</v>
      </c>
      <c r="D1821" s="565">
        <v>200</v>
      </c>
    </row>
    <row r="1822" spans="1:4" x14ac:dyDescent="0.2">
      <c r="A1822" s="397">
        <v>44902</v>
      </c>
      <c r="B1822" s="384">
        <f t="shared" si="27"/>
        <v>379216.39</v>
      </c>
      <c r="C1822" s="384">
        <f t="shared" si="26"/>
        <v>379016.39</v>
      </c>
      <c r="D1822" s="565">
        <v>200</v>
      </c>
    </row>
    <row r="1823" spans="1:4" x14ac:dyDescent="0.2">
      <c r="A1823" s="397">
        <v>44903</v>
      </c>
      <c r="B1823" s="384">
        <f t="shared" si="27"/>
        <v>379216.39</v>
      </c>
      <c r="C1823" s="384">
        <f t="shared" si="26"/>
        <v>379016.39</v>
      </c>
      <c r="D1823" s="565">
        <v>200</v>
      </c>
    </row>
    <row r="1824" spans="1:4" x14ac:dyDescent="0.2">
      <c r="A1824" s="397">
        <v>44904</v>
      </c>
      <c r="B1824" s="384">
        <f t="shared" si="27"/>
        <v>383318.34</v>
      </c>
      <c r="C1824" s="384">
        <v>383118.34</v>
      </c>
      <c r="D1824" s="565">
        <v>200</v>
      </c>
    </row>
    <row r="1825" spans="1:4" x14ac:dyDescent="0.2">
      <c r="A1825" s="397">
        <v>44907</v>
      </c>
      <c r="B1825" s="384">
        <f t="shared" si="27"/>
        <v>383318.34</v>
      </c>
      <c r="C1825" s="384">
        <f t="shared" si="26"/>
        <v>383118.34</v>
      </c>
      <c r="D1825" s="565">
        <v>200</v>
      </c>
    </row>
    <row r="1826" spans="1:4" x14ac:dyDescent="0.2">
      <c r="A1826" s="397">
        <v>44908</v>
      </c>
      <c r="B1826" s="384">
        <f t="shared" si="27"/>
        <v>383318.34</v>
      </c>
      <c r="C1826" s="384">
        <f t="shared" si="26"/>
        <v>383118.34</v>
      </c>
      <c r="D1826" s="565">
        <v>200</v>
      </c>
    </row>
    <row r="1827" spans="1:4" x14ac:dyDescent="0.2">
      <c r="A1827" s="397">
        <v>44909</v>
      </c>
      <c r="B1827" s="384">
        <f t="shared" si="27"/>
        <v>378306.47</v>
      </c>
      <c r="C1827" s="384">
        <v>378106.47</v>
      </c>
      <c r="D1827" s="565">
        <v>200</v>
      </c>
    </row>
    <row r="1828" spans="1:4" x14ac:dyDescent="0.2">
      <c r="A1828" s="397">
        <v>44910</v>
      </c>
      <c r="B1828" s="384">
        <f t="shared" si="27"/>
        <v>385097.98</v>
      </c>
      <c r="C1828" s="384">
        <v>384897.98</v>
      </c>
      <c r="D1828" s="565">
        <v>200</v>
      </c>
    </row>
    <row r="1829" spans="1:4" x14ac:dyDescent="0.2">
      <c r="A1829" s="397">
        <v>44911</v>
      </c>
      <c r="B1829" s="384">
        <f t="shared" si="27"/>
        <v>385399.2</v>
      </c>
      <c r="C1829" s="384">
        <v>385199.2</v>
      </c>
      <c r="D1829" s="565">
        <v>200</v>
      </c>
    </row>
    <row r="1830" spans="1:4" x14ac:dyDescent="0.2">
      <c r="A1830" s="397">
        <v>44914</v>
      </c>
      <c r="B1830" s="384">
        <f t="shared" si="27"/>
        <v>385399.2</v>
      </c>
      <c r="C1830" s="384">
        <f t="shared" si="26"/>
        <v>385199.2</v>
      </c>
      <c r="D1830" s="565">
        <v>200</v>
      </c>
    </row>
    <row r="1831" spans="1:4" x14ac:dyDescent="0.2">
      <c r="A1831" s="397">
        <v>44915</v>
      </c>
      <c r="B1831" s="384">
        <f t="shared" si="27"/>
        <v>343338.22</v>
      </c>
      <c r="C1831" s="384">
        <v>343138.22</v>
      </c>
      <c r="D1831" s="565">
        <v>200</v>
      </c>
    </row>
    <row r="1832" spans="1:4" x14ac:dyDescent="0.2">
      <c r="A1832" s="397">
        <v>44916</v>
      </c>
      <c r="B1832" s="384">
        <f t="shared" si="27"/>
        <v>339355.16</v>
      </c>
      <c r="C1832" s="384">
        <v>339155.16</v>
      </c>
      <c r="D1832" s="565">
        <v>200</v>
      </c>
    </row>
    <row r="1833" spans="1:4" x14ac:dyDescent="0.2">
      <c r="A1833" s="397">
        <v>44917</v>
      </c>
      <c r="B1833" s="384">
        <f t="shared" si="27"/>
        <v>346945.63</v>
      </c>
      <c r="C1833" s="384">
        <v>346745.63</v>
      </c>
      <c r="D1833" s="565">
        <v>200</v>
      </c>
    </row>
    <row r="1834" spans="1:4" x14ac:dyDescent="0.2">
      <c r="A1834" s="397">
        <v>44918</v>
      </c>
      <c r="B1834" s="384">
        <f t="shared" si="27"/>
        <v>346470.13</v>
      </c>
      <c r="C1834" s="384">
        <v>346270.13</v>
      </c>
      <c r="D1834" s="565">
        <v>200</v>
      </c>
    </row>
    <row r="1835" spans="1:4" x14ac:dyDescent="0.2">
      <c r="A1835" s="397">
        <v>44921</v>
      </c>
      <c r="B1835" s="384">
        <f t="shared" si="27"/>
        <v>346470.13</v>
      </c>
      <c r="C1835" s="384">
        <f t="shared" si="26"/>
        <v>346270.13</v>
      </c>
      <c r="D1835" s="565">
        <v>200</v>
      </c>
    </row>
    <row r="1836" spans="1:4" x14ac:dyDescent="0.2">
      <c r="A1836" s="397">
        <v>44922</v>
      </c>
      <c r="B1836" s="384">
        <f t="shared" si="27"/>
        <v>346470.13</v>
      </c>
      <c r="C1836" s="384">
        <f t="shared" si="26"/>
        <v>346270.13</v>
      </c>
      <c r="D1836" s="565">
        <v>200</v>
      </c>
    </row>
    <row r="1837" spans="1:4" x14ac:dyDescent="0.2">
      <c r="A1837" s="397">
        <v>44923</v>
      </c>
      <c r="B1837" s="384">
        <f t="shared" si="27"/>
        <v>432503.36</v>
      </c>
      <c r="C1837" s="384">
        <v>432303.35999999999</v>
      </c>
      <c r="D1837" s="565">
        <v>200</v>
      </c>
    </row>
    <row r="1838" spans="1:4" x14ac:dyDescent="0.2">
      <c r="A1838" s="397">
        <v>44924</v>
      </c>
      <c r="B1838" s="384">
        <f t="shared" si="27"/>
        <v>432600.88</v>
      </c>
      <c r="C1838" s="384">
        <v>432400.88</v>
      </c>
      <c r="D1838" s="565">
        <v>200</v>
      </c>
    </row>
    <row r="1839" spans="1:4" x14ac:dyDescent="0.2">
      <c r="A1839" s="397">
        <v>44925</v>
      </c>
      <c r="B1839" s="425">
        <f t="shared" si="27"/>
        <v>432698.4</v>
      </c>
      <c r="C1839" s="384">
        <v>432498.4</v>
      </c>
      <c r="D1839" s="565">
        <v>200</v>
      </c>
    </row>
    <row r="1840" spans="1:4" x14ac:dyDescent="0.2">
      <c r="A1840" s="397">
        <v>44928</v>
      </c>
      <c r="B1840" s="384">
        <f t="shared" si="27"/>
        <v>432698.4</v>
      </c>
      <c r="C1840" s="384">
        <f t="shared" si="26"/>
        <v>432498.4</v>
      </c>
      <c r="D1840" s="565">
        <v>200</v>
      </c>
    </row>
    <row r="1841" spans="1:4" x14ac:dyDescent="0.2">
      <c r="A1841" s="397">
        <v>44929</v>
      </c>
      <c r="B1841" s="384">
        <f t="shared" si="27"/>
        <v>432648.4</v>
      </c>
      <c r="C1841" s="384">
        <v>432448.4</v>
      </c>
      <c r="D1841" s="565">
        <v>200</v>
      </c>
    </row>
    <row r="1842" spans="1:4" x14ac:dyDescent="0.2">
      <c r="A1842" s="397">
        <v>44930</v>
      </c>
      <c r="B1842" s="384">
        <f t="shared" si="27"/>
        <v>432648.4</v>
      </c>
      <c r="C1842" s="384">
        <f t="shared" ref="C1842:C1877" si="28">C1841</f>
        <v>432448.4</v>
      </c>
      <c r="D1842" s="565">
        <v>200</v>
      </c>
    </row>
    <row r="1843" spans="1:4" x14ac:dyDescent="0.2">
      <c r="A1843" s="397">
        <v>44931</v>
      </c>
      <c r="B1843" s="384">
        <f t="shared" si="27"/>
        <v>376288.8</v>
      </c>
      <c r="C1843" s="384">
        <v>376088.8</v>
      </c>
      <c r="D1843" s="565">
        <v>200</v>
      </c>
    </row>
    <row r="1844" spans="1:4" x14ac:dyDescent="0.2">
      <c r="A1844" s="397">
        <v>44932</v>
      </c>
      <c r="B1844" s="384">
        <f t="shared" si="27"/>
        <v>375846.51</v>
      </c>
      <c r="C1844" s="384">
        <v>375646.51</v>
      </c>
      <c r="D1844" s="565">
        <v>200</v>
      </c>
    </row>
    <row r="1845" spans="1:4" x14ac:dyDescent="0.2">
      <c r="A1845" s="397">
        <v>44935</v>
      </c>
      <c r="B1845" s="384">
        <f t="shared" si="27"/>
        <v>375246.51</v>
      </c>
      <c r="C1845" s="384">
        <v>375046.51</v>
      </c>
      <c r="D1845" s="565">
        <v>200</v>
      </c>
    </row>
    <row r="1846" spans="1:4" x14ac:dyDescent="0.2">
      <c r="A1846" s="397">
        <v>44936</v>
      </c>
      <c r="B1846" s="384">
        <f t="shared" si="27"/>
        <v>375703.51</v>
      </c>
      <c r="C1846" s="384">
        <v>375503.51</v>
      </c>
      <c r="D1846" s="565">
        <v>200</v>
      </c>
    </row>
    <row r="1847" spans="1:4" x14ac:dyDescent="0.2">
      <c r="A1847" s="397">
        <v>44937</v>
      </c>
      <c r="B1847" s="384">
        <f t="shared" si="27"/>
        <v>375837.32</v>
      </c>
      <c r="C1847" s="384">
        <v>375637.32</v>
      </c>
      <c r="D1847" s="565">
        <v>200</v>
      </c>
    </row>
    <row r="1848" spans="1:4" x14ac:dyDescent="0.2">
      <c r="A1848" s="397">
        <v>44938</v>
      </c>
      <c r="B1848" s="384">
        <f t="shared" si="27"/>
        <v>358313.37</v>
      </c>
      <c r="C1848" s="384">
        <v>358113.37</v>
      </c>
      <c r="D1848" s="565">
        <v>200</v>
      </c>
    </row>
    <row r="1849" spans="1:4" x14ac:dyDescent="0.2">
      <c r="A1849" s="397">
        <v>44939</v>
      </c>
      <c r="B1849" s="384">
        <f t="shared" si="27"/>
        <v>362655.36</v>
      </c>
      <c r="C1849" s="384">
        <v>362455.36</v>
      </c>
      <c r="D1849" s="565">
        <v>200</v>
      </c>
    </row>
    <row r="1850" spans="1:4" x14ac:dyDescent="0.2">
      <c r="A1850" s="397">
        <v>44942</v>
      </c>
      <c r="B1850" s="384">
        <f t="shared" si="27"/>
        <v>362655.36</v>
      </c>
      <c r="C1850" s="384">
        <f t="shared" si="28"/>
        <v>362455.36</v>
      </c>
      <c r="D1850" s="565">
        <v>200</v>
      </c>
    </row>
    <row r="1851" spans="1:4" x14ac:dyDescent="0.2">
      <c r="A1851" s="397">
        <v>44943</v>
      </c>
      <c r="B1851" s="384">
        <f t="shared" si="27"/>
        <v>296234.34999999998</v>
      </c>
      <c r="C1851" s="384">
        <v>296034.34999999998</v>
      </c>
      <c r="D1851" s="565">
        <v>200</v>
      </c>
    </row>
    <row r="1852" spans="1:4" x14ac:dyDescent="0.2">
      <c r="A1852" s="397">
        <v>44944</v>
      </c>
      <c r="B1852" s="384">
        <f t="shared" si="27"/>
        <v>309641.15000000002</v>
      </c>
      <c r="C1852" s="384">
        <v>309441.15000000002</v>
      </c>
      <c r="D1852" s="565">
        <v>200</v>
      </c>
    </row>
    <row r="1853" spans="1:4" x14ac:dyDescent="0.2">
      <c r="A1853" s="397">
        <v>44945</v>
      </c>
      <c r="B1853" s="384">
        <f t="shared" si="27"/>
        <v>316446.05</v>
      </c>
      <c r="C1853" s="384">
        <v>316246.05</v>
      </c>
      <c r="D1853" s="565">
        <v>200</v>
      </c>
    </row>
    <row r="1854" spans="1:4" x14ac:dyDescent="0.2">
      <c r="A1854" s="397">
        <v>44946</v>
      </c>
      <c r="B1854" s="384">
        <f t="shared" si="27"/>
        <v>315066.78000000003</v>
      </c>
      <c r="C1854" s="384">
        <v>314866.78000000003</v>
      </c>
      <c r="D1854" s="565">
        <v>200</v>
      </c>
    </row>
    <row r="1855" spans="1:4" x14ac:dyDescent="0.2">
      <c r="A1855" s="397">
        <v>44949</v>
      </c>
      <c r="B1855" s="384">
        <f t="shared" si="27"/>
        <v>314907.93</v>
      </c>
      <c r="C1855" s="384">
        <v>314707.93</v>
      </c>
      <c r="D1855" s="565">
        <v>200</v>
      </c>
    </row>
    <row r="1856" spans="1:4" x14ac:dyDescent="0.2">
      <c r="A1856" s="397">
        <v>44950</v>
      </c>
      <c r="B1856" s="384">
        <f t="shared" si="27"/>
        <v>314907.93</v>
      </c>
      <c r="C1856" s="384">
        <f t="shared" si="28"/>
        <v>314707.93</v>
      </c>
      <c r="D1856" s="565">
        <v>200</v>
      </c>
    </row>
    <row r="1857" spans="1:4" x14ac:dyDescent="0.2">
      <c r="A1857" s="397">
        <v>44951</v>
      </c>
      <c r="B1857" s="384">
        <f t="shared" si="27"/>
        <v>314907.93</v>
      </c>
      <c r="C1857" s="384">
        <f t="shared" si="28"/>
        <v>314707.93</v>
      </c>
      <c r="D1857" s="565">
        <v>200</v>
      </c>
    </row>
    <row r="1858" spans="1:4" x14ac:dyDescent="0.2">
      <c r="A1858" s="397">
        <v>44952</v>
      </c>
      <c r="B1858" s="384">
        <f t="shared" si="27"/>
        <v>315650.68</v>
      </c>
      <c r="C1858" s="384">
        <v>315450.68</v>
      </c>
      <c r="D1858" s="565">
        <v>200</v>
      </c>
    </row>
    <row r="1859" spans="1:4" x14ac:dyDescent="0.2">
      <c r="A1859" s="397">
        <v>44953</v>
      </c>
      <c r="B1859" s="384">
        <f t="shared" si="27"/>
        <v>291355.65000000002</v>
      </c>
      <c r="C1859" s="384">
        <v>291155.65000000002</v>
      </c>
      <c r="D1859" s="565">
        <v>200</v>
      </c>
    </row>
    <row r="1860" spans="1:4" x14ac:dyDescent="0.2">
      <c r="A1860" s="397">
        <v>44956</v>
      </c>
      <c r="B1860" s="384">
        <f t="shared" si="27"/>
        <v>270294.52</v>
      </c>
      <c r="C1860" s="384">
        <v>270094.52</v>
      </c>
      <c r="D1860" s="565">
        <v>200</v>
      </c>
    </row>
    <row r="1861" spans="1:4" x14ac:dyDescent="0.2">
      <c r="A1861" s="397">
        <v>44957</v>
      </c>
      <c r="B1861" s="384">
        <f t="shared" si="27"/>
        <v>269684.28999999998</v>
      </c>
      <c r="C1861" s="384">
        <v>269484.28999999998</v>
      </c>
      <c r="D1861" s="565">
        <v>200</v>
      </c>
    </row>
    <row r="1862" spans="1:4" x14ac:dyDescent="0.2">
      <c r="A1862" s="397">
        <v>44958</v>
      </c>
      <c r="B1862" s="384">
        <f t="shared" si="27"/>
        <v>269684.28999999998</v>
      </c>
      <c r="C1862" s="384">
        <f t="shared" si="28"/>
        <v>269484.28999999998</v>
      </c>
      <c r="D1862" s="565">
        <v>200</v>
      </c>
    </row>
    <row r="1863" spans="1:4" x14ac:dyDescent="0.2">
      <c r="A1863" s="397">
        <v>44959</v>
      </c>
      <c r="B1863" s="425">
        <f t="shared" si="27"/>
        <v>259972.42</v>
      </c>
      <c r="C1863" s="384">
        <v>259772.42</v>
      </c>
      <c r="D1863" s="565">
        <v>200</v>
      </c>
    </row>
    <row r="1864" spans="1:4" x14ac:dyDescent="0.2">
      <c r="A1864" s="397">
        <v>44960</v>
      </c>
      <c r="B1864" s="384">
        <f t="shared" si="27"/>
        <v>282694.13</v>
      </c>
      <c r="C1864" s="384">
        <v>282494.13</v>
      </c>
      <c r="D1864" s="565">
        <v>200</v>
      </c>
    </row>
    <row r="1865" spans="1:4" x14ac:dyDescent="0.2">
      <c r="A1865" s="397">
        <v>44963</v>
      </c>
      <c r="B1865" s="384">
        <f t="shared" si="27"/>
        <v>282636.44</v>
      </c>
      <c r="C1865" s="384">
        <v>282436.44</v>
      </c>
      <c r="D1865" s="565">
        <v>200</v>
      </c>
    </row>
    <row r="1866" spans="1:4" x14ac:dyDescent="0.2">
      <c r="A1866" s="397">
        <v>44964</v>
      </c>
      <c r="B1866" s="384">
        <f t="shared" ref="B1866:B1924" si="29">C1866+D1866</f>
        <v>298296.44</v>
      </c>
      <c r="C1866" s="384">
        <v>298096.44</v>
      </c>
      <c r="D1866" s="565">
        <v>200</v>
      </c>
    </row>
    <row r="1867" spans="1:4" x14ac:dyDescent="0.2">
      <c r="A1867" s="397">
        <v>44965</v>
      </c>
      <c r="B1867" s="384">
        <f t="shared" si="29"/>
        <v>298259.44</v>
      </c>
      <c r="C1867" s="384">
        <v>298059.44</v>
      </c>
      <c r="D1867" s="565">
        <v>200</v>
      </c>
    </row>
    <row r="1868" spans="1:4" x14ac:dyDescent="0.2">
      <c r="A1868" s="397">
        <v>44966</v>
      </c>
      <c r="B1868" s="384">
        <f t="shared" si="29"/>
        <v>286670.99</v>
      </c>
      <c r="C1868" s="384">
        <v>286470.99</v>
      </c>
      <c r="D1868" s="565">
        <v>200</v>
      </c>
    </row>
    <row r="1869" spans="1:4" x14ac:dyDescent="0.2">
      <c r="A1869" s="397">
        <v>44967</v>
      </c>
      <c r="B1869" s="384">
        <f t="shared" si="29"/>
        <v>329121.65000000002</v>
      </c>
      <c r="C1869" s="384">
        <v>328921.65000000002</v>
      </c>
      <c r="D1869" s="565">
        <v>200</v>
      </c>
    </row>
    <row r="1870" spans="1:4" x14ac:dyDescent="0.2">
      <c r="A1870" s="397">
        <v>44970</v>
      </c>
      <c r="B1870" s="384">
        <f t="shared" si="29"/>
        <v>287265.95</v>
      </c>
      <c r="C1870" s="384">
        <v>287065.95</v>
      </c>
      <c r="D1870" s="565">
        <v>200</v>
      </c>
    </row>
    <row r="1871" spans="1:4" x14ac:dyDescent="0.2">
      <c r="A1871" s="397">
        <v>44971</v>
      </c>
      <c r="B1871" s="384">
        <f t="shared" si="29"/>
        <v>291765.95</v>
      </c>
      <c r="C1871" s="384">
        <v>291565.95</v>
      </c>
      <c r="D1871" s="565">
        <v>200</v>
      </c>
    </row>
    <row r="1872" spans="1:4" x14ac:dyDescent="0.2">
      <c r="A1872" s="397">
        <v>44972</v>
      </c>
      <c r="B1872" s="384">
        <f t="shared" si="29"/>
        <v>291800.28000000003</v>
      </c>
      <c r="C1872" s="384">
        <v>291600.28000000003</v>
      </c>
      <c r="D1872" s="565">
        <v>200</v>
      </c>
    </row>
    <row r="1873" spans="1:4" x14ac:dyDescent="0.2">
      <c r="A1873" s="397">
        <v>44973</v>
      </c>
      <c r="B1873" s="384">
        <f t="shared" si="29"/>
        <v>298342.23</v>
      </c>
      <c r="C1873" s="384">
        <v>298142.23</v>
      </c>
      <c r="D1873" s="565">
        <v>200</v>
      </c>
    </row>
    <row r="1874" spans="1:4" x14ac:dyDescent="0.2">
      <c r="A1874" s="397">
        <v>44974</v>
      </c>
      <c r="B1874" s="384">
        <f t="shared" si="29"/>
        <v>292633.62</v>
      </c>
      <c r="C1874" s="384">
        <v>292433.62</v>
      </c>
      <c r="D1874" s="565">
        <v>200</v>
      </c>
    </row>
    <row r="1875" spans="1:4" x14ac:dyDescent="0.2">
      <c r="A1875" s="397">
        <v>44977</v>
      </c>
      <c r="B1875" s="384">
        <f t="shared" si="29"/>
        <v>292633.62</v>
      </c>
      <c r="C1875" s="384">
        <f t="shared" si="28"/>
        <v>292433.62</v>
      </c>
      <c r="D1875" s="565">
        <v>200</v>
      </c>
    </row>
    <row r="1876" spans="1:4" x14ac:dyDescent="0.2">
      <c r="A1876" s="397">
        <v>44978</v>
      </c>
      <c r="B1876" s="384">
        <f t="shared" si="29"/>
        <v>320810.26</v>
      </c>
      <c r="C1876" s="384">
        <v>320610.26</v>
      </c>
      <c r="D1876" s="565">
        <v>200</v>
      </c>
    </row>
    <row r="1877" spans="1:4" x14ac:dyDescent="0.2">
      <c r="A1877" s="397">
        <v>44979</v>
      </c>
      <c r="B1877" s="384">
        <f t="shared" si="29"/>
        <v>320810.26</v>
      </c>
      <c r="C1877" s="384">
        <f t="shared" si="28"/>
        <v>320610.26</v>
      </c>
      <c r="D1877" s="565">
        <v>200</v>
      </c>
    </row>
    <row r="1878" spans="1:4" x14ac:dyDescent="0.2">
      <c r="A1878" s="397">
        <v>44980</v>
      </c>
      <c r="B1878" s="384">
        <f t="shared" si="29"/>
        <v>341705.89</v>
      </c>
      <c r="C1878" s="384">
        <v>341505.89</v>
      </c>
      <c r="D1878" s="565">
        <v>200</v>
      </c>
    </row>
    <row r="1879" spans="1:4" x14ac:dyDescent="0.2">
      <c r="A1879" s="397">
        <v>44981</v>
      </c>
      <c r="B1879" s="384">
        <f t="shared" si="29"/>
        <v>341754.4</v>
      </c>
      <c r="C1879" s="384">
        <v>341554.4</v>
      </c>
      <c r="D1879" s="565">
        <v>200</v>
      </c>
    </row>
    <row r="1880" spans="1:4" x14ac:dyDescent="0.2">
      <c r="A1880" s="397">
        <v>44984</v>
      </c>
      <c r="B1880" s="384">
        <f t="shared" si="29"/>
        <v>330670.37</v>
      </c>
      <c r="C1880" s="384">
        <v>330470.37</v>
      </c>
      <c r="D1880" s="565">
        <v>200</v>
      </c>
    </row>
    <row r="1881" spans="1:4" x14ac:dyDescent="0.2">
      <c r="A1881" s="397">
        <v>44985</v>
      </c>
      <c r="B1881" s="384">
        <f t="shared" si="29"/>
        <v>338045.7</v>
      </c>
      <c r="C1881" s="384">
        <v>337845.7</v>
      </c>
      <c r="D1881" s="565">
        <v>200</v>
      </c>
    </row>
    <row r="1882" spans="1:4" x14ac:dyDescent="0.2">
      <c r="A1882" s="397">
        <v>44986</v>
      </c>
      <c r="B1882" s="384">
        <f t="shared" si="29"/>
        <v>338604.7</v>
      </c>
      <c r="C1882" s="384">
        <v>338404.7</v>
      </c>
      <c r="D1882" s="565">
        <v>200</v>
      </c>
    </row>
    <row r="1883" spans="1:4" x14ac:dyDescent="0.2">
      <c r="A1883" s="397">
        <v>44987</v>
      </c>
      <c r="B1883" s="384">
        <f t="shared" si="29"/>
        <v>329491.15000000002</v>
      </c>
      <c r="C1883" s="384">
        <v>329291.15000000002</v>
      </c>
      <c r="D1883" s="565">
        <v>200</v>
      </c>
    </row>
    <row r="1884" spans="1:4" x14ac:dyDescent="0.2">
      <c r="A1884" s="397">
        <v>44988</v>
      </c>
      <c r="B1884" s="384">
        <f t="shared" si="29"/>
        <v>329106.55</v>
      </c>
      <c r="C1884" s="384">
        <v>328906.55</v>
      </c>
      <c r="D1884" s="565">
        <v>200</v>
      </c>
    </row>
    <row r="1885" spans="1:4" x14ac:dyDescent="0.2">
      <c r="A1885" s="397">
        <v>44991</v>
      </c>
      <c r="B1885" s="384">
        <f t="shared" si="29"/>
        <v>329106.55</v>
      </c>
      <c r="C1885" s="384">
        <f t="shared" ref="C1885:C1947" si="30">C1884</f>
        <v>328906.55</v>
      </c>
      <c r="D1885" s="565">
        <v>200</v>
      </c>
    </row>
    <row r="1886" spans="1:4" x14ac:dyDescent="0.2">
      <c r="A1886" s="397">
        <v>44992</v>
      </c>
      <c r="B1886" s="384">
        <f t="shared" si="29"/>
        <v>366692.56</v>
      </c>
      <c r="C1886" s="384">
        <v>366492.56</v>
      </c>
      <c r="D1886" s="565">
        <v>200</v>
      </c>
    </row>
    <row r="1887" spans="1:4" x14ac:dyDescent="0.2">
      <c r="A1887" s="397">
        <v>44993</v>
      </c>
      <c r="B1887" s="384">
        <f t="shared" si="29"/>
        <v>368956.85</v>
      </c>
      <c r="C1887" s="384">
        <v>368756.85</v>
      </c>
      <c r="D1887" s="565">
        <v>200</v>
      </c>
    </row>
    <row r="1888" spans="1:4" x14ac:dyDescent="0.2">
      <c r="A1888" s="397">
        <v>44994</v>
      </c>
      <c r="B1888" s="384">
        <f t="shared" si="29"/>
        <v>390880.67</v>
      </c>
      <c r="C1888" s="384">
        <v>390680.67</v>
      </c>
      <c r="D1888" s="565">
        <v>200</v>
      </c>
    </row>
    <row r="1889" spans="1:4" x14ac:dyDescent="0.2">
      <c r="A1889" s="397">
        <v>44995</v>
      </c>
      <c r="B1889" s="384">
        <f t="shared" si="29"/>
        <v>414120.74</v>
      </c>
      <c r="C1889" s="384">
        <v>413920.74</v>
      </c>
      <c r="D1889" s="565">
        <v>200</v>
      </c>
    </row>
    <row r="1890" spans="1:4" x14ac:dyDescent="0.2">
      <c r="A1890" s="397">
        <v>44998</v>
      </c>
      <c r="B1890" s="384">
        <f t="shared" si="29"/>
        <v>424130.52</v>
      </c>
      <c r="C1890" s="384">
        <v>423930.52</v>
      </c>
      <c r="D1890" s="565">
        <v>200</v>
      </c>
    </row>
    <row r="1891" spans="1:4" x14ac:dyDescent="0.2">
      <c r="A1891" s="397">
        <v>44999</v>
      </c>
      <c r="B1891" s="384">
        <f t="shared" si="29"/>
        <v>424130.52</v>
      </c>
      <c r="C1891" s="384">
        <f t="shared" si="30"/>
        <v>423930.52</v>
      </c>
      <c r="D1891" s="565">
        <v>200</v>
      </c>
    </row>
    <row r="1892" spans="1:4" x14ac:dyDescent="0.2">
      <c r="A1892" s="397">
        <v>45000</v>
      </c>
      <c r="B1892" s="384">
        <f t="shared" si="29"/>
        <v>424163.34</v>
      </c>
      <c r="C1892" s="384">
        <v>423963.34</v>
      </c>
      <c r="D1892" s="565">
        <v>200</v>
      </c>
    </row>
    <row r="1893" spans="1:4" x14ac:dyDescent="0.2">
      <c r="A1893" s="397">
        <v>45001</v>
      </c>
      <c r="B1893" s="384">
        <f t="shared" si="29"/>
        <v>422350.37</v>
      </c>
      <c r="C1893" s="384">
        <v>422150.37</v>
      </c>
      <c r="D1893" s="565">
        <v>200</v>
      </c>
    </row>
    <row r="1894" spans="1:4" x14ac:dyDescent="0.2">
      <c r="A1894" s="397">
        <v>45002</v>
      </c>
      <c r="B1894" s="384">
        <f t="shared" si="29"/>
        <v>421965.77</v>
      </c>
      <c r="C1894" s="384">
        <v>421765.77</v>
      </c>
      <c r="D1894" s="565">
        <v>200</v>
      </c>
    </row>
    <row r="1895" spans="1:4" x14ac:dyDescent="0.2">
      <c r="A1895" s="397">
        <v>45005</v>
      </c>
      <c r="B1895" s="384">
        <f t="shared" si="29"/>
        <v>419047.88</v>
      </c>
      <c r="C1895" s="384">
        <v>418847.88</v>
      </c>
      <c r="D1895" s="565">
        <v>200</v>
      </c>
    </row>
    <row r="1896" spans="1:4" x14ac:dyDescent="0.2">
      <c r="A1896" s="397">
        <v>45006</v>
      </c>
      <c r="B1896" s="384">
        <f t="shared" si="29"/>
        <v>425165.2</v>
      </c>
      <c r="C1896" s="384">
        <v>424965.2</v>
      </c>
      <c r="D1896" s="565">
        <v>200</v>
      </c>
    </row>
    <row r="1897" spans="1:4" x14ac:dyDescent="0.2">
      <c r="A1897" s="397">
        <v>45007</v>
      </c>
      <c r="B1897" s="384">
        <f t="shared" si="29"/>
        <v>415468.61</v>
      </c>
      <c r="C1897" s="384">
        <v>415268.61</v>
      </c>
      <c r="D1897" s="565">
        <v>200</v>
      </c>
    </row>
    <row r="1898" spans="1:4" x14ac:dyDescent="0.2">
      <c r="A1898" s="397">
        <v>45008</v>
      </c>
      <c r="B1898" s="384">
        <f t="shared" si="29"/>
        <v>444345.89</v>
      </c>
      <c r="C1898" s="384">
        <v>444145.89</v>
      </c>
      <c r="D1898" s="565">
        <v>200</v>
      </c>
    </row>
    <row r="1899" spans="1:4" x14ac:dyDescent="0.2">
      <c r="A1899" s="397">
        <v>45009</v>
      </c>
      <c r="B1899" s="384">
        <f t="shared" si="29"/>
        <v>444345.89</v>
      </c>
      <c r="C1899" s="384">
        <f t="shared" si="30"/>
        <v>444145.89</v>
      </c>
      <c r="D1899" s="565">
        <v>200</v>
      </c>
    </row>
    <row r="1900" spans="1:4" x14ac:dyDescent="0.2">
      <c r="A1900" s="397">
        <v>45012</v>
      </c>
      <c r="B1900" s="425">
        <f t="shared" si="29"/>
        <v>472758.17</v>
      </c>
      <c r="C1900" s="384">
        <v>472558.17</v>
      </c>
      <c r="D1900" s="565">
        <v>200</v>
      </c>
    </row>
    <row r="1901" spans="1:4" x14ac:dyDescent="0.2">
      <c r="A1901" s="397">
        <v>45013</v>
      </c>
      <c r="B1901" s="384">
        <f t="shared" si="29"/>
        <v>431931.97</v>
      </c>
      <c r="C1901" s="384">
        <v>431731.97</v>
      </c>
      <c r="D1901" s="565">
        <v>200</v>
      </c>
    </row>
    <row r="1902" spans="1:4" x14ac:dyDescent="0.2">
      <c r="A1902" s="397">
        <v>45014</v>
      </c>
      <c r="B1902" s="384">
        <f t="shared" si="29"/>
        <v>435079.42</v>
      </c>
      <c r="C1902" s="384">
        <v>434879.42</v>
      </c>
      <c r="D1902" s="565">
        <v>200</v>
      </c>
    </row>
    <row r="1903" spans="1:4" x14ac:dyDescent="0.2">
      <c r="A1903" s="397">
        <v>45015</v>
      </c>
      <c r="B1903" s="384">
        <f t="shared" si="29"/>
        <v>424040.9</v>
      </c>
      <c r="C1903" s="384">
        <v>423840.9</v>
      </c>
      <c r="D1903" s="565">
        <v>200</v>
      </c>
    </row>
    <row r="1904" spans="1:4" x14ac:dyDescent="0.2">
      <c r="A1904" s="397">
        <v>45016</v>
      </c>
      <c r="B1904" s="384">
        <f t="shared" si="29"/>
        <v>449683.31</v>
      </c>
      <c r="C1904" s="384">
        <v>449483.31</v>
      </c>
      <c r="D1904" s="565">
        <v>200</v>
      </c>
    </row>
    <row r="1905" spans="1:4" x14ac:dyDescent="0.2">
      <c r="A1905" s="397">
        <v>45019</v>
      </c>
      <c r="B1905" s="384">
        <f t="shared" si="29"/>
        <v>449683.31</v>
      </c>
      <c r="C1905" s="384">
        <f t="shared" si="30"/>
        <v>449483.31</v>
      </c>
      <c r="D1905" s="565">
        <v>200</v>
      </c>
    </row>
    <row r="1906" spans="1:4" x14ac:dyDescent="0.2">
      <c r="A1906" s="397">
        <v>45020</v>
      </c>
      <c r="B1906" s="384">
        <f t="shared" si="29"/>
        <v>449683.31</v>
      </c>
      <c r="C1906" s="384">
        <f t="shared" si="30"/>
        <v>449483.31</v>
      </c>
      <c r="D1906" s="565">
        <v>200</v>
      </c>
    </row>
    <row r="1907" spans="1:4" x14ac:dyDescent="0.2">
      <c r="A1907" s="397">
        <v>45021</v>
      </c>
      <c r="B1907" s="384">
        <f t="shared" si="29"/>
        <v>449683.31</v>
      </c>
      <c r="C1907" s="384">
        <f t="shared" si="30"/>
        <v>449483.31</v>
      </c>
      <c r="D1907" s="565">
        <v>200</v>
      </c>
    </row>
    <row r="1908" spans="1:4" x14ac:dyDescent="0.2">
      <c r="A1908" s="397">
        <v>45022</v>
      </c>
      <c r="B1908" s="384">
        <f t="shared" si="29"/>
        <v>425038.75</v>
      </c>
      <c r="C1908" s="384">
        <v>424838.75</v>
      </c>
      <c r="D1908" s="565">
        <v>200</v>
      </c>
    </row>
    <row r="1909" spans="1:4" x14ac:dyDescent="0.2">
      <c r="A1909" s="397">
        <v>45023</v>
      </c>
      <c r="B1909" s="384">
        <f t="shared" si="29"/>
        <v>425038.75</v>
      </c>
      <c r="C1909" s="384">
        <f t="shared" si="30"/>
        <v>424838.75</v>
      </c>
      <c r="D1909" s="565">
        <v>200</v>
      </c>
    </row>
    <row r="1910" spans="1:4" x14ac:dyDescent="0.2">
      <c r="A1910" s="397">
        <v>45026</v>
      </c>
      <c r="B1910" s="384">
        <f t="shared" si="29"/>
        <v>381899.02</v>
      </c>
      <c r="C1910" s="384">
        <v>381699.02</v>
      </c>
      <c r="D1910" s="565">
        <v>200</v>
      </c>
    </row>
    <row r="1911" spans="1:4" x14ac:dyDescent="0.2">
      <c r="A1911" s="397">
        <v>45027</v>
      </c>
      <c r="B1911" s="384">
        <f t="shared" si="29"/>
        <v>403291.29</v>
      </c>
      <c r="C1911" s="384">
        <v>403091.29</v>
      </c>
      <c r="D1911" s="565">
        <v>200</v>
      </c>
    </row>
    <row r="1912" spans="1:4" x14ac:dyDescent="0.2">
      <c r="A1912" s="397">
        <v>45028</v>
      </c>
      <c r="B1912" s="384">
        <f t="shared" si="29"/>
        <v>398523.39</v>
      </c>
      <c r="C1912" s="384">
        <v>398323.39</v>
      </c>
      <c r="D1912" s="565">
        <v>200</v>
      </c>
    </row>
    <row r="1913" spans="1:4" x14ac:dyDescent="0.2">
      <c r="A1913" s="397">
        <v>45029</v>
      </c>
      <c r="B1913" s="384">
        <f t="shared" si="29"/>
        <v>405256.29</v>
      </c>
      <c r="C1913" s="384">
        <v>405056.29</v>
      </c>
      <c r="D1913" s="565">
        <v>200</v>
      </c>
    </row>
    <row r="1914" spans="1:4" x14ac:dyDescent="0.2">
      <c r="A1914" s="397">
        <v>45030</v>
      </c>
      <c r="B1914" s="384">
        <f t="shared" si="29"/>
        <v>404915.18</v>
      </c>
      <c r="C1914" s="384">
        <v>404715.18</v>
      </c>
      <c r="D1914" s="565">
        <v>200</v>
      </c>
    </row>
    <row r="1915" spans="1:4" x14ac:dyDescent="0.2">
      <c r="A1915" s="397">
        <v>45033</v>
      </c>
      <c r="B1915" s="384">
        <f t="shared" si="29"/>
        <v>403828.39</v>
      </c>
      <c r="C1915" s="384">
        <v>403628.39</v>
      </c>
      <c r="D1915" s="565">
        <v>200</v>
      </c>
    </row>
    <row r="1916" spans="1:4" x14ac:dyDescent="0.2">
      <c r="A1916" s="397">
        <v>45034</v>
      </c>
      <c r="B1916" s="384">
        <f t="shared" si="29"/>
        <v>403828.39</v>
      </c>
      <c r="C1916" s="384">
        <f t="shared" si="30"/>
        <v>403628.39</v>
      </c>
      <c r="D1916" s="565">
        <v>200</v>
      </c>
    </row>
    <row r="1917" spans="1:4" x14ac:dyDescent="0.2">
      <c r="A1917" s="397">
        <v>45035</v>
      </c>
      <c r="B1917" s="384">
        <f t="shared" si="29"/>
        <v>434721.04</v>
      </c>
      <c r="C1917" s="384">
        <v>434521.04</v>
      </c>
      <c r="D1917" s="565">
        <v>200</v>
      </c>
    </row>
    <row r="1918" spans="1:4" x14ac:dyDescent="0.2">
      <c r="A1918" s="397">
        <v>45036</v>
      </c>
      <c r="B1918" s="384">
        <f t="shared" si="29"/>
        <v>421127.98</v>
      </c>
      <c r="C1918" s="384">
        <v>420927.98</v>
      </c>
      <c r="D1918" s="565">
        <v>200</v>
      </c>
    </row>
    <row r="1919" spans="1:4" x14ac:dyDescent="0.2">
      <c r="A1919" s="397">
        <v>45037</v>
      </c>
      <c r="B1919" s="384">
        <f t="shared" si="29"/>
        <v>420969.13</v>
      </c>
      <c r="C1919" s="384">
        <v>420769.13</v>
      </c>
      <c r="D1919" s="565">
        <v>200</v>
      </c>
    </row>
    <row r="1920" spans="1:4" x14ac:dyDescent="0.2">
      <c r="A1920" s="397">
        <v>45040</v>
      </c>
      <c r="B1920" s="384">
        <f t="shared" si="29"/>
        <v>420969.13</v>
      </c>
      <c r="C1920" s="384">
        <f t="shared" si="30"/>
        <v>420769.13</v>
      </c>
      <c r="D1920" s="565">
        <v>200</v>
      </c>
    </row>
    <row r="1921" spans="1:4" x14ac:dyDescent="0.2">
      <c r="A1921" s="397">
        <v>45041</v>
      </c>
      <c r="B1921" s="384">
        <f t="shared" si="29"/>
        <v>379345</v>
      </c>
      <c r="C1921" s="384">
        <v>379145</v>
      </c>
      <c r="D1921" s="565">
        <v>200</v>
      </c>
    </row>
    <row r="1922" spans="1:4" x14ac:dyDescent="0.2">
      <c r="A1922" s="397">
        <v>45042</v>
      </c>
      <c r="B1922" s="384">
        <f t="shared" si="29"/>
        <v>379345</v>
      </c>
      <c r="C1922" s="384">
        <f t="shared" si="30"/>
        <v>379145</v>
      </c>
      <c r="D1922" s="565">
        <v>200</v>
      </c>
    </row>
    <row r="1923" spans="1:4" x14ac:dyDescent="0.2">
      <c r="A1923" s="397">
        <v>45043</v>
      </c>
      <c r="B1923" s="384">
        <f t="shared" si="29"/>
        <v>379345</v>
      </c>
      <c r="C1923" s="384">
        <f t="shared" si="30"/>
        <v>379145</v>
      </c>
      <c r="D1923" s="565">
        <v>200</v>
      </c>
    </row>
    <row r="1924" spans="1:4" x14ac:dyDescent="0.2">
      <c r="A1924" s="397">
        <v>45044</v>
      </c>
      <c r="B1924" s="384">
        <f t="shared" si="29"/>
        <v>402733.09</v>
      </c>
      <c r="C1924" s="384">
        <v>402533.09</v>
      </c>
      <c r="D1924" s="565">
        <v>200</v>
      </c>
    </row>
    <row r="1925" spans="1:4" x14ac:dyDescent="0.2">
      <c r="A1925" s="397">
        <v>45047</v>
      </c>
      <c r="B1925" s="384">
        <f t="shared" ref="B1925:B1969" si="31">C1925+D1925</f>
        <v>403316.09</v>
      </c>
      <c r="C1925" s="384">
        <v>403116.09</v>
      </c>
      <c r="D1925" s="565">
        <v>200</v>
      </c>
    </row>
    <row r="1926" spans="1:4" x14ac:dyDescent="0.2">
      <c r="A1926" s="397">
        <v>45048</v>
      </c>
      <c r="B1926" s="384">
        <f t="shared" si="31"/>
        <v>403316.09</v>
      </c>
      <c r="C1926" s="384">
        <f t="shared" si="30"/>
        <v>403116.09</v>
      </c>
      <c r="D1926" s="565">
        <v>200</v>
      </c>
    </row>
    <row r="1927" spans="1:4" x14ac:dyDescent="0.2">
      <c r="A1927" s="397">
        <v>45049</v>
      </c>
      <c r="B1927" s="384">
        <f t="shared" si="31"/>
        <v>385876.12</v>
      </c>
      <c r="C1927" s="384">
        <v>385676.12</v>
      </c>
      <c r="D1927" s="565">
        <v>200</v>
      </c>
    </row>
    <row r="1928" spans="1:4" x14ac:dyDescent="0.2">
      <c r="A1928" s="397">
        <v>45050</v>
      </c>
      <c r="B1928" s="384">
        <f t="shared" si="31"/>
        <v>351812.45</v>
      </c>
      <c r="C1928" s="384">
        <v>351612.45</v>
      </c>
      <c r="D1928" s="565">
        <v>200</v>
      </c>
    </row>
    <row r="1929" spans="1:4" x14ac:dyDescent="0.2">
      <c r="A1929" s="397">
        <v>45051</v>
      </c>
      <c r="B1929" s="384">
        <f t="shared" si="31"/>
        <v>351812.45</v>
      </c>
      <c r="C1929" s="384">
        <f t="shared" si="30"/>
        <v>351612.45</v>
      </c>
      <c r="D1929" s="565">
        <v>200</v>
      </c>
    </row>
    <row r="1930" spans="1:4" x14ac:dyDescent="0.2">
      <c r="A1930" s="397">
        <v>45054</v>
      </c>
      <c r="B1930" s="384">
        <f t="shared" si="31"/>
        <v>368195.43</v>
      </c>
      <c r="C1930" s="384">
        <v>367995.43</v>
      </c>
      <c r="D1930" s="565">
        <v>200</v>
      </c>
    </row>
    <row r="1931" spans="1:4" x14ac:dyDescent="0.2">
      <c r="A1931" s="397">
        <v>45055</v>
      </c>
      <c r="B1931" s="384">
        <f t="shared" si="31"/>
        <v>368195.43</v>
      </c>
      <c r="C1931" s="384">
        <f t="shared" si="30"/>
        <v>367995.43</v>
      </c>
      <c r="D1931" s="565">
        <v>200</v>
      </c>
    </row>
    <row r="1932" spans="1:4" x14ac:dyDescent="0.2">
      <c r="A1932" s="397">
        <v>45056</v>
      </c>
      <c r="B1932" s="384">
        <f t="shared" si="31"/>
        <v>368195.43</v>
      </c>
      <c r="C1932" s="384">
        <f t="shared" si="30"/>
        <v>367995.43</v>
      </c>
      <c r="D1932" s="565">
        <v>200</v>
      </c>
    </row>
    <row r="1933" spans="1:4" x14ac:dyDescent="0.2">
      <c r="A1933" s="397">
        <v>45057</v>
      </c>
      <c r="B1933" s="384">
        <f t="shared" si="31"/>
        <v>368195.43</v>
      </c>
      <c r="C1933" s="384">
        <f t="shared" si="30"/>
        <v>367995.43</v>
      </c>
      <c r="D1933" s="565">
        <v>200</v>
      </c>
    </row>
    <row r="1934" spans="1:4" x14ac:dyDescent="0.2">
      <c r="A1934" s="397">
        <v>45058</v>
      </c>
      <c r="B1934" s="384">
        <f t="shared" si="31"/>
        <v>367810.83</v>
      </c>
      <c r="C1934" s="384">
        <v>367610.83</v>
      </c>
      <c r="D1934" s="565">
        <v>200</v>
      </c>
    </row>
    <row r="1935" spans="1:4" x14ac:dyDescent="0.2">
      <c r="A1935" s="397">
        <v>45061</v>
      </c>
      <c r="B1935" s="384">
        <f t="shared" si="31"/>
        <v>367851.39</v>
      </c>
      <c r="C1935" s="384">
        <v>367651.39</v>
      </c>
      <c r="D1935" s="565">
        <v>200</v>
      </c>
    </row>
    <row r="1936" spans="1:4" x14ac:dyDescent="0.2">
      <c r="A1936" s="397">
        <v>45062</v>
      </c>
      <c r="B1936" s="384">
        <f t="shared" si="31"/>
        <v>367851.39</v>
      </c>
      <c r="C1936" s="384">
        <f t="shared" si="30"/>
        <v>367651.39</v>
      </c>
      <c r="D1936" s="565">
        <v>200</v>
      </c>
    </row>
    <row r="1937" spans="1:4" x14ac:dyDescent="0.2">
      <c r="A1937" s="397">
        <v>45063</v>
      </c>
      <c r="B1937" s="384">
        <f t="shared" si="31"/>
        <v>367851.39</v>
      </c>
      <c r="C1937" s="384">
        <f t="shared" si="30"/>
        <v>367651.39</v>
      </c>
      <c r="D1937" s="565">
        <v>200</v>
      </c>
    </row>
    <row r="1938" spans="1:4" x14ac:dyDescent="0.2">
      <c r="A1938" s="397">
        <v>45064</v>
      </c>
      <c r="B1938" s="384">
        <f t="shared" si="31"/>
        <v>356642.57</v>
      </c>
      <c r="C1938" s="384">
        <v>356442.57</v>
      </c>
      <c r="D1938" s="565">
        <v>200</v>
      </c>
    </row>
    <row r="1939" spans="1:4" x14ac:dyDescent="0.2">
      <c r="A1939" s="397">
        <v>45065</v>
      </c>
      <c r="B1939" s="384">
        <f t="shared" si="31"/>
        <v>356642.57</v>
      </c>
      <c r="C1939" s="384">
        <f t="shared" si="30"/>
        <v>356442.57</v>
      </c>
      <c r="D1939" s="565">
        <v>200</v>
      </c>
    </row>
    <row r="1940" spans="1:4" x14ac:dyDescent="0.2">
      <c r="A1940" s="397">
        <v>45068</v>
      </c>
      <c r="B1940" s="384">
        <f t="shared" si="31"/>
        <v>308974.21000000002</v>
      </c>
      <c r="C1940" s="384">
        <v>308774.21000000002</v>
      </c>
      <c r="D1940" s="565">
        <v>200</v>
      </c>
    </row>
    <row r="1941" spans="1:4" x14ac:dyDescent="0.2">
      <c r="A1941" s="397">
        <v>45069</v>
      </c>
      <c r="B1941" s="384">
        <f t="shared" si="31"/>
        <v>338753.05</v>
      </c>
      <c r="C1941" s="384">
        <v>338553.05</v>
      </c>
      <c r="D1941" s="565">
        <v>200</v>
      </c>
    </row>
    <row r="1942" spans="1:4" x14ac:dyDescent="0.2">
      <c r="A1942" s="397">
        <v>45070</v>
      </c>
      <c r="B1942" s="384">
        <f t="shared" si="31"/>
        <v>391263.14</v>
      </c>
      <c r="C1942" s="384">
        <v>391063.14</v>
      </c>
      <c r="D1942" s="565">
        <v>200</v>
      </c>
    </row>
    <row r="1943" spans="1:4" x14ac:dyDescent="0.2">
      <c r="A1943" s="397">
        <v>45071</v>
      </c>
      <c r="B1943" s="384">
        <f t="shared" si="31"/>
        <v>391263.14</v>
      </c>
      <c r="C1943" s="384">
        <f t="shared" si="30"/>
        <v>391063.14</v>
      </c>
      <c r="D1943" s="565">
        <v>200</v>
      </c>
    </row>
    <row r="1944" spans="1:4" x14ac:dyDescent="0.2">
      <c r="A1944" s="397">
        <v>45072</v>
      </c>
      <c r="B1944" s="384">
        <f t="shared" si="31"/>
        <v>449119.47</v>
      </c>
      <c r="C1944" s="384">
        <v>448919.47</v>
      </c>
      <c r="D1944" s="565">
        <v>200</v>
      </c>
    </row>
    <row r="1945" spans="1:4" x14ac:dyDescent="0.2">
      <c r="A1945" s="397">
        <v>45075</v>
      </c>
      <c r="B1945" s="384">
        <f t="shared" si="31"/>
        <v>449119.47</v>
      </c>
      <c r="C1945" s="384">
        <f t="shared" si="30"/>
        <v>448919.47</v>
      </c>
      <c r="D1945" s="565">
        <v>200</v>
      </c>
    </row>
    <row r="1946" spans="1:4" x14ac:dyDescent="0.2">
      <c r="A1946" s="397">
        <v>45076</v>
      </c>
      <c r="B1946" s="384">
        <f t="shared" si="31"/>
        <v>448869.47</v>
      </c>
      <c r="C1946" s="384">
        <v>448669.47</v>
      </c>
      <c r="D1946" s="565">
        <v>200</v>
      </c>
    </row>
    <row r="1947" spans="1:4" x14ac:dyDescent="0.2">
      <c r="A1947" s="397">
        <v>45077</v>
      </c>
      <c r="B1947" s="384">
        <f t="shared" si="31"/>
        <v>448869.47</v>
      </c>
      <c r="C1947" s="384">
        <f t="shared" si="30"/>
        <v>448669.47</v>
      </c>
      <c r="D1947" s="565">
        <v>200</v>
      </c>
    </row>
    <row r="1948" spans="1:4" x14ac:dyDescent="0.2">
      <c r="A1948" s="397">
        <v>45078</v>
      </c>
      <c r="B1948" s="384">
        <f t="shared" si="31"/>
        <v>438853.17</v>
      </c>
      <c r="C1948" s="384">
        <v>438653.17</v>
      </c>
      <c r="D1948" s="565">
        <v>200</v>
      </c>
    </row>
    <row r="1949" spans="1:4" x14ac:dyDescent="0.2">
      <c r="A1949" s="397">
        <v>45079</v>
      </c>
      <c r="B1949" s="384">
        <f t="shared" si="31"/>
        <v>439117.17</v>
      </c>
      <c r="C1949" s="384">
        <v>438917.17</v>
      </c>
      <c r="D1949" s="565">
        <v>200</v>
      </c>
    </row>
    <row r="1950" spans="1:4" x14ac:dyDescent="0.2">
      <c r="A1950" s="397">
        <v>45082</v>
      </c>
      <c r="B1950" s="384">
        <f t="shared" si="31"/>
        <v>407163.47</v>
      </c>
      <c r="C1950" s="384">
        <v>406963.47</v>
      </c>
      <c r="D1950" s="565">
        <v>200</v>
      </c>
    </row>
    <row r="1951" spans="1:4" x14ac:dyDescent="0.2">
      <c r="A1951" s="397">
        <v>45083</v>
      </c>
      <c r="B1951" s="384">
        <f t="shared" si="31"/>
        <v>415855.1</v>
      </c>
      <c r="C1951" s="384">
        <v>415655.1</v>
      </c>
      <c r="D1951" s="565">
        <v>200</v>
      </c>
    </row>
    <row r="1952" spans="1:4" x14ac:dyDescent="0.2">
      <c r="A1952" s="397">
        <v>45084</v>
      </c>
      <c r="B1952" s="384">
        <f t="shared" si="31"/>
        <v>415855.1</v>
      </c>
      <c r="C1952" s="384">
        <f t="shared" ref="C1952:C1965" si="32">C1951</f>
        <v>415655.1</v>
      </c>
      <c r="D1952" s="565">
        <v>200</v>
      </c>
    </row>
    <row r="1953" spans="1:4" x14ac:dyDescent="0.2">
      <c r="A1953" s="397">
        <v>45085</v>
      </c>
      <c r="B1953" s="384">
        <f t="shared" si="31"/>
        <v>412361.18</v>
      </c>
      <c r="C1953" s="384">
        <v>412161.18</v>
      </c>
      <c r="D1953" s="565">
        <v>200</v>
      </c>
    </row>
    <row r="1954" spans="1:4" x14ac:dyDescent="0.2">
      <c r="A1954" s="397">
        <v>45086</v>
      </c>
      <c r="B1954" s="384">
        <f t="shared" si="31"/>
        <v>411976.58</v>
      </c>
      <c r="C1954" s="384">
        <v>411776.58</v>
      </c>
      <c r="D1954" s="565">
        <v>200</v>
      </c>
    </row>
    <row r="1955" spans="1:4" x14ac:dyDescent="0.2">
      <c r="A1955" s="397">
        <v>45089</v>
      </c>
      <c r="B1955" s="384">
        <f t="shared" si="31"/>
        <v>412491.58</v>
      </c>
      <c r="C1955" s="384">
        <v>412291.58</v>
      </c>
      <c r="D1955" s="565">
        <v>200</v>
      </c>
    </row>
    <row r="1956" spans="1:4" x14ac:dyDescent="0.2">
      <c r="A1956" s="397">
        <v>45090</v>
      </c>
      <c r="B1956" s="384">
        <f t="shared" si="31"/>
        <v>412491.58</v>
      </c>
      <c r="C1956" s="384">
        <f t="shared" si="32"/>
        <v>412291.58</v>
      </c>
      <c r="D1956" s="565">
        <v>200</v>
      </c>
    </row>
    <row r="1957" spans="1:4" x14ac:dyDescent="0.2">
      <c r="A1957" s="397">
        <v>45091</v>
      </c>
      <c r="B1957" s="384">
        <f t="shared" si="31"/>
        <v>412491.58</v>
      </c>
      <c r="C1957" s="384">
        <f t="shared" si="32"/>
        <v>412291.58</v>
      </c>
      <c r="D1957" s="565">
        <v>200</v>
      </c>
    </row>
    <row r="1958" spans="1:4" x14ac:dyDescent="0.2">
      <c r="A1958" s="397">
        <v>45092</v>
      </c>
      <c r="B1958" s="384">
        <f t="shared" si="31"/>
        <v>421884.75</v>
      </c>
      <c r="C1958" s="384">
        <v>421684.75</v>
      </c>
      <c r="D1958" s="565">
        <v>200</v>
      </c>
    </row>
    <row r="1959" spans="1:4" x14ac:dyDescent="0.2">
      <c r="A1959" s="397">
        <v>45093</v>
      </c>
      <c r="B1959" s="384">
        <f t="shared" si="31"/>
        <v>421884.75</v>
      </c>
      <c r="C1959" s="384">
        <f t="shared" si="32"/>
        <v>421684.75</v>
      </c>
      <c r="D1959" s="565">
        <v>200</v>
      </c>
    </row>
    <row r="1960" spans="1:4" x14ac:dyDescent="0.2">
      <c r="A1960" s="397">
        <v>45096</v>
      </c>
      <c r="B1960" s="384">
        <f t="shared" si="31"/>
        <v>422030.75</v>
      </c>
      <c r="C1960" s="384">
        <v>421830.75</v>
      </c>
      <c r="D1960" s="565">
        <v>200</v>
      </c>
    </row>
    <row r="1961" spans="1:4" x14ac:dyDescent="0.2">
      <c r="A1961" s="397">
        <v>45097</v>
      </c>
      <c r="B1961" s="384">
        <f t="shared" si="31"/>
        <v>384440.18</v>
      </c>
      <c r="C1961" s="384">
        <v>384240.18</v>
      </c>
      <c r="D1961" s="565">
        <v>200</v>
      </c>
    </row>
    <row r="1962" spans="1:4" x14ac:dyDescent="0.2">
      <c r="A1962" s="397">
        <v>45098</v>
      </c>
      <c r="B1962" s="384">
        <f t="shared" si="31"/>
        <v>383701.41</v>
      </c>
      <c r="C1962" s="384">
        <v>383501.41</v>
      </c>
      <c r="D1962" s="565">
        <v>200</v>
      </c>
    </row>
    <row r="1963" spans="1:4" x14ac:dyDescent="0.2">
      <c r="A1963" s="397">
        <v>45099</v>
      </c>
      <c r="B1963" s="384">
        <f t="shared" si="31"/>
        <v>384859.49</v>
      </c>
      <c r="C1963" s="384">
        <v>384659.49</v>
      </c>
      <c r="D1963" s="565">
        <v>200</v>
      </c>
    </row>
    <row r="1964" spans="1:4" x14ac:dyDescent="0.2">
      <c r="A1964" s="397">
        <v>45100</v>
      </c>
      <c r="B1964" s="384">
        <f t="shared" si="31"/>
        <v>412308.62</v>
      </c>
      <c r="C1964" s="384">
        <v>412108.62</v>
      </c>
      <c r="D1964" s="565">
        <v>200</v>
      </c>
    </row>
    <row r="1965" spans="1:4" x14ac:dyDescent="0.2">
      <c r="A1965" s="397">
        <v>45103</v>
      </c>
      <c r="B1965" s="384">
        <f t="shared" si="31"/>
        <v>412308.62</v>
      </c>
      <c r="C1965" s="384">
        <f t="shared" si="32"/>
        <v>412108.62</v>
      </c>
      <c r="D1965" s="565">
        <v>200</v>
      </c>
    </row>
    <row r="1966" spans="1:4" x14ac:dyDescent="0.2">
      <c r="A1966" s="397">
        <v>45104</v>
      </c>
      <c r="B1966" s="384">
        <f t="shared" si="31"/>
        <v>412282.92</v>
      </c>
      <c r="C1966" s="384">
        <v>412082.92</v>
      </c>
      <c r="D1966" s="565">
        <v>200</v>
      </c>
    </row>
    <row r="1967" spans="1:4" x14ac:dyDescent="0.2">
      <c r="A1967" s="397">
        <v>45105</v>
      </c>
      <c r="B1967" s="384">
        <f t="shared" si="31"/>
        <v>402422.58</v>
      </c>
      <c r="C1967" s="384">
        <v>402222.58</v>
      </c>
      <c r="D1967" s="565">
        <v>200</v>
      </c>
    </row>
    <row r="1968" spans="1:4" x14ac:dyDescent="0.2">
      <c r="A1968" s="397">
        <v>45106</v>
      </c>
      <c r="B1968" s="384">
        <f t="shared" si="31"/>
        <v>402266.7</v>
      </c>
      <c r="C1968" s="384">
        <v>402066.7</v>
      </c>
      <c r="D1968" s="565">
        <v>200</v>
      </c>
    </row>
    <row r="1969" spans="1:4" x14ac:dyDescent="0.2">
      <c r="A1969" s="397">
        <v>45107</v>
      </c>
      <c r="B1969" s="384">
        <f t="shared" si="31"/>
        <v>407981.99</v>
      </c>
      <c r="C1969" s="384">
        <v>407781.99</v>
      </c>
      <c r="D1969" s="565">
        <v>200</v>
      </c>
    </row>
    <row r="1970" spans="1:4" x14ac:dyDescent="0.2">
      <c r="A1970" s="397">
        <v>45110</v>
      </c>
      <c r="B1970" s="384">
        <f t="shared" ref="B1970:B2016" si="33">C1970+D1970</f>
        <v>373219.37</v>
      </c>
      <c r="C1970" s="384">
        <v>373019.37</v>
      </c>
      <c r="D1970" s="565">
        <v>200</v>
      </c>
    </row>
    <row r="1971" spans="1:4" x14ac:dyDescent="0.2">
      <c r="A1971" s="397">
        <v>45111</v>
      </c>
      <c r="B1971" s="384">
        <f t="shared" si="33"/>
        <v>373219.37</v>
      </c>
      <c r="C1971" s="384">
        <f>C1970</f>
        <v>373019.37</v>
      </c>
      <c r="D1971" s="565">
        <v>200</v>
      </c>
    </row>
    <row r="1972" spans="1:4" x14ac:dyDescent="0.2">
      <c r="A1972" s="397">
        <v>45112</v>
      </c>
      <c r="B1972" s="384">
        <f t="shared" si="33"/>
        <v>373219.37</v>
      </c>
      <c r="C1972" s="384">
        <f t="shared" ref="C1972:C2023" si="34">C1971</f>
        <v>373019.37</v>
      </c>
      <c r="D1972" s="565">
        <v>200</v>
      </c>
    </row>
    <row r="1973" spans="1:4" x14ac:dyDescent="0.2">
      <c r="A1973" s="397">
        <v>45113</v>
      </c>
      <c r="B1973" s="384">
        <f t="shared" si="33"/>
        <v>376696.27</v>
      </c>
      <c r="C1973" s="384">
        <v>376496.27</v>
      </c>
      <c r="D1973" s="565">
        <v>200</v>
      </c>
    </row>
    <row r="1974" spans="1:4" x14ac:dyDescent="0.2">
      <c r="A1974" s="397">
        <v>45114</v>
      </c>
      <c r="B1974" s="384">
        <f t="shared" si="33"/>
        <v>376906.67</v>
      </c>
      <c r="C1974" s="384">
        <v>376706.67</v>
      </c>
      <c r="D1974" s="565">
        <v>200</v>
      </c>
    </row>
    <row r="1975" spans="1:4" x14ac:dyDescent="0.2">
      <c r="A1975" s="397">
        <v>45117</v>
      </c>
      <c r="B1975" s="384">
        <f t="shared" si="33"/>
        <v>377111.67</v>
      </c>
      <c r="C1975" s="384">
        <v>376911.67</v>
      </c>
      <c r="D1975" s="565">
        <v>200</v>
      </c>
    </row>
    <row r="1976" spans="1:4" x14ac:dyDescent="0.2">
      <c r="A1976" s="397">
        <v>45118</v>
      </c>
      <c r="B1976" s="384">
        <f t="shared" si="33"/>
        <v>378617.91</v>
      </c>
      <c r="C1976" s="384">
        <v>378417.91</v>
      </c>
      <c r="D1976" s="565">
        <v>200</v>
      </c>
    </row>
    <row r="1977" spans="1:4" x14ac:dyDescent="0.2">
      <c r="A1977" s="397">
        <v>45119</v>
      </c>
      <c r="B1977" s="384">
        <f t="shared" si="33"/>
        <v>378999.91</v>
      </c>
      <c r="C1977" s="384">
        <v>378799.91</v>
      </c>
      <c r="D1977" s="565">
        <v>200</v>
      </c>
    </row>
    <row r="1978" spans="1:4" x14ac:dyDescent="0.2">
      <c r="A1978" s="397">
        <v>45120</v>
      </c>
      <c r="B1978" s="384">
        <f t="shared" si="33"/>
        <v>399013.52</v>
      </c>
      <c r="C1978" s="384">
        <v>398813.52</v>
      </c>
      <c r="D1978" s="565">
        <v>200</v>
      </c>
    </row>
    <row r="1979" spans="1:4" x14ac:dyDescent="0.2">
      <c r="A1979" s="397">
        <v>45121</v>
      </c>
      <c r="B1979" s="384">
        <f t="shared" si="33"/>
        <v>399052</v>
      </c>
      <c r="C1979" s="384">
        <v>398852</v>
      </c>
      <c r="D1979" s="565">
        <v>200</v>
      </c>
    </row>
    <row r="1980" spans="1:4" x14ac:dyDescent="0.2">
      <c r="A1980" s="397">
        <v>45124</v>
      </c>
      <c r="B1980" s="384">
        <f t="shared" si="33"/>
        <v>398802</v>
      </c>
      <c r="C1980" s="384">
        <v>398602</v>
      </c>
      <c r="D1980" s="565">
        <v>200</v>
      </c>
    </row>
    <row r="1981" spans="1:4" x14ac:dyDescent="0.2">
      <c r="A1981" s="397">
        <v>45125</v>
      </c>
      <c r="B1981" s="384">
        <f t="shared" si="33"/>
        <v>415884.95</v>
      </c>
      <c r="C1981" s="384">
        <v>415684.95</v>
      </c>
      <c r="D1981" s="565">
        <v>200</v>
      </c>
    </row>
    <row r="1982" spans="1:4" x14ac:dyDescent="0.2">
      <c r="A1982" s="397">
        <v>45126</v>
      </c>
      <c r="B1982" s="384">
        <f t="shared" si="33"/>
        <v>416084.95</v>
      </c>
      <c r="C1982" s="384">
        <v>415884.95</v>
      </c>
      <c r="D1982" s="565">
        <v>200</v>
      </c>
    </row>
    <row r="1983" spans="1:4" x14ac:dyDescent="0.2">
      <c r="A1983" s="397">
        <v>45127</v>
      </c>
      <c r="B1983" s="384">
        <f t="shared" si="33"/>
        <v>409180.98</v>
      </c>
      <c r="C1983" s="384">
        <v>408980.98</v>
      </c>
      <c r="D1983" s="565">
        <v>200</v>
      </c>
    </row>
    <row r="1984" spans="1:4" x14ac:dyDescent="0.2">
      <c r="A1984" s="397">
        <v>45128</v>
      </c>
      <c r="B1984" s="384">
        <f t="shared" si="33"/>
        <v>411006.01</v>
      </c>
      <c r="C1984" s="384">
        <v>410806.01</v>
      </c>
      <c r="D1984" s="565">
        <v>200</v>
      </c>
    </row>
    <row r="1985" spans="1:4" x14ac:dyDescent="0.2">
      <c r="A1985" s="397">
        <v>45131</v>
      </c>
      <c r="B1985" s="384">
        <f t="shared" si="33"/>
        <v>411445.54</v>
      </c>
      <c r="C1985" s="384">
        <v>411245.54</v>
      </c>
      <c r="D1985" s="565">
        <v>200</v>
      </c>
    </row>
    <row r="1986" spans="1:4" x14ac:dyDescent="0.2">
      <c r="A1986" s="397">
        <v>45132</v>
      </c>
      <c r="B1986" s="384">
        <f t="shared" si="33"/>
        <v>412425.15</v>
      </c>
      <c r="C1986" s="384">
        <v>412225.15</v>
      </c>
      <c r="D1986" s="565">
        <v>200</v>
      </c>
    </row>
    <row r="1987" spans="1:4" x14ac:dyDescent="0.2">
      <c r="A1987" s="397">
        <v>45133</v>
      </c>
      <c r="B1987" s="384">
        <f t="shared" si="33"/>
        <v>412425.15</v>
      </c>
      <c r="C1987" s="384">
        <f t="shared" si="34"/>
        <v>412225.15</v>
      </c>
      <c r="D1987" s="565">
        <v>200</v>
      </c>
    </row>
    <row r="1988" spans="1:4" x14ac:dyDescent="0.2">
      <c r="A1988" s="397">
        <v>45134</v>
      </c>
      <c r="B1988" s="384">
        <f t="shared" si="33"/>
        <v>387088.04</v>
      </c>
      <c r="C1988" s="384">
        <v>386888.04</v>
      </c>
      <c r="D1988" s="565">
        <v>200</v>
      </c>
    </row>
    <row r="1989" spans="1:4" x14ac:dyDescent="0.2">
      <c r="A1989" s="397">
        <v>45135</v>
      </c>
      <c r="B1989" s="384">
        <f t="shared" si="33"/>
        <v>405857.22</v>
      </c>
      <c r="C1989" s="384">
        <v>405657.22</v>
      </c>
      <c r="D1989" s="565">
        <v>200</v>
      </c>
    </row>
    <row r="1990" spans="1:4" x14ac:dyDescent="0.2">
      <c r="A1990" s="397">
        <v>45138</v>
      </c>
      <c r="B1990" s="384">
        <f t="shared" si="33"/>
        <v>404076.54</v>
      </c>
      <c r="C1990" s="384">
        <v>403876.54</v>
      </c>
      <c r="D1990" s="565">
        <v>200</v>
      </c>
    </row>
    <row r="1991" spans="1:4" x14ac:dyDescent="0.2">
      <c r="A1991" s="397">
        <v>45139</v>
      </c>
      <c r="B1991" s="384">
        <f t="shared" si="33"/>
        <v>390920.58</v>
      </c>
      <c r="C1991" s="384">
        <v>390720.58</v>
      </c>
      <c r="D1991" s="565">
        <v>200</v>
      </c>
    </row>
    <row r="1992" spans="1:4" x14ac:dyDescent="0.2">
      <c r="A1992" s="397">
        <v>45140</v>
      </c>
      <c r="B1992" s="384">
        <f t="shared" si="33"/>
        <v>390920.58</v>
      </c>
      <c r="C1992" s="384">
        <f t="shared" si="34"/>
        <v>390720.58</v>
      </c>
      <c r="D1992" s="565">
        <v>200</v>
      </c>
    </row>
    <row r="1993" spans="1:4" x14ac:dyDescent="0.2">
      <c r="A1993" s="397">
        <v>45141</v>
      </c>
      <c r="B1993" s="384">
        <f t="shared" si="33"/>
        <v>386738.53</v>
      </c>
      <c r="C1993" s="384">
        <v>386538.53</v>
      </c>
      <c r="D1993" s="565">
        <v>200</v>
      </c>
    </row>
    <row r="1994" spans="1:4" x14ac:dyDescent="0.2">
      <c r="A1994" s="397">
        <v>45142</v>
      </c>
      <c r="B1994" s="384">
        <f t="shared" si="33"/>
        <v>384493.66</v>
      </c>
      <c r="C1994" s="384">
        <v>384293.66</v>
      </c>
      <c r="D1994" s="565">
        <v>200</v>
      </c>
    </row>
    <row r="1995" spans="1:4" x14ac:dyDescent="0.2">
      <c r="A1995" s="397">
        <v>45145</v>
      </c>
      <c r="B1995" s="384">
        <f t="shared" si="33"/>
        <v>385493.66</v>
      </c>
      <c r="C1995" s="384">
        <v>385293.66</v>
      </c>
      <c r="D1995" s="565">
        <v>200</v>
      </c>
    </row>
    <row r="1996" spans="1:4" x14ac:dyDescent="0.2">
      <c r="A1996" s="397">
        <v>45146</v>
      </c>
      <c r="B1996" s="384">
        <f t="shared" si="33"/>
        <v>385493.66</v>
      </c>
      <c r="C1996" s="384">
        <f t="shared" si="34"/>
        <v>385293.66</v>
      </c>
      <c r="D1996" s="565">
        <v>200</v>
      </c>
    </row>
    <row r="1997" spans="1:4" x14ac:dyDescent="0.2">
      <c r="A1997" s="397">
        <v>45147</v>
      </c>
      <c r="B1997" s="384">
        <f t="shared" si="33"/>
        <v>385493.66</v>
      </c>
      <c r="C1997" s="384">
        <f t="shared" si="34"/>
        <v>385293.66</v>
      </c>
      <c r="D1997" s="565">
        <v>200</v>
      </c>
    </row>
    <row r="1998" spans="1:4" x14ac:dyDescent="0.2">
      <c r="A1998" s="397">
        <v>45148</v>
      </c>
      <c r="B1998" s="384">
        <f t="shared" si="33"/>
        <v>385493.66</v>
      </c>
      <c r="C1998" s="384">
        <f t="shared" si="34"/>
        <v>385293.66</v>
      </c>
      <c r="D1998" s="565">
        <v>200</v>
      </c>
    </row>
    <row r="1999" spans="1:4" x14ac:dyDescent="0.2">
      <c r="A1999" s="397">
        <v>45149</v>
      </c>
      <c r="B1999" s="384">
        <f t="shared" si="33"/>
        <v>386021.66</v>
      </c>
      <c r="C1999" s="384">
        <v>385821.66</v>
      </c>
      <c r="D1999" s="565">
        <v>200</v>
      </c>
    </row>
    <row r="2000" spans="1:4" x14ac:dyDescent="0.2">
      <c r="A2000" s="397">
        <v>45152</v>
      </c>
      <c r="B2000" s="384">
        <f t="shared" si="33"/>
        <v>406742.83</v>
      </c>
      <c r="C2000" s="384">
        <v>406542.83</v>
      </c>
      <c r="D2000" s="565">
        <v>200</v>
      </c>
    </row>
    <row r="2001" spans="1:4" x14ac:dyDescent="0.2">
      <c r="A2001" s="397">
        <v>45153</v>
      </c>
      <c r="B2001" s="384">
        <f t="shared" si="33"/>
        <v>370565.1</v>
      </c>
      <c r="C2001" s="384">
        <v>370365.1</v>
      </c>
      <c r="D2001" s="565">
        <v>200</v>
      </c>
    </row>
    <row r="2002" spans="1:4" x14ac:dyDescent="0.2">
      <c r="A2002" s="397">
        <v>45154</v>
      </c>
      <c r="B2002" s="384">
        <f t="shared" si="33"/>
        <v>370565.1</v>
      </c>
      <c r="C2002" s="384">
        <f t="shared" si="34"/>
        <v>370365.1</v>
      </c>
      <c r="D2002" s="565">
        <v>200</v>
      </c>
    </row>
    <row r="2003" spans="1:4" x14ac:dyDescent="0.2">
      <c r="A2003" s="397">
        <v>45155</v>
      </c>
      <c r="B2003" s="384">
        <f t="shared" si="33"/>
        <v>396789.54</v>
      </c>
      <c r="C2003" s="384">
        <v>396589.54</v>
      </c>
      <c r="D2003" s="565">
        <v>200</v>
      </c>
    </row>
    <row r="2004" spans="1:4" x14ac:dyDescent="0.2">
      <c r="A2004" s="397">
        <v>45156</v>
      </c>
      <c r="B2004" s="384">
        <f t="shared" si="33"/>
        <v>396404.94</v>
      </c>
      <c r="C2004" s="384">
        <v>396204.94</v>
      </c>
      <c r="D2004" s="565">
        <v>200</v>
      </c>
    </row>
    <row r="2005" spans="1:4" x14ac:dyDescent="0.2">
      <c r="A2005" s="397">
        <v>45159</v>
      </c>
      <c r="B2005" s="384">
        <f t="shared" si="33"/>
        <v>394335.05</v>
      </c>
      <c r="C2005" s="384">
        <v>394135.05</v>
      </c>
      <c r="D2005" s="565">
        <v>200</v>
      </c>
    </row>
    <row r="2006" spans="1:4" x14ac:dyDescent="0.2">
      <c r="A2006" s="397">
        <v>45160</v>
      </c>
      <c r="B2006" s="384">
        <f t="shared" si="33"/>
        <v>394335.05</v>
      </c>
      <c r="C2006" s="384">
        <f t="shared" si="34"/>
        <v>394135.05</v>
      </c>
      <c r="D2006" s="565">
        <v>200</v>
      </c>
    </row>
    <row r="2007" spans="1:4" x14ac:dyDescent="0.2">
      <c r="A2007" s="397">
        <v>45161</v>
      </c>
      <c r="B2007" s="384">
        <f t="shared" si="33"/>
        <v>394359.06</v>
      </c>
      <c r="C2007" s="384">
        <v>394159.06</v>
      </c>
      <c r="D2007" s="565">
        <v>200</v>
      </c>
    </row>
    <row r="2008" spans="1:4" x14ac:dyDescent="0.2">
      <c r="A2008" s="397">
        <v>45162</v>
      </c>
      <c r="B2008" s="384">
        <f t="shared" si="33"/>
        <v>388296.14</v>
      </c>
      <c r="C2008" s="384">
        <v>388096.14</v>
      </c>
      <c r="D2008" s="565">
        <v>200</v>
      </c>
    </row>
    <row r="2009" spans="1:4" x14ac:dyDescent="0.2">
      <c r="A2009" s="397">
        <v>45163</v>
      </c>
      <c r="B2009" s="384">
        <f t="shared" si="33"/>
        <v>388621.14</v>
      </c>
      <c r="C2009" s="384">
        <v>388421.14</v>
      </c>
      <c r="D2009" s="565">
        <v>200</v>
      </c>
    </row>
    <row r="2010" spans="1:4" x14ac:dyDescent="0.2">
      <c r="A2010" s="397">
        <v>45164</v>
      </c>
      <c r="B2010" s="384">
        <f t="shared" si="33"/>
        <v>388621.14</v>
      </c>
      <c r="C2010" s="384">
        <f t="shared" si="34"/>
        <v>388421.14</v>
      </c>
      <c r="D2010" s="565">
        <v>200</v>
      </c>
    </row>
    <row r="2011" spans="1:4" x14ac:dyDescent="0.2">
      <c r="A2011" s="397">
        <v>45165</v>
      </c>
      <c r="B2011" s="384">
        <f t="shared" si="33"/>
        <v>388621.14</v>
      </c>
      <c r="C2011" s="384">
        <f t="shared" si="34"/>
        <v>388421.14</v>
      </c>
      <c r="D2011" s="565">
        <v>200</v>
      </c>
    </row>
    <row r="2012" spans="1:4" x14ac:dyDescent="0.2">
      <c r="A2012" s="397">
        <v>45166</v>
      </c>
      <c r="B2012" s="384">
        <f t="shared" si="33"/>
        <v>350982.96</v>
      </c>
      <c r="C2012" s="384">
        <v>350782.96</v>
      </c>
      <c r="D2012" s="565">
        <v>200</v>
      </c>
    </row>
    <row r="2013" spans="1:4" x14ac:dyDescent="0.2">
      <c r="A2013" s="397">
        <v>45167</v>
      </c>
      <c r="B2013" s="384">
        <f t="shared" si="33"/>
        <v>451232.96</v>
      </c>
      <c r="C2013" s="384">
        <v>451032.96</v>
      </c>
      <c r="D2013" s="565">
        <v>200</v>
      </c>
    </row>
    <row r="2014" spans="1:4" x14ac:dyDescent="0.2">
      <c r="A2014" s="397">
        <v>45168</v>
      </c>
      <c r="B2014" s="384">
        <f t="shared" si="33"/>
        <v>499724.02</v>
      </c>
      <c r="C2014" s="384">
        <v>499524.02</v>
      </c>
      <c r="D2014" s="565">
        <v>200</v>
      </c>
    </row>
    <row r="2015" spans="1:4" x14ac:dyDescent="0.2">
      <c r="A2015" s="397">
        <v>45169</v>
      </c>
      <c r="B2015" s="384">
        <f t="shared" si="33"/>
        <v>519129.97</v>
      </c>
      <c r="C2015" s="384">
        <v>518929.97</v>
      </c>
      <c r="D2015" s="565">
        <v>200</v>
      </c>
    </row>
    <row r="2016" spans="1:4" x14ac:dyDescent="0.2">
      <c r="A2016" s="397">
        <v>45170</v>
      </c>
      <c r="B2016" s="384">
        <f t="shared" si="33"/>
        <v>494825.52</v>
      </c>
      <c r="C2016" s="384">
        <v>494625.52</v>
      </c>
      <c r="D2016" s="565">
        <v>200</v>
      </c>
    </row>
    <row r="2017" spans="1:4" x14ac:dyDescent="0.2">
      <c r="A2017" s="397">
        <v>45171</v>
      </c>
      <c r="B2017" s="384">
        <f t="shared" ref="B2017:B2023" si="35">C2017+D2017</f>
        <v>494825.52</v>
      </c>
      <c r="C2017" s="384">
        <f t="shared" si="34"/>
        <v>494625.52</v>
      </c>
      <c r="D2017" s="565">
        <v>200</v>
      </c>
    </row>
    <row r="2018" spans="1:4" x14ac:dyDescent="0.2">
      <c r="A2018" s="397">
        <v>45172</v>
      </c>
      <c r="B2018" s="384">
        <f t="shared" si="35"/>
        <v>494825.52</v>
      </c>
      <c r="C2018" s="384">
        <f t="shared" si="34"/>
        <v>494625.52</v>
      </c>
      <c r="D2018" s="565">
        <v>200</v>
      </c>
    </row>
    <row r="2019" spans="1:4" x14ac:dyDescent="0.2">
      <c r="A2019" s="397">
        <v>45173</v>
      </c>
      <c r="B2019" s="384">
        <f t="shared" si="35"/>
        <v>494825.52</v>
      </c>
      <c r="C2019" s="384">
        <f t="shared" si="34"/>
        <v>494625.52</v>
      </c>
      <c r="D2019" s="565">
        <v>200</v>
      </c>
    </row>
    <row r="2020" spans="1:4" x14ac:dyDescent="0.2">
      <c r="A2020" s="397">
        <v>45174</v>
      </c>
      <c r="B2020" s="384">
        <f t="shared" si="35"/>
        <v>494875.52</v>
      </c>
      <c r="C2020" s="384">
        <v>494675.52</v>
      </c>
      <c r="D2020" s="565">
        <v>200</v>
      </c>
    </row>
    <row r="2021" spans="1:4" x14ac:dyDescent="0.2">
      <c r="A2021" s="397">
        <v>45175</v>
      </c>
      <c r="B2021" s="384">
        <f t="shared" si="35"/>
        <v>492868.56</v>
      </c>
      <c r="C2021" s="384">
        <v>492668.56</v>
      </c>
      <c r="D2021" s="565">
        <v>200</v>
      </c>
    </row>
    <row r="2022" spans="1:4" x14ac:dyDescent="0.2">
      <c r="A2022" s="397">
        <v>45176</v>
      </c>
      <c r="B2022" s="384">
        <f t="shared" si="35"/>
        <v>492868.56</v>
      </c>
      <c r="C2022" s="384">
        <f t="shared" si="34"/>
        <v>492668.56</v>
      </c>
      <c r="D2022" s="565">
        <v>200</v>
      </c>
    </row>
    <row r="2023" spans="1:4" x14ac:dyDescent="0.2">
      <c r="A2023" s="397">
        <v>45177</v>
      </c>
      <c r="B2023" s="384">
        <f t="shared" si="35"/>
        <v>492868.56</v>
      </c>
      <c r="C2023" s="384">
        <f t="shared" si="34"/>
        <v>492668.56</v>
      </c>
      <c r="D2023" s="565">
        <v>200</v>
      </c>
    </row>
    <row r="2024" spans="1:4" x14ac:dyDescent="0.2">
      <c r="A2024" s="397">
        <v>45180</v>
      </c>
      <c r="B2024" s="384">
        <f t="shared" ref="B2024:B2060" si="36">C2024+D2024</f>
        <v>494218.56</v>
      </c>
      <c r="C2024" s="384">
        <v>494018.56</v>
      </c>
      <c r="D2024" s="565">
        <v>200</v>
      </c>
    </row>
    <row r="2025" spans="1:4" x14ac:dyDescent="0.2">
      <c r="A2025" s="397">
        <v>45181</v>
      </c>
      <c r="B2025" s="384">
        <f t="shared" si="36"/>
        <v>452326.96</v>
      </c>
      <c r="C2025" s="384">
        <v>452126.96</v>
      </c>
      <c r="D2025" s="565">
        <v>200</v>
      </c>
    </row>
    <row r="2026" spans="1:4" x14ac:dyDescent="0.2">
      <c r="A2026" s="397">
        <v>45182</v>
      </c>
      <c r="B2026" s="384">
        <f t="shared" si="36"/>
        <v>475248.53</v>
      </c>
      <c r="C2026" s="384">
        <v>475048.53</v>
      </c>
      <c r="D2026" s="565">
        <v>200</v>
      </c>
    </row>
    <row r="2027" spans="1:4" x14ac:dyDescent="0.2">
      <c r="A2027" s="397">
        <v>45183</v>
      </c>
      <c r="B2027" s="384">
        <f t="shared" si="36"/>
        <v>485579.7</v>
      </c>
      <c r="C2027" s="384">
        <v>485379.7</v>
      </c>
      <c r="D2027" s="565">
        <v>200</v>
      </c>
    </row>
    <row r="2028" spans="1:4" x14ac:dyDescent="0.2">
      <c r="A2028" s="397">
        <v>45184</v>
      </c>
      <c r="B2028" s="384">
        <f t="shared" si="36"/>
        <v>483237.86</v>
      </c>
      <c r="C2028" s="384">
        <v>483037.86</v>
      </c>
      <c r="D2028" s="565">
        <v>200</v>
      </c>
    </row>
    <row r="2029" spans="1:4" x14ac:dyDescent="0.2">
      <c r="A2029" s="397">
        <v>45187</v>
      </c>
      <c r="B2029" s="384">
        <f t="shared" si="36"/>
        <v>482174.8</v>
      </c>
      <c r="C2029" s="384">
        <v>481974.8</v>
      </c>
      <c r="D2029" s="565">
        <v>200</v>
      </c>
    </row>
    <row r="2030" spans="1:4" x14ac:dyDescent="0.2">
      <c r="A2030" s="397">
        <v>45188</v>
      </c>
      <c r="B2030" s="384">
        <f t="shared" si="36"/>
        <v>482199.8</v>
      </c>
      <c r="C2030" s="384">
        <v>481999.8</v>
      </c>
      <c r="D2030" s="565">
        <v>200</v>
      </c>
    </row>
    <row r="2031" spans="1:4" x14ac:dyDescent="0.2">
      <c r="A2031" s="397">
        <v>45189</v>
      </c>
      <c r="B2031" s="384">
        <f t="shared" si="36"/>
        <v>479406.91</v>
      </c>
      <c r="C2031" s="384">
        <v>479206.91</v>
      </c>
      <c r="D2031" s="565">
        <v>200</v>
      </c>
    </row>
    <row r="2032" spans="1:4" x14ac:dyDescent="0.2">
      <c r="A2032" s="397">
        <v>45190</v>
      </c>
      <c r="B2032" s="384">
        <f t="shared" si="36"/>
        <v>470500.67</v>
      </c>
      <c r="C2032" s="384">
        <v>470300.67</v>
      </c>
      <c r="D2032" s="565">
        <v>200</v>
      </c>
    </row>
    <row r="2033" spans="1:4" x14ac:dyDescent="0.2">
      <c r="A2033" s="397">
        <v>45191</v>
      </c>
      <c r="B2033" s="384">
        <f t="shared" si="36"/>
        <v>472716.17</v>
      </c>
      <c r="C2033" s="384">
        <v>472516.17</v>
      </c>
      <c r="D2033" s="565">
        <v>200</v>
      </c>
    </row>
    <row r="2034" spans="1:4" x14ac:dyDescent="0.2">
      <c r="A2034" s="397">
        <v>45194</v>
      </c>
      <c r="B2034" s="384">
        <f t="shared" si="36"/>
        <v>433269.34</v>
      </c>
      <c r="C2034" s="384">
        <v>433069.34</v>
      </c>
      <c r="D2034" s="565">
        <v>200</v>
      </c>
    </row>
    <row r="2035" spans="1:4" x14ac:dyDescent="0.2">
      <c r="A2035" s="397">
        <v>45195</v>
      </c>
      <c r="B2035" s="384">
        <f t="shared" si="36"/>
        <v>433243.64</v>
      </c>
      <c r="C2035" s="384">
        <v>433043.64</v>
      </c>
      <c r="D2035" s="565">
        <v>200</v>
      </c>
    </row>
    <row r="2036" spans="1:4" x14ac:dyDescent="0.2">
      <c r="A2036" s="397">
        <v>45196</v>
      </c>
      <c r="B2036" s="384">
        <f t="shared" si="36"/>
        <v>469337.63</v>
      </c>
      <c r="C2036" s="384">
        <v>469137.63</v>
      </c>
      <c r="D2036" s="565">
        <v>200</v>
      </c>
    </row>
    <row r="2037" spans="1:4" x14ac:dyDescent="0.2">
      <c r="A2037" s="397">
        <v>45197</v>
      </c>
      <c r="B2037" s="384">
        <f t="shared" si="36"/>
        <v>469337.63</v>
      </c>
      <c r="C2037" s="384">
        <f t="shared" ref="C2037:C2099" si="37">C2036</f>
        <v>469137.63</v>
      </c>
      <c r="D2037" s="565">
        <v>200</v>
      </c>
    </row>
    <row r="2038" spans="1:4" x14ac:dyDescent="0.2">
      <c r="A2038" s="397">
        <v>45198</v>
      </c>
      <c r="B2038" s="384">
        <f t="shared" si="36"/>
        <v>468953.03</v>
      </c>
      <c r="C2038" s="384">
        <v>468753.03</v>
      </c>
      <c r="D2038" s="565">
        <v>200</v>
      </c>
    </row>
    <row r="2039" spans="1:4" x14ac:dyDescent="0.2">
      <c r="A2039" s="397">
        <v>45201</v>
      </c>
      <c r="B2039" s="384">
        <f t="shared" si="36"/>
        <v>459905.29</v>
      </c>
      <c r="C2039" s="384">
        <v>459705.29</v>
      </c>
      <c r="D2039" s="565">
        <v>200</v>
      </c>
    </row>
    <row r="2040" spans="1:4" x14ac:dyDescent="0.2">
      <c r="A2040" s="397">
        <v>45202</v>
      </c>
      <c r="B2040" s="384">
        <f t="shared" si="36"/>
        <v>459905.29</v>
      </c>
      <c r="C2040" s="384">
        <f t="shared" si="37"/>
        <v>459705.29</v>
      </c>
      <c r="D2040" s="565">
        <v>200</v>
      </c>
    </row>
    <row r="2041" spans="1:4" x14ac:dyDescent="0.2">
      <c r="A2041" s="397">
        <v>45203</v>
      </c>
      <c r="B2041" s="384">
        <f t="shared" si="36"/>
        <v>459905.29</v>
      </c>
      <c r="C2041" s="384">
        <f t="shared" si="37"/>
        <v>459705.29</v>
      </c>
      <c r="D2041" s="565">
        <v>200</v>
      </c>
    </row>
    <row r="2042" spans="1:4" x14ac:dyDescent="0.2">
      <c r="A2042" s="397">
        <v>45204</v>
      </c>
      <c r="B2042" s="384">
        <f t="shared" si="36"/>
        <v>459905.29</v>
      </c>
      <c r="C2042" s="384">
        <f t="shared" si="37"/>
        <v>459705.29</v>
      </c>
      <c r="D2042" s="565">
        <v>200</v>
      </c>
    </row>
    <row r="2043" spans="1:4" x14ac:dyDescent="0.2">
      <c r="A2043" s="397">
        <v>45205</v>
      </c>
      <c r="B2043" s="384">
        <f t="shared" si="36"/>
        <v>459905.29</v>
      </c>
      <c r="C2043" s="384">
        <f t="shared" si="37"/>
        <v>459705.29</v>
      </c>
      <c r="D2043" s="565">
        <v>200</v>
      </c>
    </row>
    <row r="2044" spans="1:4" x14ac:dyDescent="0.2">
      <c r="A2044" s="397">
        <v>45208</v>
      </c>
      <c r="B2044" s="384">
        <f t="shared" si="36"/>
        <v>459905.29</v>
      </c>
      <c r="C2044" s="384">
        <f t="shared" si="37"/>
        <v>459705.29</v>
      </c>
      <c r="D2044" s="565">
        <v>200</v>
      </c>
    </row>
    <row r="2045" spans="1:4" x14ac:dyDescent="0.2">
      <c r="A2045" s="397">
        <v>45209</v>
      </c>
      <c r="B2045" s="384">
        <f t="shared" si="36"/>
        <v>423446.93</v>
      </c>
      <c r="C2045" s="384">
        <v>423246.93</v>
      </c>
      <c r="D2045" s="565">
        <v>200</v>
      </c>
    </row>
    <row r="2046" spans="1:4" x14ac:dyDescent="0.2">
      <c r="A2046" s="397">
        <v>45210</v>
      </c>
      <c r="B2046" s="384">
        <f t="shared" si="36"/>
        <v>423446.93</v>
      </c>
      <c r="C2046" s="384">
        <f t="shared" si="37"/>
        <v>423246.93</v>
      </c>
      <c r="D2046" s="565">
        <v>200</v>
      </c>
    </row>
    <row r="2047" spans="1:4" x14ac:dyDescent="0.2">
      <c r="A2047" s="397">
        <v>45211</v>
      </c>
      <c r="B2047" s="384">
        <f t="shared" si="36"/>
        <v>407711.69</v>
      </c>
      <c r="C2047" s="384">
        <v>407511.69</v>
      </c>
      <c r="D2047" s="565">
        <v>200</v>
      </c>
    </row>
    <row r="2048" spans="1:4" x14ac:dyDescent="0.2">
      <c r="A2048" s="397">
        <v>45212</v>
      </c>
      <c r="B2048" s="384">
        <f t="shared" si="36"/>
        <v>407733.05</v>
      </c>
      <c r="C2048" s="384">
        <v>407533.05</v>
      </c>
      <c r="D2048" s="565">
        <v>200</v>
      </c>
    </row>
    <row r="2049" spans="1:4" x14ac:dyDescent="0.2">
      <c r="A2049" s="397">
        <v>45215</v>
      </c>
      <c r="B2049" s="384">
        <f t="shared" si="36"/>
        <v>409787.27</v>
      </c>
      <c r="C2049" s="384">
        <v>409587.27</v>
      </c>
      <c r="D2049" s="565">
        <v>200</v>
      </c>
    </row>
    <row r="2050" spans="1:4" x14ac:dyDescent="0.2">
      <c r="A2050" s="397">
        <v>45216</v>
      </c>
      <c r="B2050" s="384">
        <f t="shared" si="36"/>
        <v>409787.27</v>
      </c>
      <c r="C2050" s="384">
        <f t="shared" si="37"/>
        <v>409587.27</v>
      </c>
      <c r="D2050" s="565">
        <v>200</v>
      </c>
    </row>
    <row r="2051" spans="1:4" x14ac:dyDescent="0.2">
      <c r="A2051" s="397">
        <v>45217</v>
      </c>
      <c r="B2051" s="384">
        <f t="shared" si="36"/>
        <v>410017.27</v>
      </c>
      <c r="C2051" s="384">
        <v>409817.27</v>
      </c>
      <c r="D2051" s="565">
        <v>200</v>
      </c>
    </row>
    <row r="2052" spans="1:4" x14ac:dyDescent="0.2">
      <c r="A2052" s="397">
        <v>45218</v>
      </c>
      <c r="B2052" s="384">
        <f t="shared" si="36"/>
        <v>418625.7</v>
      </c>
      <c r="C2052" s="384">
        <v>418425.7</v>
      </c>
      <c r="D2052" s="565">
        <v>200</v>
      </c>
    </row>
    <row r="2053" spans="1:4" x14ac:dyDescent="0.2">
      <c r="A2053" s="397">
        <v>45219</v>
      </c>
      <c r="B2053" s="384">
        <f t="shared" si="36"/>
        <v>418550.7</v>
      </c>
      <c r="C2053" s="384">
        <v>418350.7</v>
      </c>
      <c r="D2053" s="565">
        <v>200</v>
      </c>
    </row>
    <row r="2054" spans="1:4" x14ac:dyDescent="0.2">
      <c r="A2054" s="397">
        <v>45222</v>
      </c>
      <c r="B2054" s="384">
        <f t="shared" si="36"/>
        <v>381523.11</v>
      </c>
      <c r="C2054" s="384">
        <v>381323.11</v>
      </c>
      <c r="D2054" s="565">
        <v>200</v>
      </c>
    </row>
    <row r="2055" spans="1:4" x14ac:dyDescent="0.2">
      <c r="A2055" s="397">
        <v>45223</v>
      </c>
      <c r="B2055" s="384">
        <f t="shared" si="36"/>
        <v>381523.11</v>
      </c>
      <c r="C2055" s="384">
        <f t="shared" si="37"/>
        <v>381323.11</v>
      </c>
      <c r="D2055" s="565">
        <v>200</v>
      </c>
    </row>
    <row r="2056" spans="1:4" x14ac:dyDescent="0.2">
      <c r="A2056" s="397">
        <v>45224</v>
      </c>
      <c r="B2056" s="384">
        <f t="shared" si="36"/>
        <v>381523.11</v>
      </c>
      <c r="C2056" s="384">
        <f t="shared" si="37"/>
        <v>381323.11</v>
      </c>
      <c r="D2056" s="565">
        <v>200</v>
      </c>
    </row>
    <row r="2057" spans="1:4" x14ac:dyDescent="0.2">
      <c r="A2057" s="397">
        <v>45225</v>
      </c>
      <c r="B2057" s="384">
        <f t="shared" si="36"/>
        <v>381909.52</v>
      </c>
      <c r="C2057" s="384">
        <v>381709.52</v>
      </c>
      <c r="D2057" s="565">
        <v>200</v>
      </c>
    </row>
    <row r="2058" spans="1:4" x14ac:dyDescent="0.2">
      <c r="A2058" s="397">
        <v>45226</v>
      </c>
      <c r="B2058" s="384">
        <f t="shared" si="36"/>
        <v>381524.92</v>
      </c>
      <c r="C2058" s="384">
        <v>381324.92</v>
      </c>
      <c r="D2058" s="565">
        <v>200</v>
      </c>
    </row>
    <row r="2059" spans="1:4" x14ac:dyDescent="0.2">
      <c r="A2059" s="397">
        <v>45229</v>
      </c>
      <c r="B2059" s="384">
        <f t="shared" si="36"/>
        <v>381524.92</v>
      </c>
      <c r="C2059" s="384">
        <f t="shared" si="37"/>
        <v>381324.92</v>
      </c>
      <c r="D2059" s="565">
        <v>200</v>
      </c>
    </row>
    <row r="2060" spans="1:4" x14ac:dyDescent="0.2">
      <c r="A2060" s="397">
        <v>45230</v>
      </c>
      <c r="B2060" s="384">
        <f t="shared" si="36"/>
        <v>403601.43</v>
      </c>
      <c r="C2060" s="384">
        <v>403401.43</v>
      </c>
      <c r="D2060" s="565">
        <v>200</v>
      </c>
    </row>
    <row r="2061" spans="1:4" x14ac:dyDescent="0.2">
      <c r="A2061" s="397">
        <v>45231</v>
      </c>
      <c r="B2061" s="384">
        <f t="shared" ref="B2061:B2103" si="38">C2061+D2061</f>
        <v>403601.43</v>
      </c>
      <c r="C2061" s="384">
        <f t="shared" si="37"/>
        <v>403401.43</v>
      </c>
      <c r="D2061" s="565">
        <v>200</v>
      </c>
    </row>
    <row r="2062" spans="1:4" x14ac:dyDescent="0.2">
      <c r="A2062" s="397">
        <v>45232</v>
      </c>
      <c r="B2062" s="384">
        <f t="shared" si="38"/>
        <v>388696.73</v>
      </c>
      <c r="C2062" s="384">
        <v>388496.73</v>
      </c>
      <c r="D2062" s="565">
        <v>200</v>
      </c>
    </row>
    <row r="2063" spans="1:4" x14ac:dyDescent="0.2">
      <c r="A2063" s="397">
        <v>45233</v>
      </c>
      <c r="B2063" s="384">
        <f t="shared" si="38"/>
        <v>388696.73</v>
      </c>
      <c r="C2063" s="384">
        <f t="shared" si="37"/>
        <v>388496.73</v>
      </c>
      <c r="D2063" s="565">
        <v>200</v>
      </c>
    </row>
    <row r="2064" spans="1:4" x14ac:dyDescent="0.2">
      <c r="A2064" s="397">
        <v>45236</v>
      </c>
      <c r="B2064" s="384">
        <f t="shared" si="38"/>
        <v>354074.98</v>
      </c>
      <c r="C2064" s="384">
        <v>353874.98</v>
      </c>
      <c r="D2064" s="565">
        <v>200</v>
      </c>
    </row>
    <row r="2065" spans="1:4" x14ac:dyDescent="0.2">
      <c r="A2065" s="397">
        <v>45237</v>
      </c>
      <c r="B2065" s="384">
        <f t="shared" si="38"/>
        <v>354074.98</v>
      </c>
      <c r="C2065" s="384">
        <f t="shared" si="37"/>
        <v>353874.98</v>
      </c>
      <c r="D2065" s="565">
        <v>200</v>
      </c>
    </row>
    <row r="2066" spans="1:4" x14ac:dyDescent="0.2">
      <c r="A2066" s="397">
        <v>45238</v>
      </c>
      <c r="B2066" s="384">
        <f t="shared" si="38"/>
        <v>412115.27</v>
      </c>
      <c r="C2066" s="384">
        <v>411915.27</v>
      </c>
      <c r="D2066" s="565">
        <v>200</v>
      </c>
    </row>
    <row r="2067" spans="1:4" x14ac:dyDescent="0.2">
      <c r="A2067" s="397">
        <v>45239</v>
      </c>
      <c r="B2067" s="384">
        <f t="shared" si="38"/>
        <v>421170.44</v>
      </c>
      <c r="C2067" s="384">
        <v>420970.44</v>
      </c>
      <c r="D2067" s="565">
        <v>200</v>
      </c>
    </row>
    <row r="2068" spans="1:4" x14ac:dyDescent="0.2">
      <c r="A2068" s="397">
        <v>45240</v>
      </c>
      <c r="B2068" s="384">
        <f t="shared" si="38"/>
        <v>443466.68</v>
      </c>
      <c r="C2068" s="384">
        <v>443266.68</v>
      </c>
      <c r="D2068" s="565">
        <v>200</v>
      </c>
    </row>
    <row r="2069" spans="1:4" x14ac:dyDescent="0.2">
      <c r="A2069" s="397">
        <v>45243</v>
      </c>
      <c r="B2069" s="384">
        <f t="shared" si="38"/>
        <v>443466.68</v>
      </c>
      <c r="C2069" s="384">
        <f t="shared" si="37"/>
        <v>443266.68</v>
      </c>
      <c r="D2069" s="565">
        <v>200</v>
      </c>
    </row>
    <row r="2070" spans="1:4" x14ac:dyDescent="0.2">
      <c r="A2070" s="397">
        <v>45244</v>
      </c>
      <c r="B2070" s="384">
        <f t="shared" si="38"/>
        <v>443467.28</v>
      </c>
      <c r="C2070" s="384">
        <v>443267.28</v>
      </c>
      <c r="D2070" s="565">
        <v>200</v>
      </c>
    </row>
    <row r="2071" spans="1:4" x14ac:dyDescent="0.2">
      <c r="A2071" s="397">
        <v>45245</v>
      </c>
      <c r="B2071" s="384">
        <f t="shared" si="38"/>
        <v>467133.83</v>
      </c>
      <c r="C2071" s="384">
        <v>466933.83</v>
      </c>
      <c r="D2071" s="565">
        <v>200</v>
      </c>
    </row>
    <row r="2072" spans="1:4" x14ac:dyDescent="0.2">
      <c r="A2072" s="397">
        <v>45246</v>
      </c>
      <c r="B2072" s="384">
        <f t="shared" si="38"/>
        <v>457231.63</v>
      </c>
      <c r="C2072" s="384">
        <v>457031.63</v>
      </c>
      <c r="D2072" s="565">
        <v>200</v>
      </c>
    </row>
    <row r="2073" spans="1:4" x14ac:dyDescent="0.2">
      <c r="A2073" s="397">
        <v>45247</v>
      </c>
      <c r="B2073" s="384">
        <f t="shared" si="38"/>
        <v>457180.17</v>
      </c>
      <c r="C2073" s="384">
        <v>456980.17</v>
      </c>
      <c r="D2073" s="565">
        <v>200</v>
      </c>
    </row>
    <row r="2074" spans="1:4" x14ac:dyDescent="0.2">
      <c r="A2074" s="397">
        <v>45250</v>
      </c>
      <c r="B2074" s="384">
        <f t="shared" si="38"/>
        <v>413685.69</v>
      </c>
      <c r="C2074" s="384">
        <v>413485.69</v>
      </c>
      <c r="D2074" s="565">
        <v>200</v>
      </c>
    </row>
    <row r="2075" spans="1:4" x14ac:dyDescent="0.2">
      <c r="A2075" s="397">
        <v>45251</v>
      </c>
      <c r="B2075" s="384">
        <f t="shared" si="38"/>
        <v>413685.69</v>
      </c>
      <c r="C2075" s="384">
        <f t="shared" si="37"/>
        <v>413485.69</v>
      </c>
      <c r="D2075" s="565">
        <v>200</v>
      </c>
    </row>
    <row r="2076" spans="1:4" x14ac:dyDescent="0.2">
      <c r="A2076" s="397">
        <v>45252</v>
      </c>
      <c r="B2076" s="384">
        <f t="shared" si="38"/>
        <v>414169.69</v>
      </c>
      <c r="C2076" s="384">
        <v>413969.69</v>
      </c>
      <c r="D2076" s="565">
        <v>200</v>
      </c>
    </row>
    <row r="2077" spans="1:4" x14ac:dyDescent="0.2">
      <c r="A2077" s="397">
        <v>45253</v>
      </c>
      <c r="B2077" s="384">
        <f t="shared" si="38"/>
        <v>414169.69</v>
      </c>
      <c r="C2077" s="384">
        <f t="shared" si="37"/>
        <v>413969.69</v>
      </c>
      <c r="D2077" s="565">
        <v>200</v>
      </c>
    </row>
    <row r="2078" spans="1:4" x14ac:dyDescent="0.2">
      <c r="A2078" s="397">
        <v>45254</v>
      </c>
      <c r="B2078" s="384">
        <f t="shared" si="38"/>
        <v>413785.09</v>
      </c>
      <c r="C2078" s="384">
        <v>413585.09</v>
      </c>
      <c r="D2078" s="565">
        <v>200</v>
      </c>
    </row>
    <row r="2079" spans="1:4" x14ac:dyDescent="0.2">
      <c r="A2079" s="397">
        <v>45257</v>
      </c>
      <c r="B2079" s="384">
        <f t="shared" si="38"/>
        <v>413785.09</v>
      </c>
      <c r="C2079" s="384">
        <f t="shared" si="37"/>
        <v>413585.09</v>
      </c>
      <c r="D2079" s="565">
        <v>200</v>
      </c>
    </row>
    <row r="2080" spans="1:4" x14ac:dyDescent="0.2">
      <c r="A2080" s="397">
        <v>45258</v>
      </c>
      <c r="B2080" s="384">
        <f t="shared" si="38"/>
        <v>413647.44</v>
      </c>
      <c r="C2080" s="384">
        <v>413447.44</v>
      </c>
      <c r="D2080" s="565">
        <v>200</v>
      </c>
    </row>
    <row r="2081" spans="1:4" x14ac:dyDescent="0.2">
      <c r="A2081" s="397">
        <v>45259</v>
      </c>
      <c r="B2081" s="384">
        <f t="shared" si="38"/>
        <v>413647.44</v>
      </c>
      <c r="C2081" s="384">
        <f t="shared" si="37"/>
        <v>413447.44</v>
      </c>
      <c r="D2081" s="565">
        <v>200</v>
      </c>
    </row>
    <row r="2082" spans="1:4" x14ac:dyDescent="0.2">
      <c r="A2082" s="397">
        <v>45260</v>
      </c>
      <c r="B2082" s="384">
        <f t="shared" si="38"/>
        <v>456909.26</v>
      </c>
      <c r="C2082" s="384">
        <v>456709.26</v>
      </c>
      <c r="D2082" s="565">
        <v>200</v>
      </c>
    </row>
    <row r="2083" spans="1:4" x14ac:dyDescent="0.2">
      <c r="A2083" s="397">
        <v>45261</v>
      </c>
      <c r="B2083" s="384">
        <f t="shared" si="38"/>
        <v>456909.26</v>
      </c>
      <c r="C2083" s="384">
        <f t="shared" si="37"/>
        <v>456709.26</v>
      </c>
      <c r="D2083" s="565">
        <v>200</v>
      </c>
    </row>
    <row r="2084" spans="1:4" x14ac:dyDescent="0.2">
      <c r="A2084" s="397">
        <v>45264</v>
      </c>
      <c r="B2084" s="384">
        <f t="shared" si="38"/>
        <v>420452.25</v>
      </c>
      <c r="C2084" s="384">
        <v>420252.25</v>
      </c>
      <c r="D2084" s="565">
        <v>200</v>
      </c>
    </row>
    <row r="2085" spans="1:4" x14ac:dyDescent="0.2">
      <c r="A2085" s="397">
        <v>45265</v>
      </c>
      <c r="B2085" s="384">
        <f t="shared" si="38"/>
        <v>420452.25</v>
      </c>
      <c r="C2085" s="384">
        <f t="shared" si="37"/>
        <v>420252.25</v>
      </c>
      <c r="D2085" s="565">
        <v>200</v>
      </c>
    </row>
    <row r="2086" spans="1:4" x14ac:dyDescent="0.2">
      <c r="A2086" s="397">
        <v>45266</v>
      </c>
      <c r="B2086" s="384">
        <f t="shared" si="38"/>
        <v>545432.25</v>
      </c>
      <c r="C2086" s="384">
        <v>545232.25</v>
      </c>
      <c r="D2086" s="565">
        <v>200</v>
      </c>
    </row>
    <row r="2087" spans="1:4" x14ac:dyDescent="0.2">
      <c r="A2087" s="397">
        <v>45267</v>
      </c>
      <c r="B2087" s="384">
        <f t="shared" si="38"/>
        <v>545590.84</v>
      </c>
      <c r="C2087" s="384">
        <v>545390.84</v>
      </c>
      <c r="D2087" s="565">
        <v>200</v>
      </c>
    </row>
    <row r="2088" spans="1:4" x14ac:dyDescent="0.2">
      <c r="A2088" s="397">
        <v>45268</v>
      </c>
      <c r="B2088" s="384">
        <f t="shared" si="38"/>
        <v>525679.43000000005</v>
      </c>
      <c r="C2088" s="384">
        <v>525479.43000000005</v>
      </c>
      <c r="D2088" s="565">
        <v>200</v>
      </c>
    </row>
    <row r="2089" spans="1:4" x14ac:dyDescent="0.2">
      <c r="A2089" s="397">
        <v>45271</v>
      </c>
      <c r="B2089" s="384">
        <f t="shared" si="38"/>
        <v>545765.34</v>
      </c>
      <c r="C2089" s="384">
        <v>545565.34</v>
      </c>
      <c r="D2089" s="565">
        <v>200</v>
      </c>
    </row>
    <row r="2090" spans="1:4" x14ac:dyDescent="0.2">
      <c r="A2090" s="397">
        <v>45272</v>
      </c>
      <c r="B2090" s="384">
        <f t="shared" si="38"/>
        <v>546390.34</v>
      </c>
      <c r="C2090" s="384">
        <v>546190.34</v>
      </c>
      <c r="D2090" s="565">
        <v>200</v>
      </c>
    </row>
    <row r="2091" spans="1:4" x14ac:dyDescent="0.2">
      <c r="A2091" s="397">
        <v>45273</v>
      </c>
      <c r="B2091" s="384">
        <f t="shared" si="38"/>
        <v>546489.65</v>
      </c>
      <c r="C2091" s="384">
        <v>546289.65</v>
      </c>
      <c r="D2091" s="565">
        <v>200</v>
      </c>
    </row>
    <row r="2092" spans="1:4" x14ac:dyDescent="0.2">
      <c r="A2092" s="397">
        <v>45274</v>
      </c>
      <c r="B2092" s="384">
        <f t="shared" si="38"/>
        <v>540866.25</v>
      </c>
      <c r="C2092" s="384">
        <v>540666.25</v>
      </c>
      <c r="D2092" s="565">
        <v>200</v>
      </c>
    </row>
    <row r="2093" spans="1:4" x14ac:dyDescent="0.2">
      <c r="A2093" s="397">
        <v>45275</v>
      </c>
      <c r="B2093" s="384">
        <f t="shared" si="38"/>
        <v>540913.56000000006</v>
      </c>
      <c r="C2093" s="384">
        <v>540713.56000000006</v>
      </c>
      <c r="D2093" s="565">
        <v>200</v>
      </c>
    </row>
    <row r="2094" spans="1:4" x14ac:dyDescent="0.2">
      <c r="A2094" s="397">
        <v>45278</v>
      </c>
      <c r="B2094" s="384">
        <f t="shared" si="38"/>
        <v>533274.25</v>
      </c>
      <c r="C2094" s="384">
        <v>533074.25</v>
      </c>
      <c r="D2094" s="565">
        <v>200</v>
      </c>
    </row>
    <row r="2095" spans="1:4" x14ac:dyDescent="0.2">
      <c r="A2095" s="397">
        <v>45279</v>
      </c>
      <c r="B2095" s="384">
        <f t="shared" si="38"/>
        <v>618886.13</v>
      </c>
      <c r="C2095" s="384">
        <v>618686.13</v>
      </c>
      <c r="D2095" s="565">
        <v>200</v>
      </c>
    </row>
    <row r="2096" spans="1:4" x14ac:dyDescent="0.2">
      <c r="A2096" s="397">
        <v>45280</v>
      </c>
      <c r="B2096" s="384">
        <f t="shared" si="38"/>
        <v>614102.62</v>
      </c>
      <c r="C2096" s="384">
        <v>613902.62</v>
      </c>
      <c r="D2096" s="565">
        <v>200</v>
      </c>
    </row>
    <row r="2097" spans="1:4" x14ac:dyDescent="0.2">
      <c r="A2097" s="397">
        <v>45281</v>
      </c>
      <c r="B2097" s="384">
        <f t="shared" si="38"/>
        <v>624405.25</v>
      </c>
      <c r="C2097" s="384">
        <v>624205.25</v>
      </c>
      <c r="D2097" s="565">
        <v>200</v>
      </c>
    </row>
    <row r="2098" spans="1:4" x14ac:dyDescent="0.2">
      <c r="A2098" s="397">
        <v>45282</v>
      </c>
      <c r="B2098" s="384">
        <f t="shared" si="38"/>
        <v>626377.68000000005</v>
      </c>
      <c r="C2098" s="384">
        <v>626177.68000000005</v>
      </c>
      <c r="D2098" s="565">
        <v>200</v>
      </c>
    </row>
    <row r="2099" spans="1:4" x14ac:dyDescent="0.2">
      <c r="A2099" s="397">
        <v>45285</v>
      </c>
      <c r="B2099" s="384">
        <f t="shared" si="38"/>
        <v>626377.68000000005</v>
      </c>
      <c r="C2099" s="384">
        <f t="shared" si="37"/>
        <v>626177.68000000005</v>
      </c>
      <c r="D2099" s="565">
        <v>200</v>
      </c>
    </row>
    <row r="2100" spans="1:4" x14ac:dyDescent="0.2">
      <c r="A2100" s="397">
        <v>45286</v>
      </c>
      <c r="B2100" s="384">
        <f t="shared" si="38"/>
        <v>643671.14</v>
      </c>
      <c r="C2100" s="384">
        <v>643471.14</v>
      </c>
      <c r="D2100" s="565">
        <v>200</v>
      </c>
    </row>
    <row r="2101" spans="1:4" x14ac:dyDescent="0.2">
      <c r="A2101" s="397">
        <v>45287</v>
      </c>
      <c r="B2101" s="384">
        <f t="shared" si="38"/>
        <v>644766.57999999996</v>
      </c>
      <c r="C2101" s="384">
        <v>644566.57999999996</v>
      </c>
      <c r="D2101" s="565">
        <v>200</v>
      </c>
    </row>
    <row r="2102" spans="1:4" x14ac:dyDescent="0.2">
      <c r="A2102" s="397">
        <v>45288</v>
      </c>
      <c r="B2102" s="384">
        <f t="shared" si="38"/>
        <v>638881.80000000005</v>
      </c>
      <c r="C2102" s="384">
        <v>638681.80000000005</v>
      </c>
      <c r="D2102" s="565">
        <v>200</v>
      </c>
    </row>
    <row r="2103" spans="1:4" x14ac:dyDescent="0.2">
      <c r="A2103" s="397">
        <v>45289</v>
      </c>
      <c r="B2103" s="425">
        <f t="shared" si="38"/>
        <v>661874.81999999995</v>
      </c>
      <c r="C2103" s="384">
        <v>661674.81999999995</v>
      </c>
      <c r="D2103" s="565">
        <v>200</v>
      </c>
    </row>
    <row r="2104" spans="1:4" x14ac:dyDescent="0.2">
      <c r="A2104" s="397">
        <v>45290</v>
      </c>
      <c r="B2104" s="384">
        <f t="shared" ref="B2104:B2148" si="39">C2104+D2104</f>
        <v>661874.81999999995</v>
      </c>
      <c r="C2104" s="384">
        <f t="shared" ref="C2104:C2156" si="40">C2103</f>
        <v>661674.81999999995</v>
      </c>
      <c r="D2104" s="565">
        <v>200</v>
      </c>
    </row>
    <row r="2105" spans="1:4" x14ac:dyDescent="0.2">
      <c r="A2105" s="397">
        <v>45291</v>
      </c>
      <c r="B2105" s="384">
        <f t="shared" si="39"/>
        <v>661874.81999999995</v>
      </c>
      <c r="C2105" s="384">
        <f t="shared" si="40"/>
        <v>661674.81999999995</v>
      </c>
      <c r="D2105" s="565">
        <v>200</v>
      </c>
    </row>
    <row r="2106" spans="1:4" x14ac:dyDescent="0.2">
      <c r="A2106" s="397">
        <v>45292</v>
      </c>
      <c r="B2106" s="384">
        <f t="shared" si="39"/>
        <v>661874.81999999995</v>
      </c>
      <c r="C2106" s="384">
        <f t="shared" si="40"/>
        <v>661674.81999999995</v>
      </c>
      <c r="D2106" s="565">
        <v>200</v>
      </c>
    </row>
    <row r="2107" spans="1:4" x14ac:dyDescent="0.2">
      <c r="A2107" s="397">
        <v>45293</v>
      </c>
      <c r="B2107" s="384">
        <f t="shared" si="39"/>
        <v>612116.59</v>
      </c>
      <c r="C2107" s="384">
        <v>611916.59</v>
      </c>
      <c r="D2107" s="565">
        <v>200</v>
      </c>
    </row>
    <row r="2108" spans="1:4" x14ac:dyDescent="0.2">
      <c r="A2108" s="397">
        <v>45294</v>
      </c>
      <c r="B2108" s="384">
        <f t="shared" si="39"/>
        <v>611802.93999999994</v>
      </c>
      <c r="C2108" s="384">
        <v>611602.93999999994</v>
      </c>
      <c r="D2108" s="565">
        <v>200</v>
      </c>
    </row>
    <row r="2109" spans="1:4" x14ac:dyDescent="0.2">
      <c r="A2109" s="397">
        <v>45295</v>
      </c>
      <c r="B2109" s="384">
        <f t="shared" si="39"/>
        <v>611802.93999999994</v>
      </c>
      <c r="C2109" s="384">
        <f t="shared" si="40"/>
        <v>611602.93999999994</v>
      </c>
      <c r="D2109" s="565">
        <v>200</v>
      </c>
    </row>
    <row r="2110" spans="1:4" x14ac:dyDescent="0.2">
      <c r="A2110" s="397">
        <v>45296</v>
      </c>
      <c r="B2110" s="384">
        <f t="shared" si="39"/>
        <v>611802.93999999994</v>
      </c>
      <c r="C2110" s="384">
        <f t="shared" si="40"/>
        <v>611602.93999999994</v>
      </c>
      <c r="D2110" s="565">
        <v>200</v>
      </c>
    </row>
    <row r="2111" spans="1:4" x14ac:dyDescent="0.2">
      <c r="A2111" s="397">
        <v>45299</v>
      </c>
      <c r="B2111" s="384">
        <f t="shared" si="39"/>
        <v>597286.13</v>
      </c>
      <c r="C2111" s="384">
        <v>597086.13</v>
      </c>
      <c r="D2111" s="565">
        <v>200</v>
      </c>
    </row>
    <row r="2112" spans="1:4" x14ac:dyDescent="0.2">
      <c r="A2112" s="397">
        <v>45300</v>
      </c>
      <c r="B2112" s="384">
        <f t="shared" si="39"/>
        <v>597286.13</v>
      </c>
      <c r="C2112" s="384">
        <f t="shared" si="40"/>
        <v>597086.13</v>
      </c>
      <c r="D2112" s="565">
        <v>200</v>
      </c>
    </row>
    <row r="2113" spans="1:4" x14ac:dyDescent="0.2">
      <c r="A2113" s="397">
        <v>45301</v>
      </c>
      <c r="B2113" s="384">
        <f t="shared" si="39"/>
        <v>597286.13</v>
      </c>
      <c r="C2113" s="384">
        <f t="shared" si="40"/>
        <v>597086.13</v>
      </c>
      <c r="D2113" s="565">
        <v>200</v>
      </c>
    </row>
    <row r="2114" spans="1:4" x14ac:dyDescent="0.2">
      <c r="A2114" s="397">
        <v>45302</v>
      </c>
      <c r="B2114" s="384">
        <f t="shared" si="39"/>
        <v>608030.19999999995</v>
      </c>
      <c r="C2114" s="384">
        <v>607830.19999999995</v>
      </c>
      <c r="D2114" s="565">
        <v>200</v>
      </c>
    </row>
    <row r="2115" spans="1:4" x14ac:dyDescent="0.2">
      <c r="A2115" s="397">
        <v>45303</v>
      </c>
      <c r="B2115" s="384">
        <f t="shared" si="39"/>
        <v>608078.04</v>
      </c>
      <c r="C2115" s="384">
        <v>607878.04</v>
      </c>
      <c r="D2115" s="565">
        <v>200</v>
      </c>
    </row>
    <row r="2116" spans="1:4" x14ac:dyDescent="0.2">
      <c r="A2116" s="397">
        <v>45306</v>
      </c>
      <c r="B2116" s="384">
        <f t="shared" si="39"/>
        <v>608078.04</v>
      </c>
      <c r="C2116" s="384">
        <f t="shared" si="40"/>
        <v>607878.04</v>
      </c>
      <c r="D2116" s="565">
        <v>200</v>
      </c>
    </row>
    <row r="2117" spans="1:4" x14ac:dyDescent="0.2">
      <c r="A2117" s="397">
        <v>45307</v>
      </c>
      <c r="B2117" s="384">
        <f t="shared" si="39"/>
        <v>586838.57999999996</v>
      </c>
      <c r="C2117" s="384">
        <v>586638.57999999996</v>
      </c>
      <c r="D2117" s="565">
        <v>200</v>
      </c>
    </row>
    <row r="2118" spans="1:4" x14ac:dyDescent="0.2">
      <c r="A2118" s="397">
        <v>45308</v>
      </c>
      <c r="B2118" s="384">
        <f t="shared" si="39"/>
        <v>582760.27</v>
      </c>
      <c r="C2118" s="384">
        <v>582560.27</v>
      </c>
      <c r="D2118" s="565">
        <v>200</v>
      </c>
    </row>
    <row r="2119" spans="1:4" x14ac:dyDescent="0.2">
      <c r="A2119" s="397">
        <v>45309</v>
      </c>
      <c r="B2119" s="384">
        <f t="shared" si="39"/>
        <v>591268.14</v>
      </c>
      <c r="C2119" s="384">
        <v>591068.14</v>
      </c>
      <c r="D2119" s="565">
        <v>200</v>
      </c>
    </row>
    <row r="2120" spans="1:4" x14ac:dyDescent="0.2">
      <c r="A2120" s="397">
        <v>45310</v>
      </c>
      <c r="B2120" s="384">
        <f t="shared" si="39"/>
        <v>606839.55000000005</v>
      </c>
      <c r="C2120" s="384">
        <v>606639.55000000005</v>
      </c>
      <c r="D2120" s="565">
        <v>200</v>
      </c>
    </row>
    <row r="2121" spans="1:4" x14ac:dyDescent="0.2">
      <c r="A2121" s="397">
        <v>45313</v>
      </c>
      <c r="B2121" s="384">
        <f t="shared" si="39"/>
        <v>594580.53</v>
      </c>
      <c r="C2121" s="384">
        <v>594380.53</v>
      </c>
      <c r="D2121" s="565">
        <v>200</v>
      </c>
    </row>
    <row r="2122" spans="1:4" x14ac:dyDescent="0.2">
      <c r="A2122" s="397">
        <v>45314</v>
      </c>
      <c r="B2122" s="384">
        <f t="shared" si="39"/>
        <v>593705.04</v>
      </c>
      <c r="C2122" s="384">
        <v>593505.04</v>
      </c>
      <c r="D2122" s="565">
        <v>200</v>
      </c>
    </row>
    <row r="2123" spans="1:4" x14ac:dyDescent="0.2">
      <c r="A2123" s="397">
        <v>45315</v>
      </c>
      <c r="B2123" s="384">
        <f t="shared" si="39"/>
        <v>593705.04</v>
      </c>
      <c r="C2123" s="384">
        <f t="shared" si="40"/>
        <v>593505.04</v>
      </c>
      <c r="D2123" s="565">
        <v>200</v>
      </c>
    </row>
    <row r="2124" spans="1:4" x14ac:dyDescent="0.2">
      <c r="A2124" s="397">
        <v>45316</v>
      </c>
      <c r="B2124" s="384">
        <f t="shared" si="39"/>
        <v>587304.93000000005</v>
      </c>
      <c r="C2124" s="384">
        <v>587104.93000000005</v>
      </c>
      <c r="D2124" s="565">
        <v>200</v>
      </c>
    </row>
    <row r="2125" spans="1:4" x14ac:dyDescent="0.2">
      <c r="A2125" s="397">
        <v>45317</v>
      </c>
      <c r="B2125" s="384">
        <f t="shared" si="39"/>
        <v>587269.94999999995</v>
      </c>
      <c r="C2125" s="384">
        <v>587069.94999999995</v>
      </c>
      <c r="D2125" s="565">
        <v>200</v>
      </c>
    </row>
    <row r="2126" spans="1:4" x14ac:dyDescent="0.2">
      <c r="A2126" s="397">
        <v>45320</v>
      </c>
      <c r="B2126" s="384">
        <f t="shared" si="39"/>
        <v>586679.74</v>
      </c>
      <c r="C2126" s="384">
        <v>586479.74</v>
      </c>
      <c r="D2126" s="565">
        <v>200</v>
      </c>
    </row>
    <row r="2127" spans="1:4" x14ac:dyDescent="0.2">
      <c r="A2127" s="397">
        <v>45321</v>
      </c>
      <c r="B2127" s="384">
        <f t="shared" si="39"/>
        <v>553504.59</v>
      </c>
      <c r="C2127" s="384">
        <v>553304.59</v>
      </c>
      <c r="D2127" s="565">
        <v>200</v>
      </c>
    </row>
    <row r="2128" spans="1:4" x14ac:dyDescent="0.2">
      <c r="A2128" s="397">
        <v>45322</v>
      </c>
      <c r="B2128" s="384">
        <f t="shared" si="39"/>
        <v>553504.59</v>
      </c>
      <c r="C2128" s="384">
        <f t="shared" si="40"/>
        <v>553304.59</v>
      </c>
      <c r="D2128" s="565">
        <v>200</v>
      </c>
    </row>
    <row r="2129" spans="1:4" x14ac:dyDescent="0.2">
      <c r="A2129" s="397">
        <v>45323</v>
      </c>
      <c r="B2129" s="384">
        <f t="shared" si="39"/>
        <v>553504.59</v>
      </c>
      <c r="C2129" s="384">
        <f t="shared" si="40"/>
        <v>553304.59</v>
      </c>
      <c r="D2129" s="565">
        <v>200</v>
      </c>
    </row>
    <row r="2130" spans="1:4" x14ac:dyDescent="0.2">
      <c r="A2130" s="397">
        <v>45324</v>
      </c>
      <c r="B2130" s="384">
        <f t="shared" si="39"/>
        <v>592925.96</v>
      </c>
      <c r="C2130" s="384">
        <v>592725.96</v>
      </c>
      <c r="D2130" s="565">
        <v>200</v>
      </c>
    </row>
    <row r="2131" spans="1:4" x14ac:dyDescent="0.2">
      <c r="A2131" s="397">
        <v>45327</v>
      </c>
      <c r="B2131" s="384">
        <f t="shared" si="39"/>
        <v>579325.18999999994</v>
      </c>
      <c r="C2131" s="384">
        <v>579125.18999999994</v>
      </c>
      <c r="D2131" s="565">
        <v>200</v>
      </c>
    </row>
    <row r="2132" spans="1:4" x14ac:dyDescent="0.2">
      <c r="A2132" s="397">
        <v>45328</v>
      </c>
      <c r="B2132" s="384">
        <f t="shared" si="39"/>
        <v>579515.18999999994</v>
      </c>
      <c r="C2132" s="384">
        <v>579315.18999999994</v>
      </c>
      <c r="D2132" s="565">
        <v>200</v>
      </c>
    </row>
    <row r="2133" spans="1:4" x14ac:dyDescent="0.2">
      <c r="A2133" s="397">
        <v>45329</v>
      </c>
      <c r="B2133" s="384">
        <f t="shared" si="39"/>
        <v>580657.82999999996</v>
      </c>
      <c r="C2133" s="384">
        <v>580457.82999999996</v>
      </c>
      <c r="D2133" s="565">
        <v>200</v>
      </c>
    </row>
    <row r="2134" spans="1:4" x14ac:dyDescent="0.2">
      <c r="A2134" s="397">
        <v>45330</v>
      </c>
      <c r="B2134" s="384">
        <f t="shared" si="39"/>
        <v>579328.14</v>
      </c>
      <c r="C2134" s="384">
        <v>579128.14</v>
      </c>
      <c r="D2134" s="565">
        <v>200</v>
      </c>
    </row>
    <row r="2135" spans="1:4" x14ac:dyDescent="0.2">
      <c r="A2135" s="397">
        <v>45331</v>
      </c>
      <c r="B2135" s="384">
        <f t="shared" si="39"/>
        <v>579328.14</v>
      </c>
      <c r="C2135" s="384">
        <f t="shared" si="40"/>
        <v>579128.14</v>
      </c>
      <c r="D2135" s="565">
        <v>200</v>
      </c>
    </row>
    <row r="2136" spans="1:4" x14ac:dyDescent="0.2">
      <c r="A2136" s="397">
        <v>45334</v>
      </c>
      <c r="B2136" s="384">
        <f t="shared" si="39"/>
        <v>543891.63</v>
      </c>
      <c r="C2136" s="384">
        <v>543691.63</v>
      </c>
      <c r="D2136" s="565">
        <v>200</v>
      </c>
    </row>
    <row r="2137" spans="1:4" x14ac:dyDescent="0.2">
      <c r="A2137" s="397">
        <v>45335</v>
      </c>
      <c r="B2137" s="384">
        <f t="shared" si="39"/>
        <v>543891.63</v>
      </c>
      <c r="C2137" s="384">
        <f t="shared" si="40"/>
        <v>543691.63</v>
      </c>
      <c r="D2137" s="565">
        <v>200</v>
      </c>
    </row>
    <row r="2138" spans="1:4" x14ac:dyDescent="0.2">
      <c r="A2138" s="397">
        <v>45336</v>
      </c>
      <c r="B2138" s="384">
        <f t="shared" si="39"/>
        <v>579929.61</v>
      </c>
      <c r="C2138" s="384">
        <v>579729.61</v>
      </c>
      <c r="D2138" s="565">
        <v>200</v>
      </c>
    </row>
    <row r="2139" spans="1:4" x14ac:dyDescent="0.2">
      <c r="A2139" s="397">
        <v>45337</v>
      </c>
      <c r="B2139" s="384">
        <f t="shared" si="39"/>
        <v>566140.77</v>
      </c>
      <c r="C2139" s="384">
        <v>565940.77</v>
      </c>
      <c r="D2139" s="565">
        <v>200</v>
      </c>
    </row>
    <row r="2140" spans="1:4" x14ac:dyDescent="0.2">
      <c r="A2140" s="397">
        <v>45338</v>
      </c>
      <c r="B2140" s="384">
        <f t="shared" si="39"/>
        <v>566424.71</v>
      </c>
      <c r="C2140" s="384">
        <v>566224.71</v>
      </c>
      <c r="D2140" s="565">
        <v>200</v>
      </c>
    </row>
    <row r="2141" spans="1:4" x14ac:dyDescent="0.2">
      <c r="A2141" s="397">
        <v>45341</v>
      </c>
      <c r="B2141" s="384">
        <f t="shared" si="39"/>
        <v>566424.71</v>
      </c>
      <c r="C2141" s="384">
        <f t="shared" si="40"/>
        <v>566224.71</v>
      </c>
      <c r="D2141" s="565">
        <v>200</v>
      </c>
    </row>
    <row r="2142" spans="1:4" x14ac:dyDescent="0.2">
      <c r="A2142" s="397">
        <v>45342</v>
      </c>
      <c r="B2142" s="384">
        <f t="shared" si="39"/>
        <v>585835.32999999996</v>
      </c>
      <c r="C2142" s="384">
        <v>585635.32999999996</v>
      </c>
      <c r="D2142" s="565">
        <v>200</v>
      </c>
    </row>
    <row r="2143" spans="1:4" x14ac:dyDescent="0.2">
      <c r="A2143" s="397">
        <v>45343</v>
      </c>
      <c r="B2143" s="384">
        <f t="shared" si="39"/>
        <v>585835.32999999996</v>
      </c>
      <c r="C2143" s="384">
        <f t="shared" si="40"/>
        <v>585635.32999999996</v>
      </c>
      <c r="D2143" s="565">
        <v>200</v>
      </c>
    </row>
    <row r="2144" spans="1:4" x14ac:dyDescent="0.2">
      <c r="A2144" s="397">
        <v>45344</v>
      </c>
      <c r="B2144" s="384">
        <f t="shared" si="39"/>
        <v>587749.09</v>
      </c>
      <c r="C2144" s="384">
        <v>587549.09</v>
      </c>
      <c r="D2144" s="565">
        <v>200</v>
      </c>
    </row>
    <row r="2145" spans="1:4" x14ac:dyDescent="0.2">
      <c r="A2145" s="397">
        <v>45345</v>
      </c>
      <c r="B2145" s="384">
        <f t="shared" si="39"/>
        <v>587703.09</v>
      </c>
      <c r="C2145" s="384">
        <v>587503.09</v>
      </c>
      <c r="D2145" s="565">
        <v>200</v>
      </c>
    </row>
    <row r="2146" spans="1:4" x14ac:dyDescent="0.2">
      <c r="A2146" s="397">
        <v>45348</v>
      </c>
      <c r="B2146" s="384">
        <f t="shared" si="39"/>
        <v>553831.01</v>
      </c>
      <c r="C2146" s="384">
        <v>553631.01</v>
      </c>
      <c r="D2146" s="565">
        <v>200</v>
      </c>
    </row>
    <row r="2147" spans="1:4" x14ac:dyDescent="0.2">
      <c r="A2147" s="397">
        <v>45349</v>
      </c>
      <c r="B2147" s="384">
        <f t="shared" si="39"/>
        <v>553831.01</v>
      </c>
      <c r="C2147" s="384">
        <f t="shared" si="40"/>
        <v>553631.01</v>
      </c>
      <c r="D2147" s="565">
        <v>200</v>
      </c>
    </row>
    <row r="2148" spans="1:4" x14ac:dyDescent="0.2">
      <c r="A2148" s="397">
        <v>45350</v>
      </c>
      <c r="B2148" s="384">
        <f t="shared" si="39"/>
        <v>553831.01</v>
      </c>
      <c r="C2148" s="384">
        <f t="shared" si="40"/>
        <v>553631.01</v>
      </c>
      <c r="D2148" s="565">
        <v>200</v>
      </c>
    </row>
    <row r="2149" spans="1:4" x14ac:dyDescent="0.2">
      <c r="A2149" s="397">
        <v>45351</v>
      </c>
      <c r="B2149" s="384">
        <f t="shared" ref="B2149:B2192" si="41">C2149+D2149</f>
        <v>553927.51</v>
      </c>
      <c r="C2149" s="384">
        <v>553727.51</v>
      </c>
      <c r="D2149" s="565">
        <v>200</v>
      </c>
    </row>
    <row r="2150" spans="1:4" x14ac:dyDescent="0.2">
      <c r="A2150" s="397">
        <v>45352</v>
      </c>
      <c r="B2150" s="384">
        <f t="shared" si="41"/>
        <v>639044.65</v>
      </c>
      <c r="C2150" s="384">
        <v>638844.65</v>
      </c>
      <c r="D2150" s="565">
        <v>200</v>
      </c>
    </row>
    <row r="2151" spans="1:4" x14ac:dyDescent="0.2">
      <c r="A2151" s="397">
        <v>45355</v>
      </c>
      <c r="B2151" s="384">
        <f t="shared" si="41"/>
        <v>639286.35</v>
      </c>
      <c r="C2151" s="384">
        <v>639086.35</v>
      </c>
      <c r="D2151" s="565">
        <v>200</v>
      </c>
    </row>
    <row r="2152" spans="1:4" x14ac:dyDescent="0.2">
      <c r="A2152" s="397">
        <v>45356</v>
      </c>
      <c r="B2152" s="384">
        <f t="shared" si="41"/>
        <v>639286.35</v>
      </c>
      <c r="C2152" s="384">
        <f t="shared" si="40"/>
        <v>639086.35</v>
      </c>
      <c r="D2152" s="565">
        <v>200</v>
      </c>
    </row>
    <row r="2153" spans="1:4" x14ac:dyDescent="0.2">
      <c r="A2153" s="397">
        <v>45357</v>
      </c>
      <c r="B2153" s="384">
        <f t="shared" si="41"/>
        <v>639286.35</v>
      </c>
      <c r="C2153" s="384">
        <f t="shared" si="40"/>
        <v>639086.35</v>
      </c>
      <c r="D2153" s="565">
        <v>200</v>
      </c>
    </row>
    <row r="2154" spans="1:4" x14ac:dyDescent="0.2">
      <c r="A2154" s="397">
        <v>45358</v>
      </c>
      <c r="B2154" s="384">
        <f t="shared" si="41"/>
        <v>616931.9</v>
      </c>
      <c r="C2154" s="384">
        <v>616731.9</v>
      </c>
      <c r="D2154" s="565">
        <v>200</v>
      </c>
    </row>
    <row r="2155" spans="1:4" x14ac:dyDescent="0.2">
      <c r="A2155" s="397">
        <v>45359</v>
      </c>
      <c r="B2155" s="384">
        <f t="shared" si="41"/>
        <v>616931.9</v>
      </c>
      <c r="C2155" s="384">
        <f t="shared" si="40"/>
        <v>616731.9</v>
      </c>
      <c r="D2155" s="565">
        <v>200</v>
      </c>
    </row>
    <row r="2156" spans="1:4" x14ac:dyDescent="0.2">
      <c r="A2156" s="397">
        <v>45362</v>
      </c>
      <c r="B2156" s="384">
        <f t="shared" si="41"/>
        <v>616931.9</v>
      </c>
      <c r="C2156" s="384">
        <f t="shared" si="40"/>
        <v>616731.9</v>
      </c>
      <c r="D2156" s="565">
        <v>200</v>
      </c>
    </row>
    <row r="2157" spans="1:4" x14ac:dyDescent="0.2">
      <c r="A2157" s="397">
        <v>45363</v>
      </c>
      <c r="B2157" s="384">
        <f t="shared" si="41"/>
        <v>580620.53</v>
      </c>
      <c r="C2157" s="384">
        <v>580420.53</v>
      </c>
      <c r="D2157" s="565">
        <v>200</v>
      </c>
    </row>
    <row r="2158" spans="1:4" x14ac:dyDescent="0.2">
      <c r="A2158" s="397">
        <v>45364</v>
      </c>
      <c r="B2158" s="384">
        <f t="shared" si="41"/>
        <v>589303.47</v>
      </c>
      <c r="C2158" s="384">
        <v>589103.47</v>
      </c>
      <c r="D2158" s="565">
        <v>200</v>
      </c>
    </row>
    <row r="2159" spans="1:4" x14ac:dyDescent="0.2">
      <c r="A2159" s="397">
        <v>45365</v>
      </c>
      <c r="B2159" s="384">
        <f t="shared" si="41"/>
        <v>573439.49</v>
      </c>
      <c r="C2159" s="384">
        <v>573239.49</v>
      </c>
      <c r="D2159" s="565">
        <v>200</v>
      </c>
    </row>
    <row r="2160" spans="1:4" x14ac:dyDescent="0.2">
      <c r="A2160" s="397">
        <v>45366</v>
      </c>
      <c r="B2160" s="384">
        <f t="shared" si="41"/>
        <v>573173.1</v>
      </c>
      <c r="C2160" s="384">
        <v>572973.1</v>
      </c>
      <c r="D2160" s="565">
        <v>200</v>
      </c>
    </row>
    <row r="2161" spans="1:4" x14ac:dyDescent="0.2">
      <c r="A2161" s="397">
        <v>45369</v>
      </c>
      <c r="B2161" s="384">
        <f t="shared" si="41"/>
        <v>597404.67000000004</v>
      </c>
      <c r="C2161" s="384">
        <v>597204.67000000004</v>
      </c>
      <c r="D2161" s="565">
        <v>200</v>
      </c>
    </row>
    <row r="2162" spans="1:4" x14ac:dyDescent="0.2">
      <c r="A2162" s="397">
        <v>45370</v>
      </c>
      <c r="B2162" s="384">
        <f t="shared" si="41"/>
        <v>597454.31999999995</v>
      </c>
      <c r="C2162" s="384">
        <v>597254.31999999995</v>
      </c>
      <c r="D2162" s="565">
        <v>200</v>
      </c>
    </row>
    <row r="2163" spans="1:4" x14ac:dyDescent="0.2">
      <c r="A2163" s="397">
        <v>45371</v>
      </c>
      <c r="B2163" s="384">
        <f t="shared" si="41"/>
        <v>594610.32999999996</v>
      </c>
      <c r="C2163" s="384">
        <v>594410.32999999996</v>
      </c>
      <c r="D2163" s="565">
        <v>200</v>
      </c>
    </row>
    <row r="2164" spans="1:4" x14ac:dyDescent="0.2">
      <c r="A2164" s="397">
        <v>45372</v>
      </c>
      <c r="B2164" s="384">
        <f t="shared" si="41"/>
        <v>599459.89</v>
      </c>
      <c r="C2164" s="384">
        <v>599259.89</v>
      </c>
      <c r="D2164" s="565">
        <v>200</v>
      </c>
    </row>
    <row r="2165" spans="1:4" x14ac:dyDescent="0.2">
      <c r="A2165" s="397">
        <v>45373</v>
      </c>
      <c r="B2165" s="384">
        <f t="shared" si="41"/>
        <v>621376.56999999995</v>
      </c>
      <c r="C2165" s="384">
        <v>621176.56999999995</v>
      </c>
      <c r="D2165" s="565">
        <v>200</v>
      </c>
    </row>
    <row r="2166" spans="1:4" x14ac:dyDescent="0.2">
      <c r="A2166" s="397">
        <v>45376</v>
      </c>
      <c r="B2166" s="384">
        <f t="shared" si="41"/>
        <v>639731.09</v>
      </c>
      <c r="C2166" s="384">
        <v>639531.09</v>
      </c>
      <c r="D2166" s="565">
        <v>200</v>
      </c>
    </row>
    <row r="2167" spans="1:4" x14ac:dyDescent="0.2">
      <c r="A2167" s="397">
        <v>45377</v>
      </c>
      <c r="B2167" s="384">
        <f t="shared" si="41"/>
        <v>603296.46</v>
      </c>
      <c r="C2167" s="384">
        <v>603096.46</v>
      </c>
      <c r="D2167" s="565">
        <v>200</v>
      </c>
    </row>
    <row r="2168" spans="1:4" x14ac:dyDescent="0.2">
      <c r="A2168" s="397">
        <v>45378</v>
      </c>
      <c r="B2168" s="384">
        <f t="shared" si="41"/>
        <v>602128.03</v>
      </c>
      <c r="C2168" s="384">
        <v>601928.03</v>
      </c>
      <c r="D2168" s="565">
        <v>200</v>
      </c>
    </row>
    <row r="2169" spans="1:4" x14ac:dyDescent="0.2">
      <c r="A2169" s="397">
        <v>45379</v>
      </c>
      <c r="B2169" s="384">
        <f t="shared" si="41"/>
        <v>610877.03</v>
      </c>
      <c r="C2169" s="384">
        <v>610677.03</v>
      </c>
      <c r="D2169" s="565">
        <v>200</v>
      </c>
    </row>
    <row r="2170" spans="1:4" x14ac:dyDescent="0.2">
      <c r="A2170" s="397">
        <v>45380</v>
      </c>
      <c r="B2170" s="384">
        <f t="shared" si="41"/>
        <v>629664.21</v>
      </c>
      <c r="C2170" s="384">
        <v>629464.21</v>
      </c>
      <c r="D2170" s="565">
        <v>200</v>
      </c>
    </row>
    <row r="2171" spans="1:4" x14ac:dyDescent="0.2">
      <c r="A2171" s="397">
        <v>45383</v>
      </c>
      <c r="B2171" s="384">
        <f t="shared" si="41"/>
        <v>629664.21</v>
      </c>
      <c r="C2171" s="384">
        <f t="shared" ref="C2171:C2228" si="42">C2170</f>
        <v>629464.21</v>
      </c>
      <c r="D2171" s="565">
        <v>200</v>
      </c>
    </row>
    <row r="2172" spans="1:4" x14ac:dyDescent="0.2">
      <c r="A2172" s="397">
        <v>45384</v>
      </c>
      <c r="B2172" s="384">
        <f t="shared" si="41"/>
        <v>629664.21</v>
      </c>
      <c r="C2172" s="384">
        <f t="shared" si="42"/>
        <v>629464.21</v>
      </c>
      <c r="D2172" s="565">
        <v>200</v>
      </c>
    </row>
    <row r="2173" spans="1:4" x14ac:dyDescent="0.2">
      <c r="A2173" s="397">
        <v>45385</v>
      </c>
      <c r="B2173" s="384">
        <f t="shared" si="41"/>
        <v>629904.21</v>
      </c>
      <c r="C2173" s="384">
        <v>629704.21</v>
      </c>
      <c r="D2173" s="565">
        <v>200</v>
      </c>
    </row>
    <row r="2174" spans="1:4" x14ac:dyDescent="0.2">
      <c r="A2174" s="397">
        <v>45386</v>
      </c>
      <c r="B2174" s="384">
        <f t="shared" si="41"/>
        <v>629904.21</v>
      </c>
      <c r="C2174" s="384">
        <f t="shared" si="42"/>
        <v>629704.21</v>
      </c>
      <c r="D2174" s="565">
        <v>200</v>
      </c>
    </row>
    <row r="2175" spans="1:4" x14ac:dyDescent="0.2">
      <c r="A2175" s="397">
        <v>45387</v>
      </c>
      <c r="B2175" s="384">
        <f t="shared" si="41"/>
        <v>630020.39</v>
      </c>
      <c r="C2175" s="384">
        <v>629820.39</v>
      </c>
      <c r="D2175" s="565">
        <v>200</v>
      </c>
    </row>
    <row r="2176" spans="1:4" x14ac:dyDescent="0.2">
      <c r="A2176" s="397">
        <v>45390</v>
      </c>
      <c r="B2176" s="384">
        <f t="shared" si="41"/>
        <v>630714.61</v>
      </c>
      <c r="C2176" s="384">
        <v>630514.61</v>
      </c>
      <c r="D2176" s="565">
        <v>200</v>
      </c>
    </row>
    <row r="2177" spans="1:4" x14ac:dyDescent="0.2">
      <c r="A2177" s="397">
        <v>45391</v>
      </c>
      <c r="B2177" s="384">
        <f t="shared" si="41"/>
        <v>573875.92000000004</v>
      </c>
      <c r="C2177" s="384">
        <v>573675.92000000004</v>
      </c>
      <c r="D2177" s="565">
        <v>200</v>
      </c>
    </row>
    <row r="2178" spans="1:4" x14ac:dyDescent="0.2">
      <c r="A2178" s="397">
        <v>45392</v>
      </c>
      <c r="B2178" s="384">
        <f t="shared" si="41"/>
        <v>590385.61</v>
      </c>
      <c r="C2178" s="384">
        <v>590185.61</v>
      </c>
      <c r="D2178" s="565">
        <v>200</v>
      </c>
    </row>
    <row r="2179" spans="1:4" x14ac:dyDescent="0.2">
      <c r="A2179" s="397">
        <v>45393</v>
      </c>
      <c r="B2179" s="384">
        <f t="shared" si="41"/>
        <v>590798.61</v>
      </c>
      <c r="C2179" s="384">
        <v>590598.61</v>
      </c>
      <c r="D2179" s="565">
        <v>200</v>
      </c>
    </row>
    <row r="2180" spans="1:4" x14ac:dyDescent="0.2">
      <c r="A2180" s="397">
        <v>45394</v>
      </c>
      <c r="B2180" s="384">
        <f t="shared" si="41"/>
        <v>590447.57999999996</v>
      </c>
      <c r="C2180" s="384">
        <v>590247.57999999996</v>
      </c>
      <c r="D2180" s="565">
        <v>200</v>
      </c>
    </row>
    <row r="2181" spans="1:4" x14ac:dyDescent="0.2">
      <c r="A2181" s="397">
        <v>45397</v>
      </c>
      <c r="B2181" s="384">
        <f t="shared" si="41"/>
        <v>589784.82999999996</v>
      </c>
      <c r="C2181" s="384">
        <v>589584.82999999996</v>
      </c>
      <c r="D2181" s="565">
        <v>200</v>
      </c>
    </row>
    <row r="2182" spans="1:4" x14ac:dyDescent="0.2">
      <c r="A2182" s="397">
        <v>45398</v>
      </c>
      <c r="B2182" s="384">
        <f t="shared" si="41"/>
        <v>591275.29</v>
      </c>
      <c r="C2182" s="384">
        <v>591075.29</v>
      </c>
      <c r="D2182" s="565">
        <v>200</v>
      </c>
    </row>
    <row r="2183" spans="1:4" x14ac:dyDescent="0.2">
      <c r="A2183" s="397">
        <v>45399</v>
      </c>
      <c r="B2183" s="384">
        <f t="shared" si="41"/>
        <v>591604.29</v>
      </c>
      <c r="C2183" s="384">
        <v>591404.29</v>
      </c>
      <c r="D2183" s="565">
        <v>200</v>
      </c>
    </row>
    <row r="2184" spans="1:4" x14ac:dyDescent="0.2">
      <c r="A2184" s="397">
        <v>45400</v>
      </c>
      <c r="B2184" s="384">
        <f t="shared" si="41"/>
        <v>595308.17000000004</v>
      </c>
      <c r="C2184" s="384">
        <v>595108.17000000004</v>
      </c>
      <c r="D2184" s="565">
        <v>200</v>
      </c>
    </row>
    <row r="2185" spans="1:4" x14ac:dyDescent="0.2">
      <c r="A2185" s="397">
        <v>45401</v>
      </c>
      <c r="B2185" s="384">
        <f t="shared" si="41"/>
        <v>595308.17000000004</v>
      </c>
      <c r="C2185" s="384">
        <f t="shared" si="42"/>
        <v>595108.17000000004</v>
      </c>
      <c r="D2185" s="565">
        <v>200</v>
      </c>
    </row>
    <row r="2186" spans="1:4" x14ac:dyDescent="0.2">
      <c r="A2186" s="397">
        <v>45404</v>
      </c>
      <c r="B2186" s="384">
        <f t="shared" si="41"/>
        <v>592390.28</v>
      </c>
      <c r="C2186" s="384">
        <v>592190.28</v>
      </c>
      <c r="D2186" s="565">
        <v>200</v>
      </c>
    </row>
    <row r="2187" spans="1:4" x14ac:dyDescent="0.2">
      <c r="A2187" s="397">
        <v>45405</v>
      </c>
      <c r="B2187" s="384">
        <f t="shared" si="41"/>
        <v>554571.62</v>
      </c>
      <c r="C2187" s="384">
        <v>554371.62</v>
      </c>
      <c r="D2187" s="565">
        <v>200</v>
      </c>
    </row>
    <row r="2188" spans="1:4" x14ac:dyDescent="0.2">
      <c r="A2188" s="397">
        <v>45406</v>
      </c>
      <c r="B2188" s="384">
        <f t="shared" si="41"/>
        <v>555118.31999999995</v>
      </c>
      <c r="C2188" s="384">
        <v>554918.31999999995</v>
      </c>
      <c r="D2188" s="565">
        <v>200</v>
      </c>
    </row>
    <row r="2189" spans="1:4" x14ac:dyDescent="0.2">
      <c r="A2189" s="397">
        <v>45407</v>
      </c>
      <c r="B2189" s="384">
        <f t="shared" si="41"/>
        <v>545445.69999999995</v>
      </c>
      <c r="C2189" s="384">
        <v>545245.69999999995</v>
      </c>
      <c r="D2189" s="565">
        <v>200</v>
      </c>
    </row>
    <row r="2190" spans="1:4" x14ac:dyDescent="0.2">
      <c r="A2190" s="397">
        <v>45408</v>
      </c>
      <c r="B2190" s="384">
        <f t="shared" si="41"/>
        <v>557177.62</v>
      </c>
      <c r="C2190" s="384">
        <v>556977.62</v>
      </c>
      <c r="D2190" s="565">
        <v>200</v>
      </c>
    </row>
    <row r="2191" spans="1:4" x14ac:dyDescent="0.2">
      <c r="A2191" s="397">
        <v>45411</v>
      </c>
      <c r="B2191" s="384">
        <f t="shared" si="41"/>
        <v>557177.62</v>
      </c>
      <c r="C2191" s="384">
        <f t="shared" si="42"/>
        <v>556977.62</v>
      </c>
      <c r="D2191" s="565">
        <v>200</v>
      </c>
    </row>
    <row r="2192" spans="1:4" x14ac:dyDescent="0.2">
      <c r="A2192" s="397">
        <v>45412</v>
      </c>
      <c r="B2192" s="384">
        <f t="shared" si="41"/>
        <v>557177.62</v>
      </c>
      <c r="C2192" s="384">
        <f t="shared" si="42"/>
        <v>556977.62</v>
      </c>
      <c r="D2192" s="565">
        <v>200</v>
      </c>
    </row>
    <row r="2193" spans="1:4" x14ac:dyDescent="0.2">
      <c r="A2193" s="397">
        <v>45413</v>
      </c>
      <c r="B2193" s="384">
        <f t="shared" ref="B2193:B2219" si="43">C2193+D2193</f>
        <v>557177.62</v>
      </c>
      <c r="C2193" s="384">
        <f t="shared" si="42"/>
        <v>556977.62</v>
      </c>
      <c r="D2193" s="565">
        <v>200</v>
      </c>
    </row>
    <row r="2194" spans="1:4" x14ac:dyDescent="0.2">
      <c r="A2194" s="397">
        <v>45414</v>
      </c>
      <c r="B2194" s="384">
        <f t="shared" si="43"/>
        <v>553656.31999999995</v>
      </c>
      <c r="C2194" s="384">
        <v>553456.31999999995</v>
      </c>
      <c r="D2194" s="565">
        <v>200</v>
      </c>
    </row>
    <row r="2195" spans="1:4" x14ac:dyDescent="0.2">
      <c r="A2195" s="397">
        <v>45415</v>
      </c>
      <c r="B2195" s="384">
        <f t="shared" si="43"/>
        <v>576179.18000000005</v>
      </c>
      <c r="C2195" s="384">
        <v>575979.18000000005</v>
      </c>
      <c r="D2195" s="565">
        <v>200</v>
      </c>
    </row>
    <row r="2196" spans="1:4" x14ac:dyDescent="0.2">
      <c r="A2196" s="397">
        <v>45418</v>
      </c>
      <c r="B2196" s="384">
        <f t="shared" si="43"/>
        <v>561372.46</v>
      </c>
      <c r="C2196" s="384">
        <v>561172.46</v>
      </c>
      <c r="D2196" s="565">
        <v>200</v>
      </c>
    </row>
    <row r="2197" spans="1:4" x14ac:dyDescent="0.2">
      <c r="A2197" s="397">
        <v>45419</v>
      </c>
      <c r="B2197" s="384">
        <f t="shared" si="43"/>
        <v>524111.97</v>
      </c>
      <c r="C2197" s="384">
        <v>523911.97</v>
      </c>
      <c r="D2197" s="565">
        <v>200</v>
      </c>
    </row>
    <row r="2198" spans="1:4" x14ac:dyDescent="0.2">
      <c r="A2198" s="397">
        <v>45420</v>
      </c>
      <c r="B2198" s="384">
        <f t="shared" si="43"/>
        <v>524111.97</v>
      </c>
      <c r="C2198" s="384">
        <f t="shared" si="42"/>
        <v>523911.97</v>
      </c>
      <c r="D2198" s="565">
        <v>200</v>
      </c>
    </row>
    <row r="2199" spans="1:4" x14ac:dyDescent="0.2">
      <c r="A2199" s="397">
        <v>45421</v>
      </c>
      <c r="B2199" s="384">
        <f t="shared" si="43"/>
        <v>518915.42</v>
      </c>
      <c r="C2199" s="384">
        <v>518715.42</v>
      </c>
      <c r="D2199" s="565">
        <v>200</v>
      </c>
    </row>
    <row r="2200" spans="1:4" x14ac:dyDescent="0.2">
      <c r="A2200" s="397">
        <v>45422</v>
      </c>
      <c r="B2200" s="384">
        <f t="shared" si="43"/>
        <v>518564.39</v>
      </c>
      <c r="C2200" s="384">
        <v>518364.39</v>
      </c>
      <c r="D2200" s="565">
        <v>200</v>
      </c>
    </row>
    <row r="2201" spans="1:4" x14ac:dyDescent="0.2">
      <c r="A2201" s="397">
        <v>45425</v>
      </c>
      <c r="B2201" s="384">
        <f t="shared" si="43"/>
        <v>518564.39</v>
      </c>
      <c r="C2201" s="384">
        <f t="shared" si="42"/>
        <v>518364.39</v>
      </c>
      <c r="D2201" s="565">
        <v>200</v>
      </c>
    </row>
    <row r="2202" spans="1:4" x14ac:dyDescent="0.2">
      <c r="A2202" s="397">
        <v>45426</v>
      </c>
      <c r="B2202" s="384">
        <f t="shared" si="43"/>
        <v>518564.39</v>
      </c>
      <c r="C2202" s="384">
        <f t="shared" si="42"/>
        <v>518364.39</v>
      </c>
      <c r="D2202" s="565">
        <v>200</v>
      </c>
    </row>
    <row r="2203" spans="1:4" x14ac:dyDescent="0.2">
      <c r="A2203" s="397">
        <v>45427</v>
      </c>
      <c r="B2203" s="384">
        <f t="shared" si="43"/>
        <v>518615.52</v>
      </c>
      <c r="C2203" s="384">
        <v>518415.52</v>
      </c>
      <c r="D2203" s="565">
        <v>200</v>
      </c>
    </row>
    <row r="2204" spans="1:4" x14ac:dyDescent="0.2">
      <c r="A2204" s="397">
        <v>45428</v>
      </c>
      <c r="B2204" s="384">
        <f t="shared" si="43"/>
        <v>521662.04</v>
      </c>
      <c r="C2204" s="384">
        <v>521462.04</v>
      </c>
      <c r="D2204" s="565">
        <v>200</v>
      </c>
    </row>
    <row r="2205" spans="1:4" x14ac:dyDescent="0.2">
      <c r="A2205" s="397">
        <v>45429</v>
      </c>
      <c r="B2205" s="384">
        <f t="shared" si="43"/>
        <v>555436.06999999995</v>
      </c>
      <c r="C2205" s="384">
        <v>555236.06999999995</v>
      </c>
      <c r="D2205" s="565">
        <v>200</v>
      </c>
    </row>
    <row r="2206" spans="1:4" x14ac:dyDescent="0.2">
      <c r="A2206" s="397">
        <v>45432</v>
      </c>
      <c r="B2206" s="384">
        <f t="shared" si="43"/>
        <v>553235.18000000005</v>
      </c>
      <c r="C2206" s="384">
        <v>553035.18000000005</v>
      </c>
      <c r="D2206" s="565">
        <v>200</v>
      </c>
    </row>
    <row r="2207" spans="1:4" x14ac:dyDescent="0.2">
      <c r="A2207" s="397">
        <v>45433</v>
      </c>
      <c r="B2207" s="384">
        <f t="shared" si="43"/>
        <v>516429.69</v>
      </c>
      <c r="C2207" s="384">
        <v>516229.69</v>
      </c>
      <c r="D2207" s="565">
        <v>200</v>
      </c>
    </row>
    <row r="2208" spans="1:4" x14ac:dyDescent="0.2">
      <c r="A2208" s="397">
        <v>45434</v>
      </c>
      <c r="B2208" s="384">
        <f t="shared" si="43"/>
        <v>574828.56999999995</v>
      </c>
      <c r="C2208" s="384">
        <v>574628.56999999995</v>
      </c>
      <c r="D2208" s="565">
        <v>200</v>
      </c>
    </row>
    <row r="2209" spans="1:5" x14ac:dyDescent="0.2">
      <c r="A2209" s="397">
        <v>45435</v>
      </c>
      <c r="B2209" s="384">
        <f t="shared" si="43"/>
        <v>574828.56999999995</v>
      </c>
      <c r="C2209" s="384">
        <f t="shared" si="42"/>
        <v>574628.56999999995</v>
      </c>
      <c r="D2209" s="565">
        <v>200</v>
      </c>
    </row>
    <row r="2210" spans="1:5" x14ac:dyDescent="0.2">
      <c r="A2210" s="397">
        <v>45436</v>
      </c>
      <c r="B2210" s="384">
        <f t="shared" si="43"/>
        <v>574828.56999999995</v>
      </c>
      <c r="C2210" s="384">
        <f t="shared" si="42"/>
        <v>574628.56999999995</v>
      </c>
      <c r="D2210" s="565">
        <v>200</v>
      </c>
    </row>
    <row r="2211" spans="1:5" x14ac:dyDescent="0.2">
      <c r="A2211" s="397">
        <v>45439</v>
      </c>
      <c r="B2211" s="384">
        <f t="shared" si="43"/>
        <v>574828.56999999995</v>
      </c>
      <c r="C2211" s="384">
        <f t="shared" si="42"/>
        <v>574628.56999999995</v>
      </c>
      <c r="D2211" s="565">
        <v>200</v>
      </c>
    </row>
    <row r="2212" spans="1:5" x14ac:dyDescent="0.2">
      <c r="A2212" s="397">
        <v>45440</v>
      </c>
      <c r="B2212" s="384">
        <f t="shared" si="43"/>
        <v>574828.56999999995</v>
      </c>
      <c r="C2212" s="384">
        <f t="shared" si="42"/>
        <v>574628.56999999995</v>
      </c>
      <c r="D2212" s="565">
        <v>200</v>
      </c>
    </row>
    <row r="2213" spans="1:5" x14ac:dyDescent="0.2">
      <c r="A2213" s="397">
        <v>45441</v>
      </c>
      <c r="B2213" s="384">
        <f t="shared" si="43"/>
        <v>574797.69999999995</v>
      </c>
      <c r="C2213" s="384">
        <v>574597.69999999995</v>
      </c>
      <c r="D2213" s="565">
        <v>200</v>
      </c>
    </row>
    <row r="2214" spans="1:5" x14ac:dyDescent="0.2">
      <c r="A2214" s="397">
        <v>45442</v>
      </c>
      <c r="B2214" s="384">
        <f t="shared" si="43"/>
        <v>574797.69999999995</v>
      </c>
      <c r="C2214" s="384">
        <f t="shared" si="42"/>
        <v>574597.69999999995</v>
      </c>
      <c r="D2214" s="565">
        <v>200</v>
      </c>
    </row>
    <row r="2215" spans="1:5" x14ac:dyDescent="0.2">
      <c r="A2215" s="397">
        <v>45443</v>
      </c>
      <c r="B2215" s="384">
        <f t="shared" si="43"/>
        <v>581217.82999999996</v>
      </c>
      <c r="C2215" s="384">
        <v>581017.82999999996</v>
      </c>
      <c r="D2215" s="565">
        <v>200</v>
      </c>
    </row>
    <row r="2216" spans="1:5" x14ac:dyDescent="0.2">
      <c r="A2216" s="397">
        <v>45446</v>
      </c>
      <c r="B2216" s="384">
        <f t="shared" si="43"/>
        <v>581797.82999999996</v>
      </c>
      <c r="C2216" s="384">
        <v>581597.82999999996</v>
      </c>
      <c r="D2216" s="565">
        <v>200</v>
      </c>
    </row>
    <row r="2217" spans="1:5" x14ac:dyDescent="0.2">
      <c r="A2217" s="397">
        <v>45447</v>
      </c>
      <c r="B2217" s="384">
        <f t="shared" si="43"/>
        <v>581797.82999999996</v>
      </c>
      <c r="C2217" s="384">
        <f t="shared" si="42"/>
        <v>581597.82999999996</v>
      </c>
      <c r="D2217" s="565">
        <v>200</v>
      </c>
    </row>
    <row r="2218" spans="1:5" x14ac:dyDescent="0.2">
      <c r="A2218" s="397">
        <v>45448</v>
      </c>
      <c r="B2218" s="384">
        <f t="shared" si="43"/>
        <v>547045.46</v>
      </c>
      <c r="C2218" s="384">
        <v>546845.46</v>
      </c>
      <c r="D2218" s="565">
        <v>200</v>
      </c>
    </row>
    <row r="2219" spans="1:5" x14ac:dyDescent="0.2">
      <c r="A2219" s="397">
        <v>45449</v>
      </c>
      <c r="B2219" s="384">
        <f t="shared" si="43"/>
        <v>547045.46</v>
      </c>
      <c r="C2219" s="384">
        <f t="shared" si="42"/>
        <v>546845.46</v>
      </c>
      <c r="D2219" s="565">
        <v>200</v>
      </c>
    </row>
    <row r="2220" spans="1:5" x14ac:dyDescent="0.2">
      <c r="A2220" s="397">
        <v>45450</v>
      </c>
      <c r="B2220" s="384">
        <f>C2220+D2220+E2220</f>
        <v>545941.55000000005</v>
      </c>
      <c r="C2220" s="384">
        <v>295741.55</v>
      </c>
      <c r="D2220" s="565">
        <v>200</v>
      </c>
      <c r="E2220" s="740">
        <v>250000</v>
      </c>
    </row>
    <row r="2221" spans="1:5" x14ac:dyDescent="0.2">
      <c r="A2221" s="397">
        <v>45453</v>
      </c>
      <c r="B2221" s="384">
        <f t="shared" ref="B2221:B2280" si="44">C2221+D2221+E2221</f>
        <v>546153.55000000005</v>
      </c>
      <c r="C2221" s="384">
        <v>295953.55</v>
      </c>
      <c r="D2221" s="565">
        <v>200</v>
      </c>
      <c r="E2221" s="740">
        <v>250000</v>
      </c>
    </row>
    <row r="2222" spans="1:5" x14ac:dyDescent="0.2">
      <c r="A2222" s="397">
        <v>45454</v>
      </c>
      <c r="B2222" s="384">
        <f t="shared" si="44"/>
        <v>546153.55000000005</v>
      </c>
      <c r="C2222" s="384">
        <f>C2221</f>
        <v>295953.55</v>
      </c>
      <c r="D2222" s="565">
        <v>200</v>
      </c>
      <c r="E2222" s="740">
        <v>250000</v>
      </c>
    </row>
    <row r="2223" spans="1:5" x14ac:dyDescent="0.2">
      <c r="A2223" s="397">
        <v>45455</v>
      </c>
      <c r="B2223" s="384">
        <f t="shared" si="44"/>
        <v>545553.55000000005</v>
      </c>
      <c r="C2223" s="384">
        <v>295353.55</v>
      </c>
      <c r="D2223" s="565">
        <v>200</v>
      </c>
      <c r="E2223" s="740">
        <v>250000</v>
      </c>
    </row>
    <row r="2224" spans="1:5" x14ac:dyDescent="0.2">
      <c r="A2224" s="397">
        <v>45456</v>
      </c>
      <c r="B2224" s="384">
        <f t="shared" si="44"/>
        <v>548862.66999999993</v>
      </c>
      <c r="C2224" s="384">
        <v>298662.67</v>
      </c>
      <c r="D2224" s="565">
        <v>200</v>
      </c>
      <c r="E2224" s="740">
        <v>250000</v>
      </c>
    </row>
    <row r="2225" spans="1:5" x14ac:dyDescent="0.2">
      <c r="A2225" s="397">
        <v>45457</v>
      </c>
      <c r="B2225" s="384">
        <f t="shared" si="44"/>
        <v>549142.23</v>
      </c>
      <c r="C2225" s="384">
        <v>298942.23</v>
      </c>
      <c r="D2225" s="565">
        <v>200</v>
      </c>
      <c r="E2225" s="740">
        <v>250000</v>
      </c>
    </row>
    <row r="2226" spans="1:5" x14ac:dyDescent="0.2">
      <c r="A2226" s="397">
        <v>45460</v>
      </c>
      <c r="B2226" s="384">
        <f t="shared" si="44"/>
        <v>549142.23</v>
      </c>
      <c r="C2226" s="384">
        <f t="shared" si="42"/>
        <v>298942.23</v>
      </c>
      <c r="D2226" s="565">
        <v>200</v>
      </c>
      <c r="E2226" s="740">
        <v>250000</v>
      </c>
    </row>
    <row r="2227" spans="1:5" x14ac:dyDescent="0.2">
      <c r="A2227" s="397">
        <v>45461</v>
      </c>
      <c r="B2227" s="384">
        <f t="shared" si="44"/>
        <v>514004.18</v>
      </c>
      <c r="C2227" s="384">
        <v>263804.18</v>
      </c>
      <c r="D2227" s="565">
        <v>200</v>
      </c>
      <c r="E2227" s="740">
        <v>250000</v>
      </c>
    </row>
    <row r="2228" spans="1:5" x14ac:dyDescent="0.2">
      <c r="A2228" s="397">
        <v>45462</v>
      </c>
      <c r="B2228" s="384">
        <f t="shared" si="44"/>
        <v>514004.18</v>
      </c>
      <c r="C2228" s="384">
        <f t="shared" si="42"/>
        <v>263804.18</v>
      </c>
      <c r="D2228" s="565">
        <v>200</v>
      </c>
      <c r="E2228" s="740">
        <v>250000</v>
      </c>
    </row>
    <row r="2229" spans="1:5" x14ac:dyDescent="0.2">
      <c r="A2229" s="397">
        <v>45463</v>
      </c>
      <c r="B2229" s="384">
        <f t="shared" si="44"/>
        <v>511182.78</v>
      </c>
      <c r="C2229" s="384">
        <v>260982.78</v>
      </c>
      <c r="D2229" s="565">
        <v>200</v>
      </c>
      <c r="E2229" s="740">
        <v>250000</v>
      </c>
    </row>
    <row r="2230" spans="1:5" x14ac:dyDescent="0.2">
      <c r="A2230" s="397">
        <v>45464</v>
      </c>
      <c r="B2230" s="384">
        <f t="shared" si="44"/>
        <v>510853.66000000003</v>
      </c>
      <c r="C2230" s="384">
        <v>260653.66</v>
      </c>
      <c r="D2230" s="565">
        <v>200</v>
      </c>
      <c r="E2230" s="740">
        <v>250000</v>
      </c>
    </row>
    <row r="2231" spans="1:5" x14ac:dyDescent="0.2">
      <c r="A2231" s="397">
        <v>45467</v>
      </c>
      <c r="B2231" s="384">
        <f t="shared" si="44"/>
        <v>507819.97</v>
      </c>
      <c r="C2231" s="384">
        <v>257619.97</v>
      </c>
      <c r="D2231" s="565">
        <v>200</v>
      </c>
      <c r="E2231" s="740">
        <v>250000</v>
      </c>
    </row>
    <row r="2232" spans="1:5" x14ac:dyDescent="0.2">
      <c r="A2232" s="397">
        <v>45468</v>
      </c>
      <c r="B2232" s="384">
        <f t="shared" si="44"/>
        <v>507789.1</v>
      </c>
      <c r="C2232" s="384">
        <v>257589.1</v>
      </c>
      <c r="D2232" s="565">
        <v>200</v>
      </c>
      <c r="E2232" s="740">
        <v>250000</v>
      </c>
    </row>
    <row r="2233" spans="1:5" x14ac:dyDescent="0.2">
      <c r="A2233" s="397">
        <v>45469</v>
      </c>
      <c r="B2233" s="425">
        <f t="shared" si="44"/>
        <v>507391.61</v>
      </c>
      <c r="C2233" s="384">
        <v>257191.61</v>
      </c>
      <c r="D2233" s="565">
        <v>200</v>
      </c>
      <c r="E2233" s="740">
        <v>250000</v>
      </c>
    </row>
    <row r="2234" spans="1:5" x14ac:dyDescent="0.2">
      <c r="A2234" s="397">
        <v>45470</v>
      </c>
      <c r="B2234" s="384">
        <f t="shared" si="44"/>
        <v>518580.22</v>
      </c>
      <c r="C2234" s="384">
        <v>268380.21999999997</v>
      </c>
      <c r="D2234" s="565">
        <v>200</v>
      </c>
      <c r="E2234" s="740">
        <v>250000</v>
      </c>
    </row>
    <row r="2235" spans="1:5" x14ac:dyDescent="0.2">
      <c r="A2235" s="397">
        <v>45471</v>
      </c>
      <c r="B2235" s="384">
        <f t="shared" si="44"/>
        <v>550978.54</v>
      </c>
      <c r="C2235" s="384">
        <v>300106.05</v>
      </c>
      <c r="D2235" s="565">
        <v>200</v>
      </c>
      <c r="E2235" s="740">
        <v>250672.49</v>
      </c>
    </row>
    <row r="2236" spans="1:5" x14ac:dyDescent="0.2">
      <c r="A2236" s="397">
        <v>45474</v>
      </c>
      <c r="B2236" s="384">
        <f t="shared" si="44"/>
        <v>517674.89</v>
      </c>
      <c r="C2236" s="384">
        <v>266802.40000000002</v>
      </c>
      <c r="D2236" s="565">
        <v>200</v>
      </c>
      <c r="E2236" s="740">
        <v>250672.49</v>
      </c>
    </row>
    <row r="2237" spans="1:5" x14ac:dyDescent="0.2">
      <c r="A2237" s="397">
        <v>45475</v>
      </c>
      <c r="B2237" s="384">
        <f t="shared" si="44"/>
        <v>517674.89</v>
      </c>
      <c r="C2237" s="384">
        <f>C2236</f>
        <v>266802.40000000002</v>
      </c>
      <c r="D2237" s="565">
        <v>200</v>
      </c>
      <c r="E2237" s="740">
        <v>250672.49</v>
      </c>
    </row>
    <row r="2238" spans="1:5" x14ac:dyDescent="0.2">
      <c r="A2238" s="397">
        <v>45476</v>
      </c>
      <c r="B2238" s="384">
        <f t="shared" si="44"/>
        <v>505993.19999999995</v>
      </c>
      <c r="C2238" s="384">
        <v>255120.71</v>
      </c>
      <c r="D2238" s="565">
        <v>200</v>
      </c>
      <c r="E2238" s="740">
        <v>250672.49</v>
      </c>
    </row>
    <row r="2239" spans="1:5" x14ac:dyDescent="0.2">
      <c r="A2239" s="397">
        <v>45477</v>
      </c>
      <c r="B2239" s="384">
        <f t="shared" si="44"/>
        <v>505993.19999999995</v>
      </c>
      <c r="C2239" s="384">
        <f t="shared" ref="C2238:C2280" si="45">C2238</f>
        <v>255120.71</v>
      </c>
      <c r="D2239" s="565">
        <v>200</v>
      </c>
      <c r="E2239" s="740">
        <v>250672.49</v>
      </c>
    </row>
    <row r="2240" spans="1:5" x14ac:dyDescent="0.2">
      <c r="A2240" s="397">
        <v>45478</v>
      </c>
      <c r="B2240" s="384">
        <f t="shared" si="44"/>
        <v>506811.4</v>
      </c>
      <c r="C2240" s="384">
        <v>255938.91</v>
      </c>
      <c r="D2240" s="565">
        <v>200</v>
      </c>
      <c r="E2240" s="740">
        <v>250672.49</v>
      </c>
    </row>
    <row r="2241" spans="1:5" x14ac:dyDescent="0.2">
      <c r="A2241" s="397">
        <v>45481</v>
      </c>
      <c r="B2241" s="384">
        <f t="shared" si="44"/>
        <v>506811.4</v>
      </c>
      <c r="C2241" s="384">
        <f t="shared" si="45"/>
        <v>255938.91</v>
      </c>
      <c r="D2241" s="565">
        <v>200</v>
      </c>
      <c r="E2241" s="740">
        <v>250672.49</v>
      </c>
    </row>
    <row r="2242" spans="1:5" x14ac:dyDescent="0.2">
      <c r="A2242" s="397">
        <v>45482</v>
      </c>
      <c r="B2242" s="384">
        <f t="shared" si="44"/>
        <v>507710.06</v>
      </c>
      <c r="C2242" s="384">
        <v>256837.57</v>
      </c>
      <c r="D2242" s="565">
        <v>200</v>
      </c>
      <c r="E2242" s="740">
        <v>250672.49</v>
      </c>
    </row>
    <row r="2243" spans="1:5" x14ac:dyDescent="0.2">
      <c r="A2243" s="397">
        <v>45483</v>
      </c>
      <c r="B2243" s="384">
        <f t="shared" si="44"/>
        <v>507810.06</v>
      </c>
      <c r="C2243" s="384">
        <v>256937.57</v>
      </c>
      <c r="D2243" s="565">
        <v>200</v>
      </c>
      <c r="E2243" s="740">
        <v>250672.49</v>
      </c>
    </row>
    <row r="2244" spans="1:5" x14ac:dyDescent="0.2">
      <c r="A2244" s="397">
        <v>45484</v>
      </c>
      <c r="B2244" s="384">
        <f t="shared" si="44"/>
        <v>507906.56</v>
      </c>
      <c r="C2244" s="384">
        <v>257034.07</v>
      </c>
      <c r="D2244" s="565">
        <v>200</v>
      </c>
      <c r="E2244" s="740">
        <v>250672.49</v>
      </c>
    </row>
    <row r="2245" spans="1:5" x14ac:dyDescent="0.2">
      <c r="A2245" s="397">
        <v>45485</v>
      </c>
      <c r="B2245" s="384">
        <f t="shared" si="44"/>
        <v>508693.88</v>
      </c>
      <c r="C2245" s="384">
        <v>257821.39</v>
      </c>
      <c r="D2245" s="565">
        <v>200</v>
      </c>
      <c r="E2245" s="740">
        <v>250672.49</v>
      </c>
    </row>
    <row r="2246" spans="1:5" x14ac:dyDescent="0.2">
      <c r="A2246" s="397">
        <v>45488</v>
      </c>
      <c r="B2246" s="384">
        <f t="shared" si="44"/>
        <v>509039.89</v>
      </c>
      <c r="C2246" s="384">
        <v>258167.4</v>
      </c>
      <c r="D2246" s="565">
        <v>200</v>
      </c>
      <c r="E2246" s="740">
        <v>250672.49</v>
      </c>
    </row>
    <row r="2247" spans="1:5" x14ac:dyDescent="0.2">
      <c r="A2247" s="397">
        <v>45489</v>
      </c>
      <c r="B2247" s="384">
        <f t="shared" si="44"/>
        <v>480741.11</v>
      </c>
      <c r="C2247" s="384">
        <v>229868.62</v>
      </c>
      <c r="D2247" s="565">
        <v>200</v>
      </c>
      <c r="E2247" s="740">
        <v>250672.49</v>
      </c>
    </row>
    <row r="2248" spans="1:5" x14ac:dyDescent="0.2">
      <c r="A2248" s="397">
        <v>45490</v>
      </c>
      <c r="B2248" s="384">
        <f t="shared" si="44"/>
        <v>492793.56999999995</v>
      </c>
      <c r="C2248" s="384">
        <v>241921.08</v>
      </c>
      <c r="D2248" s="565">
        <v>200</v>
      </c>
      <c r="E2248" s="740">
        <v>250672.49</v>
      </c>
    </row>
    <row r="2249" spans="1:5" x14ac:dyDescent="0.2">
      <c r="A2249" s="397">
        <v>45491</v>
      </c>
      <c r="B2249" s="384">
        <f t="shared" si="44"/>
        <v>490184.68</v>
      </c>
      <c r="C2249" s="384">
        <v>239312.19</v>
      </c>
      <c r="D2249" s="565">
        <v>200</v>
      </c>
      <c r="E2249" s="740">
        <v>250672.49</v>
      </c>
    </row>
    <row r="2250" spans="1:5" x14ac:dyDescent="0.2">
      <c r="A2250" s="397">
        <v>45492</v>
      </c>
      <c r="B2250" s="384">
        <f t="shared" si="44"/>
        <v>490825.35</v>
      </c>
      <c r="C2250" s="384">
        <v>239952.86</v>
      </c>
      <c r="D2250" s="565">
        <v>200</v>
      </c>
      <c r="E2250" s="740">
        <v>250672.49</v>
      </c>
    </row>
    <row r="2251" spans="1:5" x14ac:dyDescent="0.2">
      <c r="A2251" s="397">
        <v>45495</v>
      </c>
      <c r="B2251" s="384">
        <f t="shared" si="44"/>
        <v>487953.12</v>
      </c>
      <c r="C2251" s="384">
        <v>237080.63</v>
      </c>
      <c r="D2251" s="565">
        <v>200</v>
      </c>
      <c r="E2251" s="740">
        <v>250672.49</v>
      </c>
    </row>
    <row r="2252" spans="1:5" x14ac:dyDescent="0.2">
      <c r="A2252" s="397">
        <v>45496</v>
      </c>
      <c r="B2252" s="384">
        <f t="shared" si="44"/>
        <v>488049.62</v>
      </c>
      <c r="C2252" s="384">
        <v>237177.13</v>
      </c>
      <c r="D2252" s="565">
        <v>200</v>
      </c>
      <c r="E2252" s="740">
        <v>250672.49</v>
      </c>
    </row>
    <row r="2253" spans="1:5" x14ac:dyDescent="0.2">
      <c r="A2253" s="397">
        <v>45497</v>
      </c>
      <c r="B2253" s="384">
        <f t="shared" si="44"/>
        <v>488084.28</v>
      </c>
      <c r="C2253" s="384">
        <v>237211.79</v>
      </c>
      <c r="D2253" s="565">
        <v>200</v>
      </c>
      <c r="E2253" s="740">
        <v>250672.49</v>
      </c>
    </row>
    <row r="2254" spans="1:5" x14ac:dyDescent="0.2">
      <c r="A2254" s="397">
        <v>45498</v>
      </c>
      <c r="B2254" s="384">
        <f t="shared" si="44"/>
        <v>489260.69</v>
      </c>
      <c r="C2254" s="384">
        <v>238388.2</v>
      </c>
      <c r="D2254" s="565">
        <v>200</v>
      </c>
      <c r="E2254" s="740">
        <v>250672.49</v>
      </c>
    </row>
    <row r="2255" spans="1:5" x14ac:dyDescent="0.2">
      <c r="A2255" s="397">
        <v>45499</v>
      </c>
      <c r="B2255" s="384">
        <f t="shared" si="44"/>
        <v>487504.65</v>
      </c>
      <c r="C2255" s="384">
        <v>236632.16</v>
      </c>
      <c r="D2255" s="565">
        <v>200</v>
      </c>
      <c r="E2255" s="740">
        <v>250672.49</v>
      </c>
    </row>
    <row r="2256" spans="1:5" x14ac:dyDescent="0.2">
      <c r="A2256" s="397">
        <v>45502</v>
      </c>
      <c r="B2256" s="384">
        <f t="shared" si="44"/>
        <v>493139.31</v>
      </c>
      <c r="C2256" s="384">
        <v>242266.82</v>
      </c>
      <c r="D2256" s="565">
        <v>200</v>
      </c>
      <c r="E2256" s="740">
        <v>250672.49</v>
      </c>
    </row>
    <row r="2257" spans="1:5" x14ac:dyDescent="0.2">
      <c r="A2257" s="397">
        <v>45503</v>
      </c>
      <c r="B2257" s="384">
        <f t="shared" si="44"/>
        <v>460235.4</v>
      </c>
      <c r="C2257" s="384">
        <v>209362.91</v>
      </c>
      <c r="D2257" s="565">
        <v>200</v>
      </c>
      <c r="E2257" s="740">
        <v>250672.49</v>
      </c>
    </row>
    <row r="2258" spans="1:5" x14ac:dyDescent="0.2">
      <c r="A2258" s="397">
        <v>45504</v>
      </c>
      <c r="B2258" s="384">
        <f t="shared" si="44"/>
        <v>461284.12</v>
      </c>
      <c r="C2258" s="384">
        <v>209575.23</v>
      </c>
      <c r="D2258" s="565">
        <v>200</v>
      </c>
      <c r="E2258" s="740">
        <v>251508.89</v>
      </c>
    </row>
    <row r="2259" spans="1:5" x14ac:dyDescent="0.2">
      <c r="A2259" s="397">
        <v>45505</v>
      </c>
      <c r="B2259" s="384">
        <f t="shared" si="44"/>
        <v>459321.21</v>
      </c>
      <c r="C2259" s="384">
        <v>207612.32</v>
      </c>
      <c r="D2259" s="565">
        <v>200</v>
      </c>
      <c r="E2259" s="740">
        <v>251508.89</v>
      </c>
    </row>
    <row r="2260" spans="1:5" x14ac:dyDescent="0.2">
      <c r="A2260" s="397">
        <v>45506</v>
      </c>
      <c r="B2260" s="384">
        <f t="shared" si="44"/>
        <v>457084.76</v>
      </c>
      <c r="C2260" s="384">
        <v>205375.87</v>
      </c>
      <c r="D2260" s="565">
        <v>200</v>
      </c>
      <c r="E2260" s="740">
        <v>251508.89</v>
      </c>
    </row>
    <row r="2261" spans="1:5" x14ac:dyDescent="0.2">
      <c r="A2261" s="397">
        <v>45509</v>
      </c>
      <c r="B2261" s="384">
        <f t="shared" si="44"/>
        <v>463766.42000000004</v>
      </c>
      <c r="C2261" s="384">
        <v>212057.53</v>
      </c>
      <c r="D2261" s="565">
        <v>200</v>
      </c>
      <c r="E2261" s="740">
        <v>251508.89</v>
      </c>
    </row>
    <row r="2262" spans="1:5" x14ac:dyDescent="0.2">
      <c r="A2262" s="397">
        <v>45510</v>
      </c>
      <c r="B2262" s="384">
        <f t="shared" si="44"/>
        <v>463766.42000000004</v>
      </c>
      <c r="C2262" s="384">
        <f t="shared" si="45"/>
        <v>212057.53</v>
      </c>
      <c r="D2262" s="565">
        <v>200</v>
      </c>
      <c r="E2262" s="740">
        <v>251508.89</v>
      </c>
    </row>
    <row r="2263" spans="1:5" x14ac:dyDescent="0.2">
      <c r="A2263" s="397">
        <v>45511</v>
      </c>
      <c r="B2263" s="384">
        <f t="shared" si="44"/>
        <v>469122.74</v>
      </c>
      <c r="C2263" s="384">
        <v>217413.85</v>
      </c>
      <c r="D2263" s="565">
        <v>200</v>
      </c>
      <c r="E2263" s="740">
        <v>251508.89</v>
      </c>
    </row>
    <row r="2264" spans="1:5" x14ac:dyDescent="0.2">
      <c r="A2264" s="397">
        <v>45512</v>
      </c>
      <c r="B2264" s="384">
        <f t="shared" si="44"/>
        <v>469122.74</v>
      </c>
      <c r="C2264" s="384">
        <f t="shared" si="45"/>
        <v>217413.85</v>
      </c>
      <c r="D2264" s="565">
        <v>200</v>
      </c>
      <c r="E2264" s="740">
        <v>251508.89</v>
      </c>
    </row>
    <row r="2265" spans="1:5" x14ac:dyDescent="0.2">
      <c r="A2265" s="397">
        <v>45513</v>
      </c>
      <c r="B2265" s="384">
        <f t="shared" si="44"/>
        <v>492677.1</v>
      </c>
      <c r="C2265" s="384">
        <v>240968.21</v>
      </c>
      <c r="D2265" s="565">
        <v>200</v>
      </c>
      <c r="E2265" s="740">
        <v>251508.89</v>
      </c>
    </row>
    <row r="2266" spans="1:5" x14ac:dyDescent="0.2">
      <c r="A2266" s="397">
        <v>45516</v>
      </c>
      <c r="B2266" s="384">
        <f t="shared" si="44"/>
        <v>471079.96</v>
      </c>
      <c r="C2266" s="384">
        <v>219371.07</v>
      </c>
      <c r="D2266" s="565">
        <v>200</v>
      </c>
      <c r="E2266" s="740">
        <v>251508.89</v>
      </c>
    </row>
    <row r="2267" spans="1:5" x14ac:dyDescent="0.2">
      <c r="A2267" s="397">
        <v>45517</v>
      </c>
      <c r="B2267" s="384">
        <f t="shared" si="44"/>
        <v>471079.96</v>
      </c>
      <c r="C2267" s="384">
        <f t="shared" si="45"/>
        <v>219371.07</v>
      </c>
      <c r="D2267" s="565">
        <v>200</v>
      </c>
      <c r="E2267" s="740">
        <v>251508.89</v>
      </c>
    </row>
    <row r="2268" spans="1:5" x14ac:dyDescent="0.2">
      <c r="A2268" s="397">
        <v>45518</v>
      </c>
      <c r="B2268" s="384">
        <f t="shared" si="44"/>
        <v>441990.52</v>
      </c>
      <c r="C2268" s="384">
        <v>190281.63</v>
      </c>
      <c r="D2268" s="565">
        <v>200</v>
      </c>
      <c r="E2268" s="740">
        <v>251508.89</v>
      </c>
    </row>
    <row r="2269" spans="1:5" x14ac:dyDescent="0.2">
      <c r="A2269" s="397">
        <v>45519</v>
      </c>
      <c r="B2269" s="384">
        <f t="shared" si="44"/>
        <v>442836.98</v>
      </c>
      <c r="C2269" s="384">
        <v>191128.09</v>
      </c>
      <c r="D2269" s="565">
        <v>200</v>
      </c>
      <c r="E2269" s="740">
        <v>251508.89</v>
      </c>
    </row>
    <row r="2270" spans="1:5" x14ac:dyDescent="0.2">
      <c r="A2270" s="397">
        <v>45520</v>
      </c>
      <c r="B2270" s="384">
        <f t="shared" si="44"/>
        <v>442485.95</v>
      </c>
      <c r="C2270" s="384">
        <v>190777.06</v>
      </c>
      <c r="D2270" s="565">
        <v>200</v>
      </c>
      <c r="E2270" s="740">
        <v>251508.89</v>
      </c>
    </row>
    <row r="2271" spans="1:5" x14ac:dyDescent="0.2">
      <c r="A2271" s="397">
        <v>45523</v>
      </c>
      <c r="B2271" s="384">
        <f t="shared" si="44"/>
        <v>433080.95</v>
      </c>
      <c r="C2271" s="384">
        <v>181372.06</v>
      </c>
      <c r="D2271" s="565">
        <v>200</v>
      </c>
      <c r="E2271" s="740">
        <v>251508.89</v>
      </c>
    </row>
    <row r="2272" spans="1:5" x14ac:dyDescent="0.2">
      <c r="A2272" s="397">
        <v>45524</v>
      </c>
      <c r="B2272" s="384">
        <f t="shared" si="44"/>
        <v>430333.06000000006</v>
      </c>
      <c r="C2272" s="384">
        <v>178624.17</v>
      </c>
      <c r="D2272" s="565">
        <v>200</v>
      </c>
      <c r="E2272" s="740">
        <v>251508.89</v>
      </c>
    </row>
    <row r="2273" spans="1:5" x14ac:dyDescent="0.2">
      <c r="A2273" s="397">
        <v>45525</v>
      </c>
      <c r="B2273" s="384">
        <f t="shared" si="44"/>
        <v>427774.19</v>
      </c>
      <c r="C2273" s="384">
        <v>176065.3</v>
      </c>
      <c r="D2273" s="565">
        <v>200</v>
      </c>
      <c r="E2273" s="740">
        <v>251508.89</v>
      </c>
    </row>
    <row r="2274" spans="1:5" x14ac:dyDescent="0.2">
      <c r="A2274" s="397">
        <v>45526</v>
      </c>
      <c r="B2274" s="384">
        <f t="shared" si="44"/>
        <v>444122.88</v>
      </c>
      <c r="C2274" s="384">
        <v>192413.99</v>
      </c>
      <c r="D2274" s="565">
        <v>200</v>
      </c>
      <c r="E2274" s="740">
        <v>251508.89</v>
      </c>
    </row>
    <row r="2275" spans="1:5" x14ac:dyDescent="0.2">
      <c r="A2275" s="397">
        <v>45527</v>
      </c>
      <c r="B2275" s="384">
        <f t="shared" si="44"/>
        <v>444122.88</v>
      </c>
      <c r="C2275" s="384">
        <f t="shared" si="45"/>
        <v>192413.99</v>
      </c>
      <c r="D2275" s="565">
        <v>200</v>
      </c>
      <c r="E2275" s="740">
        <v>251508.89</v>
      </c>
    </row>
    <row r="2276" spans="1:5" x14ac:dyDescent="0.2">
      <c r="A2276" s="397">
        <v>45530</v>
      </c>
      <c r="B2276" s="384">
        <f t="shared" si="44"/>
        <v>444122.88</v>
      </c>
      <c r="C2276" s="384">
        <f t="shared" si="45"/>
        <v>192413.99</v>
      </c>
      <c r="D2276" s="565">
        <v>200</v>
      </c>
      <c r="E2276" s="740">
        <v>251508.89</v>
      </c>
    </row>
    <row r="2277" spans="1:5" x14ac:dyDescent="0.2">
      <c r="A2277" s="397">
        <v>45531</v>
      </c>
      <c r="B2277" s="384">
        <f t="shared" si="44"/>
        <v>444092.01</v>
      </c>
      <c r="C2277" s="384">
        <v>192383.12</v>
      </c>
      <c r="D2277" s="565">
        <v>200</v>
      </c>
      <c r="E2277" s="740">
        <v>251508.89</v>
      </c>
    </row>
    <row r="2278" spans="1:5" x14ac:dyDescent="0.2">
      <c r="A2278" s="397">
        <v>45532</v>
      </c>
      <c r="B2278" s="384">
        <f t="shared" si="44"/>
        <v>409823.26</v>
      </c>
      <c r="C2278" s="384">
        <v>158114.37</v>
      </c>
      <c r="D2278" s="565">
        <v>200</v>
      </c>
      <c r="E2278" s="740">
        <v>251508.89</v>
      </c>
    </row>
    <row r="2279" spans="1:5" x14ac:dyDescent="0.2">
      <c r="A2279" s="397">
        <v>45533</v>
      </c>
      <c r="B2279" s="384">
        <f t="shared" si="44"/>
        <v>409823.26</v>
      </c>
      <c r="C2279" s="384">
        <f t="shared" si="45"/>
        <v>158114.37</v>
      </c>
      <c r="D2279" s="565">
        <v>200</v>
      </c>
      <c r="E2279" s="740">
        <v>251508.89</v>
      </c>
    </row>
    <row r="2280" spans="1:5" x14ac:dyDescent="0.2">
      <c r="A2280" s="397">
        <v>45534</v>
      </c>
      <c r="B2280" s="384">
        <f t="shared" si="44"/>
        <v>431469.19</v>
      </c>
      <c r="C2280" s="384">
        <v>178921.1</v>
      </c>
      <c r="D2280" s="565">
        <v>200</v>
      </c>
      <c r="E2280" s="740">
        <v>252348.09</v>
      </c>
    </row>
    <row r="2281" spans="1:5" x14ac:dyDescent="0.2">
      <c r="A2281" s="397">
        <v>45537</v>
      </c>
      <c r="C2281" s="384"/>
      <c r="D2281" s="565"/>
      <c r="E2281" s="740"/>
    </row>
    <row r="2282" spans="1:5" x14ac:dyDescent="0.2">
      <c r="A2282" s="397">
        <v>45538</v>
      </c>
      <c r="C2282" s="384"/>
      <c r="D2282" s="565"/>
      <c r="E2282" s="740"/>
    </row>
    <row r="2283" spans="1:5" x14ac:dyDescent="0.2">
      <c r="A2283" s="397">
        <v>45539</v>
      </c>
      <c r="C2283" s="384"/>
      <c r="D2283" s="565"/>
      <c r="E2283" s="740"/>
    </row>
    <row r="2284" spans="1:5" x14ac:dyDescent="0.2">
      <c r="A2284" s="397">
        <v>45540</v>
      </c>
      <c r="C2284" s="384"/>
      <c r="D2284" s="565"/>
      <c r="E2284" s="740"/>
    </row>
    <row r="2285" spans="1:5" x14ac:dyDescent="0.2">
      <c r="A2285" s="397">
        <v>45541</v>
      </c>
      <c r="C2285" s="384"/>
      <c r="D2285" s="565"/>
      <c r="E2285" s="740"/>
    </row>
    <row r="2286" spans="1:5" x14ac:dyDescent="0.2">
      <c r="A2286" s="397"/>
      <c r="C2286" s="384"/>
      <c r="D2286" s="565"/>
      <c r="E2286" s="740"/>
    </row>
    <row r="2287" spans="1:5" x14ac:dyDescent="0.2">
      <c r="A2287" s="397"/>
      <c r="C2287" s="384"/>
      <c r="D2287" s="565"/>
      <c r="E2287" s="740"/>
    </row>
    <row r="2288" spans="1:5" x14ac:dyDescent="0.2">
      <c r="A2288" s="397"/>
      <c r="C2288" s="384"/>
      <c r="D2288" s="565"/>
      <c r="E2288" s="740"/>
    </row>
    <row r="2289" spans="1:5" x14ac:dyDescent="0.2">
      <c r="A2289" s="397"/>
      <c r="C2289" s="384"/>
      <c r="D2289" s="565"/>
      <c r="E2289" s="740"/>
    </row>
    <row r="2290" spans="1:5" x14ac:dyDescent="0.2">
      <c r="A2290" s="397"/>
      <c r="C2290" s="384"/>
      <c r="D2290" s="565"/>
      <c r="E2290" s="740"/>
    </row>
    <row r="2291" spans="1:5" x14ac:dyDescent="0.2">
      <c r="A2291" s="397"/>
      <c r="C2291" s="384"/>
      <c r="D2291" s="565"/>
      <c r="E2291" s="740"/>
    </row>
    <row r="2292" spans="1:5" x14ac:dyDescent="0.2">
      <c r="A2292" s="397"/>
      <c r="C2292" s="384"/>
      <c r="D2292" s="565"/>
      <c r="E2292" s="740"/>
    </row>
    <row r="2293" spans="1:5" x14ac:dyDescent="0.2">
      <c r="A2293" s="397"/>
      <c r="C2293" s="384"/>
      <c r="D2293" s="565"/>
      <c r="E2293" s="740"/>
    </row>
    <row r="2294" spans="1:5" x14ac:dyDescent="0.2">
      <c r="A2294" s="397"/>
      <c r="C2294" s="384"/>
      <c r="D2294" s="565"/>
      <c r="E2294" s="740"/>
    </row>
    <row r="2295" spans="1:5" x14ac:dyDescent="0.2">
      <c r="A2295" s="397"/>
      <c r="C2295" s="384"/>
      <c r="D2295" s="565"/>
      <c r="E2295" s="740"/>
    </row>
    <row r="2296" spans="1:5" x14ac:dyDescent="0.2">
      <c r="A2296" s="397"/>
      <c r="C2296" s="384"/>
      <c r="D2296" s="565"/>
      <c r="E2296" s="740"/>
    </row>
    <row r="2297" spans="1:5" x14ac:dyDescent="0.2">
      <c r="A2297" s="397"/>
      <c r="C2297" s="384"/>
      <c r="D2297" s="565"/>
      <c r="E2297" s="740"/>
    </row>
    <row r="2298" spans="1:5" x14ac:dyDescent="0.2">
      <c r="A2298" s="397"/>
      <c r="C2298" s="384"/>
      <c r="D2298" s="565"/>
      <c r="E2298" s="740"/>
    </row>
    <row r="2299" spans="1:5" x14ac:dyDescent="0.2">
      <c r="A2299" s="397"/>
      <c r="C2299" s="384"/>
      <c r="D2299" s="565"/>
      <c r="E2299" s="740"/>
    </row>
    <row r="2300" spans="1:5" x14ac:dyDescent="0.2">
      <c r="A2300" s="397"/>
      <c r="C2300" s="384"/>
      <c r="D2300" s="565"/>
      <c r="E2300" s="740"/>
    </row>
    <row r="2301" spans="1:5" x14ac:dyDescent="0.2">
      <c r="A2301" s="397"/>
      <c r="C2301" s="384"/>
      <c r="D2301" s="565"/>
      <c r="E2301" s="740"/>
    </row>
    <row r="2302" spans="1:5" x14ac:dyDescent="0.2">
      <c r="A2302" s="397"/>
      <c r="C2302" s="384"/>
      <c r="D2302" s="565"/>
      <c r="E2302" s="740"/>
    </row>
    <row r="2303" spans="1:5" x14ac:dyDescent="0.2">
      <c r="A2303" s="397"/>
      <c r="C2303" s="384"/>
      <c r="D2303" s="565"/>
      <c r="E2303" s="740"/>
    </row>
    <row r="2304" spans="1:5" x14ac:dyDescent="0.2">
      <c r="A2304" s="397"/>
      <c r="C2304" s="384"/>
      <c r="D2304" s="565"/>
      <c r="E2304" s="740"/>
    </row>
    <row r="2305" spans="1:5" x14ac:dyDescent="0.2">
      <c r="A2305" s="397"/>
      <c r="C2305" s="384"/>
      <c r="D2305" s="565"/>
      <c r="E2305" s="740"/>
    </row>
    <row r="2306" spans="1:5" x14ac:dyDescent="0.2">
      <c r="A2306" s="397"/>
      <c r="C2306" s="384"/>
      <c r="D2306" s="565"/>
      <c r="E2306" s="740"/>
    </row>
    <row r="2307" spans="1:5" x14ac:dyDescent="0.2">
      <c r="A2307" s="397"/>
      <c r="C2307" s="384"/>
      <c r="D2307" s="565"/>
      <c r="E2307" s="740"/>
    </row>
    <row r="2308" spans="1:5" x14ac:dyDescent="0.2">
      <c r="A2308" s="397"/>
      <c r="C2308" s="384"/>
      <c r="D2308" s="565"/>
      <c r="E2308" s="740"/>
    </row>
    <row r="2309" spans="1:5" x14ac:dyDescent="0.2">
      <c r="A2309" s="397"/>
      <c r="C2309" s="384"/>
      <c r="D2309" s="565"/>
      <c r="E2309" s="740"/>
    </row>
    <row r="2310" spans="1:5" x14ac:dyDescent="0.2">
      <c r="A2310" s="397"/>
      <c r="C2310" s="384"/>
      <c r="D2310" s="565"/>
      <c r="E2310" s="740"/>
    </row>
    <row r="2311" spans="1:5" x14ac:dyDescent="0.2">
      <c r="A2311" s="397"/>
      <c r="C2311" s="384"/>
      <c r="D2311" s="565"/>
      <c r="E2311" s="740"/>
    </row>
    <row r="2312" spans="1:5" x14ac:dyDescent="0.2">
      <c r="A2312" s="397"/>
      <c r="C2312" s="384"/>
      <c r="D2312" s="565"/>
      <c r="E2312" s="740"/>
    </row>
    <row r="2313" spans="1:5" x14ac:dyDescent="0.2">
      <c r="A2313" s="397"/>
      <c r="C2313" s="384"/>
      <c r="D2313" s="565"/>
      <c r="E2313" s="740"/>
    </row>
    <row r="2314" spans="1:5" x14ac:dyDescent="0.2">
      <c r="A2314" s="397"/>
      <c r="C2314" s="384"/>
      <c r="D2314" s="565"/>
      <c r="E2314" s="740"/>
    </row>
    <row r="2315" spans="1:5" x14ac:dyDescent="0.2">
      <c r="A2315" s="397"/>
      <c r="C2315" s="384"/>
      <c r="D2315" s="565"/>
      <c r="E2315" s="740"/>
    </row>
    <row r="2316" spans="1:5" x14ac:dyDescent="0.2">
      <c r="A2316" s="397"/>
      <c r="C2316" s="384"/>
      <c r="D2316" s="565"/>
      <c r="E2316" s="740"/>
    </row>
    <row r="2317" spans="1:5" x14ac:dyDescent="0.2">
      <c r="A2317" s="397"/>
      <c r="C2317" s="384"/>
      <c r="D2317" s="565"/>
      <c r="E2317" s="740"/>
    </row>
    <row r="2318" spans="1:5" x14ac:dyDescent="0.2">
      <c r="A2318" s="397"/>
      <c r="C2318" s="384"/>
      <c r="D2318" s="565"/>
      <c r="E2318" s="740"/>
    </row>
    <row r="2319" spans="1:5" x14ac:dyDescent="0.2">
      <c r="A2319" s="397"/>
      <c r="C2319" s="384"/>
      <c r="D2319" s="565"/>
      <c r="E2319" s="740"/>
    </row>
    <row r="2320" spans="1:5" x14ac:dyDescent="0.2">
      <c r="A2320" s="397"/>
      <c r="C2320" s="384"/>
      <c r="D2320" s="565"/>
      <c r="E2320" s="740"/>
    </row>
    <row r="2321" spans="1:5" x14ac:dyDescent="0.2">
      <c r="A2321" s="397"/>
      <c r="C2321" s="384"/>
      <c r="D2321" s="565"/>
      <c r="E2321" s="740"/>
    </row>
    <row r="2322" spans="1:5" x14ac:dyDescent="0.2">
      <c r="A2322" s="397"/>
      <c r="C2322" s="384"/>
      <c r="D2322" s="565"/>
      <c r="E2322" s="740"/>
    </row>
    <row r="2323" spans="1:5" x14ac:dyDescent="0.2">
      <c r="A2323" s="397"/>
      <c r="C2323" s="384"/>
      <c r="D2323" s="565"/>
      <c r="E2323" s="740"/>
    </row>
    <row r="2324" spans="1:5" x14ac:dyDescent="0.2">
      <c r="A2324" s="397"/>
      <c r="C2324" s="384"/>
      <c r="D2324" s="565"/>
      <c r="E2324" s="740"/>
    </row>
    <row r="2325" spans="1:5" x14ac:dyDescent="0.2">
      <c r="A2325" s="397"/>
      <c r="C2325" s="384"/>
      <c r="D2325" s="565"/>
      <c r="E2325" s="740"/>
    </row>
    <row r="2326" spans="1:5" x14ac:dyDescent="0.2">
      <c r="A2326" s="397"/>
      <c r="C2326" s="384"/>
      <c r="D2326" s="565"/>
    </row>
    <row r="2327" spans="1:5" x14ac:dyDescent="0.2">
      <c r="A2327" s="397"/>
      <c r="C2327" s="384"/>
      <c r="D2327" s="565"/>
    </row>
    <row r="2328" spans="1:5" x14ac:dyDescent="0.2">
      <c r="A2328" s="397"/>
      <c r="C2328" s="384"/>
      <c r="D2328" s="565"/>
    </row>
    <row r="2329" spans="1:5" x14ac:dyDescent="0.2">
      <c r="A2329" s="397"/>
      <c r="C2329" s="384"/>
      <c r="D2329" s="565"/>
    </row>
    <row r="2330" spans="1:5" x14ac:dyDescent="0.2">
      <c r="A2330" s="397"/>
      <c r="C2330" s="384"/>
      <c r="D2330" s="565"/>
    </row>
    <row r="2331" spans="1:5" x14ac:dyDescent="0.2">
      <c r="A2331" s="397"/>
      <c r="C2331" s="384"/>
      <c r="D2331" s="565"/>
    </row>
    <row r="2332" spans="1:5" x14ac:dyDescent="0.2">
      <c r="A2332" s="397"/>
      <c r="C2332" s="384"/>
      <c r="D2332" s="565"/>
    </row>
    <row r="2333" spans="1:5" x14ac:dyDescent="0.2">
      <c r="A2333" s="397"/>
      <c r="C2333" s="384"/>
      <c r="D2333" s="565"/>
    </row>
    <row r="2334" spans="1:5" x14ac:dyDescent="0.2">
      <c r="A2334" s="397"/>
      <c r="C2334" s="384"/>
      <c r="D2334" s="565"/>
    </row>
    <row r="2335" spans="1:5" x14ac:dyDescent="0.2">
      <c r="A2335" s="397"/>
      <c r="C2335" s="384"/>
      <c r="D2335" s="565"/>
    </row>
    <row r="2336" spans="1:5" x14ac:dyDescent="0.2">
      <c r="A2336" s="397"/>
      <c r="C2336" s="384"/>
      <c r="D2336" s="565"/>
    </row>
    <row r="2337" spans="1:4" x14ac:dyDescent="0.2">
      <c r="A2337" s="397"/>
      <c r="C2337" s="384"/>
      <c r="D2337" s="565"/>
    </row>
    <row r="2338" spans="1:4" x14ac:dyDescent="0.2">
      <c r="A2338" s="397"/>
      <c r="C2338" s="384"/>
      <c r="D2338" s="565"/>
    </row>
    <row r="2339" spans="1:4" x14ac:dyDescent="0.2">
      <c r="A2339" s="397"/>
      <c r="C2339" s="384"/>
      <c r="D2339" s="565"/>
    </row>
    <row r="2340" spans="1:4" x14ac:dyDescent="0.2">
      <c r="A2340" s="397"/>
      <c r="C2340" s="384"/>
      <c r="D2340" s="565"/>
    </row>
    <row r="2341" spans="1:4" x14ac:dyDescent="0.2">
      <c r="A2341" s="402" t="s">
        <v>267</v>
      </c>
      <c r="B2341" s="384">
        <f>MAX(B$2106:B2340)</f>
        <v>661874.81999999995</v>
      </c>
    </row>
    <row r="2342" spans="1:4" x14ac:dyDescent="0.2">
      <c r="A2342" s="402" t="s">
        <v>268</v>
      </c>
      <c r="B2342" s="384">
        <f>MIN(B$2106:B$2340)</f>
        <v>409823.26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84"/>
  <sheetViews>
    <sheetView topLeftCell="A31" workbookViewId="0">
      <selection activeCell="H53" sqref="H53"/>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2.375" customWidth="1"/>
    <col min="10" max="10" width="1.75" customWidth="1"/>
    <col min="11" max="11" width="22.3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92</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405</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406</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106</v>
      </c>
      <c r="B5" s="51"/>
      <c r="C5" s="51"/>
      <c r="D5" s="51"/>
      <c r="E5" s="51"/>
      <c r="F5" s="51"/>
      <c r="G5" s="801" t="s">
        <v>48</v>
      </c>
      <c r="H5" s="801"/>
      <c r="I5" s="801"/>
      <c r="J5" s="801"/>
      <c r="K5" s="801"/>
      <c r="L5" s="321" t="s">
        <v>179</v>
      </c>
      <c r="M5" s="318" t="s">
        <v>191</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98</v>
      </c>
      <c r="C7" s="66"/>
      <c r="D7" s="66"/>
      <c r="E7" s="66"/>
      <c r="F7" s="66"/>
      <c r="G7" s="562" t="s">
        <v>402</v>
      </c>
      <c r="H7" s="563" t="s">
        <v>403</v>
      </c>
      <c r="I7" s="563" t="s">
        <v>407</v>
      </c>
      <c r="J7" s="563"/>
      <c r="K7" s="562" t="s">
        <v>408</v>
      </c>
      <c r="L7" s="802" t="s">
        <v>409</v>
      </c>
      <c r="M7" s="802"/>
    </row>
    <row r="8" spans="1:57" s="55" customFormat="1" ht="20.25" x14ac:dyDescent="0.2">
      <c r="A8" s="54"/>
      <c r="B8" s="54"/>
      <c r="C8" s="58" t="s">
        <v>99</v>
      </c>
      <c r="D8" s="58"/>
      <c r="E8" s="58"/>
      <c r="F8" s="54"/>
      <c r="G8" s="189">
        <v>360098</v>
      </c>
      <c r="H8" s="189">
        <v>315760.04333000001</v>
      </c>
      <c r="I8" s="189">
        <v>675858.04333000001</v>
      </c>
      <c r="J8" s="189"/>
      <c r="K8" s="189">
        <v>811777</v>
      </c>
      <c r="L8" s="302">
        <v>-135918.95666999999</v>
      </c>
      <c r="M8" s="319">
        <v>-0.16743386012414738</v>
      </c>
    </row>
    <row r="9" spans="1:57" s="55" customFormat="1" ht="20.25" x14ac:dyDescent="0.2">
      <c r="A9" s="54"/>
      <c r="B9" s="54"/>
      <c r="C9" s="58" t="s">
        <v>148</v>
      </c>
      <c r="D9" s="58"/>
      <c r="E9" s="58"/>
      <c r="F9" s="54"/>
      <c r="G9" s="180">
        <v>41504</v>
      </c>
      <c r="H9" s="180">
        <v>25300</v>
      </c>
      <c r="I9" s="180">
        <v>66804</v>
      </c>
      <c r="J9" s="180"/>
      <c r="K9" s="180">
        <v>175000</v>
      </c>
      <c r="L9" s="390">
        <v>-108196</v>
      </c>
      <c r="M9" s="319">
        <v>-0.61826285714285711</v>
      </c>
    </row>
    <row r="10" spans="1:57" s="55" customFormat="1" ht="20.25" x14ac:dyDescent="0.2">
      <c r="A10" s="54"/>
      <c r="B10" s="54"/>
      <c r="C10" s="58" t="s">
        <v>177</v>
      </c>
      <c r="D10" s="58"/>
      <c r="E10" s="58"/>
      <c r="F10" s="54"/>
      <c r="G10" s="180">
        <v>14147</v>
      </c>
      <c r="H10" s="180">
        <v>24011.0864</v>
      </c>
      <c r="I10" s="180">
        <v>38158.0864</v>
      </c>
      <c r="J10" s="180"/>
      <c r="K10" s="180">
        <v>49619</v>
      </c>
      <c r="L10" s="390">
        <v>-11460.9136</v>
      </c>
      <c r="M10" s="319">
        <v>-0.23097832685060157</v>
      </c>
    </row>
    <row r="11" spans="1:57" s="55" customFormat="1" ht="20.25" x14ac:dyDescent="0.2">
      <c r="A11" s="54"/>
      <c r="B11" s="54"/>
      <c r="C11" s="58" t="s">
        <v>100</v>
      </c>
      <c r="D11" s="58"/>
      <c r="E11" s="58"/>
      <c r="F11" s="54"/>
      <c r="G11" s="180"/>
      <c r="H11" s="180"/>
      <c r="I11" s="180">
        <v>0</v>
      </c>
      <c r="J11" s="180"/>
      <c r="K11" s="180"/>
      <c r="L11" s="390"/>
      <c r="M11" s="319"/>
    </row>
    <row r="12" spans="1:57" s="55" customFormat="1" ht="20.25" x14ac:dyDescent="0.2">
      <c r="A12" s="54"/>
      <c r="B12" s="54"/>
      <c r="D12" s="58" t="s">
        <v>137</v>
      </c>
      <c r="E12" s="58"/>
      <c r="F12" s="54"/>
      <c r="G12" s="180">
        <v>103487</v>
      </c>
      <c r="H12" s="180">
        <v>87197.56</v>
      </c>
      <c r="I12" s="180">
        <v>190684.56</v>
      </c>
      <c r="J12" s="180"/>
      <c r="K12" s="180">
        <v>196175</v>
      </c>
      <c r="L12" s="390">
        <v>-5490.4400000000023</v>
      </c>
      <c r="M12" s="319">
        <v>-2.7987460175863399E-2</v>
      </c>
      <c r="O12" s="367"/>
      <c r="P12" s="366"/>
      <c r="Q12" s="366"/>
    </row>
    <row r="13" spans="1:57" s="55" customFormat="1" ht="20.25" x14ac:dyDescent="0.2">
      <c r="A13" s="54"/>
      <c r="B13" s="54"/>
      <c r="D13" s="58" t="s">
        <v>157</v>
      </c>
      <c r="E13" s="58"/>
      <c r="F13" s="54"/>
      <c r="G13" s="180">
        <v>9000</v>
      </c>
      <c r="H13" s="180">
        <v>9000</v>
      </c>
      <c r="I13" s="180">
        <v>18000</v>
      </c>
      <c r="J13" s="180"/>
      <c r="K13" s="180">
        <v>18000</v>
      </c>
      <c r="L13" s="390">
        <v>0</v>
      </c>
      <c r="M13" s="319">
        <v>0</v>
      </c>
      <c r="O13" s="303"/>
      <c r="P13" s="368"/>
      <c r="Q13" s="290"/>
    </row>
    <row r="14" spans="1:57" s="55" customFormat="1" ht="20.25" x14ac:dyDescent="0.2">
      <c r="A14" s="54"/>
      <c r="B14" s="54"/>
      <c r="C14" s="58"/>
      <c r="D14" s="58" t="s">
        <v>398</v>
      </c>
      <c r="E14" s="58"/>
      <c r="F14" s="54"/>
      <c r="G14" s="180">
        <v>48393</v>
      </c>
      <c r="H14" s="180">
        <v>58479.097600000001</v>
      </c>
      <c r="I14" s="180">
        <v>106872.09760000001</v>
      </c>
      <c r="J14" s="180"/>
      <c r="K14" s="180">
        <v>169400</v>
      </c>
      <c r="L14" s="390">
        <v>-62527.902399999992</v>
      </c>
      <c r="M14" s="319">
        <v>-0.36911394569067291</v>
      </c>
      <c r="O14" s="303"/>
      <c r="P14" s="368"/>
      <c r="Q14" s="290"/>
    </row>
    <row r="15" spans="1:57" s="55" customFormat="1" ht="20.25" x14ac:dyDescent="0.2">
      <c r="A15" s="54"/>
      <c r="B15" s="54"/>
      <c r="C15" s="58" t="s">
        <v>373</v>
      </c>
      <c r="D15" s="58"/>
      <c r="E15" s="58"/>
      <c r="F15" s="54"/>
      <c r="G15" s="180">
        <v>5140</v>
      </c>
      <c r="H15" s="180">
        <v>5045</v>
      </c>
      <c r="I15" s="180">
        <v>10185</v>
      </c>
      <c r="J15" s="180"/>
      <c r="K15" s="180">
        <v>17000</v>
      </c>
      <c r="L15" s="390">
        <v>-6815</v>
      </c>
      <c r="M15" s="319">
        <v>-0.40088235294117647</v>
      </c>
      <c r="O15" s="303"/>
      <c r="P15" s="368"/>
      <c r="Q15" s="290"/>
    </row>
    <row r="16" spans="1:57" s="55" customFormat="1" ht="20.25" x14ac:dyDescent="0.2">
      <c r="A16" s="54"/>
      <c r="B16" s="54"/>
      <c r="C16" s="58" t="s">
        <v>108</v>
      </c>
      <c r="D16" s="58"/>
      <c r="E16" s="58"/>
      <c r="F16" s="54"/>
      <c r="G16" s="180">
        <v>701</v>
      </c>
      <c r="H16" s="180">
        <v>592.29</v>
      </c>
      <c r="I16" s="180">
        <v>1293.29</v>
      </c>
      <c r="J16" s="180"/>
      <c r="K16" s="180">
        <v>1200</v>
      </c>
      <c r="L16" s="390">
        <v>93.289999999999964</v>
      </c>
      <c r="M16" s="319">
        <v>7.7741666666666639E-2</v>
      </c>
      <c r="O16" s="303"/>
      <c r="P16" s="368"/>
      <c r="Q16" s="290"/>
    </row>
    <row r="17" spans="1:17" s="55" customFormat="1" ht="20.25" x14ac:dyDescent="0.2">
      <c r="A17" s="54"/>
      <c r="B17" s="54"/>
      <c r="C17" s="58" t="s">
        <v>235</v>
      </c>
      <c r="D17" s="58"/>
      <c r="E17" s="58"/>
      <c r="F17" s="54"/>
      <c r="G17" s="180">
        <v>2152</v>
      </c>
      <c r="H17" s="180">
        <v>1900</v>
      </c>
      <c r="I17" s="180">
        <v>4052</v>
      </c>
      <c r="J17" s="180"/>
      <c r="K17" s="180">
        <v>4200</v>
      </c>
      <c r="L17" s="390">
        <v>-148</v>
      </c>
      <c r="M17" s="319">
        <v>-3.5238095238095235E-2</v>
      </c>
      <c r="O17" s="303"/>
      <c r="P17" s="368"/>
      <c r="Q17" s="290"/>
    </row>
    <row r="18" spans="1:17" s="55" customFormat="1" ht="20.25" x14ac:dyDescent="0.2">
      <c r="A18" s="54"/>
      <c r="B18" s="54"/>
      <c r="C18" s="58" t="s">
        <v>317</v>
      </c>
      <c r="D18" s="58"/>
      <c r="E18" s="58"/>
      <c r="F18" s="54"/>
      <c r="G18" s="180">
        <v>-2942</v>
      </c>
      <c r="H18" s="180">
        <v>0</v>
      </c>
      <c r="I18" s="180">
        <v>-2942</v>
      </c>
      <c r="J18" s="180"/>
      <c r="K18" s="180">
        <v>1500</v>
      </c>
      <c r="L18" s="390">
        <v>-4442</v>
      </c>
      <c r="M18" s="319">
        <v>-2.9613333333333332</v>
      </c>
      <c r="O18" s="303"/>
      <c r="P18" s="368"/>
      <c r="Q18" s="290"/>
    </row>
    <row r="19" spans="1:17" s="55" customFormat="1" ht="20.25" x14ac:dyDescent="0.2">
      <c r="A19" s="54"/>
      <c r="B19" s="54"/>
      <c r="C19" s="58" t="s">
        <v>410</v>
      </c>
      <c r="D19" s="58"/>
      <c r="E19" s="58"/>
      <c r="F19" s="54"/>
      <c r="G19" s="180"/>
      <c r="H19" s="180"/>
      <c r="I19" s="180">
        <v>0</v>
      </c>
      <c r="J19" s="180"/>
      <c r="K19" s="180"/>
      <c r="L19" s="390">
        <v>0</v>
      </c>
      <c r="M19" s="319"/>
      <c r="O19" s="303"/>
      <c r="P19" s="368"/>
      <c r="Q19" s="290"/>
    </row>
    <row r="20" spans="1:17" s="55" customFormat="1" ht="20.25" x14ac:dyDescent="0.2">
      <c r="A20" s="54"/>
      <c r="B20" s="54"/>
      <c r="C20" s="58"/>
      <c r="D20" s="58" t="s">
        <v>11</v>
      </c>
      <c r="E20" s="58"/>
      <c r="F20" s="54"/>
      <c r="G20" s="180">
        <v>15479.72</v>
      </c>
      <c r="H20" s="180">
        <v>16194.880000000001</v>
      </c>
      <c r="I20" s="180">
        <v>31674.6</v>
      </c>
      <c r="J20" s="180"/>
      <c r="K20" s="180">
        <v>29543</v>
      </c>
      <c r="L20" s="390">
        <v>2131.5999999999985</v>
      </c>
      <c r="M20" s="319">
        <v>7.2152455742477015E-2</v>
      </c>
      <c r="O20" s="303"/>
      <c r="P20" s="368"/>
      <c r="Q20" s="290"/>
    </row>
    <row r="21" spans="1:17" s="55" customFormat="1" ht="20.25" x14ac:dyDescent="0.2">
      <c r="A21" s="54"/>
      <c r="B21" s="54"/>
      <c r="C21" s="58"/>
      <c r="D21" s="58" t="s">
        <v>391</v>
      </c>
      <c r="E21" s="58"/>
      <c r="F21" s="58"/>
      <c r="G21" s="180">
        <v>4073</v>
      </c>
      <c r="H21" s="180">
        <v>1960.0200000000002</v>
      </c>
      <c r="I21" s="180">
        <v>6033.02</v>
      </c>
      <c r="J21" s="180"/>
      <c r="K21" s="180">
        <v>5000</v>
      </c>
      <c r="L21" s="390">
        <v>1033.0200000000004</v>
      </c>
      <c r="M21" s="319">
        <v>0.20660400000000009</v>
      </c>
      <c r="O21" s="303"/>
      <c r="P21" s="368"/>
      <c r="Q21" s="290"/>
    </row>
    <row r="22" spans="1:17" s="55" customFormat="1" ht="20.25" x14ac:dyDescent="0.2">
      <c r="A22" s="54"/>
      <c r="B22" s="54"/>
      <c r="C22" s="560"/>
      <c r="D22" s="58" t="s">
        <v>17</v>
      </c>
      <c r="E22" s="560"/>
      <c r="F22" s="560"/>
      <c r="G22" s="180">
        <v>25000</v>
      </c>
      <c r="H22" s="180">
        <v>25000</v>
      </c>
      <c r="I22" s="180">
        <v>50000</v>
      </c>
      <c r="J22" s="180"/>
      <c r="K22" s="180">
        <v>50000</v>
      </c>
      <c r="L22" s="390">
        <v>0</v>
      </c>
      <c r="M22" s="319">
        <v>0</v>
      </c>
      <c r="O22" s="303"/>
      <c r="P22" s="368"/>
      <c r="Q22" s="290"/>
    </row>
    <row r="23" spans="1:17" s="55" customFormat="1" ht="20.25" x14ac:dyDescent="0.2">
      <c r="A23" s="54"/>
      <c r="B23" s="54"/>
      <c r="C23" s="560"/>
      <c r="D23" s="58" t="s">
        <v>411</v>
      </c>
      <c r="E23" s="560"/>
      <c r="F23" s="560"/>
      <c r="G23" s="180">
        <v>15000</v>
      </c>
      <c r="H23" s="180">
        <v>0</v>
      </c>
      <c r="I23" s="180">
        <v>15000</v>
      </c>
      <c r="J23" s="180"/>
      <c r="K23" s="180">
        <v>0</v>
      </c>
      <c r="L23" s="390">
        <v>15000</v>
      </c>
      <c r="M23" s="319"/>
      <c r="O23" s="303"/>
      <c r="P23" s="368"/>
      <c r="Q23" s="290"/>
    </row>
    <row r="24" spans="1:17" s="55" customFormat="1" ht="20.25" x14ac:dyDescent="0.2">
      <c r="A24" s="54"/>
      <c r="B24" s="54"/>
      <c r="C24" s="560"/>
      <c r="D24" s="58" t="s">
        <v>412</v>
      </c>
      <c r="E24" s="560"/>
      <c r="F24" s="560"/>
      <c r="G24" s="180">
        <v>5488</v>
      </c>
      <c r="H24" s="180">
        <v>0</v>
      </c>
      <c r="I24" s="180">
        <v>5488</v>
      </c>
      <c r="J24" s="180"/>
      <c r="K24" s="180">
        <v>0</v>
      </c>
      <c r="L24" s="390">
        <v>5488</v>
      </c>
      <c r="M24" s="319"/>
      <c r="O24" s="303"/>
      <c r="P24" s="368"/>
      <c r="Q24" s="290"/>
    </row>
    <row r="25" spans="1:17" s="55" customFormat="1" ht="20.25" x14ac:dyDescent="0.2">
      <c r="A25" s="54"/>
      <c r="B25" s="54"/>
      <c r="C25" s="58" t="s">
        <v>319</v>
      </c>
      <c r="D25" s="560"/>
      <c r="E25" s="560"/>
      <c r="F25" s="560"/>
      <c r="G25" s="180">
        <v>0</v>
      </c>
      <c r="H25" s="180">
        <v>0</v>
      </c>
      <c r="I25" s="180">
        <v>0</v>
      </c>
      <c r="J25" s="180"/>
      <c r="K25" s="180">
        <v>2000</v>
      </c>
      <c r="L25" s="390">
        <v>-2000</v>
      </c>
      <c r="M25" s="319">
        <v>-1</v>
      </c>
      <c r="O25" s="303"/>
      <c r="P25" s="368"/>
      <c r="Q25" s="290"/>
    </row>
    <row r="26" spans="1:17" s="55" customFormat="1" ht="20.25" x14ac:dyDescent="0.2">
      <c r="A26" s="54"/>
      <c r="B26" s="54"/>
      <c r="C26" s="58" t="s">
        <v>107</v>
      </c>
      <c r="D26" s="560"/>
      <c r="E26" s="560"/>
      <c r="F26" s="560"/>
      <c r="G26" s="180">
        <v>23288</v>
      </c>
      <c r="H26" s="180">
        <v>23288</v>
      </c>
      <c r="I26" s="180">
        <v>46576</v>
      </c>
      <c r="J26" s="180"/>
      <c r="K26" s="180">
        <v>46576</v>
      </c>
      <c r="L26" s="390">
        <v>0</v>
      </c>
      <c r="M26" s="319">
        <v>0</v>
      </c>
      <c r="O26" s="303"/>
      <c r="P26" s="368"/>
      <c r="Q26" s="290"/>
    </row>
    <row r="27" spans="1:17" s="55" customFormat="1" ht="20.25" x14ac:dyDescent="0.2">
      <c r="A27" s="54"/>
      <c r="B27" s="54"/>
      <c r="C27" s="58" t="s">
        <v>413</v>
      </c>
      <c r="D27" s="560"/>
      <c r="E27" s="560"/>
      <c r="F27" s="560"/>
      <c r="G27" s="180">
        <v>11328.2</v>
      </c>
      <c r="H27" s="180">
        <v>10450</v>
      </c>
      <c r="I27" s="180">
        <v>21778.2</v>
      </c>
      <c r="J27" s="180"/>
      <c r="K27" s="180">
        <v>3500</v>
      </c>
      <c r="L27" s="390">
        <v>18278.2</v>
      </c>
      <c r="M27" s="319">
        <v>5.2223428571428574</v>
      </c>
      <c r="O27" s="303"/>
      <c r="P27" s="368"/>
      <c r="Q27" s="290"/>
    </row>
    <row r="28" spans="1:17" s="55" customFormat="1" ht="20.25" x14ac:dyDescent="0.2">
      <c r="A28" s="54"/>
      <c r="B28" s="54"/>
      <c r="C28" s="58" t="s">
        <v>100</v>
      </c>
      <c r="D28" s="560"/>
      <c r="E28" s="560"/>
      <c r="F28" s="560"/>
      <c r="G28" s="180">
        <v>9500</v>
      </c>
      <c r="H28" s="180">
        <v>9499.7799999999988</v>
      </c>
      <c r="I28" s="180">
        <v>18999.78</v>
      </c>
      <c r="J28" s="180"/>
      <c r="K28" s="180">
        <v>19000</v>
      </c>
      <c r="L28" s="390">
        <v>-0.22000000000116415</v>
      </c>
      <c r="M28" s="319">
        <v>-1.1578947368482324E-5</v>
      </c>
      <c r="O28" s="303"/>
      <c r="P28" s="368"/>
      <c r="Q28" s="290"/>
    </row>
    <row r="29" spans="1:17" s="55" customFormat="1" ht="20.25" x14ac:dyDescent="0.2">
      <c r="A29" s="54"/>
      <c r="B29" s="54"/>
      <c r="C29" s="58" t="s">
        <v>316</v>
      </c>
      <c r="D29" s="560"/>
      <c r="E29" s="560"/>
      <c r="F29" s="560"/>
      <c r="G29" s="180">
        <v>26000</v>
      </c>
      <c r="H29" s="180">
        <v>20800.019999999997</v>
      </c>
      <c r="I29" s="180">
        <v>46800.02</v>
      </c>
      <c r="J29" s="180"/>
      <c r="K29" s="180">
        <v>53000</v>
      </c>
      <c r="L29" s="390">
        <v>-6199.9800000000032</v>
      </c>
      <c r="M29" s="319">
        <v>-0.11698075471698119</v>
      </c>
      <c r="O29" s="303"/>
      <c r="P29" s="368"/>
      <c r="Q29" s="290"/>
    </row>
    <row r="30" spans="1:17" s="55" customFormat="1" ht="20.25" x14ac:dyDescent="0.2">
      <c r="A30" s="54"/>
      <c r="B30" s="54"/>
      <c r="C30" s="58" t="s">
        <v>318</v>
      </c>
      <c r="D30" s="560"/>
      <c r="E30" s="560"/>
      <c r="F30" s="560"/>
      <c r="G30" s="180">
        <v>5764.37</v>
      </c>
      <c r="H30" s="180">
        <v>5781</v>
      </c>
      <c r="I30" s="180">
        <v>11545.369999999999</v>
      </c>
      <c r="J30" s="180"/>
      <c r="K30" s="180">
        <v>16835</v>
      </c>
      <c r="L30" s="390">
        <v>-5289.630000000001</v>
      </c>
      <c r="M30" s="319">
        <v>-0.31420433620433624</v>
      </c>
      <c r="O30" s="303"/>
      <c r="P30" s="368"/>
      <c r="Q30" s="290"/>
    </row>
    <row r="31" spans="1:17" s="55" customFormat="1" ht="20.25" x14ac:dyDescent="0.2">
      <c r="A31" s="54"/>
      <c r="B31" s="54"/>
      <c r="C31" s="58"/>
      <c r="D31" s="54" t="s">
        <v>103</v>
      </c>
      <c r="E31" s="58"/>
      <c r="F31" s="54"/>
      <c r="G31" s="188">
        <v>722601.28999999992</v>
      </c>
      <c r="H31" s="188">
        <v>640258.77733000007</v>
      </c>
      <c r="I31" s="188">
        <v>1362860.0673300002</v>
      </c>
      <c r="J31" s="188"/>
      <c r="K31" s="188">
        <v>1669325</v>
      </c>
      <c r="L31" s="567">
        <v>-306464.93267000001</v>
      </c>
      <c r="M31" s="568">
        <v>-0.18358613970916388</v>
      </c>
    </row>
    <row r="32" spans="1:17" s="55" customFormat="1" ht="20.25" x14ac:dyDescent="0.2">
      <c r="A32" s="54"/>
      <c r="B32" s="54"/>
      <c r="C32" s="58"/>
      <c r="D32" s="54"/>
      <c r="E32" s="58"/>
      <c r="F32" s="54"/>
      <c r="G32" s="180"/>
      <c r="H32" s="180"/>
      <c r="I32" s="180"/>
      <c r="J32" s="180"/>
      <c r="K32" s="461"/>
    </row>
    <row r="33" spans="1:15" s="55" customFormat="1" ht="21" thickBot="1" x14ac:dyDescent="0.25">
      <c r="A33" s="54"/>
      <c r="B33" s="66" t="s">
        <v>109</v>
      </c>
      <c r="C33" s="66"/>
      <c r="D33" s="66"/>
      <c r="E33" s="66"/>
      <c r="F33" s="66"/>
      <c r="G33" s="180"/>
      <c r="H33" s="180"/>
      <c r="I33" s="180"/>
      <c r="J33" s="180"/>
    </row>
    <row r="34" spans="1:15" s="55" customFormat="1" ht="20.25" x14ac:dyDescent="0.2">
      <c r="A34" s="54"/>
      <c r="B34" s="54"/>
      <c r="C34" s="58" t="s">
        <v>110</v>
      </c>
      <c r="D34" s="58"/>
      <c r="E34" s="58"/>
      <c r="F34" s="58"/>
      <c r="G34" s="180">
        <v>447013.99</v>
      </c>
      <c r="H34" s="180">
        <v>440623.07</v>
      </c>
      <c r="I34" s="180">
        <v>887637.06</v>
      </c>
      <c r="J34" s="180"/>
      <c r="K34" s="569">
        <v>1102996</v>
      </c>
      <c r="L34" s="390">
        <v>-215358.93999999994</v>
      </c>
      <c r="M34" s="337">
        <v>-0.19524906708637196</v>
      </c>
    </row>
    <row r="35" spans="1:15" s="55" customFormat="1" ht="20.25" x14ac:dyDescent="0.2">
      <c r="A35" s="54"/>
      <c r="B35" s="54"/>
      <c r="C35" s="58" t="s">
        <v>111</v>
      </c>
      <c r="D35" s="58"/>
      <c r="E35" s="58"/>
      <c r="F35" s="58"/>
      <c r="G35" s="180">
        <v>102132.08</v>
      </c>
      <c r="H35" s="180">
        <v>85992.050000000017</v>
      </c>
      <c r="I35" s="180">
        <v>188124.13</v>
      </c>
      <c r="J35" s="180"/>
      <c r="K35" s="216">
        <v>224967</v>
      </c>
      <c r="L35" s="390">
        <v>-36842.869999999995</v>
      </c>
      <c r="M35" s="337">
        <v>-0.16377010850480292</v>
      </c>
    </row>
    <row r="36" spans="1:15" s="55" customFormat="1" ht="20.25" x14ac:dyDescent="0.2">
      <c r="A36" s="54"/>
      <c r="B36" s="54"/>
      <c r="C36" s="58" t="s">
        <v>112</v>
      </c>
      <c r="D36" s="58"/>
      <c r="E36" s="58"/>
      <c r="F36" s="58"/>
      <c r="G36" s="180">
        <v>900</v>
      </c>
      <c r="H36" s="180">
        <v>900</v>
      </c>
      <c r="I36" s="180">
        <v>1800</v>
      </c>
      <c r="J36" s="180"/>
      <c r="K36" s="216">
        <v>1800</v>
      </c>
      <c r="L36" s="390">
        <v>0</v>
      </c>
      <c r="M36" s="337">
        <v>0</v>
      </c>
    </row>
    <row r="37" spans="1:15" s="55" customFormat="1" ht="20.25" x14ac:dyDescent="0.2">
      <c r="A37" s="54"/>
      <c r="B37" s="54"/>
      <c r="C37" s="58" t="s">
        <v>102</v>
      </c>
      <c r="D37" s="58"/>
      <c r="E37" s="58"/>
      <c r="F37" s="58"/>
      <c r="G37" s="180">
        <v>23288</v>
      </c>
      <c r="H37" s="180">
        <v>23288</v>
      </c>
      <c r="I37" s="180">
        <v>46576</v>
      </c>
      <c r="J37" s="180"/>
      <c r="K37" s="216">
        <v>46576</v>
      </c>
      <c r="L37" s="390">
        <v>0</v>
      </c>
      <c r="M37" s="337">
        <v>0</v>
      </c>
    </row>
    <row r="38" spans="1:15" s="55" customFormat="1" ht="20.25" x14ac:dyDescent="0.2">
      <c r="A38" s="54"/>
      <c r="B38" s="54"/>
      <c r="C38" s="58" t="s">
        <v>113</v>
      </c>
      <c r="D38" s="58"/>
      <c r="E38" s="58"/>
      <c r="F38" s="58"/>
      <c r="G38" s="180">
        <v>10831.87</v>
      </c>
      <c r="H38" s="180">
        <v>10418.370000000001</v>
      </c>
      <c r="I38" s="180">
        <v>21250.240000000002</v>
      </c>
      <c r="J38" s="180"/>
      <c r="K38" s="216">
        <v>19050</v>
      </c>
      <c r="L38" s="390">
        <v>2200.2400000000016</v>
      </c>
      <c r="M38" s="337">
        <v>0.11549816272965888</v>
      </c>
    </row>
    <row r="39" spans="1:15" s="55" customFormat="1" ht="20.25" x14ac:dyDescent="0.2">
      <c r="A39" s="54"/>
      <c r="B39" s="54"/>
      <c r="C39" s="58" t="s">
        <v>114</v>
      </c>
      <c r="D39" s="58"/>
      <c r="E39" s="58"/>
      <c r="F39" s="58"/>
      <c r="G39" s="180">
        <v>1224.3499999999999</v>
      </c>
      <c r="H39" s="180">
        <v>1207.24</v>
      </c>
      <c r="I39" s="180">
        <v>2431.59</v>
      </c>
      <c r="J39" s="180"/>
      <c r="K39" s="216">
        <v>3377</v>
      </c>
      <c r="L39" s="390">
        <v>-945.40999999999985</v>
      </c>
      <c r="M39" s="337">
        <v>-0.27995558187740593</v>
      </c>
    </row>
    <row r="40" spans="1:15" s="55" customFormat="1" ht="20.25" x14ac:dyDescent="0.2">
      <c r="A40" s="54"/>
      <c r="B40" s="54"/>
      <c r="C40" s="58" t="s">
        <v>115</v>
      </c>
      <c r="D40" s="58"/>
      <c r="E40" s="58"/>
      <c r="F40" s="58"/>
      <c r="G40" s="180">
        <v>1941.95</v>
      </c>
      <c r="H40" s="180">
        <v>1791.4500000000003</v>
      </c>
      <c r="I40" s="180">
        <v>3733.4000000000005</v>
      </c>
      <c r="J40" s="180"/>
      <c r="K40" s="216">
        <v>4254</v>
      </c>
      <c r="L40" s="390">
        <v>-520.59999999999945</v>
      </c>
      <c r="M40" s="337">
        <v>-0.12237893747061576</v>
      </c>
    </row>
    <row r="41" spans="1:15" s="55" customFormat="1" ht="20.25" x14ac:dyDescent="0.2">
      <c r="A41" s="54"/>
      <c r="B41" s="54"/>
      <c r="C41" s="58" t="s">
        <v>116</v>
      </c>
      <c r="D41" s="58"/>
      <c r="E41" s="58"/>
      <c r="F41" s="58"/>
      <c r="G41" s="180">
        <v>525.84</v>
      </c>
      <c r="H41" s="180">
        <v>1029.27</v>
      </c>
      <c r="I41" s="180">
        <v>1555.1100000000001</v>
      </c>
      <c r="J41" s="180"/>
      <c r="K41" s="216">
        <v>12334</v>
      </c>
      <c r="L41" s="390">
        <v>-10778.89</v>
      </c>
      <c r="M41" s="337">
        <v>-0.8739168153072806</v>
      </c>
    </row>
    <row r="42" spans="1:15" s="55" customFormat="1" ht="20.25" x14ac:dyDescent="0.2">
      <c r="A42" s="54"/>
      <c r="B42" s="54"/>
      <c r="C42" s="58" t="s">
        <v>117</v>
      </c>
      <c r="D42" s="58"/>
      <c r="E42" s="58"/>
      <c r="F42" s="58"/>
      <c r="G42" s="180">
        <v>18906.52</v>
      </c>
      <c r="H42" s="180">
        <v>15450</v>
      </c>
      <c r="I42" s="180">
        <v>34356.520000000004</v>
      </c>
      <c r="J42" s="180"/>
      <c r="K42" s="216">
        <v>38115</v>
      </c>
      <c r="L42" s="390">
        <v>-3758.4799999999959</v>
      </c>
      <c r="M42" s="337">
        <v>-9.8608946608946507E-2</v>
      </c>
    </row>
    <row r="43" spans="1:15" s="55" customFormat="1" ht="20.25" x14ac:dyDescent="0.2">
      <c r="A43" s="54"/>
      <c r="B43" s="54"/>
      <c r="C43" s="58" t="s">
        <v>118</v>
      </c>
      <c r="D43" s="58"/>
      <c r="E43" s="58"/>
      <c r="F43" s="58"/>
      <c r="G43" s="180">
        <v>672.76</v>
      </c>
      <c r="H43" s="180">
        <v>828.07</v>
      </c>
      <c r="I43" s="180">
        <v>1500.83</v>
      </c>
      <c r="J43" s="180"/>
      <c r="K43" s="216">
        <v>5448</v>
      </c>
      <c r="L43" s="390">
        <v>-3947.17</v>
      </c>
      <c r="M43" s="337">
        <v>-0.72451725403817913</v>
      </c>
    </row>
    <row r="44" spans="1:15" s="55" customFormat="1" ht="20.25" x14ac:dyDescent="0.2">
      <c r="A44" s="54"/>
      <c r="B44" s="54"/>
      <c r="C44" s="58" t="s">
        <v>119</v>
      </c>
      <c r="D44" s="58"/>
      <c r="E44" s="58"/>
      <c r="F44" s="58"/>
      <c r="G44" s="180">
        <v>419</v>
      </c>
      <c r="H44" s="180">
        <v>588.96333333333337</v>
      </c>
      <c r="I44" s="180">
        <v>1007.9633333333334</v>
      </c>
      <c r="J44" s="180"/>
      <c r="K44" s="216">
        <v>1262</v>
      </c>
      <c r="L44" s="390">
        <v>-254.03666666666663</v>
      </c>
      <c r="M44" s="337">
        <v>-0.20129688325409401</v>
      </c>
    </row>
    <row r="45" spans="1:15" s="55" customFormat="1" ht="20.25" x14ac:dyDescent="0.2">
      <c r="A45" s="54"/>
      <c r="B45" s="54"/>
      <c r="C45" s="58" t="s">
        <v>164</v>
      </c>
      <c r="D45" s="58"/>
      <c r="E45" s="58"/>
      <c r="F45" s="58"/>
      <c r="G45" s="180">
        <v>7425</v>
      </c>
      <c r="H45" s="180">
        <v>2735</v>
      </c>
      <c r="I45" s="180">
        <v>10160</v>
      </c>
      <c r="J45" s="180"/>
      <c r="K45" s="216">
        <v>12600</v>
      </c>
      <c r="L45" s="390">
        <v>-2440</v>
      </c>
      <c r="M45" s="337">
        <v>-0.19365079365079366</v>
      </c>
    </row>
    <row r="46" spans="1:15" s="55" customFormat="1" ht="20.25" x14ac:dyDescent="0.2">
      <c r="A46" s="54"/>
      <c r="B46" s="54"/>
      <c r="C46" s="803" t="s">
        <v>321</v>
      </c>
      <c r="D46" s="803"/>
      <c r="E46" s="803"/>
      <c r="F46" s="803"/>
      <c r="G46" s="180">
        <v>67</v>
      </c>
      <c r="H46" s="180">
        <v>0</v>
      </c>
      <c r="I46" s="180">
        <v>67</v>
      </c>
      <c r="J46" s="180"/>
      <c r="K46" s="216">
        <v>0</v>
      </c>
      <c r="L46" s="390">
        <v>67</v>
      </c>
      <c r="M46" s="337"/>
      <c r="O46" s="548"/>
    </row>
    <row r="47" spans="1:15" s="55" customFormat="1" ht="20.25" x14ac:dyDescent="0.2">
      <c r="A47" s="54"/>
      <c r="B47" s="54"/>
      <c r="C47" s="58" t="s">
        <v>120</v>
      </c>
      <c r="D47" s="58"/>
      <c r="E47" s="58"/>
      <c r="F47" s="58"/>
      <c r="G47" s="180">
        <v>9698.2999999999993</v>
      </c>
      <c r="H47" s="180">
        <v>6282.170000000001</v>
      </c>
      <c r="I47" s="180">
        <v>15980.470000000001</v>
      </c>
      <c r="J47" s="180"/>
      <c r="K47" s="216">
        <v>12425</v>
      </c>
      <c r="L47" s="390">
        <v>3555.4700000000012</v>
      </c>
      <c r="M47" s="337">
        <v>0.28615452716297796</v>
      </c>
    </row>
    <row r="48" spans="1:15" s="55" customFormat="1" ht="20.25" x14ac:dyDescent="0.2">
      <c r="A48" s="54"/>
      <c r="B48" s="54"/>
      <c r="C48" s="58" t="s">
        <v>121</v>
      </c>
      <c r="D48" s="58"/>
      <c r="E48" s="58"/>
      <c r="F48" s="58"/>
      <c r="G48" s="180">
        <v>5409.5</v>
      </c>
      <c r="H48" s="180">
        <v>6493.7800000000007</v>
      </c>
      <c r="I48" s="180">
        <v>11903.28</v>
      </c>
      <c r="J48" s="180"/>
      <c r="K48" s="216">
        <v>11716</v>
      </c>
      <c r="L48" s="390">
        <v>187.28000000000065</v>
      </c>
      <c r="M48" s="337">
        <v>1.5984977808125696E-2</v>
      </c>
      <c r="O48" s="548"/>
    </row>
    <row r="49" spans="1:17" s="55" customFormat="1" ht="20.25" x14ac:dyDescent="0.2">
      <c r="A49" s="54"/>
      <c r="B49" s="54"/>
      <c r="C49" s="58" t="s">
        <v>128</v>
      </c>
      <c r="D49" s="58"/>
      <c r="E49" s="58"/>
      <c r="F49" s="58"/>
      <c r="G49" s="180">
        <v>733.4</v>
      </c>
      <c r="H49" s="180">
        <v>410</v>
      </c>
      <c r="I49" s="180">
        <v>1143.4000000000001</v>
      </c>
      <c r="J49" s="180"/>
      <c r="K49" s="216">
        <v>1280</v>
      </c>
      <c r="L49" s="390">
        <v>-136.59999999999991</v>
      </c>
      <c r="M49" s="337">
        <v>-0.10671874999999993</v>
      </c>
    </row>
    <row r="50" spans="1:17" s="55" customFormat="1" ht="20.25" x14ac:dyDescent="0.2">
      <c r="A50" s="54"/>
      <c r="B50" s="54"/>
      <c r="C50" s="58" t="s">
        <v>122</v>
      </c>
      <c r="D50" s="58"/>
      <c r="E50" s="58"/>
      <c r="F50" s="58"/>
      <c r="G50" s="180">
        <v>540.31999999999994</v>
      </c>
      <c r="H50" s="180">
        <v>0</v>
      </c>
      <c r="I50" s="180">
        <v>540.31999999999994</v>
      </c>
      <c r="J50" s="180"/>
      <c r="K50" s="216">
        <v>10470</v>
      </c>
      <c r="L50" s="390">
        <v>-9929.68</v>
      </c>
      <c r="M50" s="337">
        <v>-0.94839350525310417</v>
      </c>
      <c r="O50" s="548"/>
    </row>
    <row r="51" spans="1:17" s="55" customFormat="1" ht="20.25" customHeight="1" x14ac:dyDescent="0.2">
      <c r="A51" s="54"/>
      <c r="B51" s="54"/>
      <c r="C51" s="58" t="s">
        <v>197</v>
      </c>
      <c r="D51" s="58"/>
      <c r="E51" s="58"/>
      <c r="F51" s="58"/>
      <c r="G51" s="180">
        <v>2381.4</v>
      </c>
      <c r="H51" s="180">
        <v>300</v>
      </c>
      <c r="I51" s="180">
        <v>2681.4</v>
      </c>
      <c r="J51" s="180"/>
      <c r="K51" s="216">
        <v>20850</v>
      </c>
      <c r="L51" s="390">
        <v>-18168.599999999999</v>
      </c>
      <c r="M51" s="337">
        <v>-0.87139568345323737</v>
      </c>
    </row>
    <row r="52" spans="1:17" s="55" customFormat="1" ht="20.25" x14ac:dyDescent="0.2">
      <c r="A52" s="58"/>
      <c r="B52" s="58"/>
      <c r="C52" s="58" t="s">
        <v>124</v>
      </c>
      <c r="D52" s="58"/>
      <c r="E52" s="58"/>
      <c r="F52" s="58"/>
      <c r="G52" s="180">
        <v>23932</v>
      </c>
      <c r="H52" s="180">
        <v>4454</v>
      </c>
      <c r="I52" s="180">
        <v>28386</v>
      </c>
      <c r="J52" s="180"/>
      <c r="K52" s="216">
        <v>12937</v>
      </c>
      <c r="L52" s="390">
        <v>15449</v>
      </c>
      <c r="M52" s="337">
        <v>1.1941717554301616</v>
      </c>
    </row>
    <row r="53" spans="1:17" s="55" customFormat="1" ht="20.25" x14ac:dyDescent="0.2">
      <c r="A53" s="54"/>
      <c r="B53" s="54"/>
      <c r="C53" s="58" t="s">
        <v>163</v>
      </c>
      <c r="D53" s="58"/>
      <c r="E53" s="58"/>
      <c r="F53" s="58"/>
      <c r="G53" s="180">
        <v>31384.95</v>
      </c>
      <c r="H53" s="180">
        <v>23455</v>
      </c>
      <c r="I53" s="180">
        <v>54839.95</v>
      </c>
      <c r="J53" s="180"/>
      <c r="K53" s="216">
        <v>60011</v>
      </c>
      <c r="L53" s="390">
        <v>-5171.0500000000029</v>
      </c>
      <c r="M53" s="337">
        <v>-8.6168369132325784E-2</v>
      </c>
      <c r="Q53" s="271"/>
    </row>
    <row r="54" spans="1:17" s="55" customFormat="1" ht="20.25" x14ac:dyDescent="0.2">
      <c r="A54" s="54"/>
      <c r="B54" s="54"/>
      <c r="C54" s="58" t="s">
        <v>125</v>
      </c>
      <c r="D54" s="58"/>
      <c r="E54" s="58"/>
      <c r="F54" s="58"/>
      <c r="G54" s="180">
        <v>31753.16</v>
      </c>
      <c r="H54" s="180">
        <v>14675</v>
      </c>
      <c r="I54" s="180">
        <v>46428.160000000003</v>
      </c>
      <c r="J54" s="180"/>
      <c r="K54" s="216">
        <v>61119</v>
      </c>
      <c r="L54" s="390">
        <v>-14690.839999999997</v>
      </c>
      <c r="M54" s="337">
        <v>-0.2403645347600582</v>
      </c>
    </row>
    <row r="55" spans="1:17" s="55" customFormat="1" ht="21" thickBot="1" x14ac:dyDescent="0.25">
      <c r="A55" s="54"/>
      <c r="B55" s="54"/>
      <c r="C55" s="58" t="s">
        <v>400</v>
      </c>
      <c r="D55" s="58"/>
      <c r="E55" s="58"/>
      <c r="F55" s="58"/>
      <c r="G55" s="187">
        <v>297</v>
      </c>
      <c r="H55" s="182">
        <v>990</v>
      </c>
      <c r="I55" s="182">
        <v>1287</v>
      </c>
      <c r="J55" s="182"/>
      <c r="K55" s="570">
        <v>0</v>
      </c>
      <c r="L55" s="393">
        <v>1287</v>
      </c>
      <c r="M55" s="392"/>
    </row>
    <row r="56" spans="1:17" s="55" customFormat="1" ht="20.25" x14ac:dyDescent="0.2">
      <c r="A56" s="58"/>
      <c r="B56" s="58"/>
      <c r="C56" s="54"/>
      <c r="D56" s="54"/>
      <c r="G56" s="180">
        <v>721478.3899999999</v>
      </c>
      <c r="H56" s="180">
        <v>641911.43333333335</v>
      </c>
      <c r="I56" s="180">
        <v>1363389.8233333332</v>
      </c>
      <c r="J56" s="180"/>
      <c r="K56" s="180">
        <v>1663587</v>
      </c>
      <c r="L56" s="180">
        <v>-300197.17666666652</v>
      </c>
      <c r="M56" s="568">
        <v>-0.18045174473391926</v>
      </c>
    </row>
    <row r="57" spans="1:17" s="55" customFormat="1" ht="8.25" customHeight="1" x14ac:dyDescent="0.2">
      <c r="A57" s="58"/>
      <c r="B57" s="58"/>
      <c r="C57" s="54"/>
      <c r="D57" s="54"/>
      <c r="G57" s="180"/>
      <c r="H57" s="180"/>
      <c r="I57" s="180"/>
      <c r="J57" s="180"/>
      <c r="K57" s="180"/>
    </row>
    <row r="58" spans="1:17" s="55" customFormat="1" ht="20.25" x14ac:dyDescent="0.2">
      <c r="A58" s="58"/>
      <c r="B58" s="58"/>
      <c r="C58" s="571" t="s">
        <v>414</v>
      </c>
      <c r="D58"/>
      <c r="E58" s="54"/>
      <c r="F58" s="54"/>
      <c r="G58" s="188">
        <v>1122.9000000000233</v>
      </c>
      <c r="H58" s="188">
        <v>-1652.6560033332789</v>
      </c>
      <c r="I58" s="188">
        <v>-529.75600333325565</v>
      </c>
      <c r="J58" s="180"/>
      <c r="K58" s="188">
        <v>5738</v>
      </c>
      <c r="L58" s="572">
        <v>-6267.7560033332556</v>
      </c>
      <c r="M58" s="568">
        <v>-1.0923241553386642</v>
      </c>
    </row>
    <row r="59" spans="1:17" s="55" customFormat="1" ht="9" customHeight="1" x14ac:dyDescent="0.2">
      <c r="A59" s="58"/>
      <c r="B59" s="58"/>
      <c r="C59" s="58"/>
      <c r="D59" s="58"/>
      <c r="E59" s="58"/>
      <c r="F59" s="58"/>
      <c r="G59" s="180"/>
      <c r="H59" s="180"/>
      <c r="I59" s="180"/>
      <c r="J59" s="180"/>
      <c r="K59" s="180"/>
    </row>
    <row r="60" spans="1:17" s="55" customFormat="1" ht="20.25" x14ac:dyDescent="0.2">
      <c r="A60" s="58"/>
      <c r="B60" s="58"/>
      <c r="C60" s="58" t="s">
        <v>123</v>
      </c>
      <c r="D60" s="58"/>
      <c r="F60" s="58"/>
      <c r="G60" s="180">
        <v>19500</v>
      </c>
      <c r="H60" s="180">
        <v>19720</v>
      </c>
      <c r="I60" s="180">
        <v>39220</v>
      </c>
      <c r="J60" s="180"/>
      <c r="K60" s="180">
        <v>39797</v>
      </c>
    </row>
    <row r="61" spans="1:17" s="55" customFormat="1" ht="9" customHeight="1" x14ac:dyDescent="0.2">
      <c r="A61" s="58"/>
      <c r="B61" s="58"/>
      <c r="C61" s="58"/>
      <c r="D61" s="58"/>
      <c r="E61" s="58"/>
      <c r="F61" s="58"/>
      <c r="G61" s="180"/>
      <c r="H61" s="180"/>
      <c r="I61" s="180"/>
      <c r="J61" s="180"/>
      <c r="K61" s="180"/>
    </row>
    <row r="62" spans="1:17" s="55" customFormat="1" ht="21" thickBot="1" x14ac:dyDescent="0.25">
      <c r="A62" s="54"/>
      <c r="B62" s="54"/>
      <c r="C62" s="571" t="s">
        <v>415</v>
      </c>
      <c r="D62"/>
      <c r="E62"/>
      <c r="F62"/>
      <c r="G62" s="573">
        <v>-18377.099999999977</v>
      </c>
      <c r="H62" s="573">
        <v>-21372.656003333279</v>
      </c>
      <c r="I62" s="573">
        <v>-39749.756003333256</v>
      </c>
      <c r="J62" s="183"/>
      <c r="K62" s="573">
        <v>-34059</v>
      </c>
    </row>
    <row r="63" spans="1:17" s="55" customFormat="1" ht="21" thickTop="1" x14ac:dyDescent="0.2">
      <c r="A63" s="54"/>
      <c r="B63" s="54"/>
      <c r="C63" s="54"/>
      <c r="D63" s="54"/>
      <c r="E63" s="54"/>
      <c r="F63" s="54"/>
      <c r="G63" s="183"/>
      <c r="H63" s="183"/>
      <c r="I63" s="183"/>
      <c r="J63" s="183"/>
      <c r="K63" s="183"/>
    </row>
    <row r="64" spans="1:17" s="55" customFormat="1" ht="23.25" x14ac:dyDescent="0.2">
      <c r="A64" s="54"/>
      <c r="B64" s="209"/>
      <c r="C64" s="54"/>
      <c r="D64" s="54"/>
      <c r="E64" s="54"/>
      <c r="F64" s="54" t="s">
        <v>416</v>
      </c>
      <c r="G64" s="180"/>
      <c r="H64" s="180"/>
      <c r="I64" s="180"/>
      <c r="J64" s="180"/>
      <c r="K64" s="180"/>
    </row>
    <row r="65" spans="1:11" s="55" customFormat="1" ht="20.25" x14ac:dyDescent="0.2">
      <c r="A65" s="58"/>
      <c r="B65" s="58"/>
      <c r="D65" s="58"/>
      <c r="E65" s="58"/>
      <c r="F65" s="575" t="s">
        <v>417</v>
      </c>
      <c r="G65" s="180"/>
      <c r="H65" s="180"/>
      <c r="I65" s="180"/>
      <c r="J65" s="180"/>
      <c r="K65" s="180"/>
    </row>
    <row r="66" spans="1:11" s="55" customFormat="1" ht="20.25" x14ac:dyDescent="0.2">
      <c r="A66" s="58"/>
      <c r="B66" s="58"/>
      <c r="D66" s="58"/>
      <c r="E66" s="58"/>
      <c r="F66" s="575" t="s">
        <v>422</v>
      </c>
      <c r="G66" s="180"/>
      <c r="H66" s="180"/>
      <c r="I66" s="180"/>
      <c r="J66" s="180"/>
      <c r="K66" s="180"/>
    </row>
    <row r="67" spans="1:11" s="55" customFormat="1" ht="20.25" x14ac:dyDescent="0.2">
      <c r="A67" s="54"/>
      <c r="B67" s="54"/>
      <c r="D67" s="58"/>
      <c r="E67" s="54"/>
      <c r="F67" s="575" t="s">
        <v>418</v>
      </c>
      <c r="G67" s="180"/>
      <c r="H67" s="180"/>
      <c r="I67" s="180"/>
      <c r="J67" s="180"/>
      <c r="K67" s="180"/>
    </row>
    <row r="68" spans="1:11" s="55" customFormat="1" ht="23.25" x14ac:dyDescent="0.2">
      <c r="A68" s="54"/>
      <c r="B68" s="209"/>
      <c r="C68" s="54"/>
      <c r="D68" s="54"/>
      <c r="E68" s="54"/>
      <c r="F68" s="575" t="s">
        <v>419</v>
      </c>
      <c r="G68" s="183"/>
      <c r="H68" s="183"/>
      <c r="I68" s="183"/>
      <c r="J68" s="183"/>
      <c r="K68" s="183"/>
    </row>
    <row r="69" spans="1:11" s="55" customFormat="1" ht="20.25" x14ac:dyDescent="0.2">
      <c r="A69" s="54"/>
      <c r="B69" s="54"/>
      <c r="C69" s="54"/>
      <c r="D69" s="54"/>
      <c r="E69" s="54"/>
      <c r="F69" s="575" t="s">
        <v>420</v>
      </c>
      <c r="G69" s="180"/>
      <c r="H69" s="180"/>
      <c r="I69" s="180"/>
      <c r="J69" s="180"/>
      <c r="K69" s="180"/>
    </row>
    <row r="70" spans="1:11" s="62" customFormat="1" ht="26.25" x14ac:dyDescent="0.2">
      <c r="A70" s="206"/>
      <c r="B70" s="206"/>
      <c r="C70" s="206"/>
      <c r="D70" s="206"/>
      <c r="E70" s="206"/>
      <c r="F70" s="575" t="s">
        <v>421</v>
      </c>
      <c r="G70" s="183"/>
      <c r="H70" s="183"/>
      <c r="I70" s="183"/>
      <c r="J70" s="183"/>
      <c r="K70" s="183"/>
    </row>
    <row r="71" spans="1:11" ht="20.25" x14ac:dyDescent="0.3">
      <c r="F71" s="576"/>
      <c r="G71" s="214"/>
      <c r="H71" s="214"/>
      <c r="I71" s="214"/>
      <c r="J71" s="214"/>
      <c r="K71" s="214"/>
    </row>
    <row r="72" spans="1:11" ht="20.25" x14ac:dyDescent="0.3">
      <c r="F72" s="576"/>
      <c r="G72" s="214"/>
      <c r="H72" s="214"/>
      <c r="I72" s="214"/>
      <c r="J72" s="214"/>
      <c r="K72" s="214"/>
    </row>
    <row r="73" spans="1:11" ht="20.25" x14ac:dyDescent="0.3">
      <c r="F73" s="576"/>
      <c r="G73" s="574"/>
      <c r="H73" s="214"/>
      <c r="I73" s="214"/>
      <c r="J73" s="214"/>
      <c r="K73" s="214"/>
    </row>
    <row r="74" spans="1:11" ht="20.25" x14ac:dyDescent="0.3">
      <c r="F74" s="576"/>
      <c r="G74" s="211"/>
      <c r="H74" s="211"/>
      <c r="I74" s="211"/>
      <c r="J74" s="211"/>
      <c r="K74" s="211"/>
    </row>
    <row r="75" spans="1:11" ht="18" x14ac:dyDescent="0.25">
      <c r="F75" s="576"/>
    </row>
    <row r="76" spans="1:11" ht="18" x14ac:dyDescent="0.25">
      <c r="F76" s="576"/>
    </row>
    <row r="77" spans="1:11" ht="18" x14ac:dyDescent="0.25">
      <c r="F77" s="576"/>
    </row>
    <row r="78" spans="1:11" ht="18" x14ac:dyDescent="0.25">
      <c r="F78" s="576"/>
    </row>
    <row r="79" spans="1:11" ht="18" x14ac:dyDescent="0.25">
      <c r="F79" s="576"/>
    </row>
    <row r="80" spans="1:11" ht="18" x14ac:dyDescent="0.25">
      <c r="F80" s="576"/>
    </row>
    <row r="81" spans="6:6" ht="18" x14ac:dyDescent="0.25">
      <c r="F81" s="576"/>
    </row>
    <row r="82" spans="6:6" ht="18" x14ac:dyDescent="0.25">
      <c r="F82" s="576"/>
    </row>
    <row r="83" spans="6:6" ht="18" x14ac:dyDescent="0.25">
      <c r="F83" s="87"/>
    </row>
    <row r="84" spans="6:6" ht="18" x14ac:dyDescent="0.25">
      <c r="F84" s="87"/>
    </row>
  </sheetData>
  <mergeCells count="3">
    <mergeCell ref="G5:K5"/>
    <mergeCell ref="L7:M7"/>
    <mergeCell ref="C46:F4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S101"/>
  <sheetViews>
    <sheetView zoomScale="85" zoomScaleNormal="85" workbookViewId="0">
      <selection activeCell="A4" sqref="A4"/>
    </sheetView>
  </sheetViews>
  <sheetFormatPr defaultRowHeight="14.25" x14ac:dyDescent="0.2"/>
  <cols>
    <col min="1" max="1" width="50" customWidth="1"/>
    <col min="2" max="2" width="26" customWidth="1"/>
    <col min="3" max="3" width="17.25" style="3" customWidth="1"/>
    <col min="4" max="4" width="13.625" style="3" customWidth="1"/>
    <col min="5" max="5" width="12.75" style="3" customWidth="1"/>
    <col min="6" max="6" width="19.75" style="21" customWidth="1"/>
    <col min="7" max="7" width="18.25" style="21" customWidth="1"/>
    <col min="8" max="9" width="18.125" style="21" customWidth="1"/>
    <col min="10" max="10" width="17.75" style="21" customWidth="1"/>
    <col min="11" max="11" width="18" style="21" customWidth="1"/>
    <col min="12" max="13" width="20.625" style="21" customWidth="1"/>
    <col min="14" max="14" width="20.25" style="21" customWidth="1"/>
    <col min="15" max="15" width="16.25" style="21" customWidth="1"/>
    <col min="16" max="27" width="9" style="21"/>
    <col min="28" max="38" width="9" style="7"/>
  </cols>
  <sheetData>
    <row r="1" spans="1:669" s="10" customFormat="1" ht="18" x14ac:dyDescent="0.25">
      <c r="A1" s="8" t="s">
        <v>0</v>
      </c>
      <c r="B1" s="8"/>
      <c r="C1" s="9"/>
      <c r="D1" s="9"/>
      <c r="E1" s="9"/>
      <c r="F1" s="20"/>
      <c r="G1" s="20"/>
      <c r="H1" s="20"/>
      <c r="I1" s="20"/>
      <c r="J1" s="20"/>
      <c r="L1" s="20"/>
      <c r="M1" s="20"/>
      <c r="N1" s="20"/>
      <c r="O1" s="20"/>
      <c r="P1" s="20"/>
      <c r="Q1" s="20"/>
      <c r="R1" s="20"/>
      <c r="S1" s="20"/>
      <c r="T1" s="20"/>
      <c r="U1" s="20"/>
      <c r="V1" s="20"/>
      <c r="W1" s="20"/>
      <c r="X1" s="20"/>
      <c r="Y1" s="20"/>
      <c r="Z1" s="20"/>
      <c r="AA1" s="20"/>
      <c r="AB1" s="22"/>
      <c r="AC1" s="22"/>
      <c r="AD1" s="22"/>
      <c r="AE1" s="22"/>
      <c r="AF1" s="22"/>
      <c r="AG1" s="22"/>
      <c r="AH1" s="22"/>
      <c r="AI1" s="22"/>
      <c r="AJ1" s="22"/>
      <c r="AK1" s="22"/>
      <c r="AL1" s="22"/>
    </row>
    <row r="2" spans="1:669" s="10" customFormat="1" ht="18" x14ac:dyDescent="0.25">
      <c r="A2" s="11" t="s">
        <v>30</v>
      </c>
      <c r="B2" s="11"/>
      <c r="C2" s="9"/>
      <c r="D2" s="9"/>
      <c r="E2" s="9"/>
      <c r="F2" s="20"/>
      <c r="G2" s="20"/>
      <c r="H2" s="20"/>
      <c r="I2" s="20"/>
      <c r="J2" s="20"/>
      <c r="L2" s="20"/>
      <c r="M2" s="20"/>
      <c r="N2" s="20"/>
      <c r="O2" s="20"/>
      <c r="P2" s="20"/>
      <c r="Q2" s="20"/>
      <c r="R2" s="20"/>
      <c r="S2" s="20"/>
      <c r="T2" s="20"/>
      <c r="U2" s="20"/>
      <c r="V2" s="20"/>
      <c r="W2" s="20"/>
      <c r="X2" s="20"/>
      <c r="Y2" s="20"/>
      <c r="Z2" s="20"/>
      <c r="AA2" s="20"/>
      <c r="AB2" s="22"/>
      <c r="AC2" s="22"/>
      <c r="AD2" s="22"/>
      <c r="AE2" s="22"/>
      <c r="AF2" s="22"/>
      <c r="AG2" s="22"/>
      <c r="AH2" s="22"/>
      <c r="AI2" s="22"/>
      <c r="AJ2" s="22"/>
      <c r="AK2" s="22"/>
      <c r="AL2" s="22"/>
    </row>
    <row r="3" spans="1:669" s="10" customFormat="1" ht="18" x14ac:dyDescent="0.25">
      <c r="A3" s="11" t="s">
        <v>696</v>
      </c>
      <c r="B3" s="11"/>
      <c r="C3" s="9"/>
      <c r="D3" s="9"/>
      <c r="E3" s="9"/>
      <c r="F3" s="20"/>
      <c r="G3" s="20"/>
      <c r="H3" s="20"/>
      <c r="I3" s="20"/>
      <c r="J3" s="20"/>
      <c r="L3" s="20"/>
      <c r="M3" s="20"/>
      <c r="N3" s="20"/>
      <c r="O3" s="20"/>
      <c r="P3" s="20"/>
      <c r="Q3" s="20"/>
      <c r="R3" s="20"/>
      <c r="S3" s="20"/>
      <c r="T3" s="20"/>
      <c r="U3" s="20"/>
      <c r="V3" s="20"/>
      <c r="W3" s="20"/>
      <c r="X3" s="20"/>
      <c r="Y3" s="20"/>
      <c r="Z3" s="20"/>
      <c r="AA3" s="20"/>
      <c r="AB3" s="22"/>
      <c r="AC3" s="22"/>
      <c r="AD3" s="22"/>
      <c r="AE3" s="22"/>
      <c r="AF3" s="22"/>
      <c r="AG3" s="22"/>
      <c r="AH3" s="22"/>
      <c r="AI3" s="22"/>
      <c r="AJ3" s="22"/>
      <c r="AK3" s="22"/>
      <c r="AL3" s="22"/>
    </row>
    <row r="4" spans="1:669" s="10" customFormat="1" ht="13.5" customHeight="1" thickBot="1" x14ac:dyDescent="0.3">
      <c r="A4" s="11"/>
      <c r="B4" s="11"/>
      <c r="C4" s="9"/>
      <c r="D4" s="9"/>
      <c r="E4" s="9"/>
      <c r="F4" s="20"/>
      <c r="G4" s="20"/>
      <c r="H4" s="20"/>
      <c r="I4" s="20"/>
      <c r="J4" s="20"/>
      <c r="L4" s="20"/>
      <c r="M4" s="20"/>
      <c r="N4" s="20"/>
      <c r="O4" s="20"/>
      <c r="P4" s="20"/>
      <c r="Q4" s="20"/>
      <c r="R4" s="20"/>
      <c r="S4" s="20"/>
      <c r="T4" s="20"/>
      <c r="U4" s="20"/>
      <c r="V4" s="20"/>
      <c r="W4" s="20"/>
      <c r="X4" s="20"/>
      <c r="Y4" s="20"/>
      <c r="Z4" s="20"/>
      <c r="AA4" s="20"/>
      <c r="AB4" s="22"/>
      <c r="AC4" s="22"/>
      <c r="AD4" s="22"/>
      <c r="AE4" s="22"/>
      <c r="AF4" s="22"/>
      <c r="AG4" s="22"/>
      <c r="AH4" s="22"/>
      <c r="AI4" s="22"/>
      <c r="AJ4" s="22"/>
      <c r="AK4" s="22"/>
      <c r="AL4" s="22"/>
    </row>
    <row r="5" spans="1:669" s="18" customFormat="1" ht="16.5" thickBot="1" x14ac:dyDescent="0.25">
      <c r="A5" s="196" t="s">
        <v>156</v>
      </c>
      <c r="B5" s="197"/>
      <c r="C5" s="197"/>
      <c r="D5" s="197"/>
      <c r="E5" s="197"/>
      <c r="F5" s="197"/>
      <c r="G5" s="197"/>
      <c r="H5" s="197"/>
      <c r="I5" s="197"/>
      <c r="J5" s="197"/>
      <c r="K5" s="198"/>
      <c r="L5" s="23"/>
      <c r="M5" s="23"/>
      <c r="N5" s="23"/>
      <c r="O5" s="23"/>
      <c r="P5" s="23"/>
      <c r="Q5" s="23"/>
      <c r="R5" s="23"/>
      <c r="S5" s="23"/>
      <c r="T5" s="23"/>
      <c r="U5" s="23"/>
      <c r="V5" s="23"/>
      <c r="W5" s="23"/>
      <c r="X5" s="23"/>
      <c r="Y5" s="23"/>
      <c r="Z5" s="23"/>
      <c r="AA5" s="23"/>
      <c r="AB5" s="24"/>
      <c r="AC5" s="24"/>
      <c r="AD5" s="24"/>
      <c r="AE5" s="24"/>
      <c r="AF5" s="24"/>
      <c r="AG5" s="24"/>
      <c r="AH5" s="24"/>
      <c r="AI5" s="24"/>
      <c r="AJ5" s="24"/>
      <c r="AK5" s="24"/>
      <c r="AL5" s="24"/>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row>
    <row r="6" spans="1:669" s="17" customFormat="1" ht="30.75" thickBot="1" x14ac:dyDescent="0.25">
      <c r="A6" s="249" t="s">
        <v>22</v>
      </c>
      <c r="B6" s="613" t="s">
        <v>12</v>
      </c>
      <c r="C6" s="249" t="s">
        <v>1</v>
      </c>
      <c r="D6" s="613" t="s">
        <v>2</v>
      </c>
      <c r="E6" s="249" t="s">
        <v>3</v>
      </c>
      <c r="F6" s="578" t="s">
        <v>9</v>
      </c>
      <c r="G6" s="254" t="s">
        <v>27</v>
      </c>
      <c r="H6" s="578" t="s">
        <v>194</v>
      </c>
      <c r="I6" s="672" t="s">
        <v>26</v>
      </c>
      <c r="J6" s="254" t="s">
        <v>19</v>
      </c>
      <c r="K6" s="674" t="s">
        <v>91</v>
      </c>
      <c r="L6" s="35"/>
      <c r="M6" s="26"/>
      <c r="N6" s="26"/>
      <c r="O6" s="26"/>
      <c r="P6" s="26"/>
      <c r="Q6" s="26"/>
      <c r="R6" s="26"/>
      <c r="S6" s="26"/>
      <c r="T6" s="26"/>
      <c r="U6" s="26"/>
      <c r="V6" s="26"/>
      <c r="W6" s="26"/>
      <c r="X6" s="26"/>
      <c r="Y6" s="26"/>
      <c r="Z6" s="26"/>
      <c r="AA6" s="26"/>
      <c r="AB6" s="27"/>
      <c r="AC6" s="27"/>
      <c r="AD6" s="27"/>
      <c r="AE6" s="27"/>
      <c r="AF6" s="27"/>
      <c r="AG6" s="27"/>
      <c r="AH6" s="27"/>
      <c r="AI6" s="27"/>
      <c r="AJ6" s="27"/>
      <c r="AK6" s="27"/>
      <c r="AL6" s="27"/>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row>
    <row r="7" spans="1:669" ht="15" hidden="1" thickBot="1" x14ac:dyDescent="0.25">
      <c r="A7" s="544" t="s">
        <v>324</v>
      </c>
      <c r="B7" s="587" t="s">
        <v>14</v>
      </c>
      <c r="C7" s="227" t="s">
        <v>338</v>
      </c>
      <c r="D7" s="4">
        <v>43466</v>
      </c>
      <c r="E7" s="226">
        <v>43830</v>
      </c>
      <c r="F7" s="577"/>
      <c r="G7" s="229"/>
      <c r="H7" s="243"/>
      <c r="I7" s="673"/>
      <c r="J7" s="242"/>
      <c r="K7" s="675"/>
      <c r="L7" s="36"/>
    </row>
    <row r="8" spans="1:669" ht="15" hidden="1" x14ac:dyDescent="0.25">
      <c r="A8" s="701" t="s">
        <v>603</v>
      </c>
      <c r="B8" s="695" t="s">
        <v>14</v>
      </c>
      <c r="C8" s="703" t="s">
        <v>604</v>
      </c>
      <c r="D8" s="4">
        <v>45017</v>
      </c>
      <c r="E8" s="582">
        <v>45366</v>
      </c>
      <c r="F8" s="577"/>
      <c r="G8" s="558"/>
      <c r="H8" s="243"/>
      <c r="I8" s="558"/>
      <c r="J8" s="243">
        <f>F8-I8</f>
        <v>0</v>
      </c>
      <c r="K8" s="724"/>
      <c r="L8" s="36"/>
    </row>
    <row r="9" spans="1:669" hidden="1" x14ac:dyDescent="0.2">
      <c r="A9" t="s">
        <v>588</v>
      </c>
      <c r="B9" s="478" t="s">
        <v>13</v>
      </c>
      <c r="C9" s="227" t="s">
        <v>338</v>
      </c>
      <c r="D9" s="4">
        <v>44927</v>
      </c>
      <c r="E9" s="226">
        <v>45291</v>
      </c>
      <c r="F9" s="709"/>
      <c r="G9" s="229"/>
      <c r="H9" s="243">
        <f>'August''24 AR Aging '!G6</f>
        <v>0</v>
      </c>
      <c r="I9" s="229"/>
      <c r="J9" s="577">
        <f>F9-I9</f>
        <v>0</v>
      </c>
      <c r="K9" s="229"/>
      <c r="L9" s="192"/>
      <c r="M9" s="218"/>
    </row>
    <row r="10" spans="1:669" x14ac:dyDescent="0.2">
      <c r="A10" s="661" t="s">
        <v>602</v>
      </c>
      <c r="B10" s="667" t="s">
        <v>13</v>
      </c>
      <c r="C10" s="704" t="s">
        <v>338</v>
      </c>
      <c r="D10" s="589">
        <v>45292</v>
      </c>
      <c r="E10" s="440">
        <v>45657</v>
      </c>
      <c r="F10" s="710">
        <v>141001</v>
      </c>
      <c r="G10" s="241">
        <f>I10-H10</f>
        <v>33774.030000000006</v>
      </c>
      <c r="H10" s="579">
        <f>'August''24 AR Aging '!G7</f>
        <v>58191.21</v>
      </c>
      <c r="I10" s="241">
        <v>91965.24</v>
      </c>
      <c r="J10" s="713">
        <f>F10-I10</f>
        <v>49035.759999999995</v>
      </c>
      <c r="K10" s="241"/>
      <c r="L10" s="591"/>
      <c r="M10" s="218"/>
    </row>
    <row r="11" spans="1:669" hidden="1" x14ac:dyDescent="0.2">
      <c r="A11" s="660" t="s">
        <v>527</v>
      </c>
      <c r="B11" s="478" t="s">
        <v>13</v>
      </c>
      <c r="C11" s="227" t="s">
        <v>337</v>
      </c>
      <c r="D11" s="4">
        <v>44743</v>
      </c>
      <c r="E11" s="226">
        <v>45107</v>
      </c>
      <c r="F11" s="711"/>
      <c r="G11" s="229"/>
      <c r="H11" s="243"/>
      <c r="I11" s="229"/>
      <c r="J11" s="577"/>
      <c r="K11" s="237"/>
      <c r="L11" s="591"/>
      <c r="M11" s="218"/>
    </row>
    <row r="12" spans="1:669" x14ac:dyDescent="0.2">
      <c r="A12" s="661" t="s">
        <v>551</v>
      </c>
      <c r="B12" s="667" t="s">
        <v>13</v>
      </c>
      <c r="C12" s="704" t="s">
        <v>337</v>
      </c>
      <c r="D12" s="589">
        <v>45108</v>
      </c>
      <c r="E12" s="440">
        <v>45473</v>
      </c>
      <c r="F12" s="712">
        <v>300000</v>
      </c>
      <c r="G12" s="241">
        <f>I12-H12</f>
        <v>168964</v>
      </c>
      <c r="H12" s="579">
        <f>'August''24 AR Aging '!G11</f>
        <v>55034.8</v>
      </c>
      <c r="I12" s="241">
        <v>223998.8</v>
      </c>
      <c r="J12" s="713">
        <f>F12-I12</f>
        <v>76001.200000000012</v>
      </c>
      <c r="K12" s="697"/>
      <c r="L12" s="591"/>
      <c r="M12" s="218"/>
    </row>
    <row r="13" spans="1:669" hidden="1" x14ac:dyDescent="0.2">
      <c r="A13" s="660" t="s">
        <v>339</v>
      </c>
      <c r="B13" s="478" t="s">
        <v>13</v>
      </c>
      <c r="C13" s="227" t="s">
        <v>153</v>
      </c>
      <c r="D13" s="4">
        <v>43374</v>
      </c>
      <c r="E13" s="226">
        <v>43585</v>
      </c>
      <c r="F13" s="577"/>
      <c r="G13" s="229"/>
      <c r="H13" s="243"/>
      <c r="I13" s="229"/>
      <c r="J13" s="577"/>
      <c r="K13" s="237"/>
      <c r="L13" s="591"/>
      <c r="M13" s="218"/>
    </row>
    <row r="14" spans="1:669" x14ac:dyDescent="0.2">
      <c r="A14" s="660" t="s">
        <v>682</v>
      </c>
      <c r="B14" s="478" t="s">
        <v>13</v>
      </c>
      <c r="C14" s="227" t="s">
        <v>360</v>
      </c>
      <c r="D14" s="4">
        <v>45139</v>
      </c>
      <c r="E14" s="226">
        <v>45504</v>
      </c>
      <c r="F14" s="577">
        <v>353542</v>
      </c>
      <c r="G14" s="229"/>
      <c r="H14" s="243">
        <f>'August''24 AR Aging '!G28</f>
        <v>20995.72</v>
      </c>
      <c r="I14" s="229">
        <v>261078.77</v>
      </c>
      <c r="J14" s="577"/>
      <c r="K14" s="229"/>
      <c r="L14" s="591"/>
      <c r="M14" s="218"/>
    </row>
    <row r="15" spans="1:669" ht="15" x14ac:dyDescent="0.25">
      <c r="A15" s="661" t="s">
        <v>683</v>
      </c>
      <c r="B15" s="667" t="s">
        <v>13</v>
      </c>
      <c r="C15" s="704" t="s">
        <v>360</v>
      </c>
      <c r="D15" s="589">
        <v>45505</v>
      </c>
      <c r="E15" s="440">
        <v>45868</v>
      </c>
      <c r="F15" s="713">
        <v>353541.54</v>
      </c>
      <c r="G15" s="241">
        <f>I15-H15</f>
        <v>0</v>
      </c>
      <c r="H15" s="579">
        <f>'August''24 AR Aging '!G29</f>
        <v>21818.97</v>
      </c>
      <c r="I15" s="241">
        <f>H15</f>
        <v>21818.97</v>
      </c>
      <c r="J15" s="713">
        <f>F15-I15</f>
        <v>331722.56999999995</v>
      </c>
      <c r="K15" s="241"/>
      <c r="L15" s="592"/>
      <c r="M15" s="218"/>
    </row>
    <row r="16" spans="1:669" s="2" customFormat="1" hidden="1" x14ac:dyDescent="0.2">
      <c r="A16" s="662" t="s">
        <v>394</v>
      </c>
      <c r="B16" s="668" t="s">
        <v>16</v>
      </c>
      <c r="C16" s="705" t="s">
        <v>5</v>
      </c>
      <c r="D16" s="590">
        <v>43831</v>
      </c>
      <c r="E16" s="550">
        <v>44196</v>
      </c>
      <c r="F16" s="714"/>
      <c r="G16" s="698"/>
      <c r="H16" s="243"/>
      <c r="I16" s="698"/>
      <c r="J16" s="714"/>
      <c r="K16" s="698"/>
      <c r="L16" s="591"/>
      <c r="M16" s="218"/>
      <c r="N16" s="21"/>
      <c r="O16" s="21"/>
      <c r="P16" s="21"/>
      <c r="Q16" s="21"/>
      <c r="R16" s="21"/>
      <c r="S16" s="21"/>
      <c r="T16" s="21"/>
      <c r="U16" s="21"/>
      <c r="V16" s="21"/>
      <c r="W16" s="21"/>
      <c r="X16" s="21"/>
      <c r="Y16" s="21"/>
      <c r="Z16" s="21"/>
      <c r="AA16" s="21"/>
      <c r="AB16" s="7"/>
      <c r="AC16" s="7"/>
      <c r="AD16" s="7"/>
      <c r="AE16" s="7"/>
      <c r="AF16" s="7"/>
      <c r="AG16" s="7"/>
      <c r="AH16" s="7"/>
      <c r="AI16" s="7"/>
      <c r="AJ16" s="7"/>
      <c r="AK16" s="7"/>
      <c r="AL16" s="7"/>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row>
    <row r="17" spans="1:669" s="2" customFormat="1" ht="13.5" hidden="1" customHeight="1" x14ac:dyDescent="0.2">
      <c r="A17" s="660"/>
      <c r="B17" s="478"/>
      <c r="C17" s="227"/>
      <c r="D17" s="4"/>
      <c r="E17" s="226"/>
      <c r="F17" s="577"/>
      <c r="G17" s="229"/>
      <c r="H17" s="243"/>
      <c r="I17" s="723"/>
      <c r="J17" s="577"/>
      <c r="K17" s="229"/>
      <c r="L17" s="192"/>
      <c r="M17" s="218"/>
      <c r="N17" s="21"/>
      <c r="O17" s="21"/>
      <c r="P17" s="21"/>
      <c r="Q17" s="21"/>
      <c r="R17" s="21"/>
      <c r="S17" s="21"/>
      <c r="T17" s="21"/>
      <c r="U17" s="21"/>
      <c r="V17" s="21"/>
      <c r="W17" s="21"/>
      <c r="X17" s="21"/>
      <c r="Y17" s="21"/>
      <c r="Z17" s="21"/>
      <c r="AA17" s="21"/>
      <c r="AB17" s="7"/>
      <c r="AC17" s="7"/>
      <c r="AD17" s="7"/>
      <c r="AE17" s="7"/>
      <c r="AF17" s="7"/>
      <c r="AG17" s="7"/>
      <c r="AH17" s="7"/>
      <c r="AI17" s="7"/>
      <c r="AJ17" s="7"/>
      <c r="AK17" s="7"/>
      <c r="AL17" s="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row>
    <row r="18" spans="1:669" s="2" customFormat="1" x14ac:dyDescent="0.2">
      <c r="A18" s="663" t="s">
        <v>614</v>
      </c>
      <c r="B18" s="478" t="s">
        <v>16</v>
      </c>
      <c r="C18" s="227" t="s">
        <v>21</v>
      </c>
      <c r="D18" s="4">
        <v>45383</v>
      </c>
      <c r="E18" s="226">
        <v>45534</v>
      </c>
      <c r="F18" s="577">
        <v>3052</v>
      </c>
      <c r="G18" s="229">
        <f>I18-H18</f>
        <v>1230.31</v>
      </c>
      <c r="H18" s="243">
        <f>'August''24 AR Aging '!G45</f>
        <v>1821.69</v>
      </c>
      <c r="I18" s="229">
        <v>3052</v>
      </c>
      <c r="J18" s="577">
        <f>F18-I18</f>
        <v>0</v>
      </c>
      <c r="K18" s="229"/>
      <c r="L18" s="192"/>
      <c r="M18" s="218"/>
      <c r="N18" s="21"/>
      <c r="O18" s="21"/>
      <c r="P18" s="21"/>
      <c r="Q18" s="21"/>
      <c r="R18" s="21"/>
      <c r="S18" s="21"/>
      <c r="T18" s="21"/>
      <c r="U18" s="21"/>
      <c r="V18" s="21"/>
      <c r="W18" s="21"/>
      <c r="X18" s="21"/>
      <c r="Y18" s="21"/>
      <c r="Z18" s="21"/>
      <c r="AA18" s="21"/>
      <c r="AB18" s="7"/>
      <c r="AC18" s="7"/>
      <c r="AD18" s="7"/>
      <c r="AE18" s="7"/>
      <c r="AF18" s="7"/>
      <c r="AG18" s="7"/>
      <c r="AH18" s="7"/>
      <c r="AI18" s="7"/>
      <c r="AJ18" s="7"/>
      <c r="AK18" s="7"/>
      <c r="AL18" s="7"/>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row>
    <row r="19" spans="1:669" s="2" customFormat="1" hidden="1" x14ac:dyDescent="0.2">
      <c r="A19" s="660"/>
      <c r="B19" s="478" t="s">
        <v>16</v>
      </c>
      <c r="C19" s="227" t="s">
        <v>21</v>
      </c>
      <c r="D19" s="4">
        <v>42644</v>
      </c>
      <c r="E19" s="226">
        <v>43008</v>
      </c>
      <c r="F19" s="577"/>
      <c r="G19" s="229"/>
      <c r="H19" s="577"/>
      <c r="I19" s="229"/>
      <c r="J19" s="577"/>
      <c r="K19" s="699"/>
      <c r="L19" s="192"/>
      <c r="M19" s="218"/>
      <c r="N19" s="21"/>
      <c r="O19" s="21"/>
      <c r="P19" s="21"/>
      <c r="Q19" s="21"/>
      <c r="R19" s="21"/>
      <c r="S19" s="21"/>
      <c r="T19" s="21"/>
      <c r="U19" s="21"/>
      <c r="V19" s="21"/>
      <c r="W19" s="21"/>
      <c r="X19" s="21"/>
      <c r="Y19" s="21"/>
      <c r="Z19" s="21"/>
      <c r="AA19" s="21"/>
      <c r="AB19" s="7"/>
      <c r="AC19" s="7"/>
      <c r="AD19" s="7"/>
      <c r="AE19" s="7"/>
      <c r="AF19" s="7"/>
      <c r="AG19" s="7"/>
      <c r="AH19" s="7"/>
      <c r="AI19" s="7"/>
      <c r="AJ19" s="7"/>
      <c r="AK19" s="7"/>
      <c r="AL19" s="7"/>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row>
    <row r="20" spans="1:669" s="2" customFormat="1" hidden="1" x14ac:dyDescent="0.2">
      <c r="A20" s="660" t="s">
        <v>193</v>
      </c>
      <c r="B20" s="478" t="s">
        <v>16</v>
      </c>
      <c r="C20" s="227" t="s">
        <v>21</v>
      </c>
      <c r="D20" s="4">
        <v>43556</v>
      </c>
      <c r="E20" s="226">
        <v>43921</v>
      </c>
      <c r="F20" s="577"/>
      <c r="G20" s="229"/>
      <c r="H20" s="577"/>
      <c r="I20" s="229"/>
      <c r="J20" s="577"/>
      <c r="K20" s="699"/>
      <c r="L20" s="192"/>
      <c r="M20" s="218"/>
      <c r="N20" s="21"/>
      <c r="O20" s="21"/>
      <c r="P20" s="21"/>
      <c r="Q20" s="21"/>
      <c r="R20" s="21"/>
      <c r="S20" s="21"/>
      <c r="T20" s="21"/>
      <c r="U20" s="21"/>
      <c r="V20" s="21"/>
      <c r="W20" s="21"/>
      <c r="X20" s="21"/>
      <c r="Y20" s="21"/>
      <c r="Z20" s="21"/>
      <c r="AA20" s="21"/>
      <c r="AB20" s="7"/>
      <c r="AC20" s="7"/>
      <c r="AD20" s="7"/>
      <c r="AE20" s="7"/>
      <c r="AF20" s="7"/>
      <c r="AG20" s="7"/>
      <c r="AH20" s="7"/>
      <c r="AI20" s="7"/>
      <c r="AJ20" s="7"/>
      <c r="AK20" s="7"/>
      <c r="AL20" s="7"/>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row>
    <row r="21" spans="1:669" s="2" customFormat="1" ht="12.75" hidden="1" customHeight="1" x14ac:dyDescent="0.2">
      <c r="A21" s="660" t="s">
        <v>193</v>
      </c>
      <c r="B21" s="478" t="s">
        <v>16</v>
      </c>
      <c r="C21" s="227" t="s">
        <v>21</v>
      </c>
      <c r="D21" s="4">
        <v>43922</v>
      </c>
      <c r="E21" s="226">
        <v>44286</v>
      </c>
      <c r="F21" s="715"/>
      <c r="G21" s="229"/>
      <c r="H21" s="577"/>
      <c r="I21" s="229"/>
      <c r="J21" s="577"/>
      <c r="K21" s="229"/>
      <c r="L21" s="192"/>
      <c r="M21" s="218"/>
      <c r="N21" s="21"/>
      <c r="O21" s="21"/>
      <c r="P21" s="21"/>
      <c r="Q21" s="21"/>
      <c r="R21" s="21"/>
      <c r="S21" s="21"/>
      <c r="T21" s="21"/>
      <c r="U21" s="21"/>
      <c r="V21" s="21"/>
      <c r="W21" s="21"/>
      <c r="X21" s="21"/>
      <c r="Y21" s="21"/>
      <c r="Z21" s="21"/>
      <c r="AA21" s="21"/>
      <c r="AB21" s="7"/>
      <c r="AC21" s="7"/>
      <c r="AD21" s="7"/>
      <c r="AE21" s="7"/>
      <c r="AF21" s="7"/>
      <c r="AG21" s="7"/>
      <c r="AH21" s="7"/>
      <c r="AI21" s="7"/>
      <c r="AJ21" s="7"/>
      <c r="AK21" s="7"/>
      <c r="AL21" s="7"/>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row>
    <row r="22" spans="1:669" s="2" customFormat="1" ht="12.75" hidden="1" customHeight="1" x14ac:dyDescent="0.2">
      <c r="A22" s="660" t="s">
        <v>447</v>
      </c>
      <c r="B22" s="478" t="s">
        <v>16</v>
      </c>
      <c r="C22" s="227" t="s">
        <v>5</v>
      </c>
      <c r="D22" s="4">
        <v>44562</v>
      </c>
      <c r="E22" s="226">
        <v>44926</v>
      </c>
      <c r="F22" s="715"/>
      <c r="G22" s="229"/>
      <c r="H22" s="577"/>
      <c r="I22" s="229"/>
      <c r="J22" s="577"/>
      <c r="K22" s="229"/>
      <c r="L22" s="192"/>
      <c r="M22" s="218"/>
      <c r="N22" s="21"/>
      <c r="O22" s="21"/>
      <c r="P22" s="21"/>
      <c r="Q22" s="21"/>
      <c r="R22" s="21"/>
      <c r="S22" s="21"/>
      <c r="T22" s="21"/>
      <c r="U22" s="21"/>
      <c r="V22" s="21"/>
      <c r="W22" s="21"/>
      <c r="X22" s="21"/>
      <c r="Y22" s="21"/>
      <c r="Z22" s="21"/>
      <c r="AA22" s="21"/>
      <c r="AB22" s="7"/>
      <c r="AC22" s="7"/>
      <c r="AD22" s="7"/>
      <c r="AE22" s="7"/>
      <c r="AF22" s="7"/>
      <c r="AG22" s="7"/>
      <c r="AH22" s="7"/>
      <c r="AI22" s="7"/>
      <c r="AJ22" s="7"/>
      <c r="AK22" s="7"/>
      <c r="AL22" s="7"/>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row>
    <row r="23" spans="1:669" s="2" customFormat="1" ht="12.95" hidden="1" customHeight="1" x14ac:dyDescent="0.2">
      <c r="A23" s="660" t="s">
        <v>528</v>
      </c>
      <c r="B23" s="478" t="s">
        <v>16</v>
      </c>
      <c r="C23" s="227" t="s">
        <v>21</v>
      </c>
      <c r="D23" s="4">
        <v>44927</v>
      </c>
      <c r="E23" s="226">
        <v>45291</v>
      </c>
      <c r="F23" s="715"/>
      <c r="G23" s="229"/>
      <c r="H23" s="577"/>
      <c r="I23" s="229"/>
      <c r="J23" s="577"/>
      <c r="K23" s="229"/>
      <c r="L23" s="192"/>
      <c r="M23" s="218"/>
      <c r="N23" s="21"/>
      <c r="O23" s="21"/>
      <c r="P23" s="21"/>
      <c r="Q23" s="21"/>
      <c r="R23" s="21"/>
      <c r="S23" s="21"/>
      <c r="T23" s="21"/>
      <c r="U23" s="21"/>
      <c r="V23" s="21"/>
      <c r="W23" s="21"/>
      <c r="X23" s="21"/>
      <c r="Y23" s="21"/>
      <c r="Z23" s="21"/>
      <c r="AA23" s="21"/>
      <c r="AB23" s="7"/>
      <c r="AC23" s="7"/>
      <c r="AD23" s="7"/>
      <c r="AE23" s="7"/>
      <c r="AF23" s="7"/>
      <c r="AG23" s="7"/>
      <c r="AH23" s="7"/>
      <c r="AI23" s="7"/>
      <c r="AJ23" s="7"/>
      <c r="AK23" s="7"/>
      <c r="AL23" s="7"/>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row>
    <row r="24" spans="1:669" s="2" customFormat="1" ht="12.75" customHeight="1" x14ac:dyDescent="0.2">
      <c r="A24" s="660" t="s">
        <v>615</v>
      </c>
      <c r="B24" s="478" t="s">
        <v>16</v>
      </c>
      <c r="C24" s="227" t="s">
        <v>21</v>
      </c>
      <c r="D24" s="4">
        <v>45292</v>
      </c>
      <c r="E24" s="226">
        <v>45657</v>
      </c>
      <c r="F24" s="715">
        <v>50000</v>
      </c>
      <c r="G24" s="229">
        <f>I24-H24</f>
        <v>25000.16</v>
      </c>
      <c r="H24" s="577">
        <f>'August''24 AR Aging '!G37</f>
        <v>8333.2000000000007</v>
      </c>
      <c r="I24" s="229">
        <f>4166.67*8</f>
        <v>33333.360000000001</v>
      </c>
      <c r="J24" s="577">
        <f>F24-I24</f>
        <v>16666.64</v>
      </c>
      <c r="K24" s="229"/>
      <c r="L24" s="192"/>
      <c r="M24" s="218"/>
      <c r="N24" s="21"/>
      <c r="O24" s="21"/>
      <c r="P24" s="21"/>
      <c r="Q24" s="21"/>
      <c r="R24" s="21"/>
      <c r="S24" s="21"/>
      <c r="T24" s="21"/>
      <c r="U24" s="21"/>
      <c r="V24" s="21"/>
      <c r="W24" s="21"/>
      <c r="X24" s="21"/>
      <c r="Y24" s="21"/>
      <c r="Z24" s="21"/>
      <c r="AA24" s="21"/>
      <c r="AB24" s="7"/>
      <c r="AC24" s="7"/>
      <c r="AD24" s="7"/>
      <c r="AE24" s="7"/>
      <c r="AF24" s="7"/>
      <c r="AG24" s="7"/>
      <c r="AH24" s="7"/>
      <c r="AI24" s="7"/>
      <c r="AJ24" s="7"/>
      <c r="AK24" s="7"/>
      <c r="AL24" s="7"/>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row>
    <row r="25" spans="1:669" s="2" customFormat="1" ht="12.75" hidden="1" customHeight="1" x14ac:dyDescent="0.2">
      <c r="A25" s="660" t="s">
        <v>193</v>
      </c>
      <c r="B25" s="478" t="s">
        <v>16</v>
      </c>
      <c r="C25" s="227" t="s">
        <v>21</v>
      </c>
      <c r="D25" s="4">
        <v>45017</v>
      </c>
      <c r="E25" s="226">
        <v>45382</v>
      </c>
      <c r="F25" s="715"/>
      <c r="G25" s="229"/>
      <c r="H25" s="577">
        <f>'August''24 AR Aging '!G47</f>
        <v>0</v>
      </c>
      <c r="I25" s="229"/>
      <c r="J25" s="577"/>
      <c r="K25" s="229"/>
      <c r="L25" s="192"/>
      <c r="M25" s="218"/>
      <c r="N25" s="21"/>
      <c r="O25" s="21"/>
      <c r="P25" s="21"/>
      <c r="Q25" s="21"/>
      <c r="R25" s="21"/>
      <c r="S25" s="21"/>
      <c r="T25" s="21"/>
      <c r="U25" s="21"/>
      <c r="V25" s="21"/>
      <c r="W25" s="21"/>
      <c r="X25" s="21"/>
      <c r="Y25" s="21"/>
      <c r="Z25" s="21"/>
      <c r="AA25" s="21"/>
      <c r="AB25" s="7"/>
      <c r="AC25" s="7"/>
      <c r="AD25" s="7"/>
      <c r="AE25" s="7"/>
      <c r="AF25" s="7"/>
      <c r="AG25" s="7"/>
      <c r="AH25" s="7"/>
      <c r="AI25" s="7"/>
      <c r="AJ25" s="7"/>
      <c r="AK25" s="7"/>
      <c r="AL25" s="7"/>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row>
    <row r="26" spans="1:669" s="2" customFormat="1" ht="15" customHeight="1" x14ac:dyDescent="0.2">
      <c r="A26" s="661" t="s">
        <v>193</v>
      </c>
      <c r="B26" s="667" t="s">
        <v>16</v>
      </c>
      <c r="C26" s="704" t="s">
        <v>21</v>
      </c>
      <c r="D26" s="589">
        <v>45383</v>
      </c>
      <c r="E26" s="440">
        <v>45747</v>
      </c>
      <c r="F26" s="739">
        <v>163196</v>
      </c>
      <c r="G26" s="241">
        <f>I26-H26</f>
        <v>0</v>
      </c>
      <c r="H26" s="713">
        <f>'August''24 AR Aging '!G48</f>
        <v>62283.15</v>
      </c>
      <c r="I26" s="241">
        <f>H26</f>
        <v>62283.15</v>
      </c>
      <c r="J26" s="713">
        <f>F26-I26</f>
        <v>100912.85</v>
      </c>
      <c r="K26" s="241"/>
      <c r="L26" s="192"/>
      <c r="M26" s="218"/>
      <c r="N26" s="21"/>
      <c r="O26" s="21"/>
      <c r="P26" s="21"/>
      <c r="Q26" s="21"/>
      <c r="R26" s="21"/>
      <c r="S26" s="21"/>
      <c r="T26" s="21"/>
      <c r="U26" s="21"/>
      <c r="V26" s="21"/>
      <c r="W26" s="21"/>
      <c r="X26" s="21"/>
      <c r="Y26" s="21"/>
      <c r="Z26" s="21"/>
      <c r="AA26" s="21"/>
      <c r="AB26" s="7"/>
      <c r="AC26" s="7"/>
      <c r="AD26" s="7"/>
      <c r="AE26" s="7"/>
      <c r="AF26" s="7"/>
      <c r="AG26" s="7"/>
      <c r="AH26" s="7"/>
      <c r="AI26" s="7"/>
      <c r="AJ26" s="7"/>
      <c r="AK26" s="7"/>
      <c r="AL26" s="7"/>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row>
    <row r="27" spans="1:669" s="2" customFormat="1" ht="12.75" hidden="1" customHeight="1" x14ac:dyDescent="0.2">
      <c r="A27" s="664" t="s">
        <v>427</v>
      </c>
      <c r="B27" s="669" t="s">
        <v>385</v>
      </c>
      <c r="C27" s="706" t="s">
        <v>21</v>
      </c>
      <c r="D27" s="595">
        <v>44256</v>
      </c>
      <c r="E27" s="596">
        <v>44621</v>
      </c>
      <c r="F27" s="715"/>
      <c r="G27" s="229"/>
      <c r="H27" s="577"/>
      <c r="I27" s="229"/>
      <c r="J27" s="577"/>
      <c r="K27" s="229"/>
      <c r="L27" s="192"/>
      <c r="M27" s="218"/>
      <c r="N27" s="21"/>
      <c r="O27" s="21"/>
      <c r="P27" s="21"/>
      <c r="Q27" s="21"/>
      <c r="R27" s="21"/>
      <c r="S27" s="21"/>
      <c r="T27" s="21"/>
      <c r="U27" s="21"/>
      <c r="V27" s="21"/>
      <c r="W27" s="21"/>
      <c r="X27" s="21"/>
      <c r="Y27" s="21"/>
      <c r="Z27" s="21"/>
      <c r="AA27" s="21"/>
      <c r="AB27" s="7"/>
      <c r="AC27" s="7"/>
      <c r="AD27" s="7"/>
      <c r="AE27" s="7"/>
      <c r="AF27" s="7"/>
      <c r="AG27" s="7"/>
      <c r="AH27" s="7"/>
      <c r="AI27" s="7"/>
      <c r="AJ27" s="7"/>
      <c r="AK27" s="7"/>
      <c r="AL27" s="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row>
    <row r="28" spans="1:669" s="2" customFormat="1" ht="12.75" hidden="1" customHeight="1" x14ac:dyDescent="0.2">
      <c r="A28" s="664"/>
      <c r="B28" s="669"/>
      <c r="C28" s="706"/>
      <c r="D28" s="595"/>
      <c r="E28" s="596"/>
      <c r="F28" s="715"/>
      <c r="G28" s="229"/>
      <c r="H28" s="577"/>
      <c r="I28" s="229"/>
      <c r="J28" s="577"/>
      <c r="K28" s="229"/>
      <c r="L28" s="192"/>
      <c r="M28" s="218"/>
      <c r="N28" s="21"/>
      <c r="O28" s="21"/>
      <c r="P28" s="21"/>
      <c r="Q28" s="21"/>
      <c r="R28" s="21"/>
      <c r="S28" s="21"/>
      <c r="T28" s="21"/>
      <c r="U28" s="21"/>
      <c r="V28" s="21"/>
      <c r="W28" s="21"/>
      <c r="X28" s="21"/>
      <c r="Y28" s="21"/>
      <c r="Z28" s="21"/>
      <c r="AA28" s="21"/>
      <c r="AB28" s="7"/>
      <c r="AC28" s="7"/>
      <c r="AD28" s="7"/>
      <c r="AE28" s="7"/>
      <c r="AF28" s="7"/>
      <c r="AG28" s="7"/>
      <c r="AH28" s="7"/>
      <c r="AI28" s="7"/>
      <c r="AJ28" s="7"/>
      <c r="AK28" s="7"/>
      <c r="AL28" s="7"/>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row>
    <row r="29" spans="1:669" s="549" customFormat="1" ht="15.75" hidden="1" customHeight="1" x14ac:dyDescent="0.2">
      <c r="A29" s="664" t="s">
        <v>448</v>
      </c>
      <c r="B29" s="669" t="s">
        <v>385</v>
      </c>
      <c r="C29" s="706" t="s">
        <v>21</v>
      </c>
      <c r="D29" s="595">
        <v>44562</v>
      </c>
      <c r="E29" s="596">
        <v>44926</v>
      </c>
      <c r="F29" s="716"/>
      <c r="G29" s="700"/>
      <c r="H29" s="720"/>
      <c r="I29" s="700"/>
      <c r="J29" s="720"/>
      <c r="K29" s="700"/>
      <c r="L29" s="545"/>
      <c r="M29" s="546"/>
      <c r="N29" s="547"/>
      <c r="O29" s="547"/>
      <c r="P29" s="547"/>
      <c r="Q29" s="547"/>
      <c r="R29" s="547"/>
      <c r="S29" s="547"/>
      <c r="T29" s="547"/>
      <c r="U29" s="547"/>
      <c r="V29" s="547"/>
      <c r="W29" s="547"/>
      <c r="X29" s="547"/>
      <c r="Y29" s="547"/>
      <c r="Z29" s="547"/>
      <c r="AA29" s="547"/>
      <c r="AB29" s="548"/>
      <c r="AC29" s="548"/>
      <c r="AD29" s="548"/>
      <c r="AE29" s="548"/>
      <c r="AF29" s="548"/>
      <c r="AG29" s="548"/>
      <c r="AH29" s="548"/>
      <c r="AI29" s="548"/>
      <c r="AJ29" s="548"/>
      <c r="AK29" s="548"/>
      <c r="AL29" s="548"/>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c r="UA29" s="55"/>
      <c r="UB29" s="55"/>
      <c r="UC29" s="55"/>
      <c r="UD29" s="55"/>
      <c r="UE29" s="55"/>
      <c r="UF29" s="55"/>
      <c r="UG29" s="55"/>
      <c r="UH29" s="55"/>
      <c r="UI29" s="55"/>
      <c r="UJ29" s="55"/>
      <c r="UK29" s="55"/>
      <c r="UL29" s="55"/>
      <c r="UM29" s="55"/>
      <c r="UN29" s="55"/>
      <c r="UO29" s="55"/>
      <c r="UP29" s="55"/>
      <c r="UQ29" s="55"/>
      <c r="UR29" s="55"/>
      <c r="US29" s="55"/>
      <c r="UT29" s="55"/>
      <c r="UU29" s="55"/>
      <c r="UV29" s="55"/>
      <c r="UW29" s="55"/>
      <c r="UX29" s="55"/>
      <c r="UY29" s="55"/>
      <c r="UZ29" s="55"/>
      <c r="VA29" s="55"/>
      <c r="VB29" s="55"/>
      <c r="VC29" s="55"/>
      <c r="VD29" s="55"/>
      <c r="VE29" s="55"/>
      <c r="VF29" s="55"/>
      <c r="VG29" s="55"/>
      <c r="VH29" s="55"/>
      <c r="VI29" s="55"/>
      <c r="VJ29" s="55"/>
      <c r="VK29" s="55"/>
      <c r="VL29" s="55"/>
      <c r="VM29" s="55"/>
      <c r="VN29" s="55"/>
      <c r="VO29" s="55"/>
      <c r="VP29" s="55"/>
      <c r="VQ29" s="55"/>
      <c r="VR29" s="55"/>
      <c r="VS29" s="55"/>
      <c r="VT29" s="55"/>
      <c r="VU29" s="55"/>
      <c r="VV29" s="55"/>
      <c r="VW29" s="55"/>
      <c r="VX29" s="55"/>
      <c r="VY29" s="55"/>
      <c r="VZ29" s="55"/>
      <c r="WA29" s="55"/>
      <c r="WB29" s="55"/>
      <c r="WC29" s="55"/>
      <c r="WD29" s="55"/>
      <c r="WE29" s="55"/>
      <c r="WF29" s="55"/>
      <c r="WG29" s="55"/>
      <c r="WH29" s="55"/>
      <c r="WI29" s="55"/>
      <c r="WJ29" s="55"/>
      <c r="WK29" s="55"/>
      <c r="WL29" s="55"/>
      <c r="WM29" s="55"/>
      <c r="WN29" s="55"/>
      <c r="WO29" s="55"/>
      <c r="WP29" s="55"/>
      <c r="WQ29" s="55"/>
      <c r="WR29" s="55"/>
      <c r="WS29" s="55"/>
      <c r="WT29" s="55"/>
      <c r="WU29" s="55"/>
      <c r="WV29" s="55"/>
      <c r="WW29" s="55"/>
      <c r="WX29" s="55"/>
      <c r="WY29" s="55"/>
      <c r="WZ29" s="55"/>
      <c r="XA29" s="55"/>
      <c r="XB29" s="55"/>
      <c r="XC29" s="55"/>
      <c r="XD29" s="55"/>
      <c r="XE29" s="55"/>
      <c r="XF29" s="55"/>
      <c r="XG29" s="55"/>
      <c r="XH29" s="55"/>
      <c r="XI29" s="55"/>
      <c r="XJ29" s="55"/>
      <c r="XK29" s="55"/>
      <c r="XL29" s="55"/>
      <c r="XM29" s="55"/>
      <c r="XN29" s="55"/>
      <c r="XO29" s="55"/>
      <c r="XP29" s="55"/>
      <c r="XQ29" s="55"/>
      <c r="XR29" s="55"/>
      <c r="XS29" s="55"/>
      <c r="XT29" s="55"/>
      <c r="XU29" s="55"/>
      <c r="XV29" s="55"/>
      <c r="XW29" s="55"/>
      <c r="XX29" s="55"/>
      <c r="XY29" s="55"/>
      <c r="XZ29" s="55"/>
      <c r="YA29" s="55"/>
      <c r="YB29" s="55"/>
      <c r="YC29" s="55"/>
      <c r="YD29" s="55"/>
      <c r="YE29" s="55"/>
      <c r="YF29" s="55"/>
      <c r="YG29" s="55"/>
      <c r="YH29" s="55"/>
      <c r="YI29" s="55"/>
      <c r="YJ29" s="55"/>
      <c r="YK29" s="55"/>
      <c r="YL29" s="55"/>
      <c r="YM29" s="55"/>
      <c r="YN29" s="55"/>
      <c r="YO29" s="55"/>
      <c r="YP29" s="55"/>
      <c r="YQ29" s="55"/>
      <c r="YR29" s="55"/>
      <c r="YS29" s="55"/>
    </row>
    <row r="30" spans="1:669" s="2" customFormat="1" ht="15" hidden="1" customHeight="1" x14ac:dyDescent="0.2">
      <c r="A30" s="665" t="s">
        <v>529</v>
      </c>
      <c r="B30" s="670" t="s">
        <v>385</v>
      </c>
      <c r="C30" s="707" t="s">
        <v>21</v>
      </c>
      <c r="D30" s="593">
        <v>44927</v>
      </c>
      <c r="E30" s="594">
        <v>45016</v>
      </c>
      <c r="F30" s="717"/>
      <c r="G30" s="719"/>
      <c r="H30" s="721"/>
      <c r="I30" s="719"/>
      <c r="J30" s="721"/>
      <c r="K30" s="241"/>
      <c r="L30" s="192"/>
      <c r="M30" s="218"/>
      <c r="N30" s="21"/>
      <c r="O30" s="21"/>
      <c r="P30" s="21"/>
      <c r="Q30" s="21"/>
      <c r="R30" s="21"/>
      <c r="S30" s="21"/>
      <c r="T30" s="21"/>
      <c r="U30" s="21"/>
      <c r="V30" s="21"/>
      <c r="W30" s="21"/>
      <c r="X30" s="21"/>
      <c r="Y30" s="21"/>
      <c r="Z30" s="21"/>
      <c r="AA30" s="21"/>
      <c r="AB30" s="7"/>
      <c r="AC30" s="7"/>
      <c r="AD30" s="7"/>
      <c r="AE30" s="7"/>
      <c r="AF30" s="7"/>
      <c r="AG30" s="7"/>
      <c r="AH30" s="7"/>
      <c r="AI30" s="7"/>
      <c r="AJ30" s="7"/>
      <c r="AK30" s="7"/>
      <c r="AL30" s="7"/>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row>
    <row r="31" spans="1:669" s="2" customFormat="1" ht="15" hidden="1" x14ac:dyDescent="0.25">
      <c r="A31" s="660" t="s">
        <v>449</v>
      </c>
      <c r="B31" s="478" t="s">
        <v>303</v>
      </c>
      <c r="C31" s="227" t="s">
        <v>21</v>
      </c>
      <c r="D31" s="4">
        <v>44927</v>
      </c>
      <c r="E31" s="226">
        <v>45291</v>
      </c>
      <c r="F31" s="577">
        <v>18000</v>
      </c>
      <c r="G31" s="229">
        <f>I31-H31</f>
        <v>-3000</v>
      </c>
      <c r="H31" s="577">
        <f>'August''24 AR Aging '!G38</f>
        <v>3000</v>
      </c>
      <c r="I31" s="229"/>
      <c r="J31" s="577"/>
      <c r="K31" s="229"/>
      <c r="L31" s="542"/>
      <c r="M31" s="218"/>
      <c r="N31" s="21"/>
      <c r="O31" s="21"/>
      <c r="P31" s="21"/>
      <c r="Q31" s="21"/>
      <c r="R31" s="21"/>
      <c r="S31" s="21"/>
      <c r="T31" s="21"/>
      <c r="U31" s="21"/>
      <c r="V31" s="21"/>
      <c r="W31" s="21"/>
      <c r="X31" s="21"/>
      <c r="Y31" s="21"/>
      <c r="Z31" s="21"/>
      <c r="AA31" s="21"/>
      <c r="AB31" s="7"/>
      <c r="AC31" s="7"/>
      <c r="AD31" s="7"/>
      <c r="AE31" s="7"/>
      <c r="AF31" s="7"/>
      <c r="AG31" s="7"/>
      <c r="AH31" s="7"/>
      <c r="AI31" s="7"/>
      <c r="AJ31" s="7"/>
      <c r="AK31" s="7"/>
      <c r="AL31" s="7"/>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row>
    <row r="32" spans="1:669" s="2" customFormat="1" ht="15" x14ac:dyDescent="0.25">
      <c r="A32" s="661" t="s">
        <v>449</v>
      </c>
      <c r="B32" s="667" t="s">
        <v>303</v>
      </c>
      <c r="C32" s="704" t="s">
        <v>21</v>
      </c>
      <c r="D32" s="589">
        <v>45292</v>
      </c>
      <c r="E32" s="440">
        <v>45657</v>
      </c>
      <c r="F32" s="713">
        <v>18000</v>
      </c>
      <c r="G32" s="241">
        <f>I32-H32</f>
        <v>9000</v>
      </c>
      <c r="H32" s="713">
        <f>'August''24 AR Aging '!G38</f>
        <v>3000</v>
      </c>
      <c r="I32" s="241">
        <f>1500*8</f>
        <v>12000</v>
      </c>
      <c r="J32" s="713">
        <f>F32-I32</f>
        <v>6000</v>
      </c>
      <c r="K32" s="241"/>
      <c r="L32" s="192"/>
      <c r="M32" s="218"/>
      <c r="N32" s="21"/>
      <c r="O32" s="21"/>
      <c r="P32" s="21"/>
      <c r="Q32" s="21"/>
      <c r="R32" s="21"/>
      <c r="S32" s="21"/>
      <c r="T32" s="21"/>
      <c r="U32" s="21"/>
      <c r="V32" s="21"/>
      <c r="W32" s="21"/>
      <c r="X32" s="21"/>
      <c r="Y32" s="21"/>
      <c r="Z32" s="21"/>
      <c r="AA32" s="21"/>
      <c r="AB32" s="7"/>
      <c r="AC32" s="7"/>
      <c r="AD32" s="7"/>
      <c r="AE32" s="7"/>
      <c r="AF32" s="7"/>
      <c r="AG32" s="7"/>
      <c r="AH32" s="7"/>
      <c r="AI32" s="7"/>
      <c r="AJ32" s="7"/>
      <c r="AK32" s="7"/>
      <c r="AL32" s="7"/>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row>
    <row r="33" spans="1:669" s="2" customFormat="1" x14ac:dyDescent="0.2">
      <c r="A33" s="661" t="s">
        <v>627</v>
      </c>
      <c r="B33" s="667" t="s">
        <v>385</v>
      </c>
      <c r="C33" s="704" t="s">
        <v>440</v>
      </c>
      <c r="D33" s="589">
        <v>45292</v>
      </c>
      <c r="E33" s="440">
        <v>45657</v>
      </c>
      <c r="F33" s="713">
        <v>5000</v>
      </c>
      <c r="G33" s="241">
        <f>I33-H33</f>
        <v>2500</v>
      </c>
      <c r="H33" s="713">
        <f>'August''24 AR Aging '!G70</f>
        <v>0</v>
      </c>
      <c r="I33" s="734">
        <f>1250*2</f>
        <v>2500</v>
      </c>
      <c r="J33" s="713">
        <f>F33-I33</f>
        <v>2500</v>
      </c>
      <c r="K33" s="241"/>
      <c r="L33" s="192"/>
      <c r="M33" s="218"/>
      <c r="N33" s="21"/>
      <c r="O33" s="21"/>
      <c r="P33" s="21"/>
      <c r="Q33" s="21"/>
      <c r="R33" s="21"/>
      <c r="S33" s="21"/>
      <c r="T33" s="21"/>
      <c r="U33" s="21"/>
      <c r="V33" s="21"/>
      <c r="W33" s="21"/>
      <c r="X33" s="21"/>
      <c r="Y33" s="21"/>
      <c r="Z33" s="21"/>
      <c r="AA33" s="21"/>
      <c r="AB33" s="7"/>
      <c r="AC33" s="7"/>
      <c r="AD33" s="7"/>
      <c r="AE33" s="7"/>
      <c r="AF33" s="7"/>
      <c r="AG33" s="7"/>
      <c r="AH33" s="7"/>
      <c r="AI33" s="7"/>
      <c r="AJ33" s="7"/>
      <c r="AK33" s="7"/>
      <c r="AL33" s="7"/>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row>
    <row r="34" spans="1:669" s="2" customFormat="1" x14ac:dyDescent="0.2">
      <c r="A34" s="660" t="s">
        <v>684</v>
      </c>
      <c r="B34" s="222" t="s">
        <v>177</v>
      </c>
      <c r="C34" s="227" t="s">
        <v>440</v>
      </c>
      <c r="D34" s="4">
        <v>45516</v>
      </c>
      <c r="E34" s="226">
        <v>45838</v>
      </c>
      <c r="F34" s="702">
        <v>36637</v>
      </c>
      <c r="G34" s="229">
        <f>I34-H34</f>
        <v>0</v>
      </c>
      <c r="H34" s="577">
        <v>0</v>
      </c>
      <c r="I34" s="229"/>
      <c r="J34" s="577">
        <f>F34-I34</f>
        <v>36637</v>
      </c>
      <c r="K34" s="229"/>
      <c r="L34" s="192"/>
      <c r="M34" s="218"/>
      <c r="N34" s="21"/>
      <c r="O34" s="21"/>
      <c r="P34" s="21"/>
      <c r="Q34" s="21"/>
      <c r="R34" s="21"/>
      <c r="S34" s="21"/>
      <c r="T34" s="21"/>
      <c r="U34" s="21"/>
      <c r="V34" s="21"/>
      <c r="W34" s="21"/>
      <c r="X34" s="21"/>
      <c r="Y34" s="21"/>
      <c r="Z34" s="21"/>
      <c r="AA34" s="21"/>
      <c r="AB34" s="7"/>
      <c r="AC34" s="7"/>
      <c r="AD34" s="7"/>
      <c r="AE34" s="7"/>
      <c r="AF34" s="7"/>
      <c r="AG34" s="7"/>
      <c r="AH34" s="7"/>
      <c r="AI34" s="7"/>
      <c r="AJ34" s="7"/>
      <c r="AK34" s="7"/>
      <c r="AL34" s="7"/>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row>
    <row r="35" spans="1:669" s="2" customFormat="1" ht="15" thickBot="1" x14ac:dyDescent="0.25">
      <c r="A35" s="666" t="s">
        <v>651</v>
      </c>
      <c r="B35" s="223" t="s">
        <v>177</v>
      </c>
      <c r="C35" s="708" t="s">
        <v>440</v>
      </c>
      <c r="D35" s="583">
        <v>45516</v>
      </c>
      <c r="E35" s="305">
        <v>45877</v>
      </c>
      <c r="F35" s="718">
        <v>36031</v>
      </c>
      <c r="G35" s="230">
        <f>I35-H35</f>
        <v>0</v>
      </c>
      <c r="H35" s="722">
        <f>'August''24 AR Aging '!G58</f>
        <v>0</v>
      </c>
      <c r="I35" s="230">
        <v>0</v>
      </c>
      <c r="J35" s="722">
        <v>0</v>
      </c>
      <c r="K35" s="230"/>
      <c r="L35" s="192"/>
      <c r="M35" s="218"/>
      <c r="N35" s="21"/>
      <c r="O35" s="21"/>
      <c r="P35" s="21"/>
      <c r="Q35" s="21"/>
      <c r="R35" s="21"/>
      <c r="S35" s="21"/>
      <c r="T35" s="21"/>
      <c r="U35" s="21"/>
      <c r="V35" s="21"/>
      <c r="W35" s="21"/>
      <c r="X35" s="21"/>
      <c r="Y35" s="21"/>
      <c r="Z35" s="21"/>
      <c r="AA35" s="21"/>
      <c r="AB35" s="7"/>
      <c r="AC35" s="7"/>
      <c r="AD35" s="7"/>
      <c r="AE35" s="7"/>
      <c r="AF35" s="7"/>
      <c r="AG35" s="7"/>
      <c r="AH35" s="7"/>
      <c r="AI35" s="7"/>
      <c r="AJ35" s="7"/>
      <c r="AK35" s="7"/>
      <c r="AL35" s="7"/>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row>
    <row r="36" spans="1:669" s="12" customFormat="1" ht="16.5" thickBot="1" x14ac:dyDescent="0.3">
      <c r="A36" s="200" t="s">
        <v>33</v>
      </c>
      <c r="B36" s="201"/>
      <c r="C36" s="202"/>
      <c r="D36" s="203"/>
      <c r="E36" s="203"/>
      <c r="F36" s="220"/>
      <c r="G36" s="696">
        <f>SUM(G9:G35)</f>
        <v>237468.5</v>
      </c>
      <c r="H36" s="220">
        <f>SUM(H7:H35)</f>
        <v>234478.74000000002</v>
      </c>
      <c r="I36" s="220">
        <f>SUM(I9:I35)</f>
        <v>712030.28999999992</v>
      </c>
      <c r="J36" s="220">
        <f>SUM(J9:J35)</f>
        <v>619476.02</v>
      </c>
      <c r="K36" s="220">
        <f>SUM(K9:K35)</f>
        <v>0</v>
      </c>
      <c r="L36" s="37"/>
      <c r="M36" s="28"/>
      <c r="N36" s="28"/>
      <c r="O36" s="28"/>
      <c r="P36" s="28"/>
      <c r="Q36" s="28"/>
      <c r="R36" s="28"/>
      <c r="S36" s="28"/>
      <c r="T36" s="28"/>
      <c r="U36" s="28"/>
      <c r="V36" s="28"/>
      <c r="W36" s="28"/>
      <c r="X36" s="28"/>
      <c r="Y36" s="28"/>
      <c r="Z36" s="28"/>
      <c r="AA36" s="28"/>
      <c r="AB36" s="29"/>
      <c r="AC36" s="29"/>
      <c r="AD36" s="29"/>
      <c r="AE36" s="29"/>
      <c r="AF36" s="29"/>
      <c r="AG36" s="29"/>
      <c r="AH36" s="29"/>
      <c r="AI36" s="29"/>
      <c r="AJ36" s="29"/>
      <c r="AK36" s="29"/>
      <c r="AL36" s="29"/>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row>
    <row r="37" spans="1:669" x14ac:dyDescent="0.2">
      <c r="A37" s="587"/>
      <c r="B37" s="587"/>
      <c r="C37" s="13"/>
      <c r="D37" s="587"/>
      <c r="E37" s="219"/>
      <c r="H37"/>
    </row>
    <row r="38" spans="1:669" ht="10.5" customHeight="1" thickBot="1" x14ac:dyDescent="0.25">
      <c r="B38" s="34"/>
    </row>
    <row r="39" spans="1:669" s="16" customFormat="1" ht="16.5" thickBot="1" x14ac:dyDescent="0.3">
      <c r="A39" s="233" t="s">
        <v>35</v>
      </c>
      <c r="B39" s="118"/>
      <c r="C39" s="119"/>
      <c r="D39" s="119"/>
      <c r="E39" s="119"/>
      <c r="F39" s="120"/>
      <c r="G39" s="120"/>
      <c r="H39" s="120"/>
      <c r="I39" s="120"/>
      <c r="J39" s="120"/>
      <c r="K39" s="121"/>
      <c r="L39" s="21"/>
      <c r="M39" s="21"/>
      <c r="N39" s="21"/>
      <c r="O39" s="21"/>
      <c r="P39" s="21"/>
      <c r="Q39" s="21"/>
      <c r="R39" s="21"/>
      <c r="S39" s="21"/>
      <c r="T39" s="21"/>
      <c r="U39" s="21"/>
      <c r="V39" s="21"/>
      <c r="W39" s="21"/>
      <c r="X39" s="21"/>
      <c r="Y39" s="21"/>
      <c r="Z39" s="21"/>
      <c r="AA39" s="21"/>
      <c r="AB39" s="7"/>
      <c r="AC39" s="7"/>
      <c r="AD39" s="7"/>
      <c r="AE39" s="7"/>
      <c r="AF39" s="7"/>
      <c r="AG39" s="7"/>
      <c r="AH39" s="7"/>
      <c r="AI39" s="7"/>
      <c r="AJ39" s="7"/>
      <c r="AK39" s="7"/>
      <c r="AL39" s="7"/>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row>
    <row r="40" spans="1:669" s="14" customFormat="1" ht="45.75" thickBot="1" x14ac:dyDescent="0.25">
      <c r="A40" s="249" t="s">
        <v>22</v>
      </c>
      <c r="B40" s="841" t="s">
        <v>12</v>
      </c>
      <c r="C40" s="842"/>
      <c r="D40" s="249" t="s">
        <v>2</v>
      </c>
      <c r="E40" s="655" t="s">
        <v>3</v>
      </c>
      <c r="F40" s="254" t="s">
        <v>23</v>
      </c>
      <c r="G40" s="254" t="s">
        <v>621</v>
      </c>
      <c r="H40" s="254" t="s">
        <v>161</v>
      </c>
      <c r="I40" s="254" t="s">
        <v>19</v>
      </c>
      <c r="J40" s="254" t="s">
        <v>328</v>
      </c>
      <c r="K40" s="254" t="s">
        <v>4</v>
      </c>
      <c r="L40" s="26"/>
      <c r="M40" s="26"/>
      <c r="N40" s="26"/>
      <c r="O40" s="26"/>
      <c r="P40" s="26"/>
      <c r="Q40" s="26"/>
      <c r="R40" s="26"/>
      <c r="S40" s="26"/>
      <c r="T40" s="26"/>
      <c r="U40" s="3"/>
      <c r="V40" s="26"/>
      <c r="W40" s="26"/>
      <c r="X40" s="26"/>
      <c r="Y40" s="26"/>
      <c r="Z40" s="26"/>
      <c r="AA40" s="26"/>
      <c r="AB40" s="27"/>
      <c r="AC40" s="27"/>
      <c r="AD40" s="27"/>
      <c r="AE40" s="27"/>
      <c r="AF40" s="27"/>
      <c r="AG40" s="27"/>
      <c r="AH40" s="27"/>
      <c r="AI40" s="27"/>
      <c r="AJ40" s="27"/>
      <c r="AK40" s="27"/>
      <c r="AL40" s="27"/>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row>
    <row r="41" spans="1:669" hidden="1" x14ac:dyDescent="0.2">
      <c r="A41" s="222" t="s">
        <v>15</v>
      </c>
      <c r="B41" s="847" t="s">
        <v>11</v>
      </c>
      <c r="C41" s="848"/>
      <c r="D41" s="226">
        <v>41275</v>
      </c>
      <c r="E41" s="671">
        <v>41639</v>
      </c>
      <c r="F41" s="229"/>
      <c r="G41" s="229">
        <v>0</v>
      </c>
      <c r="H41" s="229"/>
      <c r="I41" s="229">
        <f>F41-H41</f>
        <v>0</v>
      </c>
      <c r="J41" s="229">
        <v>0</v>
      </c>
      <c r="K41" s="229">
        <f t="shared" ref="K41:K42" si="0">I41</f>
        <v>0</v>
      </c>
    </row>
    <row r="42" spans="1:669" hidden="1" x14ac:dyDescent="0.2">
      <c r="A42" s="222" t="s">
        <v>260</v>
      </c>
      <c r="B42" s="847" t="s">
        <v>11</v>
      </c>
      <c r="C42" s="848"/>
      <c r="D42" s="226">
        <v>42736</v>
      </c>
      <c r="E42" s="671">
        <v>43100</v>
      </c>
      <c r="F42" s="229"/>
      <c r="G42" s="229">
        <v>0</v>
      </c>
      <c r="H42" s="229">
        <v>25000</v>
      </c>
      <c r="I42" s="229">
        <f>25000-H42</f>
        <v>0</v>
      </c>
      <c r="J42" s="229"/>
      <c r="K42" s="304">
        <f t="shared" si="0"/>
        <v>0</v>
      </c>
    </row>
    <row r="43" spans="1:669" hidden="1" x14ac:dyDescent="0.2">
      <c r="A43" s="222" t="s">
        <v>313</v>
      </c>
      <c r="B43" s="847" t="s">
        <v>11</v>
      </c>
      <c r="C43" s="848"/>
      <c r="D43" s="226">
        <v>43466</v>
      </c>
      <c r="E43" s="671">
        <v>43830</v>
      </c>
      <c r="F43" s="229"/>
      <c r="G43" s="229"/>
      <c r="H43" s="229"/>
      <c r="I43" s="229"/>
      <c r="J43" s="229"/>
      <c r="K43" s="543"/>
    </row>
    <row r="44" spans="1:669" ht="15" hidden="1" x14ac:dyDescent="0.25">
      <c r="A44" s="581" t="s">
        <v>395</v>
      </c>
      <c r="B44" s="849" t="s">
        <v>11</v>
      </c>
      <c r="C44" s="848"/>
      <c r="D44" s="582">
        <v>43831</v>
      </c>
      <c r="E44" s="4">
        <v>44196</v>
      </c>
      <c r="F44" s="558"/>
      <c r="G44" s="243"/>
      <c r="H44" s="558"/>
      <c r="I44" s="243">
        <f>F44-H44</f>
        <v>0</v>
      </c>
      <c r="J44" s="558"/>
      <c r="K44" s="585">
        <f>I44</f>
        <v>0</v>
      </c>
    </row>
    <row r="45" spans="1:669" hidden="1" x14ac:dyDescent="0.2">
      <c r="A45" s="222"/>
      <c r="B45" s="849"/>
      <c r="C45" s="848"/>
      <c r="D45" s="226"/>
      <c r="E45" s="4"/>
      <c r="F45" s="229"/>
      <c r="G45" s="243"/>
      <c r="H45" s="229"/>
      <c r="I45" s="243"/>
      <c r="J45" s="229"/>
      <c r="K45" s="242"/>
    </row>
    <row r="46" spans="1:669" hidden="1" x14ac:dyDescent="0.2">
      <c r="A46" s="222" t="s">
        <v>424</v>
      </c>
      <c r="B46" s="849" t="s">
        <v>11</v>
      </c>
      <c r="C46" s="848"/>
      <c r="D46" s="226">
        <v>44105</v>
      </c>
      <c r="E46" s="4" t="s">
        <v>397</v>
      </c>
      <c r="F46" s="229"/>
      <c r="G46" s="243"/>
      <c r="H46" s="229"/>
      <c r="I46" s="243"/>
      <c r="J46" s="229"/>
      <c r="K46" s="242"/>
    </row>
    <row r="47" spans="1:669" ht="15" hidden="1" x14ac:dyDescent="0.25">
      <c r="A47" s="222" t="s">
        <v>450</v>
      </c>
      <c r="B47" s="849" t="s">
        <v>11</v>
      </c>
      <c r="C47" s="848"/>
      <c r="D47" s="226">
        <v>44562</v>
      </c>
      <c r="E47" s="4">
        <v>44926</v>
      </c>
      <c r="F47" s="229"/>
      <c r="G47" s="243"/>
      <c r="H47" s="229"/>
      <c r="I47" s="243"/>
      <c r="J47" s="229"/>
      <c r="K47" s="242"/>
    </row>
    <row r="48" spans="1:669" ht="15" hidden="1" x14ac:dyDescent="0.25">
      <c r="A48" s="222" t="s">
        <v>530</v>
      </c>
      <c r="B48" s="849" t="s">
        <v>11</v>
      </c>
      <c r="C48" s="848"/>
      <c r="D48" s="226">
        <v>44927</v>
      </c>
      <c r="E48" s="4">
        <v>45291</v>
      </c>
      <c r="F48" s="229"/>
      <c r="G48" s="243"/>
      <c r="H48" s="229"/>
      <c r="I48" s="243"/>
      <c r="J48" s="229"/>
      <c r="K48" s="242"/>
    </row>
    <row r="49" spans="1:669" ht="15" x14ac:dyDescent="0.25">
      <c r="A49" s="222" t="s">
        <v>587</v>
      </c>
      <c r="B49" s="849" t="s">
        <v>11</v>
      </c>
      <c r="C49" s="848"/>
      <c r="D49" s="226">
        <v>45292</v>
      </c>
      <c r="E49" s="4">
        <v>45657</v>
      </c>
      <c r="F49" s="229">
        <v>25000</v>
      </c>
      <c r="G49" s="243">
        <v>25000</v>
      </c>
      <c r="H49" s="229">
        <v>16777</v>
      </c>
      <c r="I49" s="243">
        <f>F49-H49</f>
        <v>8223</v>
      </c>
      <c r="J49" s="229"/>
      <c r="K49" s="242">
        <f>I49</f>
        <v>8223</v>
      </c>
    </row>
    <row r="50" spans="1:669" hidden="1" x14ac:dyDescent="0.2">
      <c r="A50" s="222"/>
      <c r="B50" s="849"/>
      <c r="C50" s="848"/>
      <c r="D50" s="226"/>
      <c r="E50" s="4"/>
      <c r="F50" s="229"/>
      <c r="G50" s="243"/>
      <c r="H50" s="229"/>
      <c r="I50" s="243"/>
      <c r="J50" s="229"/>
      <c r="K50" s="242"/>
    </row>
    <row r="51" spans="1:669" hidden="1" x14ac:dyDescent="0.2">
      <c r="A51" s="222" t="s">
        <v>538</v>
      </c>
      <c r="B51" s="849" t="s">
        <v>11</v>
      </c>
      <c r="C51" s="848"/>
      <c r="D51" s="226">
        <v>44896</v>
      </c>
      <c r="E51" s="4">
        <v>45322</v>
      </c>
      <c r="F51" s="229"/>
      <c r="G51" s="243"/>
      <c r="H51" s="229"/>
      <c r="I51" s="243"/>
      <c r="J51" s="229"/>
      <c r="K51" s="242"/>
    </row>
    <row r="52" spans="1:669" x14ac:dyDescent="0.2">
      <c r="A52" s="222" t="s">
        <v>616</v>
      </c>
      <c r="B52" s="849" t="s">
        <v>11</v>
      </c>
      <c r="C52" s="848"/>
      <c r="D52" s="226">
        <v>45292</v>
      </c>
      <c r="E52" s="4">
        <v>45657</v>
      </c>
      <c r="F52" s="229">
        <v>7500</v>
      </c>
      <c r="G52" s="243">
        <v>7217.96</v>
      </c>
      <c r="H52" s="229">
        <v>5724.69</v>
      </c>
      <c r="I52" s="243">
        <f>G52-H52</f>
        <v>1493.2700000000004</v>
      </c>
      <c r="J52" s="229"/>
      <c r="K52" s="242">
        <f t="shared" ref="K52:K56" si="1">I52</f>
        <v>1493.2700000000004</v>
      </c>
    </row>
    <row r="53" spans="1:669" hidden="1" x14ac:dyDescent="0.2">
      <c r="A53" s="222" t="s">
        <v>464</v>
      </c>
      <c r="B53" s="849" t="s">
        <v>11</v>
      </c>
      <c r="C53" s="848"/>
      <c r="D53" s="226">
        <v>44743</v>
      </c>
      <c r="E53" s="4">
        <v>45107</v>
      </c>
      <c r="F53" s="229"/>
      <c r="G53" s="243"/>
      <c r="H53" s="229"/>
      <c r="I53" s="243"/>
      <c r="J53" s="229"/>
      <c r="K53" s="242"/>
    </row>
    <row r="54" spans="1:669" x14ac:dyDescent="0.2">
      <c r="A54" s="222" t="s">
        <v>464</v>
      </c>
      <c r="B54" s="849" t="s">
        <v>11</v>
      </c>
      <c r="C54" s="848"/>
      <c r="D54" s="226">
        <v>45108</v>
      </c>
      <c r="E54" s="4">
        <v>45473</v>
      </c>
      <c r="F54" s="229">
        <v>100000</v>
      </c>
      <c r="G54" s="243">
        <v>100000</v>
      </c>
      <c r="H54" s="229">
        <v>33018.29</v>
      </c>
      <c r="I54" s="243">
        <f>F54-H54</f>
        <v>66981.709999999992</v>
      </c>
      <c r="J54" s="229"/>
      <c r="K54" s="242">
        <f t="shared" si="1"/>
        <v>66981.709999999992</v>
      </c>
    </row>
    <row r="55" spans="1:669" hidden="1" x14ac:dyDescent="0.2">
      <c r="A55" s="222" t="s">
        <v>380</v>
      </c>
      <c r="B55" s="849" t="s">
        <v>17</v>
      </c>
      <c r="C55" s="848"/>
      <c r="D55" s="226">
        <v>44562</v>
      </c>
      <c r="E55" s="4">
        <v>45291</v>
      </c>
      <c r="F55" s="229"/>
      <c r="G55" s="243"/>
      <c r="H55" s="229"/>
      <c r="I55" s="243"/>
      <c r="J55" s="229"/>
      <c r="K55" s="242"/>
      <c r="U55"/>
    </row>
    <row r="56" spans="1:669" x14ac:dyDescent="0.2">
      <c r="A56" s="222" t="s">
        <v>589</v>
      </c>
      <c r="B56" s="849" t="s">
        <v>17</v>
      </c>
      <c r="C56" s="848"/>
      <c r="D56" s="226">
        <v>45292</v>
      </c>
      <c r="E56" s="4">
        <v>46387</v>
      </c>
      <c r="F56" s="229">
        <v>175000</v>
      </c>
      <c r="G56" s="243">
        <v>65000</v>
      </c>
      <c r="H56" s="229">
        <f>G56-21666.64</f>
        <v>43333.36</v>
      </c>
      <c r="I56" s="243">
        <f>G56-H56</f>
        <v>21666.639999999999</v>
      </c>
      <c r="J56" s="242"/>
      <c r="K56" s="304">
        <f t="shared" si="1"/>
        <v>21666.639999999999</v>
      </c>
      <c r="U56"/>
    </row>
    <row r="57" spans="1:669" ht="15" hidden="1" x14ac:dyDescent="0.25">
      <c r="A57" s="222" t="s">
        <v>530</v>
      </c>
      <c r="B57" s="660" t="s">
        <v>396</v>
      </c>
      <c r="C57" s="587"/>
      <c r="D57" s="226">
        <v>44927</v>
      </c>
      <c r="E57" s="4">
        <v>45291</v>
      </c>
      <c r="F57" s="229"/>
      <c r="G57" s="229"/>
      <c r="H57" s="229"/>
      <c r="I57" s="229">
        <f>G57-H57</f>
        <v>0</v>
      </c>
      <c r="J57" s="242">
        <f>I57</f>
        <v>0</v>
      </c>
      <c r="K57" s="304"/>
      <c r="L57" s="673"/>
      <c r="M57" s="243"/>
      <c r="U57"/>
    </row>
    <row r="58" spans="1:669" s="1" customFormat="1" x14ac:dyDescent="0.2">
      <c r="A58" s="222" t="s">
        <v>18</v>
      </c>
      <c r="B58" s="844" t="s">
        <v>39</v>
      </c>
      <c r="C58" s="844"/>
      <c r="D58" s="226">
        <v>40226</v>
      </c>
      <c r="E58" s="3" t="s">
        <v>25</v>
      </c>
      <c r="F58" s="229">
        <f>8007.78+5000+50</f>
        <v>13057.779999999999</v>
      </c>
      <c r="G58" s="243">
        <v>898.7</v>
      </c>
      <c r="H58" s="229"/>
      <c r="I58" s="243">
        <f>+G58-H58</f>
        <v>898.7</v>
      </c>
      <c r="J58" s="229">
        <f>I58</f>
        <v>898.7</v>
      </c>
      <c r="K58" s="242"/>
      <c r="L58" s="21"/>
      <c r="M58" s="21"/>
      <c r="N58" s="21"/>
      <c r="O58" s="21"/>
      <c r="P58" s="21"/>
      <c r="Q58" s="21"/>
      <c r="R58" s="21"/>
      <c r="S58" s="21"/>
      <c r="T58" s="21"/>
      <c r="U58"/>
      <c r="V58" s="21"/>
      <c r="W58" s="21"/>
      <c r="X58" s="21"/>
      <c r="Y58" s="21"/>
      <c r="Z58" s="21"/>
      <c r="AA58" s="21"/>
      <c r="AB58" s="7"/>
      <c r="AC58" s="7"/>
      <c r="AD58" s="7"/>
      <c r="AE58" s="7"/>
      <c r="AF58" s="7"/>
      <c r="AG58" s="7"/>
      <c r="AH58" s="7"/>
      <c r="AI58" s="7"/>
      <c r="AJ58" s="7"/>
      <c r="AK58" s="7"/>
      <c r="AL58" s="7"/>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row>
    <row r="59" spans="1:669" s="1" customFormat="1" ht="15" hidden="1" thickBot="1" x14ac:dyDescent="0.25">
      <c r="A59" s="222" t="s">
        <v>381</v>
      </c>
      <c r="B59" s="844" t="s">
        <v>396</v>
      </c>
      <c r="C59" s="844"/>
      <c r="D59" s="226">
        <v>43770</v>
      </c>
      <c r="E59" s="4">
        <v>44196</v>
      </c>
      <c r="F59" s="229"/>
      <c r="G59" s="243"/>
      <c r="H59" s="229"/>
      <c r="I59" s="243"/>
      <c r="J59" s="229"/>
      <c r="K59" s="242"/>
      <c r="L59" s="21"/>
      <c r="M59" s="21"/>
      <c r="N59" s="21"/>
      <c r="O59" s="21"/>
      <c r="P59" s="21"/>
      <c r="Q59" s="21"/>
      <c r="R59" s="21"/>
      <c r="S59" s="21"/>
      <c r="T59" s="21"/>
      <c r="U59"/>
      <c r="V59" s="21"/>
      <c r="W59" s="21"/>
      <c r="X59" s="21"/>
      <c r="Y59" s="21"/>
      <c r="Z59" s="21"/>
      <c r="AA59" s="21"/>
      <c r="AB59" s="7"/>
      <c r="AC59" s="7"/>
      <c r="AD59" s="7"/>
      <c r="AE59" s="7"/>
      <c r="AF59" s="7"/>
      <c r="AG59" s="7"/>
      <c r="AH59" s="7"/>
      <c r="AI59" s="7"/>
      <c r="AJ59" s="7"/>
      <c r="AK59" s="7"/>
      <c r="AL59" s="7"/>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row>
    <row r="60" spans="1:669" s="1" customFormat="1" ht="15.75" thickBot="1" x14ac:dyDescent="0.3">
      <c r="A60" s="222" t="s">
        <v>617</v>
      </c>
      <c r="B60" s="849" t="s">
        <v>605</v>
      </c>
      <c r="C60" s="848"/>
      <c r="D60" s="226">
        <v>45292</v>
      </c>
      <c r="E60" s="4">
        <v>45657</v>
      </c>
      <c r="F60" s="229">
        <v>125000</v>
      </c>
      <c r="G60" s="243"/>
      <c r="H60" s="229">
        <v>83922.75</v>
      </c>
      <c r="I60" s="243">
        <f>125000-H60</f>
        <v>41077.25</v>
      </c>
      <c r="J60" s="229"/>
      <c r="K60" s="242">
        <f>I60</f>
        <v>41077.25</v>
      </c>
      <c r="L60" s="21"/>
      <c r="M60" s="21"/>
      <c r="N60" s="21"/>
      <c r="O60" s="21"/>
      <c r="P60" s="21"/>
      <c r="Q60" s="21"/>
      <c r="R60" s="21"/>
      <c r="S60" s="21"/>
      <c r="T60" s="21"/>
      <c r="U60"/>
      <c r="V60" s="21"/>
      <c r="W60" s="21"/>
      <c r="X60" s="21"/>
      <c r="Y60" s="21"/>
      <c r="Z60" s="21"/>
      <c r="AA60" s="21"/>
      <c r="AB60" s="7"/>
      <c r="AC60" s="7"/>
      <c r="AD60" s="7"/>
      <c r="AE60" s="7"/>
      <c r="AF60" s="7"/>
      <c r="AG60" s="7"/>
      <c r="AH60" s="7"/>
      <c r="AI60" s="7"/>
      <c r="AJ60" s="7"/>
      <c r="AK60" s="7"/>
      <c r="AL60" s="7"/>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row>
    <row r="61" spans="1:669" s="1" customFormat="1" ht="15.75" thickBot="1" x14ac:dyDescent="0.3">
      <c r="A61" s="222" t="s">
        <v>685</v>
      </c>
      <c r="B61" s="849" t="s">
        <v>660</v>
      </c>
      <c r="C61" s="848"/>
      <c r="D61" s="226">
        <v>45536</v>
      </c>
      <c r="E61" s="4">
        <v>46022</v>
      </c>
      <c r="F61" s="229">
        <v>50000</v>
      </c>
      <c r="G61" s="243"/>
      <c r="H61" s="229"/>
      <c r="I61" s="243"/>
      <c r="J61" s="229"/>
      <c r="K61" s="242">
        <v>0</v>
      </c>
      <c r="L61" s="584" t="s">
        <v>96</v>
      </c>
      <c r="M61" s="21"/>
      <c r="N61" s="21"/>
      <c r="O61" s="21"/>
      <c r="P61" s="21"/>
      <c r="Q61" s="21"/>
      <c r="R61" s="21"/>
      <c r="S61" s="21"/>
      <c r="T61" s="21"/>
      <c r="U61"/>
      <c r="V61" s="21"/>
      <c r="W61" s="21"/>
      <c r="X61" s="21"/>
      <c r="Y61" s="21"/>
      <c r="Z61" s="21"/>
      <c r="AA61" s="21"/>
      <c r="AB61" s="7"/>
      <c r="AC61" s="7"/>
      <c r="AD61" s="7"/>
      <c r="AE61" s="7"/>
      <c r="AF61" s="7"/>
      <c r="AG61" s="7"/>
      <c r="AH61" s="7"/>
      <c r="AI61" s="7"/>
      <c r="AJ61" s="7"/>
      <c r="AK61" s="7"/>
      <c r="AL61" s="7"/>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row>
    <row r="62" spans="1:669" s="195" customFormat="1" ht="15.75" thickBot="1" x14ac:dyDescent="0.3">
      <c r="A62" s="221" t="s">
        <v>28</v>
      </c>
      <c r="B62" s="224"/>
      <c r="C62" s="224"/>
      <c r="D62" s="225"/>
      <c r="E62" s="225"/>
      <c r="F62" s="228">
        <f t="shared" ref="F62:K62" si="2">SUM(F41:F60)</f>
        <v>445557.78</v>
      </c>
      <c r="G62" s="224">
        <f t="shared" si="2"/>
        <v>198116.66</v>
      </c>
      <c r="H62" s="597">
        <f t="shared" si="2"/>
        <v>207776.09000000003</v>
      </c>
      <c r="I62" s="741">
        <f t="shared" si="2"/>
        <v>140340.57</v>
      </c>
      <c r="J62" s="231">
        <f t="shared" si="2"/>
        <v>898.7</v>
      </c>
      <c r="K62" s="232">
        <f t="shared" si="2"/>
        <v>139441.87</v>
      </c>
      <c r="L62" s="335">
        <f>K36+K62+0.02</f>
        <v>139441.88999999998</v>
      </c>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c r="EN62" s="194"/>
      <c r="EO62" s="194"/>
      <c r="EP62" s="194"/>
      <c r="EQ62" s="194"/>
      <c r="ER62" s="194"/>
      <c r="ES62" s="194"/>
      <c r="ET62" s="194"/>
      <c r="EU62" s="194"/>
      <c r="EV62" s="194"/>
      <c r="EW62" s="194"/>
      <c r="EX62" s="194"/>
      <c r="EY62" s="194"/>
      <c r="EZ62" s="194"/>
      <c r="FA62" s="194"/>
      <c r="FB62" s="194"/>
      <c r="FC62" s="194"/>
      <c r="FD62" s="194"/>
      <c r="FE62" s="194"/>
      <c r="FF62" s="194"/>
      <c r="FG62" s="194"/>
      <c r="FH62" s="194"/>
      <c r="FI62" s="194"/>
      <c r="FJ62" s="194"/>
      <c r="FK62" s="194"/>
      <c r="FL62" s="194"/>
      <c r="FM62" s="194"/>
      <c r="FN62" s="194"/>
      <c r="FO62" s="194"/>
      <c r="FP62" s="194"/>
      <c r="FQ62" s="194"/>
      <c r="FR62" s="194"/>
      <c r="FS62" s="194"/>
      <c r="FT62" s="194"/>
      <c r="FU62" s="194"/>
      <c r="FV62" s="194"/>
      <c r="FW62" s="194"/>
      <c r="FX62" s="194"/>
      <c r="FY62" s="194"/>
      <c r="FZ62" s="194"/>
      <c r="GA62" s="194"/>
      <c r="GB62" s="194"/>
      <c r="GC62" s="194"/>
      <c r="GD62" s="194"/>
      <c r="GE62" s="194"/>
      <c r="GF62" s="194"/>
      <c r="GG62" s="194"/>
      <c r="GH62" s="194"/>
      <c r="GI62" s="194"/>
      <c r="GJ62" s="194"/>
      <c r="GK62" s="194"/>
      <c r="GL62" s="194"/>
      <c r="GM62" s="194"/>
      <c r="GN62" s="194"/>
      <c r="GO62" s="194"/>
      <c r="GP62" s="194"/>
      <c r="GQ62" s="194"/>
      <c r="GR62" s="194"/>
      <c r="GS62" s="194"/>
      <c r="GT62" s="194"/>
      <c r="GU62" s="194"/>
      <c r="GV62" s="194"/>
      <c r="GW62" s="194"/>
      <c r="GX62" s="194"/>
      <c r="GY62" s="194"/>
      <c r="GZ62" s="194"/>
      <c r="HA62" s="194"/>
      <c r="HB62" s="194"/>
      <c r="HC62" s="194"/>
      <c r="HD62" s="194"/>
      <c r="HE62" s="194"/>
      <c r="HF62" s="194"/>
      <c r="HG62" s="194"/>
      <c r="HH62" s="194"/>
      <c r="HI62" s="194"/>
      <c r="HJ62" s="194"/>
      <c r="HK62" s="194"/>
      <c r="HL62" s="194"/>
      <c r="HM62" s="194"/>
      <c r="HN62" s="194"/>
      <c r="HO62" s="194"/>
      <c r="HP62" s="194"/>
      <c r="HQ62" s="194"/>
      <c r="HR62" s="194"/>
      <c r="HS62" s="194"/>
      <c r="HT62" s="194"/>
      <c r="HU62" s="194"/>
      <c r="HV62" s="194"/>
      <c r="HW62" s="194"/>
      <c r="HX62" s="194"/>
      <c r="HY62" s="194"/>
      <c r="HZ62" s="194"/>
      <c r="IA62" s="194"/>
      <c r="IB62" s="194"/>
      <c r="IC62" s="194"/>
      <c r="ID62" s="194"/>
      <c r="IE62" s="194"/>
      <c r="IF62" s="194"/>
      <c r="IG62" s="194"/>
      <c r="IH62" s="194"/>
      <c r="II62" s="194"/>
      <c r="IJ62" s="194"/>
      <c r="IK62" s="194"/>
      <c r="IL62" s="194"/>
      <c r="IM62" s="194"/>
      <c r="IN62" s="194"/>
      <c r="IO62" s="194"/>
      <c r="IP62" s="194"/>
      <c r="IQ62" s="194"/>
      <c r="IR62" s="194"/>
      <c r="IS62" s="194"/>
      <c r="IT62" s="194"/>
      <c r="IU62" s="194"/>
      <c r="IV62" s="194"/>
      <c r="IW62" s="194"/>
      <c r="IX62" s="194"/>
      <c r="IY62" s="194"/>
      <c r="IZ62" s="194"/>
      <c r="JA62" s="194"/>
      <c r="JB62" s="194"/>
      <c r="JC62" s="194"/>
      <c r="JD62" s="194"/>
      <c r="JE62" s="194"/>
      <c r="JF62" s="194"/>
      <c r="JG62" s="194"/>
      <c r="JH62" s="194"/>
      <c r="JI62" s="194"/>
      <c r="JJ62" s="194"/>
      <c r="JK62" s="194"/>
      <c r="JL62" s="194"/>
      <c r="JM62" s="194"/>
      <c r="JN62" s="194"/>
      <c r="JO62" s="194"/>
      <c r="JP62" s="194"/>
      <c r="JQ62" s="194"/>
      <c r="JR62" s="194"/>
      <c r="JS62" s="194"/>
      <c r="JT62" s="194"/>
      <c r="JU62" s="194"/>
      <c r="JV62" s="194"/>
      <c r="JW62" s="194"/>
      <c r="JX62" s="194"/>
      <c r="JY62" s="194"/>
      <c r="JZ62" s="194"/>
      <c r="KA62" s="194"/>
      <c r="KB62" s="194"/>
      <c r="KC62" s="194"/>
      <c r="KD62" s="194"/>
      <c r="KE62" s="194"/>
      <c r="KF62" s="194"/>
      <c r="KG62" s="194"/>
      <c r="KH62" s="194"/>
      <c r="KI62" s="194"/>
      <c r="KJ62" s="194"/>
      <c r="KK62" s="194"/>
      <c r="KL62" s="194"/>
      <c r="KM62" s="194"/>
      <c r="KN62" s="194"/>
      <c r="KO62" s="194"/>
      <c r="KP62" s="194"/>
      <c r="KQ62" s="194"/>
      <c r="KR62" s="194"/>
      <c r="KS62" s="194"/>
      <c r="KT62" s="194"/>
      <c r="KU62" s="194"/>
      <c r="KV62" s="194"/>
      <c r="KW62" s="194"/>
      <c r="KX62" s="194"/>
      <c r="KY62" s="194"/>
      <c r="KZ62" s="194"/>
      <c r="LA62" s="194"/>
      <c r="LB62" s="194"/>
      <c r="LC62" s="194"/>
      <c r="LD62" s="194"/>
      <c r="LE62" s="194"/>
      <c r="LF62" s="194"/>
      <c r="LG62" s="194"/>
      <c r="LH62" s="194"/>
      <c r="LI62" s="194"/>
      <c r="LJ62" s="194"/>
      <c r="LK62" s="194"/>
      <c r="LL62" s="194"/>
      <c r="LM62" s="194"/>
      <c r="LN62" s="194"/>
      <c r="LO62" s="194"/>
      <c r="LP62" s="194"/>
      <c r="LQ62" s="194"/>
      <c r="LR62" s="194"/>
      <c r="LS62" s="194"/>
      <c r="LT62" s="194"/>
      <c r="LU62" s="194"/>
      <c r="LV62" s="194"/>
      <c r="LW62" s="194"/>
      <c r="LX62" s="194"/>
      <c r="LY62" s="194"/>
      <c r="LZ62" s="194"/>
      <c r="MA62" s="194"/>
      <c r="MB62" s="194"/>
      <c r="MC62" s="194"/>
      <c r="MD62" s="194"/>
      <c r="ME62" s="194"/>
      <c r="MF62" s="194"/>
      <c r="MG62" s="194"/>
      <c r="MH62" s="194"/>
      <c r="MI62" s="194"/>
      <c r="MJ62" s="194"/>
      <c r="MK62" s="194"/>
      <c r="ML62" s="194"/>
      <c r="MM62" s="194"/>
      <c r="MN62" s="194"/>
      <c r="MO62" s="194"/>
      <c r="MP62" s="194"/>
      <c r="MQ62" s="194"/>
      <c r="MR62" s="194"/>
      <c r="MS62" s="194"/>
      <c r="MT62" s="194"/>
      <c r="MU62" s="194"/>
      <c r="MV62" s="194"/>
      <c r="MW62" s="194"/>
      <c r="MX62" s="194"/>
      <c r="MY62" s="194"/>
      <c r="MZ62" s="194"/>
      <c r="NA62" s="194"/>
      <c r="NB62" s="194"/>
      <c r="NC62" s="194"/>
      <c r="ND62" s="194"/>
      <c r="NE62" s="194"/>
      <c r="NF62" s="194"/>
      <c r="NG62" s="194"/>
      <c r="NH62" s="194"/>
      <c r="NI62" s="194"/>
      <c r="NJ62" s="194"/>
      <c r="NK62" s="194"/>
      <c r="NL62" s="194"/>
      <c r="NM62" s="194"/>
      <c r="NN62" s="194"/>
      <c r="NO62" s="194"/>
      <c r="NP62" s="194"/>
      <c r="NQ62" s="194"/>
      <c r="NR62" s="194"/>
      <c r="NS62" s="194"/>
      <c r="NT62" s="194"/>
      <c r="NU62" s="194"/>
      <c r="NV62" s="194"/>
      <c r="NW62" s="194"/>
      <c r="NX62" s="194"/>
      <c r="NY62" s="194"/>
      <c r="NZ62" s="194"/>
      <c r="OA62" s="194"/>
      <c r="OB62" s="194"/>
      <c r="OC62" s="194"/>
      <c r="OD62" s="194"/>
      <c r="OE62" s="194"/>
      <c r="OF62" s="194"/>
      <c r="OG62" s="194"/>
      <c r="OH62" s="194"/>
      <c r="OI62" s="194"/>
      <c r="OJ62" s="194"/>
      <c r="OK62" s="194"/>
      <c r="OL62" s="194"/>
      <c r="OM62" s="194"/>
      <c r="ON62" s="194"/>
      <c r="OO62" s="194"/>
      <c r="OP62" s="194"/>
      <c r="OQ62" s="194"/>
      <c r="OR62" s="194"/>
      <c r="OS62" s="194"/>
      <c r="OT62" s="194"/>
      <c r="OU62" s="194"/>
      <c r="OV62" s="194"/>
      <c r="OW62" s="194"/>
      <c r="OX62" s="194"/>
      <c r="OY62" s="194"/>
      <c r="OZ62" s="194"/>
      <c r="PA62" s="194"/>
      <c r="PB62" s="194"/>
      <c r="PC62" s="194"/>
      <c r="PD62" s="194"/>
      <c r="PE62" s="194"/>
      <c r="PF62" s="194"/>
      <c r="PG62" s="194"/>
      <c r="PH62" s="194"/>
      <c r="PI62" s="194"/>
      <c r="PJ62" s="194"/>
      <c r="PK62" s="194"/>
      <c r="PL62" s="194"/>
      <c r="PM62" s="194"/>
      <c r="PN62" s="194"/>
      <c r="PO62" s="194"/>
      <c r="PP62" s="194"/>
      <c r="PQ62" s="194"/>
      <c r="PR62" s="194"/>
      <c r="PS62" s="194"/>
      <c r="PT62" s="194"/>
      <c r="PU62" s="194"/>
      <c r="PV62" s="194"/>
      <c r="PW62" s="194"/>
      <c r="PX62" s="194"/>
      <c r="PY62" s="194"/>
      <c r="PZ62" s="194"/>
      <c r="QA62" s="194"/>
      <c r="QB62" s="194"/>
      <c r="QC62" s="194"/>
      <c r="QD62" s="194"/>
      <c r="QE62" s="194"/>
      <c r="QF62" s="194"/>
      <c r="QG62" s="194"/>
      <c r="QH62" s="194"/>
      <c r="QI62" s="194"/>
      <c r="QJ62" s="194"/>
      <c r="QK62" s="194"/>
      <c r="QL62" s="194"/>
      <c r="QM62" s="194"/>
      <c r="QN62" s="194"/>
      <c r="QO62" s="194"/>
      <c r="QP62" s="194"/>
      <c r="QQ62" s="194"/>
      <c r="QR62" s="194"/>
      <c r="QS62" s="194"/>
      <c r="QT62" s="194"/>
      <c r="QU62" s="194"/>
      <c r="QV62" s="194"/>
      <c r="QW62" s="194"/>
      <c r="QX62" s="194"/>
      <c r="QY62" s="194"/>
      <c r="QZ62" s="194"/>
      <c r="RA62" s="194"/>
      <c r="RB62" s="194"/>
      <c r="RC62" s="194"/>
      <c r="RD62" s="194"/>
      <c r="RE62" s="194"/>
      <c r="RF62" s="194"/>
      <c r="RG62" s="194"/>
      <c r="RH62" s="194"/>
      <c r="RI62" s="194"/>
      <c r="RJ62" s="194"/>
      <c r="RK62" s="194"/>
      <c r="RL62" s="194"/>
      <c r="RM62" s="194"/>
      <c r="RN62" s="194"/>
      <c r="RO62" s="194"/>
      <c r="RP62" s="194"/>
      <c r="RQ62" s="194"/>
      <c r="RR62" s="194"/>
      <c r="RS62" s="194"/>
      <c r="RT62" s="194"/>
      <c r="RU62" s="194"/>
      <c r="RV62" s="194"/>
      <c r="RW62" s="194"/>
      <c r="RX62" s="194"/>
      <c r="RY62" s="194"/>
      <c r="RZ62" s="194"/>
      <c r="SA62" s="194"/>
      <c r="SB62" s="194"/>
      <c r="SC62" s="194"/>
      <c r="SD62" s="194"/>
      <c r="SE62" s="194"/>
      <c r="SF62" s="194"/>
      <c r="SG62" s="194"/>
      <c r="SH62" s="194"/>
      <c r="SI62" s="194"/>
      <c r="SJ62" s="194"/>
      <c r="SK62" s="194"/>
      <c r="SL62" s="194"/>
      <c r="SM62" s="194"/>
      <c r="SN62" s="194"/>
      <c r="SO62" s="194"/>
      <c r="SP62" s="194"/>
      <c r="SQ62" s="194"/>
      <c r="SR62" s="194"/>
      <c r="SS62" s="194"/>
      <c r="ST62" s="194"/>
      <c r="SU62" s="194"/>
      <c r="SV62" s="194"/>
      <c r="SW62" s="194"/>
      <c r="SX62" s="194"/>
      <c r="SY62" s="194"/>
      <c r="SZ62" s="194"/>
      <c r="TA62" s="194"/>
      <c r="TB62" s="194"/>
      <c r="TC62" s="194"/>
      <c r="TD62" s="194"/>
      <c r="TE62" s="194"/>
      <c r="TF62" s="194"/>
      <c r="TG62" s="194"/>
      <c r="TH62" s="194"/>
      <c r="TI62" s="194"/>
      <c r="TJ62" s="194"/>
      <c r="TK62" s="194"/>
      <c r="TL62" s="194"/>
      <c r="TM62" s="194"/>
      <c r="TN62" s="194"/>
      <c r="TO62" s="194"/>
      <c r="TP62" s="194"/>
      <c r="TQ62" s="194"/>
      <c r="TR62" s="194"/>
      <c r="TS62" s="194"/>
      <c r="TT62" s="194"/>
      <c r="TU62" s="194"/>
      <c r="TV62" s="194"/>
      <c r="TW62" s="194"/>
      <c r="TX62" s="194"/>
      <c r="TY62" s="194"/>
      <c r="TZ62" s="194"/>
      <c r="UA62" s="194"/>
      <c r="UB62" s="194"/>
      <c r="UC62" s="194"/>
      <c r="UD62" s="194"/>
      <c r="UE62" s="194"/>
      <c r="UF62" s="194"/>
      <c r="UG62" s="194"/>
      <c r="UH62" s="194"/>
      <c r="UI62" s="194"/>
      <c r="UJ62" s="194"/>
      <c r="UK62" s="194"/>
      <c r="UL62" s="194"/>
      <c r="UM62" s="194"/>
      <c r="UN62" s="194"/>
      <c r="UO62" s="194"/>
      <c r="UP62" s="194"/>
      <c r="UQ62" s="194"/>
      <c r="UR62" s="194"/>
      <c r="US62" s="194"/>
      <c r="UT62" s="194"/>
      <c r="UU62" s="194"/>
      <c r="UV62" s="194"/>
      <c r="UW62" s="194"/>
      <c r="UX62" s="194"/>
      <c r="UY62" s="194"/>
      <c r="UZ62" s="194"/>
      <c r="VA62" s="194"/>
      <c r="VB62" s="194"/>
      <c r="VC62" s="194"/>
      <c r="VD62" s="194"/>
      <c r="VE62" s="194"/>
      <c r="VF62" s="194"/>
      <c r="VG62" s="194"/>
      <c r="VH62" s="194"/>
      <c r="VI62" s="194"/>
      <c r="VJ62" s="194"/>
      <c r="VK62" s="194"/>
      <c r="VL62" s="194"/>
      <c r="VM62" s="194"/>
      <c r="VN62" s="194"/>
      <c r="VO62" s="194"/>
      <c r="VP62" s="194"/>
      <c r="VQ62" s="194"/>
      <c r="VR62" s="194"/>
      <c r="VS62" s="194"/>
      <c r="VT62" s="194"/>
      <c r="VU62" s="194"/>
      <c r="VV62" s="194"/>
      <c r="VW62" s="194"/>
      <c r="VX62" s="194"/>
      <c r="VY62" s="194"/>
      <c r="VZ62" s="194"/>
      <c r="WA62" s="194"/>
      <c r="WB62" s="194"/>
      <c r="WC62" s="194"/>
      <c r="WD62" s="194"/>
      <c r="WE62" s="194"/>
      <c r="WF62" s="194"/>
      <c r="WG62" s="194"/>
      <c r="WH62" s="194"/>
      <c r="WI62" s="194"/>
      <c r="WJ62" s="194"/>
      <c r="WK62" s="194"/>
      <c r="WL62" s="194"/>
      <c r="WM62" s="194"/>
      <c r="WN62" s="194"/>
      <c r="WO62" s="194"/>
      <c r="WP62" s="194"/>
      <c r="WQ62" s="194"/>
      <c r="WR62" s="194"/>
      <c r="WS62" s="194"/>
      <c r="WT62" s="194"/>
      <c r="WU62" s="194"/>
      <c r="WV62" s="194"/>
      <c r="WW62" s="194"/>
      <c r="WX62" s="194"/>
      <c r="WY62" s="194"/>
      <c r="WZ62" s="194"/>
      <c r="XA62" s="194"/>
      <c r="XB62" s="194"/>
      <c r="XC62" s="194"/>
      <c r="XD62" s="194"/>
      <c r="XE62" s="194"/>
      <c r="XF62" s="194"/>
      <c r="XG62" s="194"/>
      <c r="XH62" s="194"/>
      <c r="XI62" s="194"/>
      <c r="XJ62" s="194"/>
      <c r="XK62" s="194"/>
      <c r="XL62" s="194"/>
      <c r="XM62" s="194"/>
      <c r="XN62" s="194"/>
      <c r="XO62" s="194"/>
      <c r="XP62" s="194"/>
      <c r="XQ62" s="194"/>
      <c r="XR62" s="194"/>
      <c r="XS62" s="194"/>
      <c r="XT62" s="194"/>
      <c r="XU62" s="194"/>
      <c r="XV62" s="194"/>
      <c r="XW62" s="194"/>
      <c r="XX62" s="194"/>
      <c r="XY62" s="194"/>
      <c r="XZ62" s="194"/>
      <c r="YA62" s="194"/>
      <c r="YB62" s="194"/>
      <c r="YC62" s="194"/>
      <c r="YD62" s="194"/>
      <c r="YE62" s="194"/>
      <c r="YF62" s="194"/>
      <c r="YG62" s="194"/>
      <c r="YH62" s="194"/>
      <c r="YI62" s="194"/>
      <c r="YJ62" s="194"/>
      <c r="YK62" s="194"/>
      <c r="YL62" s="194"/>
      <c r="YM62" s="194"/>
      <c r="YN62" s="194"/>
      <c r="YO62" s="194"/>
      <c r="YP62" s="194"/>
      <c r="YQ62" s="194"/>
      <c r="YR62" s="194"/>
      <c r="YS62" s="194"/>
    </row>
    <row r="63" spans="1:669" ht="15" thickBot="1" x14ac:dyDescent="0.25">
      <c r="U63"/>
    </row>
    <row r="64" spans="1:669" s="15" customFormat="1" ht="18.75" thickBot="1" x14ac:dyDescent="0.3">
      <c r="A64" s="233" t="s">
        <v>136</v>
      </c>
      <c r="B64" s="234"/>
      <c r="C64" s="235"/>
      <c r="D64" s="235"/>
      <c r="E64" s="235"/>
      <c r="F64" s="236"/>
      <c r="G64" s="236"/>
      <c r="H64" s="236"/>
      <c r="I64" s="236"/>
      <c r="J64" s="236"/>
      <c r="K64" s="239"/>
      <c r="L64" s="236"/>
      <c r="M64" s="240"/>
      <c r="N64" s="31"/>
      <c r="O64" s="31"/>
      <c r="P64" s="31"/>
      <c r="Q64" s="31"/>
      <c r="R64" s="31"/>
      <c r="S64" s="31"/>
      <c r="T64" s="31"/>
      <c r="U64" s="8"/>
      <c r="V64" s="31"/>
      <c r="W64" s="31"/>
      <c r="X64" s="31"/>
      <c r="Y64" s="31"/>
      <c r="Z64" s="31"/>
      <c r="AA64" s="31"/>
      <c r="AB64" s="32"/>
      <c r="AC64" s="32"/>
      <c r="AD64" s="32"/>
      <c r="AE64" s="32"/>
      <c r="AF64" s="32"/>
      <c r="AG64" s="32"/>
      <c r="AH64" s="32"/>
      <c r="AI64" s="32"/>
      <c r="AJ64" s="32"/>
      <c r="AK64" s="32"/>
      <c r="AL64" s="32"/>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c r="VZ64" s="8"/>
      <c r="WA64" s="8"/>
      <c r="WB64" s="8"/>
      <c r="WC64" s="8"/>
      <c r="WD64" s="8"/>
      <c r="WE64" s="8"/>
      <c r="WF64" s="8"/>
      <c r="WG64" s="8"/>
      <c r="WH64" s="8"/>
      <c r="WI64" s="8"/>
      <c r="WJ64" s="8"/>
      <c r="WK64" s="8"/>
      <c r="WL64" s="8"/>
      <c r="WM64" s="8"/>
      <c r="WN64" s="8"/>
      <c r="WO64" s="8"/>
      <c r="WP64" s="8"/>
      <c r="WQ64" s="8"/>
      <c r="WR64" s="8"/>
      <c r="WS64" s="8"/>
      <c r="WT64" s="8"/>
      <c r="WU64" s="8"/>
      <c r="WV64" s="8"/>
      <c r="WW64" s="8"/>
      <c r="WX64" s="8"/>
      <c r="WY64" s="8"/>
      <c r="WZ64" s="8"/>
      <c r="XA64" s="8"/>
      <c r="XB64" s="8"/>
      <c r="XC64" s="8"/>
      <c r="XD64" s="8"/>
      <c r="XE64" s="8"/>
      <c r="XF64" s="8"/>
      <c r="XG64" s="8"/>
      <c r="XH64" s="8"/>
      <c r="XI64" s="8"/>
      <c r="XJ64" s="8"/>
      <c r="XK64" s="8"/>
      <c r="XL64" s="8"/>
      <c r="XM64" s="8"/>
      <c r="XN64" s="8"/>
      <c r="XO64" s="8"/>
      <c r="XP64" s="8"/>
      <c r="XQ64" s="8"/>
      <c r="XR64" s="8"/>
      <c r="XS64" s="8"/>
      <c r="XT64" s="8"/>
      <c r="XU64" s="8"/>
      <c r="XV64" s="8"/>
      <c r="XW64" s="8"/>
      <c r="XX64" s="8"/>
      <c r="XY64" s="8"/>
      <c r="XZ64" s="8"/>
      <c r="YA64" s="8"/>
      <c r="YB64" s="8"/>
      <c r="YC64" s="8"/>
      <c r="YD64" s="8"/>
      <c r="YE64" s="8"/>
      <c r="YF64" s="8"/>
      <c r="YG64" s="8"/>
      <c r="YH64" s="8"/>
      <c r="YI64" s="8"/>
      <c r="YJ64" s="8"/>
      <c r="YK64" s="8"/>
      <c r="YL64" s="8"/>
      <c r="YM64" s="8"/>
      <c r="YN64" s="8"/>
      <c r="YO64" s="8"/>
      <c r="YP64" s="8"/>
      <c r="YQ64" s="8"/>
      <c r="YR64" s="8"/>
      <c r="YS64" s="8"/>
    </row>
    <row r="65" spans="1:669" s="17" customFormat="1" ht="33.75" customHeight="1" thickBot="1" x14ac:dyDescent="0.25">
      <c r="A65" s="249" t="s">
        <v>31</v>
      </c>
      <c r="B65" s="841" t="s">
        <v>24</v>
      </c>
      <c r="C65" s="842"/>
      <c r="D65" s="842"/>
      <c r="E65" s="846"/>
      <c r="F65" s="253" t="s">
        <v>36</v>
      </c>
      <c r="G65" s="199" t="s">
        <v>621</v>
      </c>
      <c r="H65" s="199" t="s">
        <v>160</v>
      </c>
      <c r="I65" s="199" t="s">
        <v>455</v>
      </c>
      <c r="J65" s="199" t="s">
        <v>161</v>
      </c>
      <c r="K65" s="199" t="s">
        <v>10</v>
      </c>
      <c r="L65" s="199" t="s">
        <v>327</v>
      </c>
      <c r="M65" s="199" t="s">
        <v>4</v>
      </c>
      <c r="N65" s="26"/>
      <c r="O65" s="26"/>
      <c r="P65" s="26"/>
      <c r="Q65" s="26"/>
      <c r="R65" s="26"/>
      <c r="S65" s="26"/>
      <c r="T65" s="26"/>
      <c r="U65" s="3"/>
      <c r="V65" s="26"/>
      <c r="W65" s="26"/>
      <c r="X65" s="26"/>
      <c r="Y65" s="26"/>
      <c r="Z65" s="26"/>
      <c r="AA65" s="26"/>
      <c r="AB65" s="27"/>
      <c r="AC65" s="27"/>
      <c r="AD65" s="27"/>
      <c r="AE65" s="27"/>
      <c r="AF65" s="27"/>
      <c r="AG65" s="27"/>
      <c r="AH65" s="27"/>
      <c r="AI65" s="27"/>
      <c r="AJ65" s="27"/>
      <c r="AK65" s="27"/>
      <c r="AL65" s="27"/>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row>
    <row r="66" spans="1:669" hidden="1" x14ac:dyDescent="0.2">
      <c r="A66" s="222" t="s">
        <v>451</v>
      </c>
      <c r="B66" s="586" t="s">
        <v>445</v>
      </c>
      <c r="C66" s="587"/>
      <c r="D66" s="587"/>
      <c r="E66" s="588"/>
      <c r="F66" s="229"/>
      <c r="G66" s="229"/>
      <c r="H66" s="229"/>
      <c r="I66" s="229"/>
      <c r="J66" s="242"/>
      <c r="K66" s="304"/>
      <c r="L66" s="229">
        <f>K66</f>
        <v>0</v>
      </c>
      <c r="M66" s="229"/>
      <c r="U66"/>
    </row>
    <row r="67" spans="1:669" hidden="1" x14ac:dyDescent="0.2">
      <c r="A67" s="222" t="s">
        <v>539</v>
      </c>
      <c r="B67" s="586" t="s">
        <v>531</v>
      </c>
      <c r="C67" s="587"/>
      <c r="D67" s="587"/>
      <c r="E67" s="588"/>
      <c r="F67" s="229"/>
      <c r="G67" s="229"/>
      <c r="H67" s="229"/>
      <c r="I67" s="229"/>
      <c r="J67" s="242"/>
      <c r="K67" s="304"/>
      <c r="L67" s="229">
        <f>K67</f>
        <v>0</v>
      </c>
      <c r="M67" s="229"/>
      <c r="U67"/>
    </row>
    <row r="68" spans="1:669" x14ac:dyDescent="0.2">
      <c r="A68" s="222" t="s">
        <v>618</v>
      </c>
      <c r="B68" s="586" t="s">
        <v>606</v>
      </c>
      <c r="C68" s="587"/>
      <c r="D68" s="587"/>
      <c r="E68" s="588"/>
      <c r="F68" s="229">
        <v>52000</v>
      </c>
      <c r="G68" s="229"/>
      <c r="H68" s="229">
        <v>52000</v>
      </c>
      <c r="I68" s="229">
        <f>'August''24 AR Aging '!G56</f>
        <v>0</v>
      </c>
      <c r="J68" s="242">
        <f>52000/12*8</f>
        <v>34666.666666666664</v>
      </c>
      <c r="K68" s="304">
        <f>G68+H68-J68+I68</f>
        <v>17333.333333333336</v>
      </c>
      <c r="L68" s="229">
        <f>K68</f>
        <v>17333.333333333336</v>
      </c>
      <c r="M68" s="229"/>
      <c r="U68"/>
    </row>
    <row r="69" spans="1:669" hidden="1" x14ac:dyDescent="0.2">
      <c r="A69" s="222" t="s">
        <v>608</v>
      </c>
      <c r="B69" s="843" t="s">
        <v>532</v>
      </c>
      <c r="C69" s="844"/>
      <c r="D69" s="844"/>
      <c r="E69" s="845"/>
      <c r="F69" s="229"/>
      <c r="G69" s="229"/>
      <c r="H69" s="229"/>
      <c r="I69" s="229"/>
      <c r="J69" s="242"/>
      <c r="K69" s="304"/>
      <c r="L69" s="229">
        <f>K69</f>
        <v>0</v>
      </c>
      <c r="M69" s="229"/>
      <c r="U69"/>
    </row>
    <row r="70" spans="1:669" x14ac:dyDescent="0.2">
      <c r="A70" s="222" t="s">
        <v>619</v>
      </c>
      <c r="B70" s="843" t="s">
        <v>607</v>
      </c>
      <c r="C70" s="844"/>
      <c r="D70" s="844"/>
      <c r="E70" s="845"/>
      <c r="F70" s="229">
        <v>21000</v>
      </c>
      <c r="G70" s="229"/>
      <c r="H70" s="229">
        <v>21000</v>
      </c>
      <c r="I70" s="229"/>
      <c r="J70" s="242">
        <f>21000/12*8</f>
        <v>14000</v>
      </c>
      <c r="K70" s="304">
        <f>G70+H70-J70+I70</f>
        <v>7000</v>
      </c>
      <c r="L70" s="229">
        <f>K70</f>
        <v>7000</v>
      </c>
      <c r="M70" s="229"/>
      <c r="U70"/>
    </row>
    <row r="71" spans="1:669" x14ac:dyDescent="0.2">
      <c r="A71" s="222" t="s">
        <v>452</v>
      </c>
      <c r="B71" s="586" t="s">
        <v>620</v>
      </c>
      <c r="C71" s="587"/>
      <c r="D71" s="587"/>
      <c r="E71" s="588"/>
      <c r="F71" s="229"/>
      <c r="G71" s="229"/>
      <c r="H71" s="229"/>
      <c r="I71" s="229">
        <f>'August''24 AR Aging '!G63</f>
        <v>4875</v>
      </c>
      <c r="J71" s="242">
        <v>3250</v>
      </c>
      <c r="K71" s="304"/>
      <c r="L71" s="229"/>
      <c r="M71" s="229"/>
      <c r="U71"/>
    </row>
    <row r="72" spans="1:669" x14ac:dyDescent="0.2">
      <c r="A72" s="222" t="s">
        <v>454</v>
      </c>
      <c r="B72" s="586" t="s">
        <v>620</v>
      </c>
      <c r="C72" s="587"/>
      <c r="D72" s="587"/>
      <c r="E72" s="588"/>
      <c r="F72" s="229">
        <v>10000</v>
      </c>
      <c r="G72" s="229"/>
      <c r="H72" s="229"/>
      <c r="I72" s="229">
        <f>'August''24 AR Aging '!G61</f>
        <v>0</v>
      </c>
      <c r="J72" s="242">
        <f>1250*2</f>
        <v>2500</v>
      </c>
      <c r="K72" s="304">
        <f>5000-J72</f>
        <v>2500</v>
      </c>
      <c r="L72" s="229"/>
      <c r="M72" s="229"/>
      <c r="U72"/>
    </row>
    <row r="73" spans="1:669" x14ac:dyDescent="0.2">
      <c r="A73" s="222" t="s">
        <v>20</v>
      </c>
      <c r="B73" s="843" t="s">
        <v>423</v>
      </c>
      <c r="C73" s="844"/>
      <c r="D73" s="844"/>
      <c r="E73" s="845"/>
      <c r="F73" s="229"/>
      <c r="G73" s="229">
        <v>0</v>
      </c>
      <c r="H73" s="229">
        <f>J73</f>
        <v>11786.48</v>
      </c>
      <c r="I73" s="229"/>
      <c r="J73" s="242">
        <f>12141.48-355</f>
        <v>11786.48</v>
      </c>
      <c r="K73" s="304">
        <f>H73-J73</f>
        <v>0</v>
      </c>
      <c r="L73" s="229">
        <v>0</v>
      </c>
      <c r="M73" s="229">
        <v>0</v>
      </c>
    </row>
    <row r="74" spans="1:669" hidden="1" x14ac:dyDescent="0.2">
      <c r="A74" s="222" t="s">
        <v>609</v>
      </c>
      <c r="B74" s="586" t="s">
        <v>574</v>
      </c>
      <c r="C74" s="587"/>
      <c r="D74" s="587"/>
      <c r="E74" s="588"/>
      <c r="F74" s="229"/>
      <c r="G74" s="229"/>
      <c r="H74" s="242"/>
      <c r="I74" s="229"/>
      <c r="J74" s="242"/>
      <c r="K74" s="304">
        <f>H74-J74</f>
        <v>0</v>
      </c>
      <c r="L74" s="229"/>
      <c r="M74" s="229"/>
    </row>
    <row r="75" spans="1:669" x14ac:dyDescent="0.2">
      <c r="A75" s="222" t="s">
        <v>20</v>
      </c>
      <c r="B75" s="843" t="s">
        <v>6</v>
      </c>
      <c r="C75" s="844"/>
      <c r="D75" s="844"/>
      <c r="E75" s="845"/>
      <c r="F75" s="229"/>
      <c r="G75" s="229">
        <v>374.76</v>
      </c>
      <c r="H75" s="229"/>
      <c r="I75" s="229"/>
      <c r="J75" s="242"/>
      <c r="K75" s="304">
        <f>G75+H75-J75</f>
        <v>374.76</v>
      </c>
      <c r="L75" s="229">
        <f>K75</f>
        <v>374.76</v>
      </c>
      <c r="M75" s="229">
        <v>0</v>
      </c>
    </row>
    <row r="76" spans="1:669" x14ac:dyDescent="0.2">
      <c r="A76" s="222" t="s">
        <v>20</v>
      </c>
      <c r="B76" s="843" t="s">
        <v>7</v>
      </c>
      <c r="C76" s="844"/>
      <c r="D76" s="844"/>
      <c r="E76" s="845"/>
      <c r="F76" s="229"/>
      <c r="G76" s="229">
        <v>12334.5</v>
      </c>
      <c r="H76" s="229">
        <v>7000</v>
      </c>
      <c r="I76" s="229">
        <v>0</v>
      </c>
      <c r="J76" s="242">
        <v>4272.2700000000004</v>
      </c>
      <c r="K76" s="304">
        <f>G76+H76-J76</f>
        <v>15062.23</v>
      </c>
      <c r="L76" s="229">
        <f>K76</f>
        <v>15062.23</v>
      </c>
      <c r="M76" s="229">
        <v>0</v>
      </c>
    </row>
    <row r="77" spans="1:669" x14ac:dyDescent="0.2">
      <c r="A77" s="222" t="s">
        <v>20</v>
      </c>
      <c r="B77" s="843" t="s">
        <v>8</v>
      </c>
      <c r="C77" s="844"/>
      <c r="D77" s="844"/>
      <c r="E77" s="845"/>
      <c r="F77" s="229"/>
      <c r="G77" s="229">
        <v>9033.86</v>
      </c>
      <c r="H77" s="229"/>
      <c r="I77" s="229"/>
      <c r="J77" s="242">
        <f>1238.39+7795-7445.52</f>
        <v>1587.869999999999</v>
      </c>
      <c r="K77" s="304">
        <f>G77+H77-J77</f>
        <v>7445.9900000000016</v>
      </c>
      <c r="L77" s="229">
        <f>K77</f>
        <v>7445.9900000000016</v>
      </c>
      <c r="M77" s="229">
        <v>0</v>
      </c>
    </row>
    <row r="78" spans="1:669" s="19" customFormat="1" x14ac:dyDescent="0.2">
      <c r="A78" s="222" t="s">
        <v>373</v>
      </c>
      <c r="B78" s="851" t="s">
        <v>652</v>
      </c>
      <c r="C78" s="852"/>
      <c r="D78" s="852"/>
      <c r="E78" s="853"/>
      <c r="F78" s="229">
        <v>100000</v>
      </c>
      <c r="G78" s="229">
        <v>0</v>
      </c>
      <c r="H78" s="229">
        <v>50000</v>
      </c>
      <c r="I78" s="229">
        <v>50000</v>
      </c>
      <c r="J78" s="229">
        <f>I78/12*8</f>
        <v>33333.333333333336</v>
      </c>
      <c r="K78" s="304">
        <f>H78-J78</f>
        <v>16666.666666666664</v>
      </c>
      <c r="L78" s="229">
        <f>K78</f>
        <v>16666.666666666664</v>
      </c>
      <c r="M78" s="229"/>
      <c r="N78" s="21"/>
      <c r="O78" s="21"/>
      <c r="P78" s="21"/>
      <c r="Q78" s="21"/>
      <c r="R78" s="21"/>
      <c r="S78" s="21"/>
      <c r="T78" s="21"/>
      <c r="U78"/>
      <c r="V78" s="21"/>
      <c r="W78" s="21"/>
      <c r="X78" s="21"/>
      <c r="Y78" s="21"/>
      <c r="Z78" s="21"/>
      <c r="AA78" s="21"/>
      <c r="AB78" s="7"/>
      <c r="AC78" s="7"/>
      <c r="AD78" s="7"/>
      <c r="AE78" s="7"/>
      <c r="AF78" s="7"/>
      <c r="AG78" s="7"/>
      <c r="AH78" s="7"/>
      <c r="AI78" s="7"/>
      <c r="AJ78" s="7"/>
      <c r="AK78" s="7"/>
      <c r="AL78" s="7"/>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row>
    <row r="79" spans="1:669" s="19" customFormat="1" hidden="1" x14ac:dyDescent="0.2">
      <c r="A79" s="222" t="s">
        <v>20</v>
      </c>
      <c r="B79" s="586"/>
      <c r="C79" s="587"/>
      <c r="D79" s="587"/>
      <c r="E79" s="588"/>
      <c r="F79" s="229"/>
      <c r="G79" s="229"/>
      <c r="H79" s="229"/>
      <c r="I79" s="229"/>
      <c r="J79" s="229"/>
      <c r="K79" s="229"/>
      <c r="L79" s="229"/>
      <c r="M79" s="229"/>
      <c r="N79" s="21"/>
      <c r="O79" s="21"/>
      <c r="P79" s="21"/>
      <c r="Q79" s="21"/>
      <c r="R79" s="21"/>
      <c r="S79" s="21"/>
      <c r="T79" s="21"/>
      <c r="U79"/>
      <c r="V79" s="21"/>
      <c r="W79" s="21"/>
      <c r="X79" s="21"/>
      <c r="Y79" s="21"/>
      <c r="Z79" s="21"/>
      <c r="AA79" s="21"/>
      <c r="AB79" s="7"/>
      <c r="AC79" s="7"/>
      <c r="AD79" s="7"/>
      <c r="AE79" s="7"/>
      <c r="AF79" s="7"/>
      <c r="AG79" s="7"/>
      <c r="AH79" s="7"/>
      <c r="AI79" s="7"/>
      <c r="AJ79" s="7"/>
      <c r="AK79" s="7"/>
      <c r="AL79" s="7"/>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row>
    <row r="80" spans="1:669" ht="15" customHeight="1" thickBot="1" x14ac:dyDescent="0.25">
      <c r="A80" s="223"/>
      <c r="B80" s="843"/>
      <c r="C80" s="844"/>
      <c r="D80" s="844"/>
      <c r="E80" s="845"/>
      <c r="F80" s="230"/>
      <c r="G80" s="230">
        <v>0</v>
      </c>
      <c r="H80" s="230"/>
      <c r="I80" s="238"/>
      <c r="J80" s="230">
        <v>0</v>
      </c>
      <c r="K80" s="230"/>
      <c r="L80" s="230"/>
      <c r="M80" s="230">
        <v>0</v>
      </c>
      <c r="U80"/>
    </row>
    <row r="81" spans="1:669" s="195" customFormat="1" ht="15.75" thickBot="1" x14ac:dyDescent="0.3">
      <c r="A81" s="250" t="s">
        <v>34</v>
      </c>
      <c r="B81" s="251"/>
      <c r="C81" s="251"/>
      <c r="D81" s="251"/>
      <c r="E81" s="252"/>
      <c r="F81" s="297">
        <f t="shared" ref="F81:M81" si="3">SUM(F66:F80)</f>
        <v>183000</v>
      </c>
      <c r="G81" s="298">
        <f t="shared" si="3"/>
        <v>21743.120000000003</v>
      </c>
      <c r="H81" s="298">
        <f t="shared" si="3"/>
        <v>141786.47999999998</v>
      </c>
      <c r="I81" s="298">
        <f t="shared" si="3"/>
        <v>54875</v>
      </c>
      <c r="J81" s="298">
        <f t="shared" si="3"/>
        <v>105396.62</v>
      </c>
      <c r="K81" s="299">
        <f t="shared" si="3"/>
        <v>66382.98000000001</v>
      </c>
      <c r="L81" s="300">
        <f>SUM(L66:L80)</f>
        <v>63882.98</v>
      </c>
      <c r="M81" s="299">
        <f t="shared" si="3"/>
        <v>0</v>
      </c>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c r="CF81" s="194"/>
      <c r="CG81" s="194"/>
      <c r="CH81" s="194"/>
      <c r="CI81" s="194"/>
      <c r="CJ81" s="194"/>
      <c r="CK81" s="194"/>
      <c r="CL81" s="194"/>
      <c r="CM81" s="194"/>
      <c r="CN81" s="194"/>
      <c r="CO81" s="194"/>
      <c r="CP81" s="194"/>
      <c r="CQ81" s="194"/>
      <c r="CR81" s="194"/>
      <c r="CS81" s="194"/>
      <c r="CT81" s="194"/>
      <c r="CU81" s="194"/>
      <c r="CV81" s="194"/>
      <c r="CW81" s="194"/>
      <c r="CX81" s="194"/>
      <c r="CY81" s="194"/>
      <c r="CZ81" s="194"/>
      <c r="DA81" s="194"/>
      <c r="DB81" s="194"/>
      <c r="DC81" s="194"/>
      <c r="DD81" s="194"/>
      <c r="DE81" s="194"/>
      <c r="DF81" s="194"/>
      <c r="DG81" s="194"/>
      <c r="DH81" s="194"/>
      <c r="DI81" s="194"/>
      <c r="DJ81" s="194"/>
      <c r="DK81" s="194"/>
      <c r="DL81" s="194"/>
      <c r="DM81" s="194"/>
      <c r="DN81" s="194"/>
      <c r="DO81" s="194"/>
      <c r="DP81" s="194"/>
      <c r="DQ81" s="194"/>
      <c r="DR81" s="194"/>
      <c r="DS81" s="194"/>
      <c r="DT81" s="194"/>
      <c r="DU81" s="194"/>
      <c r="DV81" s="194"/>
      <c r="DW81" s="194"/>
      <c r="DX81" s="194"/>
      <c r="DY81" s="194"/>
      <c r="DZ81" s="194"/>
      <c r="EA81" s="194"/>
      <c r="EB81" s="194"/>
      <c r="EC81" s="194"/>
      <c r="ED81" s="194"/>
      <c r="EE81" s="194"/>
      <c r="EF81" s="194"/>
      <c r="EG81" s="194"/>
      <c r="EH81" s="194"/>
      <c r="EI81" s="194"/>
      <c r="EJ81" s="194"/>
      <c r="EK81" s="194"/>
      <c r="EL81" s="194"/>
      <c r="EM81" s="194"/>
      <c r="EN81" s="194"/>
      <c r="EO81" s="194"/>
      <c r="EP81" s="194"/>
      <c r="EQ81" s="194"/>
      <c r="ER81" s="194"/>
      <c r="ES81" s="194"/>
      <c r="ET81" s="194"/>
      <c r="EU81" s="194"/>
      <c r="EV81" s="194"/>
      <c r="EW81" s="194"/>
      <c r="EX81" s="194"/>
      <c r="EY81" s="194"/>
      <c r="EZ81" s="194"/>
      <c r="FA81" s="194"/>
      <c r="FB81" s="194"/>
      <c r="FC81" s="194"/>
      <c r="FD81" s="194"/>
      <c r="FE81" s="194"/>
      <c r="FF81" s="194"/>
      <c r="FG81" s="194"/>
      <c r="FH81" s="194"/>
      <c r="FI81" s="194"/>
      <c r="FJ81" s="194"/>
      <c r="FK81" s="194"/>
      <c r="FL81" s="194"/>
      <c r="FM81" s="194"/>
      <c r="FN81" s="194"/>
      <c r="FO81" s="194"/>
      <c r="FP81" s="194"/>
      <c r="FQ81" s="194"/>
      <c r="FR81" s="194"/>
      <c r="FS81" s="194"/>
      <c r="FT81" s="194"/>
      <c r="FU81" s="194"/>
      <c r="FV81" s="194"/>
      <c r="FW81" s="194"/>
      <c r="FX81" s="194"/>
      <c r="FY81" s="194"/>
      <c r="FZ81" s="194"/>
      <c r="GA81" s="194"/>
      <c r="GB81" s="194"/>
      <c r="GC81" s="194"/>
      <c r="GD81" s="194"/>
      <c r="GE81" s="194"/>
      <c r="GF81" s="194"/>
      <c r="GG81" s="194"/>
      <c r="GH81" s="194"/>
      <c r="GI81" s="194"/>
      <c r="GJ81" s="194"/>
      <c r="GK81" s="194"/>
      <c r="GL81" s="194"/>
      <c r="GM81" s="194"/>
      <c r="GN81" s="194"/>
      <c r="GO81" s="194"/>
      <c r="GP81" s="194"/>
      <c r="GQ81" s="194"/>
      <c r="GR81" s="194"/>
      <c r="GS81" s="194"/>
      <c r="GT81" s="194"/>
      <c r="GU81" s="194"/>
      <c r="GV81" s="194"/>
      <c r="GW81" s="194"/>
      <c r="GX81" s="194"/>
      <c r="GY81" s="194"/>
      <c r="GZ81" s="194"/>
      <c r="HA81" s="194"/>
      <c r="HB81" s="194"/>
      <c r="HC81" s="194"/>
      <c r="HD81" s="194"/>
      <c r="HE81" s="194"/>
      <c r="HF81" s="194"/>
      <c r="HG81" s="194"/>
      <c r="HH81" s="194"/>
      <c r="HI81" s="194"/>
      <c r="HJ81" s="194"/>
      <c r="HK81" s="194"/>
      <c r="HL81" s="194"/>
      <c r="HM81" s="194"/>
      <c r="HN81" s="194"/>
      <c r="HO81" s="194"/>
      <c r="HP81" s="194"/>
      <c r="HQ81" s="194"/>
      <c r="HR81" s="194"/>
      <c r="HS81" s="194"/>
      <c r="HT81" s="194"/>
      <c r="HU81" s="194"/>
      <c r="HV81" s="194"/>
      <c r="HW81" s="194"/>
      <c r="HX81" s="194"/>
      <c r="HY81" s="194"/>
      <c r="HZ81" s="194"/>
      <c r="IA81" s="194"/>
      <c r="IB81" s="194"/>
      <c r="IC81" s="194"/>
      <c r="ID81" s="194"/>
      <c r="IE81" s="194"/>
      <c r="IF81" s="194"/>
      <c r="IG81" s="194"/>
      <c r="IH81" s="194"/>
      <c r="II81" s="194"/>
      <c r="IJ81" s="194"/>
      <c r="IK81" s="194"/>
      <c r="IL81" s="194"/>
      <c r="IM81" s="194"/>
      <c r="IN81" s="194"/>
      <c r="IO81" s="194"/>
      <c r="IP81" s="194"/>
      <c r="IQ81" s="194"/>
      <c r="IR81" s="194"/>
      <c r="IS81" s="194"/>
      <c r="IT81" s="194"/>
      <c r="IU81" s="194"/>
      <c r="IV81" s="194"/>
      <c r="IW81" s="194"/>
      <c r="IX81" s="194"/>
      <c r="IY81" s="194"/>
      <c r="IZ81" s="194"/>
      <c r="JA81" s="194"/>
      <c r="JB81" s="194"/>
      <c r="JC81" s="194"/>
      <c r="JD81" s="194"/>
      <c r="JE81" s="194"/>
      <c r="JF81" s="194"/>
      <c r="JG81" s="194"/>
      <c r="JH81" s="194"/>
      <c r="JI81" s="194"/>
      <c r="JJ81" s="194"/>
      <c r="JK81" s="194"/>
      <c r="JL81" s="194"/>
      <c r="JM81" s="194"/>
      <c r="JN81" s="194"/>
      <c r="JO81" s="194"/>
      <c r="JP81" s="194"/>
      <c r="JQ81" s="194"/>
      <c r="JR81" s="194"/>
      <c r="JS81" s="194"/>
      <c r="JT81" s="194"/>
      <c r="JU81" s="194"/>
      <c r="JV81" s="194"/>
      <c r="JW81" s="194"/>
      <c r="JX81" s="194"/>
      <c r="JY81" s="194"/>
      <c r="JZ81" s="194"/>
      <c r="KA81" s="194"/>
      <c r="KB81" s="194"/>
      <c r="KC81" s="194"/>
      <c r="KD81" s="194"/>
      <c r="KE81" s="194"/>
      <c r="KF81" s="194"/>
      <c r="KG81" s="194"/>
      <c r="KH81" s="194"/>
      <c r="KI81" s="194"/>
      <c r="KJ81" s="194"/>
      <c r="KK81" s="194"/>
      <c r="KL81" s="194"/>
      <c r="KM81" s="194"/>
      <c r="KN81" s="194"/>
      <c r="KO81" s="194"/>
      <c r="KP81" s="194"/>
      <c r="KQ81" s="194"/>
      <c r="KR81" s="194"/>
      <c r="KS81" s="194"/>
      <c r="KT81" s="194"/>
      <c r="KU81" s="194"/>
      <c r="KV81" s="194"/>
      <c r="KW81" s="194"/>
      <c r="KX81" s="194"/>
      <c r="KY81" s="194"/>
      <c r="KZ81" s="194"/>
      <c r="LA81" s="194"/>
      <c r="LB81" s="194"/>
      <c r="LC81" s="194"/>
      <c r="LD81" s="194"/>
      <c r="LE81" s="194"/>
      <c r="LF81" s="194"/>
      <c r="LG81" s="194"/>
      <c r="LH81" s="194"/>
      <c r="LI81" s="194"/>
      <c r="LJ81" s="194"/>
      <c r="LK81" s="194"/>
      <c r="LL81" s="194"/>
      <c r="LM81" s="194"/>
      <c r="LN81" s="194"/>
      <c r="LO81" s="194"/>
      <c r="LP81" s="194"/>
      <c r="LQ81" s="194"/>
      <c r="LR81" s="194"/>
      <c r="LS81" s="194"/>
      <c r="LT81" s="194"/>
      <c r="LU81" s="194"/>
      <c r="LV81" s="194"/>
      <c r="LW81" s="194"/>
      <c r="LX81" s="194"/>
      <c r="LY81" s="194"/>
      <c r="LZ81" s="194"/>
      <c r="MA81" s="194"/>
      <c r="MB81" s="194"/>
      <c r="MC81" s="194"/>
      <c r="MD81" s="194"/>
      <c r="ME81" s="194"/>
      <c r="MF81" s="194"/>
      <c r="MG81" s="194"/>
      <c r="MH81" s="194"/>
      <c r="MI81" s="194"/>
      <c r="MJ81" s="194"/>
      <c r="MK81" s="194"/>
      <c r="ML81" s="194"/>
      <c r="MM81" s="194"/>
      <c r="MN81" s="194"/>
      <c r="MO81" s="194"/>
      <c r="MP81" s="194"/>
      <c r="MQ81" s="194"/>
      <c r="MR81" s="194"/>
      <c r="MS81" s="194"/>
      <c r="MT81" s="194"/>
      <c r="MU81" s="194"/>
      <c r="MV81" s="194"/>
      <c r="MW81" s="194"/>
      <c r="MX81" s="194"/>
      <c r="MY81" s="194"/>
      <c r="MZ81" s="194"/>
      <c r="NA81" s="194"/>
      <c r="NB81" s="194"/>
      <c r="NC81" s="194"/>
      <c r="ND81" s="194"/>
      <c r="NE81" s="194"/>
      <c r="NF81" s="194"/>
      <c r="NG81" s="194"/>
      <c r="NH81" s="194"/>
      <c r="NI81" s="194"/>
      <c r="NJ81" s="194"/>
      <c r="NK81" s="194"/>
      <c r="NL81" s="194"/>
      <c r="NM81" s="194"/>
      <c r="NN81" s="194"/>
      <c r="NO81" s="194"/>
      <c r="NP81" s="194"/>
      <c r="NQ81" s="194"/>
      <c r="NR81" s="194"/>
      <c r="NS81" s="194"/>
      <c r="NT81" s="194"/>
      <c r="NU81" s="194"/>
      <c r="NV81" s="194"/>
      <c r="NW81" s="194"/>
      <c r="NX81" s="194"/>
      <c r="NY81" s="194"/>
      <c r="NZ81" s="194"/>
      <c r="OA81" s="194"/>
      <c r="OB81" s="194"/>
      <c r="OC81" s="194"/>
      <c r="OD81" s="194"/>
      <c r="OE81" s="194"/>
      <c r="OF81" s="194"/>
      <c r="OG81" s="194"/>
      <c r="OH81" s="194"/>
      <c r="OI81" s="194"/>
      <c r="OJ81" s="194"/>
      <c r="OK81" s="194"/>
      <c r="OL81" s="194"/>
      <c r="OM81" s="194"/>
      <c r="ON81" s="194"/>
      <c r="OO81" s="194"/>
      <c r="OP81" s="194"/>
      <c r="OQ81" s="194"/>
      <c r="OR81" s="194"/>
      <c r="OS81" s="194"/>
      <c r="OT81" s="194"/>
      <c r="OU81" s="194"/>
      <c r="OV81" s="194"/>
      <c r="OW81" s="194"/>
      <c r="OX81" s="194"/>
      <c r="OY81" s="194"/>
      <c r="OZ81" s="194"/>
      <c r="PA81" s="194"/>
      <c r="PB81" s="194"/>
      <c r="PC81" s="194"/>
      <c r="PD81" s="194"/>
      <c r="PE81" s="194"/>
      <c r="PF81" s="194"/>
      <c r="PG81" s="194"/>
      <c r="PH81" s="194"/>
      <c r="PI81" s="194"/>
      <c r="PJ81" s="194"/>
      <c r="PK81" s="194"/>
      <c r="PL81" s="194"/>
      <c r="PM81" s="194"/>
      <c r="PN81" s="194"/>
      <c r="PO81" s="194"/>
      <c r="PP81" s="194"/>
      <c r="PQ81" s="194"/>
      <c r="PR81" s="194"/>
      <c r="PS81" s="194"/>
      <c r="PT81" s="194"/>
      <c r="PU81" s="194"/>
      <c r="PV81" s="194"/>
      <c r="PW81" s="194"/>
      <c r="PX81" s="194"/>
      <c r="PY81" s="194"/>
      <c r="PZ81" s="194"/>
      <c r="QA81" s="194"/>
      <c r="QB81" s="194"/>
      <c r="QC81" s="194"/>
      <c r="QD81" s="194"/>
      <c r="QE81" s="194"/>
      <c r="QF81" s="194"/>
      <c r="QG81" s="194"/>
      <c r="QH81" s="194"/>
      <c r="QI81" s="194"/>
      <c r="QJ81" s="194"/>
      <c r="QK81" s="194"/>
      <c r="QL81" s="194"/>
      <c r="QM81" s="194"/>
      <c r="QN81" s="194"/>
      <c r="QO81" s="194"/>
      <c r="QP81" s="194"/>
      <c r="QQ81" s="194"/>
      <c r="QR81" s="194"/>
      <c r="QS81" s="194"/>
      <c r="QT81" s="194"/>
      <c r="QU81" s="194"/>
      <c r="QV81" s="194"/>
      <c r="QW81" s="194"/>
      <c r="QX81" s="194"/>
      <c r="QY81" s="194"/>
      <c r="QZ81" s="194"/>
      <c r="RA81" s="194"/>
      <c r="RB81" s="194"/>
      <c r="RC81" s="194"/>
      <c r="RD81" s="194"/>
      <c r="RE81" s="194"/>
      <c r="RF81" s="194"/>
      <c r="RG81" s="194"/>
      <c r="RH81" s="194"/>
      <c r="RI81" s="194"/>
      <c r="RJ81" s="194"/>
      <c r="RK81" s="194"/>
      <c r="RL81" s="194"/>
      <c r="RM81" s="194"/>
      <c r="RN81" s="194"/>
      <c r="RO81" s="194"/>
      <c r="RP81" s="194"/>
      <c r="RQ81" s="194"/>
      <c r="RR81" s="194"/>
      <c r="RS81" s="194"/>
      <c r="RT81" s="194"/>
      <c r="RU81" s="194"/>
      <c r="RV81" s="194"/>
      <c r="RW81" s="194"/>
      <c r="RX81" s="194"/>
      <c r="RY81" s="194"/>
      <c r="RZ81" s="194"/>
      <c r="SA81" s="194"/>
      <c r="SB81" s="194"/>
      <c r="SC81" s="194"/>
      <c r="SD81" s="194"/>
      <c r="SE81" s="194"/>
      <c r="SF81" s="194"/>
      <c r="SG81" s="194"/>
      <c r="SH81" s="194"/>
      <c r="SI81" s="194"/>
      <c r="SJ81" s="194"/>
      <c r="SK81" s="194"/>
      <c r="SL81" s="194"/>
      <c r="SM81" s="194"/>
      <c r="SN81" s="194"/>
      <c r="SO81" s="194"/>
      <c r="SP81" s="194"/>
      <c r="SQ81" s="194"/>
      <c r="SR81" s="194"/>
      <c r="SS81" s="194"/>
      <c r="ST81" s="194"/>
      <c r="SU81" s="194"/>
      <c r="SV81" s="194"/>
      <c r="SW81" s="194"/>
      <c r="SX81" s="194"/>
      <c r="SY81" s="194"/>
      <c r="SZ81" s="194"/>
      <c r="TA81" s="194"/>
      <c r="TB81" s="194"/>
      <c r="TC81" s="194"/>
      <c r="TD81" s="194"/>
      <c r="TE81" s="194"/>
      <c r="TF81" s="194"/>
      <c r="TG81" s="194"/>
      <c r="TH81" s="194"/>
      <c r="TI81" s="194"/>
      <c r="TJ81" s="194"/>
      <c r="TK81" s="194"/>
      <c r="TL81" s="194"/>
      <c r="TM81" s="194"/>
      <c r="TN81" s="194"/>
      <c r="TO81" s="194"/>
      <c r="TP81" s="194"/>
      <c r="TQ81" s="194"/>
      <c r="TR81" s="194"/>
      <c r="TS81" s="194"/>
      <c r="TT81" s="194"/>
      <c r="TU81" s="194"/>
      <c r="TV81" s="194"/>
      <c r="TW81" s="194"/>
      <c r="TX81" s="194"/>
      <c r="TY81" s="194"/>
      <c r="TZ81" s="194"/>
      <c r="UA81" s="194"/>
      <c r="UB81" s="194"/>
      <c r="UC81" s="194"/>
      <c r="UD81" s="194"/>
      <c r="UE81" s="194"/>
      <c r="UF81" s="194"/>
      <c r="UG81" s="194"/>
      <c r="UH81" s="194"/>
      <c r="UI81" s="194"/>
      <c r="UJ81" s="194"/>
      <c r="UK81" s="194"/>
      <c r="UL81" s="194"/>
      <c r="UM81" s="194"/>
      <c r="UN81" s="194"/>
      <c r="UO81" s="194"/>
      <c r="UP81" s="194"/>
      <c r="UQ81" s="194"/>
      <c r="UR81" s="194"/>
      <c r="US81" s="194"/>
      <c r="UT81" s="194"/>
      <c r="UU81" s="194"/>
      <c r="UV81" s="194"/>
      <c r="UW81" s="194"/>
      <c r="UX81" s="194"/>
      <c r="UY81" s="194"/>
      <c r="UZ81" s="194"/>
      <c r="VA81" s="194"/>
      <c r="VB81" s="194"/>
      <c r="VC81" s="194"/>
      <c r="VD81" s="194"/>
      <c r="VE81" s="194"/>
      <c r="VF81" s="194"/>
      <c r="VG81" s="194"/>
      <c r="VH81" s="194"/>
      <c r="VI81" s="194"/>
      <c r="VJ81" s="194"/>
      <c r="VK81" s="194"/>
      <c r="VL81" s="194"/>
      <c r="VM81" s="194"/>
      <c r="VN81" s="194"/>
      <c r="VO81" s="194"/>
      <c r="VP81" s="194"/>
      <c r="VQ81" s="194"/>
      <c r="VR81" s="194"/>
      <c r="VS81" s="194"/>
      <c r="VT81" s="194"/>
      <c r="VU81" s="194"/>
      <c r="VV81" s="194"/>
      <c r="VW81" s="194"/>
      <c r="VX81" s="194"/>
      <c r="VY81" s="194"/>
      <c r="VZ81" s="194"/>
      <c r="WA81" s="194"/>
      <c r="WB81" s="194"/>
      <c r="WC81" s="194"/>
      <c r="WD81" s="194"/>
      <c r="WE81" s="194"/>
      <c r="WF81" s="194"/>
      <c r="WG81" s="194"/>
      <c r="WH81" s="194"/>
      <c r="WI81" s="194"/>
      <c r="WJ81" s="194"/>
      <c r="WK81" s="194"/>
      <c r="WL81" s="194"/>
      <c r="WM81" s="194"/>
      <c r="WN81" s="194"/>
      <c r="WO81" s="194"/>
      <c r="WP81" s="194"/>
      <c r="WQ81" s="194"/>
      <c r="WR81" s="194"/>
      <c r="WS81" s="194"/>
      <c r="WT81" s="194"/>
      <c r="WU81" s="194"/>
      <c r="WV81" s="194"/>
      <c r="WW81" s="194"/>
      <c r="WX81" s="194"/>
      <c r="WY81" s="194"/>
      <c r="WZ81" s="194"/>
      <c r="XA81" s="194"/>
      <c r="XB81" s="194"/>
      <c r="XC81" s="194"/>
      <c r="XD81" s="194"/>
      <c r="XE81" s="194"/>
      <c r="XF81" s="194"/>
      <c r="XG81" s="194"/>
      <c r="XH81" s="194"/>
      <c r="XI81" s="194"/>
      <c r="XJ81" s="194"/>
      <c r="XK81" s="194"/>
      <c r="XL81" s="194"/>
      <c r="XM81" s="194"/>
      <c r="XN81" s="194"/>
      <c r="XO81" s="194"/>
      <c r="XP81" s="194"/>
      <c r="XQ81" s="194"/>
      <c r="XR81" s="194"/>
      <c r="XS81" s="194"/>
      <c r="XT81" s="194"/>
      <c r="XU81" s="194"/>
      <c r="XV81" s="194"/>
      <c r="XW81" s="194"/>
      <c r="XX81" s="194"/>
      <c r="XY81" s="194"/>
      <c r="XZ81" s="194"/>
      <c r="YA81" s="194"/>
      <c r="YB81" s="194"/>
      <c r="YC81" s="194"/>
      <c r="YD81" s="194"/>
      <c r="YE81" s="194"/>
      <c r="YF81" s="194"/>
      <c r="YG81" s="194"/>
      <c r="YH81" s="194"/>
      <c r="YI81" s="194"/>
      <c r="YJ81" s="194"/>
      <c r="YK81" s="194"/>
      <c r="YL81" s="194"/>
      <c r="YM81" s="194"/>
      <c r="YN81" s="194"/>
      <c r="YO81" s="194"/>
      <c r="YP81" s="194"/>
      <c r="YQ81" s="194"/>
      <c r="YR81" s="194"/>
      <c r="YS81" s="194"/>
    </row>
    <row r="82" spans="1:669" ht="15" thickBot="1" x14ac:dyDescent="0.25">
      <c r="L82" s="516" t="s">
        <v>340</v>
      </c>
    </row>
    <row r="83" spans="1:669" s="38" customFormat="1" ht="16.5" thickBot="1" x14ac:dyDescent="0.3">
      <c r="A83" s="41"/>
      <c r="B83" s="42"/>
      <c r="C83" s="42"/>
      <c r="D83" s="42"/>
      <c r="E83" s="42"/>
      <c r="F83" s="42"/>
      <c r="G83" s="42"/>
      <c r="H83" s="42"/>
      <c r="I83" s="42"/>
      <c r="J83" s="42"/>
      <c r="K83" s="42"/>
      <c r="L83" s="380">
        <f>L81+J62</f>
        <v>64781.68</v>
      </c>
      <c r="M83" s="512"/>
      <c r="N83" s="21"/>
      <c r="O83" s="21"/>
      <c r="P83" s="21"/>
      <c r="Q83" s="21"/>
      <c r="R83" s="21"/>
      <c r="S83" s="21"/>
      <c r="T83" s="21"/>
      <c r="U83" s="21"/>
      <c r="V83" s="21"/>
      <c r="W83" s="21"/>
      <c r="X83" s="21"/>
      <c r="Y83" s="21"/>
      <c r="Z83" s="21"/>
      <c r="AA83" s="21"/>
      <c r="AB83" s="7"/>
      <c r="AC83" s="7"/>
      <c r="AD83" s="7"/>
      <c r="AE83" s="7"/>
      <c r="AF83" s="7"/>
      <c r="AG83" s="7"/>
      <c r="AH83" s="7"/>
      <c r="AI83" s="7"/>
      <c r="AJ83" s="7"/>
      <c r="AK83" s="7"/>
      <c r="AL83" s="7"/>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row>
    <row r="84" spans="1:669" s="40" customFormat="1" ht="31.5" hidden="1" x14ac:dyDescent="0.25">
      <c r="A84" s="43"/>
      <c r="B84" s="39"/>
      <c r="C84" s="39"/>
      <c r="D84" s="39"/>
      <c r="E84" s="39"/>
      <c r="F84" s="39"/>
      <c r="G84" s="111" t="s">
        <v>168</v>
      </c>
      <c r="H84" s="112" t="s">
        <v>160</v>
      </c>
      <c r="I84" s="112" t="s">
        <v>95</v>
      </c>
      <c r="J84" s="112" t="s">
        <v>52</v>
      </c>
      <c r="K84" s="113" t="s">
        <v>41</v>
      </c>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0"/>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0"/>
      <c r="ND84" s="30"/>
      <c r="NE84" s="30"/>
      <c r="NF84" s="30"/>
      <c r="NG84" s="30"/>
      <c r="NH84" s="30"/>
      <c r="NI84" s="30"/>
      <c r="NJ84" s="30"/>
      <c r="NK84" s="30"/>
      <c r="NL84" s="30"/>
      <c r="NM84" s="30"/>
      <c r="NN84" s="30"/>
      <c r="NO84" s="30"/>
      <c r="NP84" s="30"/>
      <c r="NQ84" s="30"/>
      <c r="NR84" s="30"/>
      <c r="NS84" s="30"/>
      <c r="NT84" s="30"/>
      <c r="NU84" s="30"/>
      <c r="NV84" s="30"/>
      <c r="NW84" s="30"/>
      <c r="NX84" s="30"/>
      <c r="NY84" s="30"/>
      <c r="NZ84" s="30"/>
      <c r="OA84" s="30"/>
      <c r="OB84" s="30"/>
      <c r="OC84" s="30"/>
      <c r="OD84" s="30"/>
      <c r="OE84" s="30"/>
      <c r="OF84" s="30"/>
      <c r="OG84" s="30"/>
      <c r="OH84" s="30"/>
      <c r="OI84" s="30"/>
      <c r="OJ84" s="30"/>
      <c r="OK84" s="30"/>
      <c r="OL84" s="30"/>
      <c r="OM84" s="30"/>
      <c r="ON84" s="30"/>
      <c r="OO84" s="30"/>
      <c r="OP84" s="30"/>
      <c r="OQ84" s="30"/>
      <c r="OR84" s="30"/>
      <c r="OS84" s="30"/>
      <c r="OT84" s="30"/>
      <c r="OU84" s="30"/>
      <c r="OV84" s="30"/>
      <c r="OW84" s="30"/>
      <c r="OX84" s="30"/>
      <c r="OY84" s="30"/>
      <c r="OZ84" s="30"/>
      <c r="PA84" s="30"/>
      <c r="PB84" s="30"/>
      <c r="PC84" s="30"/>
      <c r="PD84" s="30"/>
      <c r="PE84" s="30"/>
      <c r="PF84" s="30"/>
      <c r="PG84" s="30"/>
      <c r="PH84" s="30"/>
      <c r="PI84" s="30"/>
      <c r="PJ84" s="30"/>
      <c r="PK84" s="30"/>
      <c r="PL84" s="30"/>
      <c r="PM84" s="30"/>
      <c r="PN84" s="30"/>
      <c r="PO84" s="30"/>
      <c r="PP84" s="30"/>
      <c r="PQ84" s="30"/>
      <c r="PR84" s="30"/>
      <c r="PS84" s="30"/>
      <c r="PT84" s="30"/>
      <c r="PU84" s="30"/>
      <c r="PV84" s="30"/>
      <c r="PW84" s="30"/>
      <c r="PX84" s="30"/>
      <c r="PY84" s="30"/>
      <c r="PZ84" s="30"/>
      <c r="QA84" s="30"/>
      <c r="QB84" s="30"/>
      <c r="QC84" s="30"/>
      <c r="QD84" s="30"/>
      <c r="QE84" s="30"/>
      <c r="QF84" s="30"/>
      <c r="QG84" s="30"/>
      <c r="QH84" s="30"/>
      <c r="QI84" s="30"/>
      <c r="QJ84" s="30"/>
      <c r="QK84" s="30"/>
      <c r="QL84" s="30"/>
      <c r="QM84" s="30"/>
      <c r="QN84" s="30"/>
      <c r="QO84" s="30"/>
      <c r="QP84" s="30"/>
      <c r="QQ84" s="30"/>
      <c r="QR84" s="30"/>
      <c r="QS84" s="30"/>
      <c r="QT84" s="30"/>
      <c r="QU84" s="30"/>
      <c r="QV84" s="30"/>
      <c r="QW84" s="30"/>
      <c r="QX84" s="30"/>
      <c r="QY84" s="30"/>
      <c r="QZ84" s="30"/>
      <c r="RA84" s="30"/>
      <c r="RB84" s="30"/>
      <c r="RC84" s="30"/>
      <c r="RD84" s="30"/>
      <c r="RE84" s="30"/>
      <c r="RF84" s="30"/>
      <c r="RG84" s="30"/>
      <c r="RH84" s="30"/>
      <c r="RI84" s="30"/>
      <c r="RJ84" s="30"/>
      <c r="RK84" s="30"/>
      <c r="RL84" s="30"/>
      <c r="RM84" s="30"/>
      <c r="RN84" s="30"/>
      <c r="RO84" s="30"/>
      <c r="RP84" s="30"/>
      <c r="RQ84" s="30"/>
      <c r="RR84" s="30"/>
      <c r="RS84" s="30"/>
      <c r="RT84" s="30"/>
      <c r="RU84" s="30"/>
      <c r="RV84" s="30"/>
      <c r="RW84" s="30"/>
      <c r="RX84" s="30"/>
      <c r="RY84" s="30"/>
      <c r="RZ84" s="30"/>
      <c r="SA84" s="30"/>
      <c r="SB84" s="30"/>
      <c r="SC84" s="30"/>
      <c r="SD84" s="30"/>
      <c r="SE84" s="30"/>
      <c r="SF84" s="30"/>
      <c r="SG84" s="30"/>
      <c r="SH84" s="30"/>
      <c r="SI84" s="30"/>
      <c r="SJ84" s="30"/>
      <c r="SK84" s="30"/>
      <c r="SL84" s="30"/>
      <c r="SM84" s="30"/>
      <c r="SN84" s="30"/>
      <c r="SO84" s="30"/>
      <c r="SP84" s="30"/>
      <c r="SQ84" s="30"/>
      <c r="SR84" s="30"/>
      <c r="SS84" s="30"/>
      <c r="ST84" s="30"/>
      <c r="SU84" s="30"/>
      <c r="SV84" s="30"/>
      <c r="SW84" s="30"/>
      <c r="SX84" s="30"/>
      <c r="SY84" s="30"/>
      <c r="SZ84" s="30"/>
      <c r="TA84" s="30"/>
      <c r="TB84" s="30"/>
      <c r="TC84" s="30"/>
      <c r="TD84" s="30"/>
      <c r="TE84" s="30"/>
      <c r="TF84" s="30"/>
      <c r="TG84" s="30"/>
      <c r="TH84" s="30"/>
      <c r="TI84" s="30"/>
      <c r="TJ84" s="30"/>
      <c r="TK84" s="30"/>
      <c r="TL84" s="30"/>
      <c r="TM84" s="30"/>
      <c r="TN84" s="30"/>
      <c r="TO84" s="30"/>
      <c r="TP84" s="30"/>
      <c r="TQ84" s="30"/>
      <c r="TR84" s="30"/>
      <c r="TS84" s="30"/>
      <c r="TT84" s="30"/>
      <c r="TU84" s="30"/>
      <c r="TV84" s="30"/>
      <c r="TW84" s="30"/>
      <c r="TX84" s="30"/>
      <c r="TY84" s="30"/>
      <c r="TZ84" s="30"/>
      <c r="UA84" s="30"/>
      <c r="UB84" s="30"/>
      <c r="UC84" s="30"/>
      <c r="UD84" s="30"/>
      <c r="UE84" s="30"/>
      <c r="UF84" s="30"/>
      <c r="UG84" s="30"/>
      <c r="UH84" s="30"/>
      <c r="UI84" s="30"/>
      <c r="UJ84" s="30"/>
      <c r="UK84" s="30"/>
      <c r="UL84" s="30"/>
      <c r="UM84" s="30"/>
      <c r="UN84" s="30"/>
      <c r="UO84" s="30"/>
      <c r="UP84" s="30"/>
      <c r="UQ84" s="30"/>
      <c r="UR84" s="30"/>
      <c r="US84" s="30"/>
      <c r="UT84" s="30"/>
      <c r="UU84" s="30"/>
      <c r="UV84" s="30"/>
      <c r="UW84" s="30"/>
      <c r="UX84" s="30"/>
      <c r="UY84" s="30"/>
      <c r="UZ84" s="30"/>
      <c r="VA84" s="30"/>
      <c r="VB84" s="30"/>
      <c r="VC84" s="30"/>
      <c r="VD84" s="30"/>
      <c r="VE84" s="30"/>
      <c r="VF84" s="30"/>
      <c r="VG84" s="30"/>
      <c r="VH84" s="30"/>
      <c r="VI84" s="30"/>
      <c r="VJ84" s="30"/>
      <c r="VK84" s="30"/>
      <c r="VL84" s="30"/>
      <c r="VM84" s="30"/>
      <c r="VN84" s="30"/>
      <c r="VO84" s="30"/>
      <c r="VP84" s="30"/>
      <c r="VQ84" s="30"/>
      <c r="VR84" s="30"/>
      <c r="VS84" s="30"/>
      <c r="VT84" s="30"/>
      <c r="VU84" s="30"/>
      <c r="VV84" s="30"/>
      <c r="VW84" s="30"/>
      <c r="VX84" s="30"/>
      <c r="VY84" s="30"/>
      <c r="VZ84" s="30"/>
      <c r="WA84" s="30"/>
      <c r="WB84" s="30"/>
      <c r="WC84" s="30"/>
      <c r="WD84" s="30"/>
      <c r="WE84" s="30"/>
      <c r="WF84" s="30"/>
      <c r="WG84" s="30"/>
      <c r="WH84" s="30"/>
      <c r="WI84" s="30"/>
      <c r="WJ84" s="30"/>
      <c r="WK84" s="30"/>
      <c r="WL84" s="30"/>
      <c r="WM84" s="30"/>
      <c r="WN84" s="30"/>
      <c r="WO84" s="30"/>
      <c r="WP84" s="30"/>
      <c r="WQ84" s="30"/>
      <c r="WR84" s="30"/>
      <c r="WS84" s="30"/>
      <c r="WT84" s="30"/>
      <c r="WU84" s="30"/>
      <c r="WV84" s="30"/>
      <c r="WW84" s="30"/>
      <c r="WX84" s="30"/>
      <c r="WY84" s="30"/>
      <c r="WZ84" s="30"/>
      <c r="XA84" s="30"/>
      <c r="XB84" s="30"/>
      <c r="XC84" s="30"/>
      <c r="XD84" s="30"/>
      <c r="XE84" s="30"/>
      <c r="XF84" s="30"/>
      <c r="XG84" s="30"/>
      <c r="XH84" s="30"/>
      <c r="XI84" s="30"/>
      <c r="XJ84" s="30"/>
      <c r="XK84" s="30"/>
      <c r="XL84" s="30"/>
      <c r="XM84" s="30"/>
      <c r="XN84" s="30"/>
      <c r="XO84" s="30"/>
      <c r="XP84" s="30"/>
      <c r="XQ84" s="30"/>
      <c r="XR84" s="30"/>
      <c r="XS84" s="30"/>
      <c r="XT84" s="30"/>
      <c r="XU84" s="30"/>
      <c r="XV84" s="30"/>
      <c r="XW84" s="30"/>
      <c r="XX84" s="30"/>
      <c r="XY84" s="30"/>
      <c r="XZ84" s="30"/>
      <c r="YA84" s="30"/>
      <c r="YB84" s="30"/>
      <c r="YC84" s="30"/>
      <c r="YD84" s="30"/>
      <c r="YE84" s="30"/>
      <c r="YF84" s="30"/>
      <c r="YG84" s="30"/>
      <c r="YH84" s="30"/>
      <c r="YI84" s="30"/>
      <c r="YJ84" s="30"/>
      <c r="YK84" s="30"/>
      <c r="YL84" s="30"/>
      <c r="YM84" s="30"/>
      <c r="YN84" s="30"/>
      <c r="YO84" s="30"/>
      <c r="YP84" s="30"/>
      <c r="YQ84" s="30"/>
      <c r="YR84" s="30"/>
      <c r="YS84" s="30"/>
    </row>
    <row r="85" spans="1:669" s="33" customFormat="1" ht="20.25" hidden="1" customHeight="1" x14ac:dyDescent="0.2">
      <c r="A85" s="263" t="s">
        <v>69</v>
      </c>
      <c r="B85" s="855" t="s">
        <v>40</v>
      </c>
      <c r="C85" s="855"/>
      <c r="D85" s="855"/>
      <c r="E85" s="855"/>
      <c r="F85" s="264"/>
      <c r="G85" s="264" t="e">
        <f>104647.76-#REF!-1250-1250</f>
        <v>#REF!</v>
      </c>
      <c r="H85" s="264">
        <f>90450.47-J85-H88</f>
        <v>54498.840000000004</v>
      </c>
      <c r="I85" s="264">
        <f>H73</f>
        <v>11786.48</v>
      </c>
      <c r="J85" s="264">
        <f>'August''24 AR Aging '!G41</f>
        <v>35951.629999999997</v>
      </c>
      <c r="K85" s="265" t="e">
        <f>+I85+J85+H85-G85</f>
        <v>#REF!</v>
      </c>
      <c r="L85" s="36"/>
      <c r="M85" s="36"/>
      <c r="N85" s="21"/>
      <c r="O85" s="21"/>
      <c r="P85" s="21"/>
      <c r="Q85" s="21"/>
      <c r="R85" s="21"/>
      <c r="S85" s="21"/>
      <c r="T85" s="21"/>
      <c r="U85"/>
      <c r="V85" s="21"/>
      <c r="W85" s="21"/>
      <c r="X85" s="21"/>
      <c r="Y85" s="21"/>
      <c r="Z85" s="21"/>
      <c r="AA85" s="21"/>
      <c r="AB85" s="7"/>
      <c r="AC85" s="7"/>
      <c r="AD85" s="7"/>
      <c r="AE85" s="7"/>
      <c r="AF85" s="7"/>
      <c r="AG85" s="7"/>
      <c r="AH85" s="7"/>
      <c r="AI85" s="7"/>
      <c r="AJ85" s="7"/>
      <c r="AK85" s="7"/>
      <c r="AL85" s="7"/>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row>
    <row r="86" spans="1:669" s="19" customFormat="1" hidden="1" x14ac:dyDescent="0.2">
      <c r="A86" s="266" t="s">
        <v>32</v>
      </c>
      <c r="B86" s="854" t="s">
        <v>29</v>
      </c>
      <c r="C86" s="854"/>
      <c r="D86" s="854"/>
      <c r="E86" s="854"/>
      <c r="F86" s="261"/>
      <c r="G86" s="261"/>
      <c r="H86" s="261">
        <v>0</v>
      </c>
      <c r="I86" s="262"/>
      <c r="J86" s="261">
        <v>0</v>
      </c>
      <c r="K86" s="267"/>
      <c r="L86" s="243"/>
      <c r="M86" s="243">
        <v>0</v>
      </c>
      <c r="N86" s="21"/>
      <c r="O86" s="21"/>
      <c r="P86" s="21"/>
      <c r="Q86" s="21"/>
      <c r="R86" s="21"/>
      <c r="S86" s="21"/>
      <c r="T86" s="21"/>
      <c r="U86"/>
      <c r="V86" s="21"/>
      <c r="W86" s="21"/>
      <c r="X86" s="21"/>
      <c r="Y86" s="21"/>
      <c r="Z86" s="21"/>
      <c r="AA86" s="21"/>
      <c r="AB86" s="7"/>
      <c r="AC86" s="7"/>
      <c r="AD86" s="7"/>
      <c r="AE86" s="7"/>
      <c r="AF86" s="7"/>
      <c r="AG86" s="7"/>
      <c r="AH86" s="7"/>
      <c r="AI86" s="7"/>
      <c r="AJ86" s="7"/>
      <c r="AK86" s="7"/>
      <c r="AL86" s="7"/>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row>
    <row r="87" spans="1:669" hidden="1" x14ac:dyDescent="0.2">
      <c r="A87" s="266" t="s">
        <v>20</v>
      </c>
      <c r="B87" s="856" t="s">
        <v>145</v>
      </c>
      <c r="C87" s="857"/>
      <c r="D87" s="857"/>
      <c r="E87" s="858"/>
      <c r="F87" s="261"/>
      <c r="G87" s="261"/>
      <c r="H87" s="261"/>
      <c r="I87" s="262"/>
      <c r="J87" s="261"/>
      <c r="K87" s="267"/>
      <c r="L87" s="243"/>
      <c r="M87" s="243"/>
      <c r="U87"/>
    </row>
    <row r="88" spans="1:669" ht="15" hidden="1" thickBot="1" x14ac:dyDescent="0.25">
      <c r="A88" s="268" t="s">
        <v>144</v>
      </c>
      <c r="B88" s="850" t="s">
        <v>40</v>
      </c>
      <c r="C88" s="850"/>
      <c r="D88" s="850"/>
      <c r="E88" s="850"/>
      <c r="F88" s="269"/>
      <c r="G88" s="269"/>
      <c r="H88" s="269">
        <v>0</v>
      </c>
      <c r="I88" s="269"/>
      <c r="J88" s="269"/>
      <c r="K88" s="270"/>
      <c r="L88" s="36"/>
      <c r="M88" s="36"/>
      <c r="U88"/>
    </row>
    <row r="89" spans="1:669" hidden="1" x14ac:dyDescent="0.2">
      <c r="F89" s="177"/>
      <c r="G89" s="177"/>
      <c r="H89" s="177"/>
      <c r="I89" s="177"/>
      <c r="J89" s="177">
        <f>J85+I81+H36+J88</f>
        <v>325305.37</v>
      </c>
      <c r="K89" s="177" t="s">
        <v>45</v>
      </c>
    </row>
    <row r="90" spans="1:669" hidden="1" x14ac:dyDescent="0.2">
      <c r="F90" s="177"/>
      <c r="G90" s="177"/>
      <c r="H90" s="177"/>
      <c r="I90" s="177"/>
      <c r="J90" s="170">
        <f>'August''24 AR Aging '!G72</f>
        <v>323670.74000000005</v>
      </c>
      <c r="K90" s="177" t="s">
        <v>441</v>
      </c>
    </row>
    <row r="91" spans="1:669" ht="15" hidden="1" customHeight="1" thickBot="1" x14ac:dyDescent="0.25">
      <c r="F91" s="177"/>
      <c r="G91" s="177"/>
      <c r="H91" s="177"/>
      <c r="I91" s="177"/>
      <c r="J91" s="532">
        <f>J90-J89</f>
        <v>-1634.6299999999464</v>
      </c>
      <c r="K91" s="177" t="s">
        <v>384</v>
      </c>
    </row>
    <row r="92" spans="1:669" ht="15" hidden="1" customHeight="1" thickTop="1" x14ac:dyDescent="0.2">
      <c r="C92" s="5"/>
      <c r="E92" s="4"/>
    </row>
    <row r="93" spans="1:669" hidden="1" x14ac:dyDescent="0.2"/>
    <row r="94" spans="1:669" hidden="1" x14ac:dyDescent="0.2"/>
    <row r="101" spans="1:5" x14ac:dyDescent="0.2">
      <c r="A101" s="6"/>
      <c r="E101" s="4"/>
    </row>
  </sheetData>
  <mergeCells count="34">
    <mergeCell ref="B77:E77"/>
    <mergeCell ref="B44:C44"/>
    <mergeCell ref="B46:C46"/>
    <mergeCell ref="B47:C47"/>
    <mergeCell ref="B56:C56"/>
    <mergeCell ref="B59:C59"/>
    <mergeCell ref="B53:C53"/>
    <mergeCell ref="B49:C49"/>
    <mergeCell ref="B50:C50"/>
    <mergeCell ref="B48:C48"/>
    <mergeCell ref="B52:C52"/>
    <mergeCell ref="B61:C61"/>
    <mergeCell ref="B88:E88"/>
    <mergeCell ref="B78:E78"/>
    <mergeCell ref="B86:E86"/>
    <mergeCell ref="B80:E80"/>
    <mergeCell ref="B85:E85"/>
    <mergeCell ref="B87:E87"/>
    <mergeCell ref="B40:C40"/>
    <mergeCell ref="B76:E76"/>
    <mergeCell ref="B65:E65"/>
    <mergeCell ref="B42:C42"/>
    <mergeCell ref="B58:C58"/>
    <mergeCell ref="B60:C60"/>
    <mergeCell ref="B73:E73"/>
    <mergeCell ref="B75:E75"/>
    <mergeCell ref="B41:C41"/>
    <mergeCell ref="B69:E69"/>
    <mergeCell ref="B43:C43"/>
    <mergeCell ref="B55:C55"/>
    <mergeCell ref="B45:C45"/>
    <mergeCell ref="B51:C51"/>
    <mergeCell ref="B70:E70"/>
    <mergeCell ref="B54:C54"/>
  </mergeCells>
  <pageMargins left="0.45" right="0" top="0.75" bottom="0" header="0.3" footer="0.05"/>
  <pageSetup paperSize="5"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YG285"/>
  <sheetViews>
    <sheetView zoomScale="68" zoomScaleNormal="68" workbookViewId="0">
      <selection activeCell="G49" sqref="G49"/>
    </sheetView>
  </sheetViews>
  <sheetFormatPr defaultRowHeight="15" x14ac:dyDescent="0.25"/>
  <cols>
    <col min="1" max="1" width="1.875" style="45" customWidth="1"/>
    <col min="2" max="2" width="55.875" style="45" customWidth="1"/>
    <col min="3" max="5" width="17.125" style="90" customWidth="1"/>
    <col min="6" max="6" width="18.75" style="90" customWidth="1"/>
    <col min="7" max="7" width="16.875" style="483" customWidth="1"/>
    <col min="8" max="8" width="11.75" style="744" customWidth="1"/>
    <col min="9" max="9" width="19.25" style="21" bestFit="1" customWidth="1"/>
    <col min="10" max="10" width="12.625" customWidth="1"/>
    <col min="251" max="251" width="2.875" customWidth="1"/>
    <col min="252" max="252" width="49" customWidth="1"/>
    <col min="253" max="253" width="16.875" bestFit="1" customWidth="1"/>
    <col min="254" max="254" width="13.625" bestFit="1" customWidth="1"/>
    <col min="255" max="255" width="15.375" bestFit="1" customWidth="1"/>
    <col min="256" max="256" width="7.5" bestFit="1" customWidth="1"/>
    <col min="257" max="257" width="15.25" customWidth="1"/>
    <col min="258" max="258" width="7.5" bestFit="1" customWidth="1"/>
    <col min="259" max="259" width="15.375" bestFit="1" customWidth="1"/>
    <col min="260" max="260" width="7.5" bestFit="1" customWidth="1"/>
    <col min="261" max="261" width="15.375" bestFit="1" customWidth="1"/>
    <col min="262" max="262" width="7.5" bestFit="1" customWidth="1"/>
    <col min="263" max="263" width="16.875" bestFit="1" customWidth="1"/>
    <col min="507" max="507" width="2.875" customWidth="1"/>
    <col min="508" max="508" width="49" customWidth="1"/>
    <col min="509" max="509" width="16.875" bestFit="1" customWidth="1"/>
    <col min="510" max="510" width="13.625" bestFit="1" customWidth="1"/>
    <col min="511" max="511" width="15.375" bestFit="1" customWidth="1"/>
    <col min="512" max="512" width="7.5" bestFit="1" customWidth="1"/>
    <col min="513" max="513" width="15.25" customWidth="1"/>
    <col min="514" max="514" width="7.5" bestFit="1" customWidth="1"/>
    <col min="515" max="515" width="15.375" bestFit="1" customWidth="1"/>
    <col min="516" max="516" width="7.5" bestFit="1" customWidth="1"/>
    <col min="517" max="517" width="15.375" bestFit="1" customWidth="1"/>
    <col min="518" max="518" width="7.5" bestFit="1" customWidth="1"/>
    <col min="519" max="519" width="16.875" bestFit="1" customWidth="1"/>
    <col min="763" max="763" width="2.875" customWidth="1"/>
    <col min="764" max="764" width="49" customWidth="1"/>
    <col min="765" max="765" width="16.875" bestFit="1" customWidth="1"/>
    <col min="766" max="766" width="13.625" bestFit="1" customWidth="1"/>
    <col min="767" max="767" width="15.375" bestFit="1" customWidth="1"/>
    <col min="768" max="768" width="7.5" bestFit="1" customWidth="1"/>
    <col min="769" max="769" width="15.25" customWidth="1"/>
    <col min="770" max="770" width="7.5" bestFit="1" customWidth="1"/>
    <col min="771" max="771" width="15.375" bestFit="1" customWidth="1"/>
    <col min="772" max="772" width="7.5" bestFit="1" customWidth="1"/>
    <col min="773" max="773" width="15.375" bestFit="1" customWidth="1"/>
    <col min="774" max="774" width="7.5" bestFit="1" customWidth="1"/>
    <col min="775" max="775" width="16.875" bestFit="1" customWidth="1"/>
    <col min="1019" max="1019" width="2.875" customWidth="1"/>
    <col min="1020" max="1020" width="49" customWidth="1"/>
    <col min="1021" max="1021" width="16.875" bestFit="1" customWidth="1"/>
    <col min="1022" max="1022" width="13.625" bestFit="1" customWidth="1"/>
    <col min="1023" max="1023" width="15.375" bestFit="1" customWidth="1"/>
    <col min="1024" max="1024" width="7.5" bestFit="1" customWidth="1"/>
    <col min="1025" max="1025" width="15.25" customWidth="1"/>
    <col min="1026" max="1026" width="7.5" bestFit="1" customWidth="1"/>
    <col min="1027" max="1027" width="15.375" bestFit="1" customWidth="1"/>
    <col min="1028" max="1028" width="7.5" bestFit="1" customWidth="1"/>
    <col min="1029" max="1029" width="15.375" bestFit="1" customWidth="1"/>
    <col min="1030" max="1030" width="7.5" bestFit="1" customWidth="1"/>
    <col min="1031" max="1031" width="16.875" bestFit="1" customWidth="1"/>
    <col min="1275" max="1275" width="2.875" customWidth="1"/>
    <col min="1276" max="1276" width="49" customWidth="1"/>
    <col min="1277" max="1277" width="16.875" bestFit="1" customWidth="1"/>
    <col min="1278" max="1278" width="13.625" bestFit="1" customWidth="1"/>
    <col min="1279" max="1279" width="15.375" bestFit="1" customWidth="1"/>
    <col min="1280" max="1280" width="7.5" bestFit="1" customWidth="1"/>
    <col min="1281" max="1281" width="15.25" customWidth="1"/>
    <col min="1282" max="1282" width="7.5" bestFit="1" customWidth="1"/>
    <col min="1283" max="1283" width="15.375" bestFit="1" customWidth="1"/>
    <col min="1284" max="1284" width="7.5" bestFit="1" customWidth="1"/>
    <col min="1285" max="1285" width="15.375" bestFit="1" customWidth="1"/>
    <col min="1286" max="1286" width="7.5" bestFit="1" customWidth="1"/>
    <col min="1287" max="1287" width="16.875" bestFit="1" customWidth="1"/>
    <col min="1531" max="1531" width="2.875" customWidth="1"/>
    <col min="1532" max="1532" width="49" customWidth="1"/>
    <col min="1533" max="1533" width="16.875" bestFit="1" customWidth="1"/>
    <col min="1534" max="1534" width="13.625" bestFit="1" customWidth="1"/>
    <col min="1535" max="1535" width="15.375" bestFit="1" customWidth="1"/>
    <col min="1536" max="1536" width="7.5" bestFit="1" customWidth="1"/>
    <col min="1537" max="1537" width="15.25" customWidth="1"/>
    <col min="1538" max="1538" width="7.5" bestFit="1" customWidth="1"/>
    <col min="1539" max="1539" width="15.375" bestFit="1" customWidth="1"/>
    <col min="1540" max="1540" width="7.5" bestFit="1" customWidth="1"/>
    <col min="1541" max="1541" width="15.375" bestFit="1" customWidth="1"/>
    <col min="1542" max="1542" width="7.5" bestFit="1" customWidth="1"/>
    <col min="1543" max="1543" width="16.875" bestFit="1" customWidth="1"/>
    <col min="1787" max="1787" width="2.875" customWidth="1"/>
    <col min="1788" max="1788" width="49" customWidth="1"/>
    <col min="1789" max="1789" width="16.875" bestFit="1" customWidth="1"/>
    <col min="1790" max="1790" width="13.625" bestFit="1" customWidth="1"/>
    <col min="1791" max="1791" width="15.375" bestFit="1" customWidth="1"/>
    <col min="1792" max="1792" width="7.5" bestFit="1" customWidth="1"/>
    <col min="1793" max="1793" width="15.25" customWidth="1"/>
    <col min="1794" max="1794" width="7.5" bestFit="1" customWidth="1"/>
    <col min="1795" max="1795" width="15.375" bestFit="1" customWidth="1"/>
    <col min="1796" max="1796" width="7.5" bestFit="1" customWidth="1"/>
    <col min="1797" max="1797" width="15.375" bestFit="1" customWidth="1"/>
    <col min="1798" max="1798" width="7.5" bestFit="1" customWidth="1"/>
    <col min="1799" max="1799" width="16.875" bestFit="1" customWidth="1"/>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0" customFormat="1" ht="18" x14ac:dyDescent="0.25">
      <c r="A1" s="8" t="s">
        <v>0</v>
      </c>
      <c r="B1" s="8"/>
      <c r="C1" s="9"/>
      <c r="D1" s="9"/>
      <c r="E1" s="20"/>
      <c r="F1" s="20"/>
      <c r="G1" s="482"/>
      <c r="H1" s="743"/>
      <c r="I1" s="20"/>
      <c r="J1" s="20"/>
      <c r="K1" s="20"/>
      <c r="L1" s="20"/>
      <c r="M1" s="20"/>
      <c r="N1" s="20"/>
      <c r="O1" s="20"/>
      <c r="P1" s="20"/>
      <c r="Q1" s="20"/>
      <c r="R1" s="20"/>
      <c r="S1" s="20"/>
      <c r="T1" s="20"/>
      <c r="U1" s="20"/>
      <c r="V1" s="20"/>
      <c r="W1" s="20"/>
      <c r="X1" s="22"/>
      <c r="Y1" s="22"/>
      <c r="Z1" s="22"/>
      <c r="AA1" s="22"/>
      <c r="AB1" s="22"/>
      <c r="AC1" s="22"/>
      <c r="AD1" s="22"/>
      <c r="AE1" s="22"/>
      <c r="AF1" s="22"/>
      <c r="AG1" s="22"/>
      <c r="AH1" s="22"/>
    </row>
    <row r="2" spans="1:2009" s="10" customFormat="1" ht="18" customHeight="1" x14ac:dyDescent="0.25">
      <c r="A2" s="11" t="s">
        <v>662</v>
      </c>
      <c r="B2" s="11"/>
      <c r="C2" s="9"/>
      <c r="D2" s="9"/>
      <c r="E2" s="20"/>
      <c r="F2" s="20"/>
      <c r="G2" s="482"/>
      <c r="H2" s="743"/>
      <c r="I2" s="20"/>
      <c r="J2" s="20"/>
      <c r="K2" s="20"/>
      <c r="L2" s="20"/>
      <c r="M2" s="20"/>
      <c r="N2" s="20"/>
      <c r="O2" s="20"/>
      <c r="P2" s="20"/>
      <c r="Q2" s="20"/>
      <c r="R2" s="20"/>
      <c r="S2" s="20"/>
      <c r="T2" s="20"/>
      <c r="U2" s="20"/>
      <c r="V2" s="20"/>
      <c r="W2" s="20"/>
      <c r="X2" s="22"/>
      <c r="Y2" s="22"/>
      <c r="Z2" s="22"/>
      <c r="AA2" s="22"/>
      <c r="AB2" s="22"/>
      <c r="AC2" s="22"/>
      <c r="AD2" s="22"/>
      <c r="AE2" s="22"/>
      <c r="AF2" s="22"/>
      <c r="AG2" s="22"/>
      <c r="AH2" s="22"/>
    </row>
    <row r="3" spans="1:2009" ht="15.75" x14ac:dyDescent="0.25">
      <c r="E3" s="481"/>
      <c r="F3" s="70"/>
    </row>
    <row r="4" spans="1:2009" s="3" customFormat="1" ht="16.5" thickBot="1" x14ac:dyDescent="0.3">
      <c r="A4" s="44"/>
      <c r="B4" s="44"/>
      <c r="C4" s="70" t="s">
        <v>661</v>
      </c>
      <c r="D4" s="70" t="s">
        <v>663</v>
      </c>
      <c r="E4" s="70" t="s">
        <v>638</v>
      </c>
      <c r="F4" s="70" t="s">
        <v>664</v>
      </c>
      <c r="G4" s="484" t="s">
        <v>399</v>
      </c>
      <c r="H4" s="744"/>
      <c r="I4" s="26"/>
    </row>
    <row r="5" spans="1:2009" ht="24.95" customHeight="1" x14ac:dyDescent="0.25">
      <c r="A5" s="859" t="s">
        <v>64</v>
      </c>
      <c r="B5" s="860"/>
      <c r="C5" s="109"/>
      <c r="D5" s="109"/>
      <c r="E5" s="117"/>
      <c r="F5" s="117"/>
      <c r="G5" s="485"/>
    </row>
    <row r="6" spans="1:2009" s="177" customFormat="1" ht="24.95" hidden="1" customHeight="1" x14ac:dyDescent="0.25">
      <c r="A6" s="260"/>
      <c r="B6" s="91" t="s">
        <v>536</v>
      </c>
      <c r="C6" s="124"/>
      <c r="D6" s="124"/>
      <c r="E6" s="124"/>
      <c r="F6" s="125"/>
      <c r="G6" s="486">
        <f>ROUND(SUM(C6:F6),5)</f>
        <v>0</v>
      </c>
      <c r="H6" s="745"/>
      <c r="I6" s="21"/>
    </row>
    <row r="7" spans="1:2009" s="71" customFormat="1" ht="24.95" customHeight="1" x14ac:dyDescent="0.25">
      <c r="A7" s="94"/>
      <c r="B7" s="91" t="s">
        <v>611</v>
      </c>
      <c r="C7" s="124">
        <f>58191.21-E7</f>
        <v>24585.82</v>
      </c>
      <c r="D7" s="124"/>
      <c r="E7" s="124">
        <f>33605.39</f>
        <v>33605.39</v>
      </c>
      <c r="F7" s="125"/>
      <c r="G7" s="486">
        <f>ROUND(SUM(C7:F7),5)</f>
        <v>58191.21</v>
      </c>
      <c r="H7" s="744"/>
      <c r="I7" s="21"/>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row>
    <row r="8" spans="1:2009" s="152" customFormat="1" ht="24.95" customHeight="1" thickBot="1" x14ac:dyDescent="0.3">
      <c r="A8" s="149"/>
      <c r="B8" s="150" t="s">
        <v>152</v>
      </c>
      <c r="C8" s="606">
        <f>SUM(C5:C7)</f>
        <v>24585.82</v>
      </c>
      <c r="D8" s="606"/>
      <c r="E8" s="606">
        <f>SUM(E5:E7)</f>
        <v>33605.39</v>
      </c>
      <c r="F8" s="606"/>
      <c r="G8" s="607">
        <f>ROUND(SUM(G3:G7),5)</f>
        <v>58191.21</v>
      </c>
      <c r="H8" s="746"/>
      <c r="I8" s="2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1"/>
      <c r="HS8" s="151"/>
      <c r="HT8" s="151"/>
      <c r="HU8" s="151"/>
      <c r="HV8" s="151"/>
      <c r="HW8" s="151"/>
      <c r="HX8" s="151"/>
      <c r="HY8" s="151"/>
      <c r="HZ8" s="151"/>
      <c r="IA8" s="151"/>
      <c r="IB8" s="151"/>
      <c r="IC8" s="151"/>
      <c r="ID8" s="151"/>
      <c r="IE8" s="151"/>
      <c r="IF8" s="151"/>
      <c r="IG8" s="151"/>
      <c r="IH8" s="151"/>
      <c r="II8" s="151"/>
      <c r="IJ8" s="151"/>
      <c r="IK8" s="151"/>
      <c r="IL8" s="151"/>
      <c r="IM8" s="151"/>
      <c r="IN8" s="151"/>
      <c r="IO8" s="151"/>
      <c r="IP8" s="151"/>
      <c r="IQ8" s="151"/>
      <c r="IR8" s="151"/>
      <c r="IS8" s="151"/>
      <c r="IT8" s="151"/>
      <c r="IU8" s="151"/>
      <c r="IV8" s="151"/>
      <c r="IW8" s="151"/>
      <c r="IX8" s="151"/>
      <c r="IY8" s="151"/>
      <c r="IZ8" s="151"/>
      <c r="JA8" s="151"/>
      <c r="JB8" s="151"/>
      <c r="JC8" s="151"/>
      <c r="JD8" s="151"/>
      <c r="JE8" s="151"/>
      <c r="JF8" s="151"/>
      <c r="JG8" s="151"/>
      <c r="JH8" s="151"/>
      <c r="JI8" s="151"/>
      <c r="JJ8" s="151"/>
      <c r="JK8" s="151"/>
      <c r="JL8" s="151"/>
      <c r="JM8" s="151"/>
      <c r="JN8" s="151"/>
      <c r="JO8" s="151"/>
      <c r="JP8" s="151"/>
      <c r="JQ8" s="151"/>
      <c r="JR8" s="151"/>
      <c r="JS8" s="151"/>
      <c r="JT8" s="151"/>
      <c r="JU8" s="151"/>
      <c r="JV8" s="151"/>
      <c r="JW8" s="151"/>
      <c r="JX8" s="151"/>
      <c r="JY8" s="151"/>
      <c r="JZ8" s="151"/>
      <c r="KA8" s="151"/>
      <c r="KB8" s="151"/>
      <c r="KC8" s="151"/>
      <c r="KD8" s="151"/>
      <c r="KE8" s="151"/>
      <c r="KF8" s="151"/>
      <c r="KG8" s="151"/>
      <c r="KH8" s="151"/>
      <c r="KI8" s="151"/>
      <c r="KJ8" s="151"/>
      <c r="KK8" s="151"/>
      <c r="KL8" s="151"/>
      <c r="KM8" s="151"/>
      <c r="KN8" s="151"/>
      <c r="KO8" s="151"/>
      <c r="KP8" s="151"/>
      <c r="KQ8" s="151"/>
      <c r="KR8" s="151"/>
      <c r="KS8" s="151"/>
      <c r="KT8" s="151"/>
      <c r="KU8" s="151"/>
      <c r="KV8" s="151"/>
      <c r="KW8" s="151"/>
      <c r="KX8" s="151"/>
      <c r="KY8" s="151"/>
      <c r="KZ8" s="151"/>
      <c r="LA8" s="151"/>
      <c r="LB8" s="151"/>
      <c r="LC8" s="151"/>
      <c r="LD8" s="151"/>
      <c r="LE8" s="151"/>
      <c r="LF8" s="151"/>
      <c r="LG8" s="151"/>
      <c r="LH8" s="151"/>
      <c r="LI8" s="151"/>
      <c r="LJ8" s="151"/>
      <c r="LK8" s="151"/>
      <c r="LL8" s="151"/>
      <c r="LM8" s="151"/>
      <c r="LN8" s="151"/>
      <c r="LO8" s="151"/>
      <c r="LP8" s="151"/>
      <c r="LQ8" s="151"/>
      <c r="LR8" s="151"/>
      <c r="LS8" s="151"/>
      <c r="LT8" s="151"/>
      <c r="LU8" s="151"/>
      <c r="LV8" s="151"/>
      <c r="LW8" s="151"/>
      <c r="LX8" s="151"/>
      <c r="LY8" s="151"/>
      <c r="LZ8" s="151"/>
      <c r="MA8" s="151"/>
      <c r="MB8" s="151"/>
      <c r="MC8" s="151"/>
      <c r="MD8" s="151"/>
      <c r="ME8" s="151"/>
      <c r="MF8" s="151"/>
      <c r="MG8" s="151"/>
      <c r="MH8" s="151"/>
      <c r="MI8" s="151"/>
      <c r="MJ8" s="151"/>
      <c r="MK8" s="151"/>
      <c r="ML8" s="151"/>
      <c r="MM8" s="151"/>
      <c r="MN8" s="151"/>
      <c r="MO8" s="151"/>
      <c r="MP8" s="151"/>
      <c r="MQ8" s="151"/>
      <c r="MR8" s="151"/>
      <c r="MS8" s="151"/>
      <c r="MT8" s="151"/>
      <c r="MU8" s="151"/>
      <c r="MV8" s="151"/>
      <c r="MW8" s="151"/>
      <c r="MX8" s="151"/>
      <c r="MY8" s="151"/>
      <c r="MZ8" s="151"/>
      <c r="NA8" s="151"/>
      <c r="NB8" s="151"/>
      <c r="NC8" s="151"/>
      <c r="ND8" s="151"/>
      <c r="NE8" s="151"/>
      <c r="NF8" s="151"/>
      <c r="NG8" s="151"/>
      <c r="NH8" s="151"/>
      <c r="NI8" s="151"/>
      <c r="NJ8" s="151"/>
      <c r="NK8" s="151"/>
      <c r="NL8" s="151"/>
      <c r="NM8" s="151"/>
      <c r="NN8" s="151"/>
      <c r="NO8" s="151"/>
      <c r="NP8" s="151"/>
      <c r="NQ8" s="151"/>
      <c r="NR8" s="151"/>
      <c r="NS8" s="151"/>
      <c r="NT8" s="151"/>
      <c r="NU8" s="151"/>
      <c r="NV8" s="151"/>
      <c r="NW8" s="151"/>
      <c r="NX8" s="151"/>
      <c r="NY8" s="151"/>
      <c r="NZ8" s="151"/>
      <c r="OA8" s="151"/>
      <c r="OB8" s="151"/>
      <c r="OC8" s="151"/>
      <c r="OD8" s="151"/>
      <c r="OE8" s="151"/>
      <c r="OF8" s="151"/>
      <c r="OG8" s="151"/>
      <c r="OH8" s="151"/>
      <c r="OI8" s="151"/>
      <c r="OJ8" s="151"/>
      <c r="OK8" s="151"/>
      <c r="OL8" s="151"/>
      <c r="OM8" s="151"/>
      <c r="ON8" s="151"/>
      <c r="OO8" s="151"/>
      <c r="OP8" s="151"/>
      <c r="OQ8" s="151"/>
      <c r="OR8" s="151"/>
      <c r="OS8" s="151"/>
      <c r="OT8" s="151"/>
      <c r="OU8" s="151"/>
      <c r="OV8" s="151"/>
      <c r="OW8" s="151"/>
      <c r="OX8" s="151"/>
      <c r="OY8" s="151"/>
      <c r="OZ8" s="151"/>
      <c r="PA8" s="151"/>
      <c r="PB8" s="151"/>
      <c r="PC8" s="151"/>
      <c r="PD8" s="151"/>
      <c r="PE8" s="151"/>
      <c r="PF8" s="151"/>
      <c r="PG8" s="151"/>
      <c r="PH8" s="151"/>
      <c r="PI8" s="151"/>
      <c r="PJ8" s="151"/>
      <c r="PK8" s="151"/>
      <c r="PL8" s="151"/>
      <c r="PM8" s="151"/>
      <c r="PN8" s="151"/>
      <c r="PO8" s="151"/>
      <c r="PP8" s="151"/>
      <c r="PQ8" s="151"/>
      <c r="PR8" s="151"/>
      <c r="PS8" s="151"/>
      <c r="PT8" s="151"/>
      <c r="PU8" s="151"/>
      <c r="PV8" s="151"/>
      <c r="PW8" s="151"/>
      <c r="PX8" s="151"/>
      <c r="PY8" s="151"/>
      <c r="PZ8" s="151"/>
      <c r="QA8" s="151"/>
      <c r="QB8" s="151"/>
      <c r="QC8" s="151"/>
      <c r="QD8" s="151"/>
      <c r="QE8" s="151"/>
      <c r="QF8" s="151"/>
      <c r="QG8" s="151"/>
      <c r="QH8" s="151"/>
      <c r="QI8" s="151"/>
      <c r="QJ8" s="151"/>
      <c r="QK8" s="151"/>
      <c r="QL8" s="151"/>
      <c r="QM8" s="151"/>
      <c r="QN8" s="151"/>
      <c r="QO8" s="151"/>
      <c r="QP8" s="151"/>
      <c r="QQ8" s="151"/>
      <c r="QR8" s="151"/>
      <c r="QS8" s="151"/>
      <c r="QT8" s="151"/>
      <c r="QU8" s="151"/>
      <c r="QV8" s="151"/>
      <c r="QW8" s="151"/>
      <c r="QX8" s="151"/>
      <c r="QY8" s="151"/>
      <c r="QZ8" s="151"/>
      <c r="RA8" s="151"/>
      <c r="RB8" s="151"/>
      <c r="RC8" s="151"/>
      <c r="RD8" s="151"/>
      <c r="RE8" s="151"/>
      <c r="RF8" s="151"/>
      <c r="RG8" s="151"/>
      <c r="RH8" s="151"/>
      <c r="RI8" s="151"/>
      <c r="RJ8" s="151"/>
      <c r="RK8" s="151"/>
      <c r="RL8" s="151"/>
      <c r="RM8" s="151"/>
      <c r="RN8" s="151"/>
      <c r="RO8" s="151"/>
      <c r="RP8" s="151"/>
      <c r="RQ8" s="151"/>
      <c r="RR8" s="151"/>
      <c r="RS8" s="151"/>
      <c r="RT8" s="151"/>
      <c r="RU8" s="151"/>
      <c r="RV8" s="151"/>
      <c r="RW8" s="151"/>
      <c r="RX8" s="151"/>
      <c r="RY8" s="151"/>
      <c r="RZ8" s="151"/>
      <c r="SA8" s="151"/>
      <c r="SB8" s="151"/>
      <c r="SC8" s="151"/>
      <c r="SD8" s="151"/>
      <c r="SE8" s="151"/>
      <c r="SF8" s="151"/>
      <c r="SG8" s="151"/>
      <c r="SH8" s="151"/>
      <c r="SI8" s="151"/>
      <c r="SJ8" s="151"/>
      <c r="SK8" s="151"/>
      <c r="SL8" s="151"/>
      <c r="SM8" s="151"/>
      <c r="SN8" s="151"/>
      <c r="SO8" s="151"/>
      <c r="SP8" s="151"/>
      <c r="SQ8" s="151"/>
      <c r="SR8" s="151"/>
      <c r="SS8" s="151"/>
      <c r="ST8" s="151"/>
      <c r="SU8" s="151"/>
      <c r="SV8" s="151"/>
      <c r="SW8" s="151"/>
      <c r="SX8" s="151"/>
      <c r="SY8" s="151"/>
      <c r="SZ8" s="151"/>
      <c r="TA8" s="151"/>
      <c r="TB8" s="151"/>
      <c r="TC8" s="151"/>
      <c r="TD8" s="151"/>
      <c r="TE8" s="151"/>
      <c r="TF8" s="151"/>
      <c r="TG8" s="151"/>
      <c r="TH8" s="151"/>
      <c r="TI8" s="151"/>
      <c r="TJ8" s="151"/>
      <c r="TK8" s="151"/>
      <c r="TL8" s="151"/>
      <c r="TM8" s="151"/>
      <c r="TN8" s="151"/>
      <c r="TO8" s="151"/>
      <c r="TP8" s="151"/>
      <c r="TQ8" s="151"/>
      <c r="TR8" s="151"/>
      <c r="TS8" s="151"/>
      <c r="TT8" s="151"/>
      <c r="TU8" s="151"/>
      <c r="TV8" s="151"/>
      <c r="TW8" s="151"/>
      <c r="TX8" s="151"/>
      <c r="TY8" s="151"/>
      <c r="TZ8" s="151"/>
      <c r="UA8" s="151"/>
      <c r="UB8" s="151"/>
      <c r="UC8" s="151"/>
      <c r="UD8" s="151"/>
      <c r="UE8" s="151"/>
      <c r="UF8" s="151"/>
      <c r="UG8" s="151"/>
      <c r="UH8" s="151"/>
      <c r="UI8" s="151"/>
      <c r="UJ8" s="151"/>
      <c r="UK8" s="151"/>
      <c r="UL8" s="151"/>
      <c r="UM8" s="151"/>
      <c r="UN8" s="151"/>
      <c r="UO8" s="151"/>
      <c r="UP8" s="151"/>
      <c r="UQ8" s="151"/>
      <c r="UR8" s="151"/>
      <c r="US8" s="151"/>
      <c r="UT8" s="151"/>
      <c r="UU8" s="151"/>
      <c r="UV8" s="151"/>
      <c r="UW8" s="151"/>
      <c r="UX8" s="151"/>
      <c r="UY8" s="151"/>
      <c r="UZ8" s="151"/>
      <c r="VA8" s="151"/>
      <c r="VB8" s="151"/>
      <c r="VC8" s="151"/>
      <c r="VD8" s="151"/>
      <c r="VE8" s="151"/>
      <c r="VF8" s="151"/>
      <c r="VG8" s="151"/>
      <c r="VH8" s="151"/>
      <c r="VI8" s="151"/>
      <c r="VJ8" s="151"/>
      <c r="VK8" s="151"/>
      <c r="VL8" s="151"/>
      <c r="VM8" s="151"/>
      <c r="VN8" s="151"/>
      <c r="VO8" s="151"/>
      <c r="VP8" s="151"/>
      <c r="VQ8" s="151"/>
      <c r="VR8" s="151"/>
      <c r="VS8" s="151"/>
      <c r="VT8" s="151"/>
      <c r="VU8" s="151"/>
      <c r="VV8" s="151"/>
      <c r="VW8" s="151"/>
      <c r="VX8" s="151"/>
      <c r="VY8" s="151"/>
      <c r="VZ8" s="151"/>
      <c r="WA8" s="151"/>
      <c r="WB8" s="151"/>
      <c r="WC8" s="151"/>
      <c r="WD8" s="151"/>
      <c r="WE8" s="151"/>
      <c r="WF8" s="151"/>
      <c r="WG8" s="151"/>
      <c r="WH8" s="151"/>
      <c r="WI8" s="151"/>
      <c r="WJ8" s="151"/>
      <c r="WK8" s="151"/>
      <c r="WL8" s="151"/>
      <c r="WM8" s="151"/>
      <c r="WN8" s="151"/>
      <c r="WO8" s="151"/>
      <c r="WP8" s="151"/>
      <c r="WQ8" s="151"/>
      <c r="WR8" s="151"/>
      <c r="WS8" s="151"/>
      <c r="WT8" s="151"/>
      <c r="WU8" s="151"/>
      <c r="WV8" s="151"/>
      <c r="WW8" s="151"/>
      <c r="WX8" s="151"/>
      <c r="WY8" s="151"/>
      <c r="WZ8" s="151"/>
      <c r="XA8" s="151"/>
      <c r="XB8" s="151"/>
      <c r="XC8" s="151"/>
      <c r="XD8" s="151"/>
      <c r="XE8" s="151"/>
      <c r="XF8" s="151"/>
      <c r="XG8" s="151"/>
      <c r="XH8" s="151"/>
      <c r="XI8" s="151"/>
      <c r="XJ8" s="151"/>
      <c r="XK8" s="151"/>
      <c r="XL8" s="151"/>
      <c r="XM8" s="151"/>
      <c r="XN8" s="151"/>
      <c r="XO8" s="151"/>
      <c r="XP8" s="151"/>
      <c r="XQ8" s="151"/>
      <c r="XR8" s="151"/>
      <c r="XS8" s="151"/>
      <c r="XT8" s="151"/>
      <c r="XU8" s="151"/>
      <c r="XV8" s="151"/>
      <c r="XW8" s="151"/>
      <c r="XX8" s="151"/>
      <c r="XY8" s="151"/>
      <c r="XZ8" s="151"/>
      <c r="YA8" s="151"/>
      <c r="YB8" s="151"/>
      <c r="YC8" s="151"/>
      <c r="YD8" s="151"/>
      <c r="YE8" s="151"/>
      <c r="YF8" s="151"/>
      <c r="YG8" s="151"/>
      <c r="YH8" s="151"/>
      <c r="YI8" s="151"/>
      <c r="YJ8" s="151"/>
      <c r="YK8" s="151"/>
      <c r="YL8" s="151"/>
      <c r="YM8" s="151"/>
      <c r="YN8" s="151"/>
      <c r="YO8" s="151"/>
      <c r="YP8" s="151"/>
      <c r="YQ8" s="151"/>
      <c r="YR8" s="151"/>
      <c r="YS8" s="151"/>
      <c r="YT8" s="151"/>
      <c r="YU8" s="151"/>
      <c r="YV8" s="151"/>
      <c r="YW8" s="151"/>
      <c r="YX8" s="151"/>
      <c r="YY8" s="151"/>
      <c r="YZ8" s="151"/>
      <c r="ZA8" s="151"/>
      <c r="ZB8" s="151"/>
      <c r="ZC8" s="151"/>
      <c r="ZD8" s="151"/>
      <c r="ZE8" s="151"/>
      <c r="ZF8" s="151"/>
      <c r="ZG8" s="151"/>
      <c r="ZH8" s="151"/>
      <c r="ZI8" s="151"/>
      <c r="ZJ8" s="151"/>
      <c r="ZK8" s="151"/>
      <c r="ZL8" s="151"/>
      <c r="ZM8" s="151"/>
      <c r="ZN8" s="151"/>
      <c r="ZO8" s="151"/>
      <c r="ZP8" s="151"/>
      <c r="ZQ8" s="151"/>
      <c r="ZR8" s="151"/>
      <c r="ZS8" s="151"/>
      <c r="ZT8" s="151"/>
      <c r="ZU8" s="151"/>
      <c r="ZV8" s="151"/>
      <c r="ZW8" s="151"/>
      <c r="ZX8" s="151"/>
      <c r="ZY8" s="151"/>
      <c r="ZZ8" s="151"/>
      <c r="AAA8" s="151"/>
      <c r="AAB8" s="151"/>
      <c r="AAC8" s="151"/>
      <c r="AAD8" s="151"/>
      <c r="AAE8" s="151"/>
      <c r="AAF8" s="151"/>
      <c r="AAG8" s="151"/>
      <c r="AAH8" s="151"/>
      <c r="AAI8" s="151"/>
      <c r="AAJ8" s="151"/>
      <c r="AAK8" s="151"/>
      <c r="AAL8" s="151"/>
      <c r="AAM8" s="151"/>
      <c r="AAN8" s="151"/>
      <c r="AAO8" s="151"/>
      <c r="AAP8" s="151"/>
      <c r="AAQ8" s="151"/>
      <c r="AAR8" s="151"/>
      <c r="AAS8" s="151"/>
      <c r="AAT8" s="151"/>
      <c r="AAU8" s="151"/>
      <c r="AAV8" s="151"/>
      <c r="AAW8" s="151"/>
      <c r="AAX8" s="151"/>
      <c r="AAY8" s="151"/>
      <c r="AAZ8" s="151"/>
      <c r="ABA8" s="151"/>
      <c r="ABB8" s="151"/>
      <c r="ABC8" s="151"/>
      <c r="ABD8" s="151"/>
      <c r="ABE8" s="151"/>
      <c r="ABF8" s="151"/>
      <c r="ABG8" s="151"/>
      <c r="ABH8" s="151"/>
      <c r="ABI8" s="151"/>
      <c r="ABJ8" s="151"/>
      <c r="ABK8" s="151"/>
      <c r="ABL8" s="151"/>
      <c r="ABM8" s="151"/>
      <c r="ABN8" s="151"/>
      <c r="ABO8" s="151"/>
      <c r="ABP8" s="151"/>
      <c r="ABQ8" s="151"/>
      <c r="ABR8" s="151"/>
      <c r="ABS8" s="151"/>
      <c r="ABT8" s="151"/>
      <c r="ABU8" s="151"/>
      <c r="ABV8" s="151"/>
      <c r="ABW8" s="151"/>
      <c r="ABX8" s="151"/>
      <c r="ABY8" s="151"/>
      <c r="ABZ8" s="151"/>
      <c r="ACA8" s="151"/>
      <c r="ACB8" s="151"/>
      <c r="ACC8" s="151"/>
      <c r="ACD8" s="151"/>
      <c r="ACE8" s="151"/>
      <c r="ACF8" s="151"/>
      <c r="ACG8" s="151"/>
      <c r="ACH8" s="151"/>
      <c r="ACI8" s="151"/>
      <c r="ACJ8" s="151"/>
      <c r="ACK8" s="151"/>
      <c r="ACL8" s="151"/>
      <c r="ACM8" s="151"/>
      <c r="ACN8" s="151"/>
      <c r="ACO8" s="151"/>
      <c r="ACP8" s="151"/>
      <c r="ACQ8" s="151"/>
      <c r="ACR8" s="151"/>
      <c r="ACS8" s="151"/>
      <c r="ACT8" s="151"/>
      <c r="ACU8" s="151"/>
      <c r="ACV8" s="151"/>
      <c r="ACW8" s="151"/>
      <c r="ACX8" s="151"/>
      <c r="ACY8" s="151"/>
      <c r="ACZ8" s="151"/>
      <c r="ADA8" s="151"/>
      <c r="ADB8" s="151"/>
      <c r="ADC8" s="151"/>
      <c r="ADD8" s="151"/>
      <c r="ADE8" s="151"/>
      <c r="ADF8" s="151"/>
      <c r="ADG8" s="151"/>
      <c r="ADH8" s="151"/>
      <c r="ADI8" s="151"/>
      <c r="ADJ8" s="151"/>
      <c r="ADK8" s="151"/>
      <c r="ADL8" s="151"/>
      <c r="ADM8" s="151"/>
      <c r="ADN8" s="151"/>
      <c r="ADO8" s="151"/>
      <c r="ADP8" s="151"/>
      <c r="ADQ8" s="151"/>
      <c r="ADR8" s="151"/>
      <c r="ADS8" s="151"/>
      <c r="ADT8" s="151"/>
      <c r="ADU8" s="151"/>
      <c r="ADV8" s="151"/>
      <c r="ADW8" s="151"/>
      <c r="ADX8" s="151"/>
      <c r="ADY8" s="151"/>
      <c r="ADZ8" s="151"/>
      <c r="AEA8" s="151"/>
      <c r="AEB8" s="151"/>
      <c r="AEC8" s="151"/>
      <c r="AED8" s="151"/>
      <c r="AEE8" s="151"/>
      <c r="AEF8" s="151"/>
      <c r="AEG8" s="151"/>
      <c r="AEH8" s="151"/>
      <c r="AEI8" s="151"/>
      <c r="AEJ8" s="151"/>
      <c r="AEK8" s="151"/>
      <c r="AEL8" s="151"/>
      <c r="AEM8" s="151"/>
      <c r="AEN8" s="151"/>
      <c r="AEO8" s="151"/>
      <c r="AEP8" s="151"/>
      <c r="AEQ8" s="151"/>
      <c r="AER8" s="151"/>
      <c r="AES8" s="151"/>
      <c r="AET8" s="151"/>
      <c r="AEU8" s="151"/>
      <c r="AEV8" s="151"/>
      <c r="AEW8" s="151"/>
      <c r="AEX8" s="151"/>
      <c r="AEY8" s="151"/>
      <c r="AEZ8" s="151"/>
      <c r="AFA8" s="151"/>
      <c r="AFB8" s="151"/>
      <c r="AFC8" s="151"/>
      <c r="AFD8" s="151"/>
      <c r="AFE8" s="151"/>
      <c r="AFF8" s="151"/>
      <c r="AFG8" s="151"/>
      <c r="AFH8" s="151"/>
      <c r="AFI8" s="151"/>
      <c r="AFJ8" s="151"/>
      <c r="AFK8" s="151"/>
      <c r="AFL8" s="151"/>
      <c r="AFM8" s="151"/>
      <c r="AFN8" s="151"/>
      <c r="AFO8" s="151"/>
      <c r="AFP8" s="151"/>
      <c r="AFQ8" s="151"/>
      <c r="AFR8" s="151"/>
      <c r="AFS8" s="151"/>
      <c r="AFT8" s="151"/>
      <c r="AFU8" s="151"/>
      <c r="AFV8" s="151"/>
      <c r="AFW8" s="151"/>
      <c r="AFX8" s="151"/>
      <c r="AFY8" s="151"/>
      <c r="AFZ8" s="151"/>
      <c r="AGA8" s="151"/>
      <c r="AGB8" s="151"/>
      <c r="AGC8" s="151"/>
      <c r="AGD8" s="151"/>
      <c r="AGE8" s="151"/>
      <c r="AGF8" s="151"/>
      <c r="AGG8" s="151"/>
      <c r="AGH8" s="151"/>
      <c r="AGI8" s="151"/>
      <c r="AGJ8" s="151"/>
      <c r="AGK8" s="151"/>
      <c r="AGL8" s="151"/>
      <c r="AGM8" s="151"/>
      <c r="AGN8" s="151"/>
      <c r="AGO8" s="151"/>
      <c r="AGP8" s="151"/>
      <c r="AGQ8" s="151"/>
      <c r="AGR8" s="151"/>
      <c r="AGS8" s="151"/>
      <c r="AGT8" s="151"/>
      <c r="AGU8" s="151"/>
      <c r="AGV8" s="151"/>
      <c r="AGW8" s="151"/>
      <c r="AGX8" s="151"/>
      <c r="AGY8" s="151"/>
      <c r="AGZ8" s="151"/>
      <c r="AHA8" s="151"/>
      <c r="AHB8" s="151"/>
      <c r="AHC8" s="151"/>
      <c r="AHD8" s="151"/>
      <c r="AHE8" s="151"/>
      <c r="AHF8" s="151"/>
      <c r="AHG8" s="151"/>
      <c r="AHH8" s="151"/>
      <c r="AHI8" s="151"/>
      <c r="AHJ8" s="151"/>
      <c r="AHK8" s="151"/>
      <c r="AHL8" s="151"/>
      <c r="AHM8" s="151"/>
      <c r="AHN8" s="151"/>
      <c r="AHO8" s="151"/>
      <c r="AHP8" s="151"/>
      <c r="AHQ8" s="151"/>
      <c r="AHR8" s="151"/>
      <c r="AHS8" s="151"/>
      <c r="AHT8" s="151"/>
      <c r="AHU8" s="151"/>
      <c r="AHV8" s="151"/>
      <c r="AHW8" s="151"/>
      <c r="AHX8" s="151"/>
      <c r="AHY8" s="151"/>
      <c r="AHZ8" s="151"/>
      <c r="AIA8" s="151"/>
      <c r="AIB8" s="151"/>
      <c r="AIC8" s="151"/>
      <c r="AID8" s="151"/>
      <c r="AIE8" s="151"/>
      <c r="AIF8" s="151"/>
      <c r="AIG8" s="151"/>
      <c r="AIH8" s="151"/>
      <c r="AII8" s="151"/>
      <c r="AIJ8" s="151"/>
      <c r="AIK8" s="151"/>
      <c r="AIL8" s="151"/>
      <c r="AIM8" s="151"/>
      <c r="AIN8" s="151"/>
      <c r="AIO8" s="151"/>
      <c r="AIP8" s="151"/>
      <c r="AIQ8" s="151"/>
      <c r="AIR8" s="151"/>
      <c r="AIS8" s="151"/>
      <c r="AIT8" s="151"/>
      <c r="AIU8" s="151"/>
      <c r="AIV8" s="151"/>
      <c r="AIW8" s="151"/>
      <c r="AIX8" s="151"/>
      <c r="AIY8" s="151"/>
      <c r="AIZ8" s="151"/>
      <c r="AJA8" s="151"/>
      <c r="AJB8" s="151"/>
      <c r="AJC8" s="151"/>
      <c r="AJD8" s="151"/>
      <c r="AJE8" s="151"/>
      <c r="AJF8" s="151"/>
      <c r="AJG8" s="151"/>
      <c r="AJH8" s="151"/>
      <c r="AJI8" s="151"/>
      <c r="AJJ8" s="151"/>
      <c r="AJK8" s="151"/>
      <c r="AJL8" s="151"/>
      <c r="AJM8" s="151"/>
      <c r="AJN8" s="151"/>
      <c r="AJO8" s="151"/>
      <c r="AJP8" s="151"/>
      <c r="AJQ8" s="151"/>
      <c r="AJR8" s="151"/>
      <c r="AJS8" s="151"/>
      <c r="AJT8" s="151"/>
      <c r="AJU8" s="151"/>
      <c r="AJV8" s="151"/>
      <c r="AJW8" s="151"/>
      <c r="AJX8" s="151"/>
      <c r="AJY8" s="151"/>
      <c r="AJZ8" s="151"/>
      <c r="AKA8" s="151"/>
      <c r="AKB8" s="151"/>
      <c r="AKC8" s="151"/>
      <c r="AKD8" s="151"/>
      <c r="AKE8" s="151"/>
      <c r="AKF8" s="151"/>
      <c r="AKG8" s="151"/>
      <c r="AKH8" s="151"/>
      <c r="AKI8" s="151"/>
      <c r="AKJ8" s="151"/>
      <c r="AKK8" s="151"/>
      <c r="AKL8" s="151"/>
      <c r="AKM8" s="151"/>
      <c r="AKN8" s="151"/>
      <c r="AKO8" s="151"/>
      <c r="AKP8" s="151"/>
      <c r="AKQ8" s="151"/>
      <c r="AKR8" s="151"/>
      <c r="AKS8" s="151"/>
      <c r="AKT8" s="151"/>
      <c r="AKU8" s="151"/>
      <c r="AKV8" s="151"/>
      <c r="AKW8" s="151"/>
      <c r="AKX8" s="151"/>
      <c r="AKY8" s="151"/>
      <c r="AKZ8" s="151"/>
      <c r="ALA8" s="151"/>
      <c r="ALB8" s="151"/>
      <c r="ALC8" s="151"/>
      <c r="ALD8" s="151"/>
      <c r="ALE8" s="151"/>
      <c r="ALF8" s="151"/>
      <c r="ALG8" s="151"/>
      <c r="ALH8" s="151"/>
      <c r="ALI8" s="151"/>
      <c r="ALJ8" s="151"/>
      <c r="ALK8" s="151"/>
      <c r="ALL8" s="151"/>
      <c r="ALM8" s="151"/>
      <c r="ALN8" s="151"/>
      <c r="ALO8" s="151"/>
      <c r="ALP8" s="151"/>
      <c r="ALQ8" s="151"/>
      <c r="ALR8" s="151"/>
      <c r="ALS8" s="151"/>
      <c r="ALT8" s="151"/>
      <c r="ALU8" s="151"/>
      <c r="ALV8" s="151"/>
      <c r="ALW8" s="151"/>
      <c r="ALX8" s="151"/>
      <c r="ALY8" s="151"/>
      <c r="ALZ8" s="151"/>
      <c r="AMA8" s="151"/>
      <c r="AMB8" s="151"/>
      <c r="AMC8" s="151"/>
      <c r="AMD8" s="151"/>
      <c r="AME8" s="151"/>
      <c r="AMF8" s="151"/>
      <c r="AMG8" s="151"/>
      <c r="AMH8" s="151"/>
      <c r="AMI8" s="151"/>
      <c r="AMJ8" s="151"/>
      <c r="AMK8" s="151"/>
      <c r="AML8" s="151"/>
      <c r="AMM8" s="151"/>
      <c r="AMN8" s="151"/>
      <c r="AMO8" s="151"/>
      <c r="AMP8" s="151"/>
      <c r="AMQ8" s="151"/>
      <c r="AMR8" s="151"/>
      <c r="AMS8" s="151"/>
      <c r="AMT8" s="151"/>
      <c r="AMU8" s="151"/>
      <c r="AMV8" s="151"/>
      <c r="AMW8" s="151"/>
      <c r="AMX8" s="151"/>
      <c r="AMY8" s="151"/>
      <c r="AMZ8" s="151"/>
      <c r="ANA8" s="151"/>
      <c r="ANB8" s="151"/>
      <c r="ANC8" s="151"/>
      <c r="AND8" s="151"/>
      <c r="ANE8" s="151"/>
      <c r="ANF8" s="151"/>
      <c r="ANG8" s="151"/>
      <c r="ANH8" s="151"/>
      <c r="ANI8" s="151"/>
      <c r="ANJ8" s="151"/>
      <c r="ANK8" s="151"/>
      <c r="ANL8" s="151"/>
      <c r="ANM8" s="151"/>
      <c r="ANN8" s="151"/>
      <c r="ANO8" s="151"/>
      <c r="ANP8" s="151"/>
      <c r="ANQ8" s="151"/>
      <c r="ANR8" s="151"/>
      <c r="ANS8" s="151"/>
      <c r="ANT8" s="151"/>
      <c r="ANU8" s="151"/>
      <c r="ANV8" s="151"/>
      <c r="ANW8" s="151"/>
      <c r="ANX8" s="151"/>
      <c r="ANY8" s="151"/>
      <c r="ANZ8" s="151"/>
      <c r="AOA8" s="151"/>
      <c r="AOB8" s="151"/>
      <c r="AOC8" s="151"/>
      <c r="AOD8" s="151"/>
      <c r="AOE8" s="151"/>
      <c r="AOF8" s="151"/>
      <c r="AOG8" s="151"/>
      <c r="AOH8" s="151"/>
      <c r="AOI8" s="151"/>
      <c r="AOJ8" s="151"/>
      <c r="AOK8" s="151"/>
      <c r="AOL8" s="151"/>
      <c r="AOM8" s="151"/>
      <c r="AON8" s="151"/>
      <c r="AOO8" s="151"/>
      <c r="AOP8" s="151"/>
      <c r="AOQ8" s="151"/>
      <c r="AOR8" s="151"/>
      <c r="AOS8" s="151"/>
      <c r="AOT8" s="151"/>
      <c r="AOU8" s="151"/>
      <c r="AOV8" s="151"/>
      <c r="AOW8" s="151"/>
      <c r="AOX8" s="151"/>
      <c r="AOY8" s="151"/>
      <c r="AOZ8" s="151"/>
      <c r="APA8" s="151"/>
      <c r="APB8" s="151"/>
      <c r="APC8" s="151"/>
      <c r="APD8" s="151"/>
      <c r="APE8" s="151"/>
      <c r="APF8" s="151"/>
      <c r="APG8" s="151"/>
      <c r="APH8" s="151"/>
      <c r="API8" s="151"/>
      <c r="APJ8" s="151"/>
      <c r="APK8" s="151"/>
      <c r="APL8" s="151"/>
      <c r="APM8" s="151"/>
      <c r="APN8" s="151"/>
      <c r="APO8" s="151"/>
      <c r="APP8" s="151"/>
      <c r="APQ8" s="151"/>
      <c r="APR8" s="151"/>
      <c r="APS8" s="151"/>
      <c r="APT8" s="151"/>
      <c r="APU8" s="151"/>
      <c r="APV8" s="151"/>
      <c r="APW8" s="151"/>
      <c r="APX8" s="151"/>
      <c r="APY8" s="151"/>
      <c r="APZ8" s="151"/>
      <c r="AQA8" s="151"/>
      <c r="AQB8" s="151"/>
      <c r="AQC8" s="151"/>
      <c r="AQD8" s="151"/>
      <c r="AQE8" s="151"/>
      <c r="AQF8" s="151"/>
      <c r="AQG8" s="151"/>
      <c r="AQH8" s="151"/>
      <c r="AQI8" s="151"/>
      <c r="AQJ8" s="151"/>
      <c r="AQK8" s="151"/>
      <c r="AQL8" s="151"/>
      <c r="AQM8" s="151"/>
      <c r="AQN8" s="151"/>
      <c r="AQO8" s="151"/>
      <c r="AQP8" s="151"/>
      <c r="AQQ8" s="151"/>
      <c r="AQR8" s="151"/>
      <c r="AQS8" s="151"/>
      <c r="AQT8" s="151"/>
      <c r="AQU8" s="151"/>
      <c r="AQV8" s="151"/>
      <c r="AQW8" s="151"/>
      <c r="AQX8" s="151"/>
      <c r="AQY8" s="151"/>
      <c r="AQZ8" s="151"/>
      <c r="ARA8" s="151"/>
      <c r="ARB8" s="151"/>
      <c r="ARC8" s="151"/>
      <c r="ARD8" s="151"/>
      <c r="ARE8" s="151"/>
      <c r="ARF8" s="151"/>
      <c r="ARG8" s="151"/>
      <c r="ARH8" s="151"/>
      <c r="ARI8" s="151"/>
      <c r="ARJ8" s="151"/>
      <c r="ARK8" s="151"/>
      <c r="ARL8" s="151"/>
      <c r="ARM8" s="151"/>
      <c r="ARN8" s="151"/>
      <c r="ARO8" s="151"/>
      <c r="ARP8" s="151"/>
      <c r="ARQ8" s="151"/>
      <c r="ARR8" s="151"/>
      <c r="ARS8" s="151"/>
      <c r="ART8" s="151"/>
      <c r="ARU8" s="151"/>
      <c r="ARV8" s="151"/>
      <c r="ARW8" s="151"/>
      <c r="ARX8" s="151"/>
      <c r="ARY8" s="151"/>
      <c r="ARZ8" s="151"/>
      <c r="ASA8" s="151"/>
      <c r="ASB8" s="151"/>
      <c r="ASC8" s="151"/>
      <c r="ASD8" s="151"/>
      <c r="ASE8" s="151"/>
      <c r="ASF8" s="151"/>
      <c r="ASG8" s="151"/>
      <c r="ASH8" s="151"/>
      <c r="ASI8" s="151"/>
      <c r="ASJ8" s="151"/>
      <c r="ASK8" s="151"/>
      <c r="ASL8" s="151"/>
      <c r="ASM8" s="151"/>
      <c r="ASN8" s="151"/>
      <c r="ASO8" s="151"/>
      <c r="ASP8" s="151"/>
      <c r="ASQ8" s="151"/>
      <c r="ASR8" s="151"/>
      <c r="ASS8" s="151"/>
      <c r="AST8" s="151"/>
      <c r="ASU8" s="151"/>
      <c r="ASV8" s="151"/>
      <c r="ASW8" s="151"/>
      <c r="ASX8" s="151"/>
      <c r="ASY8" s="151"/>
      <c r="ASZ8" s="151"/>
      <c r="ATA8" s="151"/>
      <c r="ATB8" s="151"/>
      <c r="ATC8" s="151"/>
      <c r="ATD8" s="151"/>
      <c r="ATE8" s="151"/>
      <c r="ATF8" s="151"/>
      <c r="ATG8" s="151"/>
      <c r="ATH8" s="151"/>
      <c r="ATI8" s="151"/>
      <c r="ATJ8" s="151"/>
      <c r="ATK8" s="151"/>
      <c r="ATL8" s="151"/>
      <c r="ATM8" s="151"/>
      <c r="ATN8" s="151"/>
      <c r="ATO8" s="151"/>
      <c r="ATP8" s="151"/>
      <c r="ATQ8" s="151"/>
      <c r="ATR8" s="151"/>
      <c r="ATS8" s="151"/>
      <c r="ATT8" s="151"/>
      <c r="ATU8" s="151"/>
      <c r="ATV8" s="151"/>
      <c r="ATW8" s="151"/>
      <c r="ATX8" s="151"/>
      <c r="ATY8" s="151"/>
      <c r="ATZ8" s="151"/>
      <c r="AUA8" s="151"/>
      <c r="AUB8" s="151"/>
      <c r="AUC8" s="151"/>
      <c r="AUD8" s="151"/>
      <c r="AUE8" s="151"/>
      <c r="AUF8" s="151"/>
      <c r="AUG8" s="151"/>
      <c r="AUH8" s="151"/>
      <c r="AUI8" s="151"/>
      <c r="AUJ8" s="151"/>
      <c r="AUK8" s="151"/>
      <c r="AUL8" s="151"/>
      <c r="AUM8" s="151"/>
      <c r="AUN8" s="151"/>
      <c r="AUO8" s="151"/>
      <c r="AUP8" s="151"/>
      <c r="AUQ8" s="151"/>
      <c r="AUR8" s="151"/>
      <c r="AUS8" s="151"/>
      <c r="AUT8" s="151"/>
      <c r="AUU8" s="151"/>
      <c r="AUV8" s="151"/>
      <c r="AUW8" s="151"/>
      <c r="AUX8" s="151"/>
      <c r="AUY8" s="151"/>
      <c r="AUZ8" s="151"/>
      <c r="AVA8" s="151"/>
      <c r="AVB8" s="151"/>
      <c r="AVC8" s="151"/>
      <c r="AVD8" s="151"/>
      <c r="AVE8" s="151"/>
      <c r="AVF8" s="151"/>
      <c r="AVG8" s="151"/>
      <c r="AVH8" s="151"/>
      <c r="AVI8" s="151"/>
      <c r="AVJ8" s="151"/>
      <c r="AVK8" s="151"/>
      <c r="AVL8" s="151"/>
      <c r="AVM8" s="151"/>
      <c r="AVN8" s="151"/>
      <c r="AVO8" s="151"/>
      <c r="AVP8" s="151"/>
      <c r="AVQ8" s="151"/>
      <c r="AVR8" s="151"/>
      <c r="AVS8" s="151"/>
      <c r="AVT8" s="151"/>
      <c r="AVU8" s="151"/>
      <c r="AVV8" s="151"/>
      <c r="AVW8" s="151"/>
      <c r="AVX8" s="151"/>
      <c r="AVY8" s="151"/>
      <c r="AVZ8" s="151"/>
      <c r="AWA8" s="151"/>
      <c r="AWB8" s="151"/>
      <c r="AWC8" s="151"/>
      <c r="AWD8" s="151"/>
      <c r="AWE8" s="151"/>
      <c r="AWF8" s="151"/>
      <c r="AWG8" s="151"/>
      <c r="AWH8" s="151"/>
      <c r="AWI8" s="151"/>
      <c r="AWJ8" s="151"/>
      <c r="AWK8" s="151"/>
      <c r="AWL8" s="151"/>
      <c r="AWM8" s="151"/>
      <c r="AWN8" s="151"/>
      <c r="AWO8" s="151"/>
      <c r="AWP8" s="151"/>
      <c r="AWQ8" s="151"/>
      <c r="AWR8" s="151"/>
      <c r="AWS8" s="151"/>
      <c r="AWT8" s="151"/>
      <c r="AWU8" s="151"/>
      <c r="AWV8" s="151"/>
      <c r="AWW8" s="151"/>
      <c r="AWX8" s="151"/>
      <c r="AWY8" s="151"/>
      <c r="AWZ8" s="151"/>
      <c r="AXA8" s="151"/>
      <c r="AXB8" s="151"/>
      <c r="AXC8" s="151"/>
      <c r="AXD8" s="151"/>
      <c r="AXE8" s="151"/>
      <c r="AXF8" s="151"/>
      <c r="AXG8" s="151"/>
      <c r="AXH8" s="151"/>
      <c r="AXI8" s="151"/>
      <c r="AXJ8" s="151"/>
      <c r="AXK8" s="151"/>
      <c r="AXL8" s="151"/>
      <c r="AXM8" s="151"/>
      <c r="AXN8" s="151"/>
      <c r="AXO8" s="151"/>
      <c r="AXP8" s="151"/>
      <c r="AXQ8" s="151"/>
      <c r="AXR8" s="151"/>
      <c r="AXS8" s="151"/>
      <c r="AXT8" s="151"/>
      <c r="AXU8" s="151"/>
      <c r="AXV8" s="151"/>
      <c r="AXW8" s="151"/>
      <c r="AXX8" s="151"/>
      <c r="AXY8" s="151"/>
      <c r="AXZ8" s="151"/>
      <c r="AYA8" s="151"/>
      <c r="AYB8" s="151"/>
      <c r="AYC8" s="151"/>
      <c r="AYD8" s="151"/>
      <c r="AYE8" s="151"/>
      <c r="AYF8" s="151"/>
      <c r="AYG8" s="151"/>
      <c r="AYH8" s="151"/>
      <c r="AYI8" s="151"/>
      <c r="AYJ8" s="151"/>
      <c r="AYK8" s="151"/>
      <c r="AYL8" s="151"/>
      <c r="AYM8" s="151"/>
      <c r="AYN8" s="151"/>
      <c r="AYO8" s="151"/>
      <c r="AYP8" s="151"/>
      <c r="AYQ8" s="151"/>
      <c r="AYR8" s="151"/>
      <c r="AYS8" s="151"/>
      <c r="AYT8" s="151"/>
      <c r="AYU8" s="151"/>
      <c r="AYV8" s="151"/>
      <c r="AYW8" s="151"/>
      <c r="AYX8" s="151"/>
      <c r="AYY8" s="151"/>
      <c r="AYZ8" s="151"/>
      <c r="AZA8" s="151"/>
      <c r="AZB8" s="151"/>
      <c r="AZC8" s="151"/>
      <c r="AZD8" s="151"/>
      <c r="AZE8" s="151"/>
      <c r="AZF8" s="151"/>
      <c r="AZG8" s="151"/>
      <c r="AZH8" s="151"/>
      <c r="AZI8" s="151"/>
      <c r="AZJ8" s="151"/>
      <c r="AZK8" s="151"/>
      <c r="AZL8" s="151"/>
      <c r="AZM8" s="151"/>
      <c r="AZN8" s="151"/>
      <c r="AZO8" s="151"/>
      <c r="AZP8" s="151"/>
      <c r="AZQ8" s="151"/>
      <c r="AZR8" s="151"/>
      <c r="AZS8" s="151"/>
      <c r="AZT8" s="151"/>
      <c r="AZU8" s="151"/>
      <c r="AZV8" s="151"/>
      <c r="AZW8" s="151"/>
      <c r="AZX8" s="151"/>
      <c r="AZY8" s="151"/>
      <c r="AZZ8" s="151"/>
      <c r="BAA8" s="151"/>
      <c r="BAB8" s="151"/>
      <c r="BAC8" s="151"/>
      <c r="BAD8" s="151"/>
      <c r="BAE8" s="151"/>
      <c r="BAF8" s="151"/>
      <c r="BAG8" s="151"/>
      <c r="BAH8" s="151"/>
      <c r="BAI8" s="151"/>
      <c r="BAJ8" s="151"/>
      <c r="BAK8" s="151"/>
      <c r="BAL8" s="151"/>
      <c r="BAM8" s="151"/>
      <c r="BAN8" s="151"/>
      <c r="BAO8" s="151"/>
      <c r="BAP8" s="151"/>
      <c r="BAQ8" s="151"/>
      <c r="BAR8" s="151"/>
      <c r="BAS8" s="151"/>
      <c r="BAT8" s="151"/>
      <c r="BAU8" s="151"/>
      <c r="BAV8" s="151"/>
      <c r="BAW8" s="151"/>
      <c r="BAX8" s="151"/>
      <c r="BAY8" s="151"/>
      <c r="BAZ8" s="151"/>
      <c r="BBA8" s="151"/>
      <c r="BBB8" s="151"/>
      <c r="BBC8" s="151"/>
      <c r="BBD8" s="151"/>
      <c r="BBE8" s="151"/>
      <c r="BBF8" s="151"/>
      <c r="BBG8" s="151"/>
      <c r="BBH8" s="151"/>
      <c r="BBI8" s="151"/>
      <c r="BBJ8" s="151"/>
      <c r="BBK8" s="151"/>
      <c r="BBL8" s="151"/>
      <c r="BBM8" s="151"/>
      <c r="BBN8" s="151"/>
      <c r="BBO8" s="151"/>
      <c r="BBP8" s="151"/>
      <c r="BBQ8" s="151"/>
      <c r="BBR8" s="151"/>
      <c r="BBS8" s="151"/>
      <c r="BBT8" s="151"/>
      <c r="BBU8" s="151"/>
      <c r="BBV8" s="151"/>
      <c r="BBW8" s="151"/>
      <c r="BBX8" s="151"/>
      <c r="BBY8" s="151"/>
      <c r="BBZ8" s="151"/>
      <c r="BCA8" s="151"/>
      <c r="BCB8" s="151"/>
      <c r="BCC8" s="151"/>
      <c r="BCD8" s="151"/>
      <c r="BCE8" s="151"/>
      <c r="BCF8" s="151"/>
      <c r="BCG8" s="151"/>
      <c r="BCH8" s="151"/>
      <c r="BCI8" s="151"/>
      <c r="BCJ8" s="151"/>
      <c r="BCK8" s="151"/>
      <c r="BCL8" s="151"/>
      <c r="BCM8" s="151"/>
      <c r="BCN8" s="151"/>
      <c r="BCO8" s="151"/>
      <c r="BCP8" s="151"/>
      <c r="BCQ8" s="151"/>
      <c r="BCR8" s="151"/>
      <c r="BCS8" s="151"/>
      <c r="BCT8" s="151"/>
      <c r="BCU8" s="151"/>
      <c r="BCV8" s="151"/>
      <c r="BCW8" s="151"/>
      <c r="BCX8" s="151"/>
      <c r="BCY8" s="151"/>
      <c r="BCZ8" s="151"/>
      <c r="BDA8" s="151"/>
      <c r="BDB8" s="151"/>
      <c r="BDC8" s="151"/>
      <c r="BDD8" s="151"/>
      <c r="BDE8" s="151"/>
      <c r="BDF8" s="151"/>
      <c r="BDG8" s="151"/>
      <c r="BDH8" s="151"/>
      <c r="BDI8" s="151"/>
      <c r="BDJ8" s="151"/>
      <c r="BDK8" s="151"/>
      <c r="BDL8" s="151"/>
      <c r="BDM8" s="151"/>
      <c r="BDN8" s="151"/>
      <c r="BDO8" s="151"/>
      <c r="BDP8" s="151"/>
      <c r="BDQ8" s="151"/>
      <c r="BDR8" s="151"/>
      <c r="BDS8" s="151"/>
      <c r="BDT8" s="151"/>
      <c r="BDU8" s="151"/>
      <c r="BDV8" s="151"/>
      <c r="BDW8" s="151"/>
      <c r="BDX8" s="151"/>
      <c r="BDY8" s="151"/>
      <c r="BDZ8" s="151"/>
      <c r="BEA8" s="151"/>
      <c r="BEB8" s="151"/>
      <c r="BEC8" s="151"/>
      <c r="BED8" s="151"/>
      <c r="BEE8" s="151"/>
      <c r="BEF8" s="151"/>
      <c r="BEG8" s="151"/>
      <c r="BEH8" s="151"/>
      <c r="BEI8" s="151"/>
      <c r="BEJ8" s="151"/>
      <c r="BEK8" s="151"/>
      <c r="BEL8" s="151"/>
      <c r="BEM8" s="151"/>
      <c r="BEN8" s="151"/>
      <c r="BEO8" s="151"/>
      <c r="BEP8" s="151"/>
      <c r="BEQ8" s="151"/>
      <c r="BER8" s="151"/>
      <c r="BES8" s="151"/>
      <c r="BET8" s="151"/>
      <c r="BEU8" s="151"/>
      <c r="BEV8" s="151"/>
      <c r="BEW8" s="151"/>
      <c r="BEX8" s="151"/>
      <c r="BEY8" s="151"/>
      <c r="BEZ8" s="151"/>
      <c r="BFA8" s="151"/>
      <c r="BFB8" s="151"/>
      <c r="BFC8" s="151"/>
      <c r="BFD8" s="151"/>
      <c r="BFE8" s="151"/>
      <c r="BFF8" s="151"/>
      <c r="BFG8" s="151"/>
      <c r="BFH8" s="151"/>
      <c r="BFI8" s="151"/>
      <c r="BFJ8" s="151"/>
      <c r="BFK8" s="151"/>
      <c r="BFL8" s="151"/>
      <c r="BFM8" s="151"/>
      <c r="BFN8" s="151"/>
      <c r="BFO8" s="151"/>
      <c r="BFP8" s="151"/>
      <c r="BFQ8" s="151"/>
      <c r="BFR8" s="151"/>
      <c r="BFS8" s="151"/>
      <c r="BFT8" s="151"/>
      <c r="BFU8" s="151"/>
      <c r="BFV8" s="151"/>
      <c r="BFW8" s="151"/>
      <c r="BFX8" s="151"/>
      <c r="BFY8" s="151"/>
      <c r="BFZ8" s="151"/>
      <c r="BGA8" s="151"/>
      <c r="BGB8" s="151"/>
      <c r="BGC8" s="151"/>
      <c r="BGD8" s="151"/>
      <c r="BGE8" s="151"/>
      <c r="BGF8" s="151"/>
      <c r="BGG8" s="151"/>
      <c r="BGH8" s="151"/>
      <c r="BGI8" s="151"/>
      <c r="BGJ8" s="151"/>
      <c r="BGK8" s="151"/>
      <c r="BGL8" s="151"/>
      <c r="BGM8" s="151"/>
      <c r="BGN8" s="151"/>
      <c r="BGO8" s="151"/>
      <c r="BGP8" s="151"/>
      <c r="BGQ8" s="151"/>
      <c r="BGR8" s="151"/>
      <c r="BGS8" s="151"/>
      <c r="BGT8" s="151"/>
      <c r="BGU8" s="151"/>
      <c r="BGV8" s="151"/>
      <c r="BGW8" s="151"/>
      <c r="BGX8" s="151"/>
      <c r="BGY8" s="151"/>
      <c r="BGZ8" s="151"/>
      <c r="BHA8" s="151"/>
      <c r="BHB8" s="151"/>
      <c r="BHC8" s="151"/>
      <c r="BHD8" s="151"/>
      <c r="BHE8" s="151"/>
      <c r="BHF8" s="151"/>
      <c r="BHG8" s="151"/>
      <c r="BHH8" s="151"/>
      <c r="BHI8" s="151"/>
      <c r="BHJ8" s="151"/>
      <c r="BHK8" s="151"/>
      <c r="BHL8" s="151"/>
      <c r="BHM8" s="151"/>
      <c r="BHN8" s="151"/>
      <c r="BHO8" s="151"/>
      <c r="BHP8" s="151"/>
      <c r="BHQ8" s="151"/>
      <c r="BHR8" s="151"/>
      <c r="BHS8" s="151"/>
      <c r="BHT8" s="151"/>
      <c r="BHU8" s="151"/>
      <c r="BHV8" s="151"/>
      <c r="BHW8" s="151"/>
      <c r="BHX8" s="151"/>
      <c r="BHY8" s="151"/>
      <c r="BHZ8" s="151"/>
      <c r="BIA8" s="151"/>
      <c r="BIB8" s="151"/>
      <c r="BIC8" s="151"/>
      <c r="BID8" s="151"/>
      <c r="BIE8" s="151"/>
      <c r="BIF8" s="151"/>
      <c r="BIG8" s="151"/>
      <c r="BIH8" s="151"/>
      <c r="BII8" s="151"/>
      <c r="BIJ8" s="151"/>
      <c r="BIK8" s="151"/>
      <c r="BIL8" s="151"/>
      <c r="BIM8" s="151"/>
      <c r="BIN8" s="151"/>
      <c r="BIO8" s="151"/>
      <c r="BIP8" s="151"/>
      <c r="BIQ8" s="151"/>
      <c r="BIR8" s="151"/>
      <c r="BIS8" s="151"/>
      <c r="BIT8" s="151"/>
      <c r="BIU8" s="151"/>
      <c r="BIV8" s="151"/>
      <c r="BIW8" s="151"/>
      <c r="BIX8" s="151"/>
      <c r="BIY8" s="151"/>
      <c r="BIZ8" s="151"/>
      <c r="BJA8" s="151"/>
      <c r="BJB8" s="151"/>
      <c r="BJC8" s="151"/>
      <c r="BJD8" s="151"/>
      <c r="BJE8" s="151"/>
      <c r="BJF8" s="151"/>
      <c r="BJG8" s="151"/>
      <c r="BJH8" s="151"/>
      <c r="BJI8" s="151"/>
      <c r="BJJ8" s="151"/>
      <c r="BJK8" s="151"/>
      <c r="BJL8" s="151"/>
      <c r="BJM8" s="151"/>
      <c r="BJN8" s="151"/>
      <c r="BJO8" s="151"/>
      <c r="BJP8" s="151"/>
      <c r="BJQ8" s="151"/>
      <c r="BJR8" s="151"/>
      <c r="BJS8" s="151"/>
      <c r="BJT8" s="151"/>
      <c r="BJU8" s="151"/>
      <c r="BJV8" s="151"/>
      <c r="BJW8" s="151"/>
      <c r="BJX8" s="151"/>
      <c r="BJY8" s="151"/>
      <c r="BJZ8" s="151"/>
      <c r="BKA8" s="151"/>
      <c r="BKB8" s="151"/>
      <c r="BKC8" s="151"/>
      <c r="BKD8" s="151"/>
      <c r="BKE8" s="151"/>
      <c r="BKF8" s="151"/>
      <c r="BKG8" s="151"/>
      <c r="BKH8" s="151"/>
      <c r="BKI8" s="151"/>
      <c r="BKJ8" s="151"/>
      <c r="BKK8" s="151"/>
      <c r="BKL8" s="151"/>
      <c r="BKM8" s="151"/>
      <c r="BKN8" s="151"/>
      <c r="BKO8" s="151"/>
      <c r="BKP8" s="151"/>
      <c r="BKQ8" s="151"/>
      <c r="BKR8" s="151"/>
      <c r="BKS8" s="151"/>
      <c r="BKT8" s="151"/>
      <c r="BKU8" s="151"/>
      <c r="BKV8" s="151"/>
      <c r="BKW8" s="151"/>
      <c r="BKX8" s="151"/>
      <c r="BKY8" s="151"/>
      <c r="BKZ8" s="151"/>
      <c r="BLA8" s="151"/>
      <c r="BLB8" s="151"/>
      <c r="BLC8" s="151"/>
      <c r="BLD8" s="151"/>
      <c r="BLE8" s="151"/>
      <c r="BLF8" s="151"/>
      <c r="BLG8" s="151"/>
      <c r="BLH8" s="151"/>
      <c r="BLI8" s="151"/>
      <c r="BLJ8" s="151"/>
      <c r="BLK8" s="151"/>
      <c r="BLL8" s="151"/>
      <c r="BLM8" s="151"/>
      <c r="BLN8" s="151"/>
      <c r="BLO8" s="151"/>
      <c r="BLP8" s="151"/>
      <c r="BLQ8" s="151"/>
      <c r="BLR8" s="151"/>
      <c r="BLS8" s="151"/>
      <c r="BLT8" s="151"/>
      <c r="BLU8" s="151"/>
      <c r="BLV8" s="151"/>
      <c r="BLW8" s="151"/>
      <c r="BLX8" s="151"/>
      <c r="BLY8" s="151"/>
      <c r="BLZ8" s="151"/>
      <c r="BMA8" s="151"/>
      <c r="BMB8" s="151"/>
      <c r="BMC8" s="151"/>
      <c r="BMD8" s="151"/>
      <c r="BME8" s="151"/>
      <c r="BMF8" s="151"/>
      <c r="BMG8" s="151"/>
      <c r="BMH8" s="151"/>
      <c r="BMI8" s="151"/>
      <c r="BMJ8" s="151"/>
      <c r="BMK8" s="151"/>
      <c r="BML8" s="151"/>
      <c r="BMM8" s="151"/>
      <c r="BMN8" s="151"/>
      <c r="BMO8" s="151"/>
      <c r="BMP8" s="151"/>
      <c r="BMQ8" s="151"/>
      <c r="BMR8" s="151"/>
      <c r="BMS8" s="151"/>
      <c r="BMT8" s="151"/>
      <c r="BMU8" s="151"/>
      <c r="BMV8" s="151"/>
      <c r="BMW8" s="151"/>
      <c r="BMX8" s="151"/>
      <c r="BMY8" s="151"/>
      <c r="BMZ8" s="151"/>
      <c r="BNA8" s="151"/>
      <c r="BNB8" s="151"/>
      <c r="BNC8" s="151"/>
      <c r="BND8" s="151"/>
      <c r="BNE8" s="151"/>
      <c r="BNF8" s="151"/>
      <c r="BNG8" s="151"/>
      <c r="BNH8" s="151"/>
      <c r="BNI8" s="151"/>
      <c r="BNJ8" s="151"/>
      <c r="BNK8" s="151"/>
      <c r="BNL8" s="151"/>
      <c r="BNM8" s="151"/>
      <c r="BNN8" s="151"/>
      <c r="BNO8" s="151"/>
      <c r="BNP8" s="151"/>
      <c r="BNQ8" s="151"/>
      <c r="BNR8" s="151"/>
      <c r="BNS8" s="151"/>
      <c r="BNT8" s="151"/>
      <c r="BNU8" s="151"/>
      <c r="BNV8" s="151"/>
      <c r="BNW8" s="151"/>
      <c r="BNX8" s="151"/>
      <c r="BNY8" s="151"/>
      <c r="BNZ8" s="151"/>
      <c r="BOA8" s="151"/>
      <c r="BOB8" s="151"/>
      <c r="BOC8" s="151"/>
      <c r="BOD8" s="151"/>
      <c r="BOE8" s="151"/>
      <c r="BOF8" s="151"/>
      <c r="BOG8" s="151"/>
      <c r="BOH8" s="151"/>
      <c r="BOI8" s="151"/>
      <c r="BOJ8" s="151"/>
      <c r="BOK8" s="151"/>
      <c r="BOL8" s="151"/>
      <c r="BOM8" s="151"/>
      <c r="BON8" s="151"/>
      <c r="BOO8" s="151"/>
      <c r="BOP8" s="151"/>
      <c r="BOQ8" s="151"/>
      <c r="BOR8" s="151"/>
      <c r="BOS8" s="151"/>
      <c r="BOT8" s="151"/>
      <c r="BOU8" s="151"/>
      <c r="BOV8" s="151"/>
      <c r="BOW8" s="151"/>
      <c r="BOX8" s="151"/>
      <c r="BOY8" s="151"/>
      <c r="BOZ8" s="151"/>
      <c r="BPA8" s="151"/>
      <c r="BPB8" s="151"/>
      <c r="BPC8" s="151"/>
      <c r="BPD8" s="151"/>
      <c r="BPE8" s="151"/>
      <c r="BPF8" s="151"/>
      <c r="BPG8" s="151"/>
      <c r="BPH8" s="151"/>
      <c r="BPI8" s="151"/>
      <c r="BPJ8" s="151"/>
      <c r="BPK8" s="151"/>
      <c r="BPL8" s="151"/>
      <c r="BPM8" s="151"/>
      <c r="BPN8" s="151"/>
      <c r="BPO8" s="151"/>
      <c r="BPP8" s="151"/>
      <c r="BPQ8" s="151"/>
      <c r="BPR8" s="151"/>
      <c r="BPS8" s="151"/>
      <c r="BPT8" s="151"/>
      <c r="BPU8" s="151"/>
      <c r="BPV8" s="151"/>
      <c r="BPW8" s="151"/>
      <c r="BPX8" s="151"/>
      <c r="BPY8" s="151"/>
      <c r="BPZ8" s="151"/>
      <c r="BQA8" s="151"/>
      <c r="BQB8" s="151"/>
      <c r="BQC8" s="151"/>
      <c r="BQD8" s="151"/>
      <c r="BQE8" s="151"/>
      <c r="BQF8" s="151"/>
      <c r="BQG8" s="151"/>
      <c r="BQH8" s="151"/>
      <c r="BQI8" s="151"/>
      <c r="BQJ8" s="151"/>
      <c r="BQK8" s="151"/>
      <c r="BQL8" s="151"/>
      <c r="BQM8" s="151"/>
      <c r="BQN8" s="151"/>
      <c r="BQO8" s="151"/>
      <c r="BQP8" s="151"/>
      <c r="BQQ8" s="151"/>
      <c r="BQR8" s="151"/>
      <c r="BQS8" s="151"/>
      <c r="BQT8" s="151"/>
      <c r="BQU8" s="151"/>
      <c r="BQV8" s="151"/>
      <c r="BQW8" s="151"/>
      <c r="BQX8" s="151"/>
      <c r="BQY8" s="151"/>
      <c r="BQZ8" s="151"/>
      <c r="BRA8" s="151"/>
      <c r="BRB8" s="151"/>
      <c r="BRC8" s="151"/>
      <c r="BRD8" s="151"/>
      <c r="BRE8" s="151"/>
      <c r="BRF8" s="151"/>
      <c r="BRG8" s="151"/>
      <c r="BRH8" s="151"/>
      <c r="BRI8" s="151"/>
      <c r="BRJ8" s="151"/>
      <c r="BRK8" s="151"/>
      <c r="BRL8" s="151"/>
      <c r="BRM8" s="151"/>
      <c r="BRN8" s="151"/>
      <c r="BRO8" s="151"/>
      <c r="BRP8" s="151"/>
      <c r="BRQ8" s="151"/>
      <c r="BRR8" s="151"/>
      <c r="BRS8" s="151"/>
      <c r="BRT8" s="151"/>
      <c r="BRU8" s="151"/>
      <c r="BRV8" s="151"/>
      <c r="BRW8" s="151"/>
      <c r="BRX8" s="151"/>
      <c r="BRY8" s="151"/>
      <c r="BRZ8" s="151"/>
      <c r="BSA8" s="151"/>
      <c r="BSB8" s="151"/>
      <c r="BSC8" s="151"/>
      <c r="BSD8" s="151"/>
      <c r="BSE8" s="151"/>
      <c r="BSF8" s="151"/>
      <c r="BSG8" s="151"/>
      <c r="BSH8" s="151"/>
      <c r="BSI8" s="151"/>
      <c r="BSJ8" s="151"/>
      <c r="BSK8" s="151"/>
      <c r="BSL8" s="151"/>
      <c r="BSM8" s="151"/>
      <c r="BSN8" s="151"/>
      <c r="BSO8" s="151"/>
      <c r="BSP8" s="151"/>
      <c r="BSQ8" s="151"/>
      <c r="BSR8" s="151"/>
      <c r="BSS8" s="151"/>
      <c r="BST8" s="151"/>
      <c r="BSU8" s="151"/>
      <c r="BSV8" s="151"/>
      <c r="BSW8" s="151"/>
      <c r="BSX8" s="151"/>
      <c r="BSY8" s="151"/>
      <c r="BSZ8" s="151"/>
      <c r="BTA8" s="151"/>
      <c r="BTB8" s="151"/>
      <c r="BTC8" s="151"/>
      <c r="BTD8" s="151"/>
      <c r="BTE8" s="151"/>
      <c r="BTF8" s="151"/>
      <c r="BTG8" s="151"/>
      <c r="BTH8" s="151"/>
      <c r="BTI8" s="151"/>
      <c r="BTJ8" s="151"/>
      <c r="BTK8" s="151"/>
      <c r="BTL8" s="151"/>
      <c r="BTM8" s="151"/>
      <c r="BTN8" s="151"/>
      <c r="BTO8" s="151"/>
      <c r="BTP8" s="151"/>
      <c r="BTQ8" s="151"/>
      <c r="BTR8" s="151"/>
      <c r="BTS8" s="151"/>
      <c r="BTT8" s="151"/>
      <c r="BTU8" s="151"/>
      <c r="BTV8" s="151"/>
      <c r="BTW8" s="151"/>
      <c r="BTX8" s="151"/>
      <c r="BTY8" s="151"/>
      <c r="BTZ8" s="151"/>
      <c r="BUA8" s="151"/>
      <c r="BUB8" s="151"/>
      <c r="BUC8" s="151"/>
      <c r="BUD8" s="151"/>
      <c r="BUE8" s="151"/>
      <c r="BUF8" s="151"/>
      <c r="BUG8" s="151"/>
      <c r="BUH8" s="151"/>
      <c r="BUI8" s="151"/>
      <c r="BUJ8" s="151"/>
      <c r="BUK8" s="151"/>
      <c r="BUL8" s="151"/>
      <c r="BUM8" s="151"/>
      <c r="BUN8" s="151"/>
      <c r="BUO8" s="151"/>
      <c r="BUP8" s="151"/>
      <c r="BUQ8" s="151"/>
      <c r="BUR8" s="151"/>
      <c r="BUS8" s="151"/>
      <c r="BUT8" s="151"/>
      <c r="BUU8" s="151"/>
      <c r="BUV8" s="151"/>
      <c r="BUW8" s="151"/>
      <c r="BUX8" s="151"/>
      <c r="BUY8" s="151"/>
      <c r="BUZ8" s="151"/>
      <c r="BVA8" s="151"/>
      <c r="BVB8" s="151"/>
      <c r="BVC8" s="151"/>
      <c r="BVD8" s="151"/>
      <c r="BVE8" s="151"/>
      <c r="BVF8" s="151"/>
      <c r="BVG8" s="151"/>
      <c r="BVH8" s="151"/>
      <c r="BVI8" s="151"/>
      <c r="BVJ8" s="151"/>
      <c r="BVK8" s="151"/>
      <c r="BVL8" s="151"/>
      <c r="BVM8" s="151"/>
      <c r="BVN8" s="151"/>
      <c r="BVO8" s="151"/>
      <c r="BVP8" s="151"/>
      <c r="BVQ8" s="151"/>
      <c r="BVR8" s="151"/>
      <c r="BVS8" s="151"/>
      <c r="BVT8" s="151"/>
      <c r="BVU8" s="151"/>
      <c r="BVV8" s="151"/>
      <c r="BVW8" s="151"/>
      <c r="BVX8" s="151"/>
      <c r="BVY8" s="151"/>
      <c r="BVZ8" s="151"/>
      <c r="BWA8" s="151"/>
      <c r="BWB8" s="151"/>
      <c r="BWC8" s="151"/>
      <c r="BWD8" s="151"/>
      <c r="BWE8" s="151"/>
      <c r="BWF8" s="151"/>
      <c r="BWG8" s="151"/>
      <c r="BWH8" s="151"/>
      <c r="BWI8" s="151"/>
      <c r="BWJ8" s="151"/>
      <c r="BWK8" s="151"/>
      <c r="BWL8" s="151"/>
      <c r="BWM8" s="151"/>
      <c r="BWN8" s="151"/>
      <c r="BWO8" s="151"/>
      <c r="BWP8" s="151"/>
      <c r="BWQ8" s="151"/>
      <c r="BWR8" s="151"/>
      <c r="BWS8" s="151"/>
      <c r="BWT8" s="151"/>
      <c r="BWU8" s="151"/>
      <c r="BWV8" s="151"/>
      <c r="BWW8" s="151"/>
      <c r="BWX8" s="151"/>
      <c r="BWY8" s="151"/>
      <c r="BWZ8" s="151"/>
      <c r="BXA8" s="151"/>
      <c r="BXB8" s="151"/>
      <c r="BXC8" s="151"/>
      <c r="BXD8" s="151"/>
      <c r="BXE8" s="151"/>
      <c r="BXF8" s="151"/>
      <c r="BXG8" s="151"/>
      <c r="BXH8" s="151"/>
      <c r="BXI8" s="151"/>
      <c r="BXJ8" s="151"/>
      <c r="BXK8" s="151"/>
      <c r="BXL8" s="151"/>
      <c r="BXM8" s="151"/>
      <c r="BXN8" s="151"/>
      <c r="BXO8" s="151"/>
      <c r="BXP8" s="151"/>
      <c r="BXQ8" s="151"/>
      <c r="BXR8" s="151"/>
      <c r="BXS8" s="151"/>
      <c r="BXT8" s="151"/>
      <c r="BXU8" s="151"/>
      <c r="BXV8" s="151"/>
      <c r="BXW8" s="151"/>
      <c r="BXX8" s="151"/>
      <c r="BXY8" s="151"/>
      <c r="BXZ8" s="151"/>
      <c r="BYA8" s="151"/>
      <c r="BYB8" s="151"/>
      <c r="BYC8" s="151"/>
      <c r="BYD8" s="151"/>
      <c r="BYE8" s="151"/>
      <c r="BYF8" s="151"/>
      <c r="BYG8" s="151"/>
    </row>
    <row r="9" spans="1:2009" s="3" customFormat="1" ht="12.75" customHeight="1" thickBot="1" x14ac:dyDescent="0.3">
      <c r="A9" s="72"/>
      <c r="B9" s="72"/>
      <c r="C9" s="126"/>
      <c r="D9" s="126"/>
      <c r="E9" s="126"/>
      <c r="F9" s="126"/>
      <c r="G9" s="487"/>
      <c r="H9" s="744"/>
      <c r="I9" s="26"/>
    </row>
    <row r="10" spans="1:2009" s="73" customFormat="1" ht="24.95" customHeight="1" x14ac:dyDescent="0.25">
      <c r="A10" s="95" t="s">
        <v>65</v>
      </c>
      <c r="B10" s="96"/>
      <c r="C10" s="127"/>
      <c r="D10" s="127"/>
      <c r="E10" s="128"/>
      <c r="F10" s="128"/>
      <c r="G10" s="488"/>
      <c r="H10" s="744"/>
      <c r="I10" s="21"/>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row>
    <row r="11" spans="1:2009" s="73" customFormat="1" ht="24.95" customHeight="1" x14ac:dyDescent="0.25">
      <c r="A11" s="97"/>
      <c r="B11" s="74" t="s">
        <v>572</v>
      </c>
      <c r="C11" s="129"/>
      <c r="D11" s="129"/>
      <c r="E11" s="129">
        <v>55034.8</v>
      </c>
      <c r="F11" s="130"/>
      <c r="G11" s="489">
        <f>ROUND(SUM(C11:F11),5)</f>
        <v>55034.8</v>
      </c>
      <c r="H11" s="744"/>
      <c r="I11" s="680"/>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row>
    <row r="12" spans="1:2009" s="156" customFormat="1" ht="24.95" customHeight="1" thickBot="1" x14ac:dyDescent="0.3">
      <c r="A12" s="153"/>
      <c r="B12" s="154" t="s">
        <v>134</v>
      </c>
      <c r="C12" s="155"/>
      <c r="D12" s="155"/>
      <c r="E12" s="155">
        <f>SUM(E11:E11)</f>
        <v>55034.8</v>
      </c>
      <c r="F12" s="155"/>
      <c r="G12" s="557">
        <f>ROUND(SUM(G10:G11),5)</f>
        <v>55034.8</v>
      </c>
      <c r="H12" s="746"/>
      <c r="I12" s="2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c r="FW12" s="151"/>
      <c r="FX12" s="151"/>
      <c r="FY12" s="151"/>
      <c r="FZ12" s="151"/>
      <c r="GA12" s="151"/>
      <c r="GB12" s="151"/>
      <c r="GC12" s="151"/>
      <c r="GD12" s="151"/>
      <c r="GE12" s="151"/>
      <c r="GF12" s="151"/>
      <c r="GG12" s="151"/>
      <c r="GH12" s="151"/>
      <c r="GI12" s="151"/>
      <c r="GJ12" s="151"/>
      <c r="GK12" s="151"/>
      <c r="GL12" s="151"/>
      <c r="GM12" s="151"/>
      <c r="GN12" s="151"/>
      <c r="GO12" s="151"/>
      <c r="GP12" s="151"/>
      <c r="GQ12" s="151"/>
      <c r="GR12" s="151"/>
      <c r="GS12" s="151"/>
      <c r="GT12" s="151"/>
      <c r="GU12" s="151"/>
      <c r="GV12" s="151"/>
      <c r="GW12" s="151"/>
      <c r="GX12" s="151"/>
      <c r="GY12" s="151"/>
      <c r="GZ12" s="151"/>
      <c r="HA12" s="151"/>
      <c r="HB12" s="151"/>
      <c r="HC12" s="151"/>
      <c r="HD12" s="151"/>
      <c r="HE12" s="151"/>
      <c r="HF12" s="151"/>
      <c r="HG12" s="151"/>
      <c r="HH12" s="151"/>
      <c r="HI12" s="151"/>
      <c r="HJ12" s="151"/>
      <c r="HK12" s="151"/>
      <c r="HL12" s="151"/>
      <c r="HM12" s="151"/>
      <c r="HN12" s="151"/>
      <c r="HO12" s="151"/>
      <c r="HP12" s="151"/>
      <c r="HQ12" s="151"/>
      <c r="HR12" s="151"/>
      <c r="HS12" s="151"/>
      <c r="HT12" s="151"/>
      <c r="HU12" s="151"/>
      <c r="HV12" s="151"/>
      <c r="HW12" s="151"/>
      <c r="HX12" s="151"/>
      <c r="HY12" s="151"/>
      <c r="HZ12" s="151"/>
      <c r="IA12" s="151"/>
      <c r="IB12" s="151"/>
      <c r="IC12" s="151"/>
      <c r="ID12" s="151"/>
      <c r="IE12" s="151"/>
      <c r="IF12" s="151"/>
      <c r="IG12" s="151"/>
      <c r="IH12" s="151"/>
      <c r="II12" s="151"/>
      <c r="IJ12" s="151"/>
      <c r="IK12" s="151"/>
      <c r="IL12" s="151"/>
      <c r="IM12" s="151"/>
      <c r="IN12" s="151"/>
      <c r="IO12" s="151"/>
      <c r="IP12" s="151"/>
      <c r="IQ12" s="151"/>
      <c r="IR12" s="151"/>
      <c r="IS12" s="151"/>
      <c r="IT12" s="151"/>
      <c r="IU12" s="151"/>
      <c r="IV12" s="151"/>
      <c r="IW12" s="151"/>
      <c r="IX12" s="151"/>
      <c r="IY12" s="151"/>
      <c r="IZ12" s="151"/>
      <c r="JA12" s="151"/>
      <c r="JB12" s="151"/>
      <c r="JC12" s="151"/>
      <c r="JD12" s="151"/>
      <c r="JE12" s="151"/>
      <c r="JF12" s="151"/>
      <c r="JG12" s="151"/>
      <c r="JH12" s="151"/>
      <c r="JI12" s="151"/>
      <c r="JJ12" s="151"/>
      <c r="JK12" s="151"/>
      <c r="JL12" s="151"/>
      <c r="JM12" s="151"/>
      <c r="JN12" s="151"/>
      <c r="JO12" s="151"/>
      <c r="JP12" s="151"/>
      <c r="JQ12" s="151"/>
      <c r="JR12" s="151"/>
      <c r="JS12" s="151"/>
      <c r="JT12" s="151"/>
      <c r="JU12" s="151"/>
      <c r="JV12" s="151"/>
      <c r="JW12" s="151"/>
      <c r="JX12" s="151"/>
      <c r="JY12" s="151"/>
      <c r="JZ12" s="151"/>
      <c r="KA12" s="151"/>
      <c r="KB12" s="151"/>
      <c r="KC12" s="151"/>
      <c r="KD12" s="151"/>
      <c r="KE12" s="151"/>
      <c r="KF12" s="151"/>
      <c r="KG12" s="151"/>
      <c r="KH12" s="151"/>
      <c r="KI12" s="151"/>
      <c r="KJ12" s="151"/>
      <c r="KK12" s="151"/>
      <c r="KL12" s="151"/>
      <c r="KM12" s="151"/>
      <c r="KN12" s="151"/>
      <c r="KO12" s="151"/>
      <c r="KP12" s="151"/>
      <c r="KQ12" s="151"/>
      <c r="KR12" s="151"/>
      <c r="KS12" s="151"/>
      <c r="KT12" s="151"/>
      <c r="KU12" s="151"/>
      <c r="KV12" s="151"/>
      <c r="KW12" s="151"/>
      <c r="KX12" s="151"/>
      <c r="KY12" s="151"/>
      <c r="KZ12" s="151"/>
      <c r="LA12" s="151"/>
      <c r="LB12" s="151"/>
      <c r="LC12" s="151"/>
      <c r="LD12" s="151"/>
      <c r="LE12" s="151"/>
      <c r="LF12" s="151"/>
      <c r="LG12" s="151"/>
      <c r="LH12" s="151"/>
      <c r="LI12" s="151"/>
      <c r="LJ12" s="151"/>
      <c r="LK12" s="151"/>
      <c r="LL12" s="151"/>
      <c r="LM12" s="151"/>
      <c r="LN12" s="151"/>
      <c r="LO12" s="151"/>
      <c r="LP12" s="151"/>
      <c r="LQ12" s="151"/>
      <c r="LR12" s="151"/>
      <c r="LS12" s="151"/>
      <c r="LT12" s="151"/>
      <c r="LU12" s="151"/>
      <c r="LV12" s="151"/>
      <c r="LW12" s="151"/>
      <c r="LX12" s="151"/>
      <c r="LY12" s="151"/>
      <c r="LZ12" s="151"/>
      <c r="MA12" s="151"/>
      <c r="MB12" s="151"/>
      <c r="MC12" s="151"/>
      <c r="MD12" s="151"/>
      <c r="ME12" s="151"/>
      <c r="MF12" s="151"/>
      <c r="MG12" s="151"/>
      <c r="MH12" s="151"/>
      <c r="MI12" s="151"/>
      <c r="MJ12" s="151"/>
      <c r="MK12" s="151"/>
      <c r="ML12" s="151"/>
      <c r="MM12" s="151"/>
      <c r="MN12" s="151"/>
      <c r="MO12" s="151"/>
      <c r="MP12" s="151"/>
      <c r="MQ12" s="151"/>
      <c r="MR12" s="151"/>
      <c r="MS12" s="151"/>
      <c r="MT12" s="151"/>
      <c r="MU12" s="151"/>
      <c r="MV12" s="151"/>
      <c r="MW12" s="151"/>
      <c r="MX12" s="151"/>
      <c r="MY12" s="151"/>
      <c r="MZ12" s="151"/>
      <c r="NA12" s="151"/>
      <c r="NB12" s="151"/>
      <c r="NC12" s="151"/>
      <c r="ND12" s="151"/>
      <c r="NE12" s="151"/>
      <c r="NF12" s="151"/>
      <c r="NG12" s="151"/>
      <c r="NH12" s="151"/>
      <c r="NI12" s="151"/>
      <c r="NJ12" s="151"/>
      <c r="NK12" s="151"/>
      <c r="NL12" s="151"/>
      <c r="NM12" s="151"/>
      <c r="NN12" s="151"/>
      <c r="NO12" s="151"/>
      <c r="NP12" s="151"/>
      <c r="NQ12" s="151"/>
      <c r="NR12" s="151"/>
      <c r="NS12" s="151"/>
      <c r="NT12" s="151"/>
      <c r="NU12" s="151"/>
      <c r="NV12" s="151"/>
      <c r="NW12" s="151"/>
      <c r="NX12" s="151"/>
      <c r="NY12" s="151"/>
      <c r="NZ12" s="151"/>
      <c r="OA12" s="151"/>
      <c r="OB12" s="151"/>
      <c r="OC12" s="151"/>
      <c r="OD12" s="151"/>
      <c r="OE12" s="151"/>
      <c r="OF12" s="151"/>
      <c r="OG12" s="151"/>
      <c r="OH12" s="151"/>
      <c r="OI12" s="151"/>
      <c r="OJ12" s="151"/>
      <c r="OK12" s="151"/>
      <c r="OL12" s="151"/>
      <c r="OM12" s="151"/>
      <c r="ON12" s="151"/>
      <c r="OO12" s="151"/>
      <c r="OP12" s="151"/>
      <c r="OQ12" s="151"/>
      <c r="OR12" s="151"/>
      <c r="OS12" s="151"/>
      <c r="OT12" s="151"/>
      <c r="OU12" s="151"/>
      <c r="OV12" s="151"/>
      <c r="OW12" s="151"/>
      <c r="OX12" s="151"/>
      <c r="OY12" s="151"/>
      <c r="OZ12" s="151"/>
      <c r="PA12" s="151"/>
      <c r="PB12" s="151"/>
      <c r="PC12" s="151"/>
      <c r="PD12" s="151"/>
      <c r="PE12" s="151"/>
      <c r="PF12" s="151"/>
      <c r="PG12" s="151"/>
      <c r="PH12" s="151"/>
      <c r="PI12" s="151"/>
      <c r="PJ12" s="151"/>
      <c r="PK12" s="151"/>
      <c r="PL12" s="151"/>
      <c r="PM12" s="151"/>
      <c r="PN12" s="151"/>
      <c r="PO12" s="151"/>
      <c r="PP12" s="151"/>
      <c r="PQ12" s="151"/>
      <c r="PR12" s="151"/>
      <c r="PS12" s="151"/>
      <c r="PT12" s="151"/>
      <c r="PU12" s="151"/>
      <c r="PV12" s="151"/>
      <c r="PW12" s="151"/>
      <c r="PX12" s="151"/>
      <c r="PY12" s="151"/>
      <c r="PZ12" s="151"/>
      <c r="QA12" s="151"/>
      <c r="QB12" s="151"/>
      <c r="QC12" s="151"/>
      <c r="QD12" s="151"/>
      <c r="QE12" s="151"/>
      <c r="QF12" s="151"/>
      <c r="QG12" s="151"/>
      <c r="QH12" s="151"/>
      <c r="QI12" s="151"/>
      <c r="QJ12" s="151"/>
      <c r="QK12" s="151"/>
      <c r="QL12" s="151"/>
      <c r="QM12" s="151"/>
      <c r="QN12" s="151"/>
      <c r="QO12" s="151"/>
      <c r="QP12" s="151"/>
      <c r="QQ12" s="151"/>
      <c r="QR12" s="151"/>
      <c r="QS12" s="151"/>
      <c r="QT12" s="151"/>
      <c r="QU12" s="151"/>
      <c r="QV12" s="151"/>
      <c r="QW12" s="151"/>
      <c r="QX12" s="151"/>
      <c r="QY12" s="151"/>
      <c r="QZ12" s="151"/>
      <c r="RA12" s="151"/>
      <c r="RB12" s="151"/>
      <c r="RC12" s="151"/>
      <c r="RD12" s="151"/>
      <c r="RE12" s="151"/>
      <c r="RF12" s="151"/>
      <c r="RG12" s="151"/>
      <c r="RH12" s="151"/>
      <c r="RI12" s="151"/>
      <c r="RJ12" s="151"/>
      <c r="RK12" s="151"/>
      <c r="RL12" s="151"/>
      <c r="RM12" s="151"/>
      <c r="RN12" s="151"/>
      <c r="RO12" s="151"/>
      <c r="RP12" s="151"/>
      <c r="RQ12" s="151"/>
      <c r="RR12" s="151"/>
      <c r="RS12" s="151"/>
      <c r="RT12" s="151"/>
      <c r="RU12" s="151"/>
      <c r="RV12" s="151"/>
      <c r="RW12" s="151"/>
      <c r="RX12" s="151"/>
      <c r="RY12" s="151"/>
      <c r="RZ12" s="151"/>
      <c r="SA12" s="151"/>
      <c r="SB12" s="151"/>
      <c r="SC12" s="151"/>
      <c r="SD12" s="151"/>
      <c r="SE12" s="151"/>
      <c r="SF12" s="151"/>
      <c r="SG12" s="151"/>
      <c r="SH12" s="151"/>
      <c r="SI12" s="151"/>
      <c r="SJ12" s="151"/>
      <c r="SK12" s="151"/>
      <c r="SL12" s="151"/>
      <c r="SM12" s="151"/>
      <c r="SN12" s="151"/>
      <c r="SO12" s="151"/>
      <c r="SP12" s="151"/>
      <c r="SQ12" s="151"/>
      <c r="SR12" s="151"/>
      <c r="SS12" s="151"/>
      <c r="ST12" s="151"/>
      <c r="SU12" s="151"/>
      <c r="SV12" s="151"/>
      <c r="SW12" s="151"/>
      <c r="SX12" s="151"/>
      <c r="SY12" s="151"/>
      <c r="SZ12" s="151"/>
      <c r="TA12" s="151"/>
      <c r="TB12" s="151"/>
      <c r="TC12" s="151"/>
      <c r="TD12" s="151"/>
      <c r="TE12" s="151"/>
      <c r="TF12" s="151"/>
      <c r="TG12" s="151"/>
      <c r="TH12" s="151"/>
      <c r="TI12" s="151"/>
      <c r="TJ12" s="151"/>
      <c r="TK12" s="151"/>
      <c r="TL12" s="151"/>
      <c r="TM12" s="151"/>
      <c r="TN12" s="151"/>
      <c r="TO12" s="151"/>
      <c r="TP12" s="151"/>
      <c r="TQ12" s="151"/>
      <c r="TR12" s="151"/>
      <c r="TS12" s="151"/>
      <c r="TT12" s="151"/>
      <c r="TU12" s="151"/>
      <c r="TV12" s="151"/>
      <c r="TW12" s="151"/>
      <c r="TX12" s="151"/>
      <c r="TY12" s="151"/>
      <c r="TZ12" s="151"/>
      <c r="UA12" s="151"/>
      <c r="UB12" s="151"/>
      <c r="UC12" s="151"/>
      <c r="UD12" s="151"/>
      <c r="UE12" s="151"/>
      <c r="UF12" s="151"/>
      <c r="UG12" s="151"/>
      <c r="UH12" s="151"/>
      <c r="UI12" s="151"/>
      <c r="UJ12" s="151"/>
      <c r="UK12" s="151"/>
      <c r="UL12" s="151"/>
      <c r="UM12" s="151"/>
      <c r="UN12" s="151"/>
      <c r="UO12" s="151"/>
      <c r="UP12" s="151"/>
      <c r="UQ12" s="151"/>
      <c r="UR12" s="151"/>
      <c r="US12" s="151"/>
      <c r="UT12" s="151"/>
      <c r="UU12" s="151"/>
      <c r="UV12" s="151"/>
      <c r="UW12" s="151"/>
      <c r="UX12" s="151"/>
      <c r="UY12" s="151"/>
      <c r="UZ12" s="151"/>
      <c r="VA12" s="151"/>
      <c r="VB12" s="151"/>
      <c r="VC12" s="151"/>
      <c r="VD12" s="151"/>
      <c r="VE12" s="151"/>
      <c r="VF12" s="151"/>
      <c r="VG12" s="151"/>
      <c r="VH12" s="151"/>
      <c r="VI12" s="151"/>
      <c r="VJ12" s="151"/>
      <c r="VK12" s="151"/>
      <c r="VL12" s="151"/>
      <c r="VM12" s="151"/>
      <c r="VN12" s="151"/>
      <c r="VO12" s="151"/>
      <c r="VP12" s="151"/>
      <c r="VQ12" s="151"/>
      <c r="VR12" s="151"/>
      <c r="VS12" s="151"/>
      <c r="VT12" s="151"/>
      <c r="VU12" s="151"/>
      <c r="VV12" s="151"/>
      <c r="VW12" s="151"/>
      <c r="VX12" s="151"/>
      <c r="VY12" s="151"/>
      <c r="VZ12" s="151"/>
      <c r="WA12" s="151"/>
      <c r="WB12" s="151"/>
      <c r="WC12" s="151"/>
      <c r="WD12" s="151"/>
      <c r="WE12" s="151"/>
      <c r="WF12" s="151"/>
      <c r="WG12" s="151"/>
      <c r="WH12" s="151"/>
      <c r="WI12" s="151"/>
      <c r="WJ12" s="151"/>
      <c r="WK12" s="151"/>
      <c r="WL12" s="151"/>
      <c r="WM12" s="151"/>
      <c r="WN12" s="151"/>
      <c r="WO12" s="151"/>
      <c r="WP12" s="151"/>
      <c r="WQ12" s="151"/>
      <c r="WR12" s="151"/>
      <c r="WS12" s="151"/>
      <c r="WT12" s="151"/>
      <c r="WU12" s="151"/>
      <c r="WV12" s="151"/>
      <c r="WW12" s="151"/>
      <c r="WX12" s="151"/>
      <c r="WY12" s="151"/>
      <c r="WZ12" s="151"/>
      <c r="XA12" s="151"/>
      <c r="XB12" s="151"/>
      <c r="XC12" s="151"/>
      <c r="XD12" s="151"/>
      <c r="XE12" s="151"/>
      <c r="XF12" s="151"/>
      <c r="XG12" s="151"/>
      <c r="XH12" s="151"/>
      <c r="XI12" s="151"/>
      <c r="XJ12" s="151"/>
      <c r="XK12" s="151"/>
      <c r="XL12" s="151"/>
      <c r="XM12" s="151"/>
      <c r="XN12" s="151"/>
      <c r="XO12" s="151"/>
      <c r="XP12" s="151"/>
      <c r="XQ12" s="151"/>
      <c r="XR12" s="151"/>
      <c r="XS12" s="151"/>
      <c r="XT12" s="151"/>
      <c r="XU12" s="151"/>
      <c r="XV12" s="151"/>
      <c r="XW12" s="151"/>
      <c r="XX12" s="151"/>
      <c r="XY12" s="151"/>
      <c r="XZ12" s="151"/>
      <c r="YA12" s="151"/>
      <c r="YB12" s="151"/>
      <c r="YC12" s="151"/>
      <c r="YD12" s="151"/>
      <c r="YE12" s="151"/>
      <c r="YF12" s="151"/>
      <c r="YG12" s="151"/>
      <c r="YH12" s="151"/>
      <c r="YI12" s="151"/>
      <c r="YJ12" s="151"/>
      <c r="YK12" s="151"/>
      <c r="YL12" s="151"/>
      <c r="YM12" s="151"/>
      <c r="YN12" s="151"/>
      <c r="YO12" s="151"/>
      <c r="YP12" s="151"/>
      <c r="YQ12" s="151"/>
      <c r="YR12" s="151"/>
      <c r="YS12" s="151"/>
      <c r="YT12" s="151"/>
      <c r="YU12" s="151"/>
      <c r="YV12" s="151"/>
      <c r="YW12" s="151"/>
      <c r="YX12" s="151"/>
      <c r="YY12" s="151"/>
      <c r="YZ12" s="151"/>
      <c r="ZA12" s="151"/>
      <c r="ZB12" s="151"/>
      <c r="ZC12" s="151"/>
      <c r="ZD12" s="151"/>
      <c r="ZE12" s="151"/>
      <c r="ZF12" s="151"/>
      <c r="ZG12" s="151"/>
      <c r="ZH12" s="151"/>
      <c r="ZI12" s="151"/>
      <c r="ZJ12" s="151"/>
      <c r="ZK12" s="151"/>
      <c r="ZL12" s="151"/>
      <c r="ZM12" s="151"/>
      <c r="ZN12" s="151"/>
      <c r="ZO12" s="151"/>
      <c r="ZP12" s="151"/>
      <c r="ZQ12" s="151"/>
      <c r="ZR12" s="151"/>
      <c r="ZS12" s="151"/>
      <c r="ZT12" s="151"/>
      <c r="ZU12" s="151"/>
      <c r="ZV12" s="151"/>
      <c r="ZW12" s="151"/>
      <c r="ZX12" s="151"/>
      <c r="ZY12" s="151"/>
      <c r="ZZ12" s="151"/>
      <c r="AAA12" s="151"/>
      <c r="AAB12" s="151"/>
      <c r="AAC12" s="151"/>
      <c r="AAD12" s="151"/>
      <c r="AAE12" s="151"/>
      <c r="AAF12" s="151"/>
      <c r="AAG12" s="151"/>
      <c r="AAH12" s="151"/>
      <c r="AAI12" s="151"/>
      <c r="AAJ12" s="151"/>
      <c r="AAK12" s="151"/>
      <c r="AAL12" s="151"/>
      <c r="AAM12" s="151"/>
      <c r="AAN12" s="151"/>
      <c r="AAO12" s="151"/>
      <c r="AAP12" s="151"/>
      <c r="AAQ12" s="151"/>
      <c r="AAR12" s="151"/>
      <c r="AAS12" s="151"/>
      <c r="AAT12" s="151"/>
      <c r="AAU12" s="151"/>
      <c r="AAV12" s="151"/>
      <c r="AAW12" s="151"/>
      <c r="AAX12" s="151"/>
      <c r="AAY12" s="151"/>
      <c r="AAZ12" s="151"/>
      <c r="ABA12" s="151"/>
      <c r="ABB12" s="151"/>
      <c r="ABC12" s="151"/>
      <c r="ABD12" s="151"/>
      <c r="ABE12" s="151"/>
      <c r="ABF12" s="151"/>
      <c r="ABG12" s="151"/>
      <c r="ABH12" s="151"/>
      <c r="ABI12" s="151"/>
      <c r="ABJ12" s="151"/>
      <c r="ABK12" s="151"/>
      <c r="ABL12" s="151"/>
      <c r="ABM12" s="151"/>
      <c r="ABN12" s="151"/>
      <c r="ABO12" s="151"/>
      <c r="ABP12" s="151"/>
      <c r="ABQ12" s="151"/>
      <c r="ABR12" s="151"/>
      <c r="ABS12" s="151"/>
      <c r="ABT12" s="151"/>
      <c r="ABU12" s="151"/>
      <c r="ABV12" s="151"/>
      <c r="ABW12" s="151"/>
      <c r="ABX12" s="151"/>
      <c r="ABY12" s="151"/>
      <c r="ABZ12" s="151"/>
      <c r="ACA12" s="151"/>
      <c r="ACB12" s="151"/>
      <c r="ACC12" s="151"/>
      <c r="ACD12" s="151"/>
      <c r="ACE12" s="151"/>
      <c r="ACF12" s="151"/>
      <c r="ACG12" s="151"/>
      <c r="ACH12" s="151"/>
      <c r="ACI12" s="151"/>
      <c r="ACJ12" s="151"/>
      <c r="ACK12" s="151"/>
      <c r="ACL12" s="151"/>
      <c r="ACM12" s="151"/>
      <c r="ACN12" s="151"/>
      <c r="ACO12" s="151"/>
      <c r="ACP12" s="151"/>
      <c r="ACQ12" s="151"/>
      <c r="ACR12" s="151"/>
      <c r="ACS12" s="151"/>
      <c r="ACT12" s="151"/>
      <c r="ACU12" s="151"/>
      <c r="ACV12" s="151"/>
      <c r="ACW12" s="151"/>
      <c r="ACX12" s="151"/>
      <c r="ACY12" s="151"/>
      <c r="ACZ12" s="151"/>
      <c r="ADA12" s="151"/>
      <c r="ADB12" s="151"/>
      <c r="ADC12" s="151"/>
      <c r="ADD12" s="151"/>
      <c r="ADE12" s="151"/>
      <c r="ADF12" s="151"/>
      <c r="ADG12" s="151"/>
      <c r="ADH12" s="151"/>
      <c r="ADI12" s="151"/>
      <c r="ADJ12" s="151"/>
      <c r="ADK12" s="151"/>
      <c r="ADL12" s="151"/>
      <c r="ADM12" s="151"/>
      <c r="ADN12" s="151"/>
      <c r="ADO12" s="151"/>
      <c r="ADP12" s="151"/>
      <c r="ADQ12" s="151"/>
      <c r="ADR12" s="151"/>
      <c r="ADS12" s="151"/>
      <c r="ADT12" s="151"/>
      <c r="ADU12" s="151"/>
      <c r="ADV12" s="151"/>
      <c r="ADW12" s="151"/>
      <c r="ADX12" s="151"/>
      <c r="ADY12" s="151"/>
      <c r="ADZ12" s="151"/>
      <c r="AEA12" s="151"/>
      <c r="AEB12" s="151"/>
      <c r="AEC12" s="151"/>
      <c r="AED12" s="151"/>
      <c r="AEE12" s="151"/>
      <c r="AEF12" s="151"/>
      <c r="AEG12" s="151"/>
      <c r="AEH12" s="151"/>
      <c r="AEI12" s="151"/>
      <c r="AEJ12" s="151"/>
      <c r="AEK12" s="151"/>
      <c r="AEL12" s="151"/>
      <c r="AEM12" s="151"/>
      <c r="AEN12" s="151"/>
      <c r="AEO12" s="151"/>
      <c r="AEP12" s="151"/>
      <c r="AEQ12" s="151"/>
      <c r="AER12" s="151"/>
      <c r="AES12" s="151"/>
      <c r="AET12" s="151"/>
      <c r="AEU12" s="151"/>
      <c r="AEV12" s="151"/>
      <c r="AEW12" s="151"/>
      <c r="AEX12" s="151"/>
      <c r="AEY12" s="151"/>
      <c r="AEZ12" s="151"/>
      <c r="AFA12" s="151"/>
      <c r="AFB12" s="151"/>
      <c r="AFC12" s="151"/>
      <c r="AFD12" s="151"/>
      <c r="AFE12" s="151"/>
      <c r="AFF12" s="151"/>
      <c r="AFG12" s="151"/>
      <c r="AFH12" s="151"/>
      <c r="AFI12" s="151"/>
      <c r="AFJ12" s="151"/>
      <c r="AFK12" s="151"/>
      <c r="AFL12" s="151"/>
      <c r="AFM12" s="151"/>
      <c r="AFN12" s="151"/>
      <c r="AFO12" s="151"/>
      <c r="AFP12" s="151"/>
      <c r="AFQ12" s="151"/>
      <c r="AFR12" s="151"/>
      <c r="AFS12" s="151"/>
      <c r="AFT12" s="151"/>
      <c r="AFU12" s="151"/>
      <c r="AFV12" s="151"/>
      <c r="AFW12" s="151"/>
      <c r="AFX12" s="151"/>
      <c r="AFY12" s="151"/>
      <c r="AFZ12" s="151"/>
      <c r="AGA12" s="151"/>
      <c r="AGB12" s="151"/>
      <c r="AGC12" s="151"/>
      <c r="AGD12" s="151"/>
      <c r="AGE12" s="151"/>
      <c r="AGF12" s="151"/>
      <c r="AGG12" s="151"/>
      <c r="AGH12" s="151"/>
      <c r="AGI12" s="151"/>
      <c r="AGJ12" s="151"/>
      <c r="AGK12" s="151"/>
      <c r="AGL12" s="151"/>
      <c r="AGM12" s="151"/>
      <c r="AGN12" s="151"/>
      <c r="AGO12" s="151"/>
      <c r="AGP12" s="151"/>
      <c r="AGQ12" s="151"/>
      <c r="AGR12" s="151"/>
      <c r="AGS12" s="151"/>
      <c r="AGT12" s="151"/>
      <c r="AGU12" s="151"/>
      <c r="AGV12" s="151"/>
      <c r="AGW12" s="151"/>
      <c r="AGX12" s="151"/>
      <c r="AGY12" s="151"/>
      <c r="AGZ12" s="151"/>
      <c r="AHA12" s="151"/>
      <c r="AHB12" s="151"/>
      <c r="AHC12" s="151"/>
      <c r="AHD12" s="151"/>
      <c r="AHE12" s="151"/>
      <c r="AHF12" s="151"/>
      <c r="AHG12" s="151"/>
      <c r="AHH12" s="151"/>
      <c r="AHI12" s="151"/>
      <c r="AHJ12" s="151"/>
      <c r="AHK12" s="151"/>
      <c r="AHL12" s="151"/>
      <c r="AHM12" s="151"/>
      <c r="AHN12" s="151"/>
      <c r="AHO12" s="151"/>
      <c r="AHP12" s="151"/>
      <c r="AHQ12" s="151"/>
      <c r="AHR12" s="151"/>
      <c r="AHS12" s="151"/>
      <c r="AHT12" s="151"/>
      <c r="AHU12" s="151"/>
      <c r="AHV12" s="151"/>
      <c r="AHW12" s="151"/>
      <c r="AHX12" s="151"/>
      <c r="AHY12" s="151"/>
      <c r="AHZ12" s="151"/>
      <c r="AIA12" s="151"/>
      <c r="AIB12" s="151"/>
      <c r="AIC12" s="151"/>
      <c r="AID12" s="151"/>
      <c r="AIE12" s="151"/>
      <c r="AIF12" s="151"/>
      <c r="AIG12" s="151"/>
      <c r="AIH12" s="151"/>
      <c r="AII12" s="151"/>
      <c r="AIJ12" s="151"/>
      <c r="AIK12" s="151"/>
      <c r="AIL12" s="151"/>
      <c r="AIM12" s="151"/>
      <c r="AIN12" s="151"/>
      <c r="AIO12" s="151"/>
      <c r="AIP12" s="151"/>
      <c r="AIQ12" s="151"/>
      <c r="AIR12" s="151"/>
      <c r="AIS12" s="151"/>
      <c r="AIT12" s="151"/>
      <c r="AIU12" s="151"/>
      <c r="AIV12" s="151"/>
      <c r="AIW12" s="151"/>
      <c r="AIX12" s="151"/>
      <c r="AIY12" s="151"/>
      <c r="AIZ12" s="151"/>
      <c r="AJA12" s="151"/>
      <c r="AJB12" s="151"/>
      <c r="AJC12" s="151"/>
      <c r="AJD12" s="151"/>
      <c r="AJE12" s="151"/>
      <c r="AJF12" s="151"/>
      <c r="AJG12" s="151"/>
      <c r="AJH12" s="151"/>
      <c r="AJI12" s="151"/>
      <c r="AJJ12" s="151"/>
      <c r="AJK12" s="151"/>
      <c r="AJL12" s="151"/>
      <c r="AJM12" s="151"/>
      <c r="AJN12" s="151"/>
      <c r="AJO12" s="151"/>
      <c r="AJP12" s="151"/>
      <c r="AJQ12" s="151"/>
      <c r="AJR12" s="151"/>
      <c r="AJS12" s="151"/>
      <c r="AJT12" s="151"/>
      <c r="AJU12" s="151"/>
      <c r="AJV12" s="151"/>
      <c r="AJW12" s="151"/>
      <c r="AJX12" s="151"/>
      <c r="AJY12" s="151"/>
      <c r="AJZ12" s="151"/>
      <c r="AKA12" s="151"/>
      <c r="AKB12" s="151"/>
      <c r="AKC12" s="151"/>
      <c r="AKD12" s="151"/>
      <c r="AKE12" s="151"/>
      <c r="AKF12" s="151"/>
      <c r="AKG12" s="151"/>
      <c r="AKH12" s="151"/>
      <c r="AKI12" s="151"/>
      <c r="AKJ12" s="151"/>
      <c r="AKK12" s="151"/>
      <c r="AKL12" s="151"/>
      <c r="AKM12" s="151"/>
      <c r="AKN12" s="151"/>
      <c r="AKO12" s="151"/>
      <c r="AKP12" s="151"/>
      <c r="AKQ12" s="151"/>
      <c r="AKR12" s="151"/>
      <c r="AKS12" s="151"/>
      <c r="AKT12" s="151"/>
      <c r="AKU12" s="151"/>
      <c r="AKV12" s="151"/>
      <c r="AKW12" s="151"/>
      <c r="AKX12" s="151"/>
      <c r="AKY12" s="151"/>
      <c r="AKZ12" s="151"/>
      <c r="ALA12" s="151"/>
      <c r="ALB12" s="151"/>
      <c r="ALC12" s="151"/>
      <c r="ALD12" s="151"/>
      <c r="ALE12" s="151"/>
      <c r="ALF12" s="151"/>
      <c r="ALG12" s="151"/>
      <c r="ALH12" s="151"/>
      <c r="ALI12" s="151"/>
      <c r="ALJ12" s="151"/>
      <c r="ALK12" s="151"/>
      <c r="ALL12" s="151"/>
      <c r="ALM12" s="151"/>
      <c r="ALN12" s="151"/>
      <c r="ALO12" s="151"/>
      <c r="ALP12" s="151"/>
      <c r="ALQ12" s="151"/>
      <c r="ALR12" s="151"/>
      <c r="ALS12" s="151"/>
      <c r="ALT12" s="151"/>
      <c r="ALU12" s="151"/>
      <c r="ALV12" s="151"/>
      <c r="ALW12" s="151"/>
      <c r="ALX12" s="151"/>
      <c r="ALY12" s="151"/>
      <c r="ALZ12" s="151"/>
      <c r="AMA12" s="151"/>
      <c r="AMB12" s="151"/>
      <c r="AMC12" s="151"/>
      <c r="AMD12" s="151"/>
      <c r="AME12" s="151"/>
      <c r="AMF12" s="151"/>
      <c r="AMG12" s="151"/>
      <c r="AMH12" s="151"/>
      <c r="AMI12" s="151"/>
      <c r="AMJ12" s="151"/>
      <c r="AMK12" s="151"/>
      <c r="AML12" s="151"/>
      <c r="AMM12" s="151"/>
      <c r="AMN12" s="151"/>
      <c r="AMO12" s="151"/>
      <c r="AMP12" s="151"/>
      <c r="AMQ12" s="151"/>
      <c r="AMR12" s="151"/>
      <c r="AMS12" s="151"/>
      <c r="AMT12" s="151"/>
      <c r="AMU12" s="151"/>
      <c r="AMV12" s="151"/>
      <c r="AMW12" s="151"/>
      <c r="AMX12" s="151"/>
      <c r="AMY12" s="151"/>
      <c r="AMZ12" s="151"/>
      <c r="ANA12" s="151"/>
      <c r="ANB12" s="151"/>
      <c r="ANC12" s="151"/>
      <c r="AND12" s="151"/>
      <c r="ANE12" s="151"/>
      <c r="ANF12" s="151"/>
      <c r="ANG12" s="151"/>
      <c r="ANH12" s="151"/>
      <c r="ANI12" s="151"/>
      <c r="ANJ12" s="151"/>
      <c r="ANK12" s="151"/>
      <c r="ANL12" s="151"/>
      <c r="ANM12" s="151"/>
      <c r="ANN12" s="151"/>
      <c r="ANO12" s="151"/>
      <c r="ANP12" s="151"/>
      <c r="ANQ12" s="151"/>
      <c r="ANR12" s="151"/>
      <c r="ANS12" s="151"/>
      <c r="ANT12" s="151"/>
      <c r="ANU12" s="151"/>
      <c r="ANV12" s="151"/>
      <c r="ANW12" s="151"/>
      <c r="ANX12" s="151"/>
      <c r="ANY12" s="151"/>
      <c r="ANZ12" s="151"/>
      <c r="AOA12" s="151"/>
      <c r="AOB12" s="151"/>
      <c r="AOC12" s="151"/>
      <c r="AOD12" s="151"/>
      <c r="AOE12" s="151"/>
      <c r="AOF12" s="151"/>
      <c r="AOG12" s="151"/>
      <c r="AOH12" s="151"/>
      <c r="AOI12" s="151"/>
      <c r="AOJ12" s="151"/>
      <c r="AOK12" s="151"/>
      <c r="AOL12" s="151"/>
      <c r="AOM12" s="151"/>
      <c r="AON12" s="151"/>
      <c r="AOO12" s="151"/>
      <c r="AOP12" s="151"/>
      <c r="AOQ12" s="151"/>
      <c r="AOR12" s="151"/>
      <c r="AOS12" s="151"/>
      <c r="AOT12" s="151"/>
      <c r="AOU12" s="151"/>
      <c r="AOV12" s="151"/>
      <c r="AOW12" s="151"/>
      <c r="AOX12" s="151"/>
      <c r="AOY12" s="151"/>
      <c r="AOZ12" s="151"/>
      <c r="APA12" s="151"/>
      <c r="APB12" s="151"/>
      <c r="APC12" s="151"/>
      <c r="APD12" s="151"/>
      <c r="APE12" s="151"/>
      <c r="APF12" s="151"/>
      <c r="APG12" s="151"/>
      <c r="APH12" s="151"/>
      <c r="API12" s="151"/>
      <c r="APJ12" s="151"/>
      <c r="APK12" s="151"/>
      <c r="APL12" s="151"/>
      <c r="APM12" s="151"/>
      <c r="APN12" s="151"/>
      <c r="APO12" s="151"/>
      <c r="APP12" s="151"/>
      <c r="APQ12" s="151"/>
      <c r="APR12" s="151"/>
      <c r="APS12" s="151"/>
      <c r="APT12" s="151"/>
      <c r="APU12" s="151"/>
      <c r="APV12" s="151"/>
      <c r="APW12" s="151"/>
      <c r="APX12" s="151"/>
      <c r="APY12" s="151"/>
      <c r="APZ12" s="151"/>
      <c r="AQA12" s="151"/>
      <c r="AQB12" s="151"/>
      <c r="AQC12" s="151"/>
      <c r="AQD12" s="151"/>
      <c r="AQE12" s="151"/>
      <c r="AQF12" s="151"/>
      <c r="AQG12" s="151"/>
      <c r="AQH12" s="151"/>
      <c r="AQI12" s="151"/>
      <c r="AQJ12" s="151"/>
      <c r="AQK12" s="151"/>
      <c r="AQL12" s="151"/>
      <c r="AQM12" s="151"/>
      <c r="AQN12" s="151"/>
      <c r="AQO12" s="151"/>
      <c r="AQP12" s="151"/>
      <c r="AQQ12" s="151"/>
      <c r="AQR12" s="151"/>
      <c r="AQS12" s="151"/>
      <c r="AQT12" s="151"/>
      <c r="AQU12" s="151"/>
      <c r="AQV12" s="151"/>
      <c r="AQW12" s="151"/>
      <c r="AQX12" s="151"/>
      <c r="AQY12" s="151"/>
      <c r="AQZ12" s="151"/>
      <c r="ARA12" s="151"/>
      <c r="ARB12" s="151"/>
      <c r="ARC12" s="151"/>
      <c r="ARD12" s="151"/>
      <c r="ARE12" s="151"/>
      <c r="ARF12" s="151"/>
      <c r="ARG12" s="151"/>
      <c r="ARH12" s="151"/>
      <c r="ARI12" s="151"/>
      <c r="ARJ12" s="151"/>
      <c r="ARK12" s="151"/>
      <c r="ARL12" s="151"/>
      <c r="ARM12" s="151"/>
      <c r="ARN12" s="151"/>
      <c r="ARO12" s="151"/>
      <c r="ARP12" s="151"/>
      <c r="ARQ12" s="151"/>
      <c r="ARR12" s="151"/>
      <c r="ARS12" s="151"/>
      <c r="ART12" s="151"/>
      <c r="ARU12" s="151"/>
      <c r="ARV12" s="151"/>
      <c r="ARW12" s="151"/>
      <c r="ARX12" s="151"/>
      <c r="ARY12" s="151"/>
      <c r="ARZ12" s="151"/>
      <c r="ASA12" s="151"/>
      <c r="ASB12" s="151"/>
      <c r="ASC12" s="151"/>
      <c r="ASD12" s="151"/>
      <c r="ASE12" s="151"/>
      <c r="ASF12" s="151"/>
      <c r="ASG12" s="151"/>
      <c r="ASH12" s="151"/>
      <c r="ASI12" s="151"/>
      <c r="ASJ12" s="151"/>
      <c r="ASK12" s="151"/>
      <c r="ASL12" s="151"/>
      <c r="ASM12" s="151"/>
      <c r="ASN12" s="151"/>
      <c r="ASO12" s="151"/>
      <c r="ASP12" s="151"/>
      <c r="ASQ12" s="151"/>
      <c r="ASR12" s="151"/>
      <c r="ASS12" s="151"/>
      <c r="AST12" s="151"/>
      <c r="ASU12" s="151"/>
      <c r="ASV12" s="151"/>
      <c r="ASW12" s="151"/>
      <c r="ASX12" s="151"/>
      <c r="ASY12" s="151"/>
      <c r="ASZ12" s="151"/>
      <c r="ATA12" s="151"/>
      <c r="ATB12" s="151"/>
      <c r="ATC12" s="151"/>
      <c r="ATD12" s="151"/>
      <c r="ATE12" s="151"/>
      <c r="ATF12" s="151"/>
      <c r="ATG12" s="151"/>
      <c r="ATH12" s="151"/>
      <c r="ATI12" s="151"/>
      <c r="ATJ12" s="151"/>
      <c r="ATK12" s="151"/>
      <c r="ATL12" s="151"/>
      <c r="ATM12" s="151"/>
      <c r="ATN12" s="151"/>
      <c r="ATO12" s="151"/>
      <c r="ATP12" s="151"/>
      <c r="ATQ12" s="151"/>
      <c r="ATR12" s="151"/>
      <c r="ATS12" s="151"/>
      <c r="ATT12" s="151"/>
      <c r="ATU12" s="151"/>
      <c r="ATV12" s="151"/>
      <c r="ATW12" s="151"/>
      <c r="ATX12" s="151"/>
      <c r="ATY12" s="151"/>
      <c r="ATZ12" s="151"/>
      <c r="AUA12" s="151"/>
      <c r="AUB12" s="151"/>
      <c r="AUC12" s="151"/>
      <c r="AUD12" s="151"/>
      <c r="AUE12" s="151"/>
      <c r="AUF12" s="151"/>
      <c r="AUG12" s="151"/>
      <c r="AUH12" s="151"/>
      <c r="AUI12" s="151"/>
      <c r="AUJ12" s="151"/>
      <c r="AUK12" s="151"/>
      <c r="AUL12" s="151"/>
      <c r="AUM12" s="151"/>
      <c r="AUN12" s="151"/>
      <c r="AUO12" s="151"/>
      <c r="AUP12" s="151"/>
      <c r="AUQ12" s="151"/>
      <c r="AUR12" s="151"/>
      <c r="AUS12" s="151"/>
      <c r="AUT12" s="151"/>
      <c r="AUU12" s="151"/>
      <c r="AUV12" s="151"/>
      <c r="AUW12" s="151"/>
      <c r="AUX12" s="151"/>
      <c r="AUY12" s="151"/>
      <c r="AUZ12" s="151"/>
      <c r="AVA12" s="151"/>
      <c r="AVB12" s="151"/>
      <c r="AVC12" s="151"/>
      <c r="AVD12" s="151"/>
      <c r="AVE12" s="151"/>
      <c r="AVF12" s="151"/>
      <c r="AVG12" s="151"/>
      <c r="AVH12" s="151"/>
      <c r="AVI12" s="151"/>
      <c r="AVJ12" s="151"/>
      <c r="AVK12" s="151"/>
      <c r="AVL12" s="151"/>
      <c r="AVM12" s="151"/>
      <c r="AVN12" s="151"/>
      <c r="AVO12" s="151"/>
      <c r="AVP12" s="151"/>
      <c r="AVQ12" s="151"/>
      <c r="AVR12" s="151"/>
      <c r="AVS12" s="151"/>
      <c r="AVT12" s="151"/>
      <c r="AVU12" s="151"/>
      <c r="AVV12" s="151"/>
      <c r="AVW12" s="151"/>
      <c r="AVX12" s="151"/>
      <c r="AVY12" s="151"/>
      <c r="AVZ12" s="151"/>
      <c r="AWA12" s="151"/>
      <c r="AWB12" s="151"/>
      <c r="AWC12" s="151"/>
      <c r="AWD12" s="151"/>
      <c r="AWE12" s="151"/>
      <c r="AWF12" s="151"/>
      <c r="AWG12" s="151"/>
      <c r="AWH12" s="151"/>
      <c r="AWI12" s="151"/>
      <c r="AWJ12" s="151"/>
      <c r="AWK12" s="151"/>
      <c r="AWL12" s="151"/>
      <c r="AWM12" s="151"/>
      <c r="AWN12" s="151"/>
      <c r="AWO12" s="151"/>
      <c r="AWP12" s="151"/>
      <c r="AWQ12" s="151"/>
      <c r="AWR12" s="151"/>
      <c r="AWS12" s="151"/>
      <c r="AWT12" s="151"/>
      <c r="AWU12" s="151"/>
      <c r="AWV12" s="151"/>
      <c r="AWW12" s="151"/>
      <c r="AWX12" s="151"/>
      <c r="AWY12" s="151"/>
      <c r="AWZ12" s="151"/>
      <c r="AXA12" s="151"/>
      <c r="AXB12" s="151"/>
      <c r="AXC12" s="151"/>
      <c r="AXD12" s="151"/>
      <c r="AXE12" s="151"/>
      <c r="AXF12" s="151"/>
      <c r="AXG12" s="151"/>
      <c r="AXH12" s="151"/>
      <c r="AXI12" s="151"/>
      <c r="AXJ12" s="151"/>
      <c r="AXK12" s="151"/>
      <c r="AXL12" s="151"/>
      <c r="AXM12" s="151"/>
      <c r="AXN12" s="151"/>
      <c r="AXO12" s="151"/>
      <c r="AXP12" s="151"/>
      <c r="AXQ12" s="151"/>
      <c r="AXR12" s="151"/>
      <c r="AXS12" s="151"/>
      <c r="AXT12" s="151"/>
      <c r="AXU12" s="151"/>
      <c r="AXV12" s="151"/>
      <c r="AXW12" s="151"/>
      <c r="AXX12" s="151"/>
      <c r="AXY12" s="151"/>
      <c r="AXZ12" s="151"/>
      <c r="AYA12" s="151"/>
      <c r="AYB12" s="151"/>
      <c r="AYC12" s="151"/>
      <c r="AYD12" s="151"/>
      <c r="AYE12" s="151"/>
      <c r="AYF12" s="151"/>
      <c r="AYG12" s="151"/>
      <c r="AYH12" s="151"/>
      <c r="AYI12" s="151"/>
      <c r="AYJ12" s="151"/>
      <c r="AYK12" s="151"/>
      <c r="AYL12" s="151"/>
      <c r="AYM12" s="151"/>
      <c r="AYN12" s="151"/>
      <c r="AYO12" s="151"/>
      <c r="AYP12" s="151"/>
      <c r="AYQ12" s="151"/>
      <c r="AYR12" s="151"/>
      <c r="AYS12" s="151"/>
      <c r="AYT12" s="151"/>
      <c r="AYU12" s="151"/>
      <c r="AYV12" s="151"/>
      <c r="AYW12" s="151"/>
      <c r="AYX12" s="151"/>
      <c r="AYY12" s="151"/>
      <c r="AYZ12" s="151"/>
      <c r="AZA12" s="151"/>
      <c r="AZB12" s="151"/>
      <c r="AZC12" s="151"/>
      <c r="AZD12" s="151"/>
      <c r="AZE12" s="151"/>
      <c r="AZF12" s="151"/>
      <c r="AZG12" s="151"/>
      <c r="AZH12" s="151"/>
      <c r="AZI12" s="151"/>
      <c r="AZJ12" s="151"/>
      <c r="AZK12" s="151"/>
      <c r="AZL12" s="151"/>
      <c r="AZM12" s="151"/>
      <c r="AZN12" s="151"/>
      <c r="AZO12" s="151"/>
      <c r="AZP12" s="151"/>
      <c r="AZQ12" s="151"/>
      <c r="AZR12" s="151"/>
      <c r="AZS12" s="151"/>
      <c r="AZT12" s="151"/>
      <c r="AZU12" s="151"/>
      <c r="AZV12" s="151"/>
      <c r="AZW12" s="151"/>
      <c r="AZX12" s="151"/>
      <c r="AZY12" s="151"/>
      <c r="AZZ12" s="151"/>
      <c r="BAA12" s="151"/>
      <c r="BAB12" s="151"/>
      <c r="BAC12" s="151"/>
      <c r="BAD12" s="151"/>
      <c r="BAE12" s="151"/>
      <c r="BAF12" s="151"/>
      <c r="BAG12" s="151"/>
      <c r="BAH12" s="151"/>
      <c r="BAI12" s="151"/>
      <c r="BAJ12" s="151"/>
      <c r="BAK12" s="151"/>
      <c r="BAL12" s="151"/>
      <c r="BAM12" s="151"/>
      <c r="BAN12" s="151"/>
      <c r="BAO12" s="151"/>
      <c r="BAP12" s="151"/>
      <c r="BAQ12" s="151"/>
      <c r="BAR12" s="151"/>
      <c r="BAS12" s="151"/>
      <c r="BAT12" s="151"/>
      <c r="BAU12" s="151"/>
      <c r="BAV12" s="151"/>
      <c r="BAW12" s="151"/>
      <c r="BAX12" s="151"/>
      <c r="BAY12" s="151"/>
      <c r="BAZ12" s="151"/>
      <c r="BBA12" s="151"/>
      <c r="BBB12" s="151"/>
      <c r="BBC12" s="151"/>
      <c r="BBD12" s="151"/>
      <c r="BBE12" s="151"/>
      <c r="BBF12" s="151"/>
      <c r="BBG12" s="151"/>
      <c r="BBH12" s="151"/>
      <c r="BBI12" s="151"/>
      <c r="BBJ12" s="151"/>
      <c r="BBK12" s="151"/>
      <c r="BBL12" s="151"/>
      <c r="BBM12" s="151"/>
      <c r="BBN12" s="151"/>
      <c r="BBO12" s="151"/>
      <c r="BBP12" s="151"/>
      <c r="BBQ12" s="151"/>
      <c r="BBR12" s="151"/>
      <c r="BBS12" s="151"/>
      <c r="BBT12" s="151"/>
      <c r="BBU12" s="151"/>
      <c r="BBV12" s="151"/>
      <c r="BBW12" s="151"/>
      <c r="BBX12" s="151"/>
      <c r="BBY12" s="151"/>
      <c r="BBZ12" s="151"/>
      <c r="BCA12" s="151"/>
      <c r="BCB12" s="151"/>
      <c r="BCC12" s="151"/>
      <c r="BCD12" s="151"/>
      <c r="BCE12" s="151"/>
      <c r="BCF12" s="151"/>
      <c r="BCG12" s="151"/>
      <c r="BCH12" s="151"/>
      <c r="BCI12" s="151"/>
      <c r="BCJ12" s="151"/>
      <c r="BCK12" s="151"/>
      <c r="BCL12" s="151"/>
      <c r="BCM12" s="151"/>
      <c r="BCN12" s="151"/>
      <c r="BCO12" s="151"/>
      <c r="BCP12" s="151"/>
      <c r="BCQ12" s="151"/>
      <c r="BCR12" s="151"/>
      <c r="BCS12" s="151"/>
      <c r="BCT12" s="151"/>
      <c r="BCU12" s="151"/>
      <c r="BCV12" s="151"/>
      <c r="BCW12" s="151"/>
      <c r="BCX12" s="151"/>
      <c r="BCY12" s="151"/>
      <c r="BCZ12" s="151"/>
      <c r="BDA12" s="151"/>
      <c r="BDB12" s="151"/>
      <c r="BDC12" s="151"/>
      <c r="BDD12" s="151"/>
      <c r="BDE12" s="151"/>
      <c r="BDF12" s="151"/>
      <c r="BDG12" s="151"/>
      <c r="BDH12" s="151"/>
      <c r="BDI12" s="151"/>
      <c r="BDJ12" s="151"/>
      <c r="BDK12" s="151"/>
      <c r="BDL12" s="151"/>
      <c r="BDM12" s="151"/>
      <c r="BDN12" s="151"/>
      <c r="BDO12" s="151"/>
      <c r="BDP12" s="151"/>
      <c r="BDQ12" s="151"/>
      <c r="BDR12" s="151"/>
      <c r="BDS12" s="151"/>
      <c r="BDT12" s="151"/>
      <c r="BDU12" s="151"/>
      <c r="BDV12" s="151"/>
      <c r="BDW12" s="151"/>
      <c r="BDX12" s="151"/>
      <c r="BDY12" s="151"/>
      <c r="BDZ12" s="151"/>
      <c r="BEA12" s="151"/>
      <c r="BEB12" s="151"/>
      <c r="BEC12" s="151"/>
      <c r="BED12" s="151"/>
      <c r="BEE12" s="151"/>
      <c r="BEF12" s="151"/>
      <c r="BEG12" s="151"/>
      <c r="BEH12" s="151"/>
      <c r="BEI12" s="151"/>
      <c r="BEJ12" s="151"/>
      <c r="BEK12" s="151"/>
      <c r="BEL12" s="151"/>
      <c r="BEM12" s="151"/>
      <c r="BEN12" s="151"/>
      <c r="BEO12" s="151"/>
      <c r="BEP12" s="151"/>
      <c r="BEQ12" s="151"/>
      <c r="BER12" s="151"/>
      <c r="BES12" s="151"/>
      <c r="BET12" s="151"/>
      <c r="BEU12" s="151"/>
      <c r="BEV12" s="151"/>
      <c r="BEW12" s="151"/>
      <c r="BEX12" s="151"/>
      <c r="BEY12" s="151"/>
      <c r="BEZ12" s="151"/>
      <c r="BFA12" s="151"/>
      <c r="BFB12" s="151"/>
      <c r="BFC12" s="151"/>
      <c r="BFD12" s="151"/>
      <c r="BFE12" s="151"/>
      <c r="BFF12" s="151"/>
      <c r="BFG12" s="151"/>
      <c r="BFH12" s="151"/>
      <c r="BFI12" s="151"/>
      <c r="BFJ12" s="151"/>
      <c r="BFK12" s="151"/>
      <c r="BFL12" s="151"/>
      <c r="BFM12" s="151"/>
      <c r="BFN12" s="151"/>
      <c r="BFO12" s="151"/>
      <c r="BFP12" s="151"/>
      <c r="BFQ12" s="151"/>
      <c r="BFR12" s="151"/>
      <c r="BFS12" s="151"/>
      <c r="BFT12" s="151"/>
      <c r="BFU12" s="151"/>
      <c r="BFV12" s="151"/>
      <c r="BFW12" s="151"/>
      <c r="BFX12" s="151"/>
      <c r="BFY12" s="151"/>
      <c r="BFZ12" s="151"/>
      <c r="BGA12" s="151"/>
      <c r="BGB12" s="151"/>
      <c r="BGC12" s="151"/>
      <c r="BGD12" s="151"/>
      <c r="BGE12" s="151"/>
      <c r="BGF12" s="151"/>
      <c r="BGG12" s="151"/>
      <c r="BGH12" s="151"/>
      <c r="BGI12" s="151"/>
      <c r="BGJ12" s="151"/>
      <c r="BGK12" s="151"/>
      <c r="BGL12" s="151"/>
      <c r="BGM12" s="151"/>
      <c r="BGN12" s="151"/>
      <c r="BGO12" s="151"/>
      <c r="BGP12" s="151"/>
      <c r="BGQ12" s="151"/>
      <c r="BGR12" s="151"/>
      <c r="BGS12" s="151"/>
      <c r="BGT12" s="151"/>
      <c r="BGU12" s="151"/>
      <c r="BGV12" s="151"/>
      <c r="BGW12" s="151"/>
      <c r="BGX12" s="151"/>
      <c r="BGY12" s="151"/>
      <c r="BGZ12" s="151"/>
      <c r="BHA12" s="151"/>
      <c r="BHB12" s="151"/>
      <c r="BHC12" s="151"/>
      <c r="BHD12" s="151"/>
      <c r="BHE12" s="151"/>
      <c r="BHF12" s="151"/>
      <c r="BHG12" s="151"/>
      <c r="BHH12" s="151"/>
      <c r="BHI12" s="151"/>
      <c r="BHJ12" s="151"/>
      <c r="BHK12" s="151"/>
      <c r="BHL12" s="151"/>
      <c r="BHM12" s="151"/>
      <c r="BHN12" s="151"/>
      <c r="BHO12" s="151"/>
      <c r="BHP12" s="151"/>
      <c r="BHQ12" s="151"/>
      <c r="BHR12" s="151"/>
      <c r="BHS12" s="151"/>
      <c r="BHT12" s="151"/>
      <c r="BHU12" s="151"/>
      <c r="BHV12" s="151"/>
      <c r="BHW12" s="151"/>
      <c r="BHX12" s="151"/>
      <c r="BHY12" s="151"/>
      <c r="BHZ12" s="151"/>
      <c r="BIA12" s="151"/>
      <c r="BIB12" s="151"/>
      <c r="BIC12" s="151"/>
      <c r="BID12" s="151"/>
      <c r="BIE12" s="151"/>
      <c r="BIF12" s="151"/>
      <c r="BIG12" s="151"/>
      <c r="BIH12" s="151"/>
      <c r="BII12" s="151"/>
      <c r="BIJ12" s="151"/>
      <c r="BIK12" s="151"/>
      <c r="BIL12" s="151"/>
      <c r="BIM12" s="151"/>
      <c r="BIN12" s="151"/>
      <c r="BIO12" s="151"/>
      <c r="BIP12" s="151"/>
      <c r="BIQ12" s="151"/>
      <c r="BIR12" s="151"/>
      <c r="BIS12" s="151"/>
      <c r="BIT12" s="151"/>
      <c r="BIU12" s="151"/>
      <c r="BIV12" s="151"/>
      <c r="BIW12" s="151"/>
      <c r="BIX12" s="151"/>
      <c r="BIY12" s="151"/>
      <c r="BIZ12" s="151"/>
      <c r="BJA12" s="151"/>
      <c r="BJB12" s="151"/>
      <c r="BJC12" s="151"/>
      <c r="BJD12" s="151"/>
      <c r="BJE12" s="151"/>
      <c r="BJF12" s="151"/>
      <c r="BJG12" s="151"/>
      <c r="BJH12" s="151"/>
      <c r="BJI12" s="151"/>
      <c r="BJJ12" s="151"/>
      <c r="BJK12" s="151"/>
      <c r="BJL12" s="151"/>
      <c r="BJM12" s="151"/>
      <c r="BJN12" s="151"/>
      <c r="BJO12" s="151"/>
      <c r="BJP12" s="151"/>
      <c r="BJQ12" s="151"/>
      <c r="BJR12" s="151"/>
      <c r="BJS12" s="151"/>
      <c r="BJT12" s="151"/>
      <c r="BJU12" s="151"/>
      <c r="BJV12" s="151"/>
      <c r="BJW12" s="151"/>
      <c r="BJX12" s="151"/>
      <c r="BJY12" s="151"/>
      <c r="BJZ12" s="151"/>
      <c r="BKA12" s="151"/>
      <c r="BKB12" s="151"/>
      <c r="BKC12" s="151"/>
      <c r="BKD12" s="151"/>
      <c r="BKE12" s="151"/>
      <c r="BKF12" s="151"/>
      <c r="BKG12" s="151"/>
      <c r="BKH12" s="151"/>
      <c r="BKI12" s="151"/>
      <c r="BKJ12" s="151"/>
      <c r="BKK12" s="151"/>
      <c r="BKL12" s="151"/>
      <c r="BKM12" s="151"/>
      <c r="BKN12" s="151"/>
      <c r="BKO12" s="151"/>
      <c r="BKP12" s="151"/>
      <c r="BKQ12" s="151"/>
      <c r="BKR12" s="151"/>
      <c r="BKS12" s="151"/>
      <c r="BKT12" s="151"/>
      <c r="BKU12" s="151"/>
      <c r="BKV12" s="151"/>
      <c r="BKW12" s="151"/>
      <c r="BKX12" s="151"/>
      <c r="BKY12" s="151"/>
      <c r="BKZ12" s="151"/>
      <c r="BLA12" s="151"/>
      <c r="BLB12" s="151"/>
      <c r="BLC12" s="151"/>
      <c r="BLD12" s="151"/>
      <c r="BLE12" s="151"/>
      <c r="BLF12" s="151"/>
      <c r="BLG12" s="151"/>
      <c r="BLH12" s="151"/>
      <c r="BLI12" s="151"/>
      <c r="BLJ12" s="151"/>
      <c r="BLK12" s="151"/>
      <c r="BLL12" s="151"/>
      <c r="BLM12" s="151"/>
      <c r="BLN12" s="151"/>
      <c r="BLO12" s="151"/>
      <c r="BLP12" s="151"/>
      <c r="BLQ12" s="151"/>
      <c r="BLR12" s="151"/>
      <c r="BLS12" s="151"/>
      <c r="BLT12" s="151"/>
      <c r="BLU12" s="151"/>
      <c r="BLV12" s="151"/>
      <c r="BLW12" s="151"/>
      <c r="BLX12" s="151"/>
      <c r="BLY12" s="151"/>
      <c r="BLZ12" s="151"/>
      <c r="BMA12" s="151"/>
      <c r="BMB12" s="151"/>
      <c r="BMC12" s="151"/>
      <c r="BMD12" s="151"/>
      <c r="BME12" s="151"/>
      <c r="BMF12" s="151"/>
      <c r="BMG12" s="151"/>
      <c r="BMH12" s="151"/>
      <c r="BMI12" s="151"/>
      <c r="BMJ12" s="151"/>
      <c r="BMK12" s="151"/>
      <c r="BML12" s="151"/>
      <c r="BMM12" s="151"/>
      <c r="BMN12" s="151"/>
      <c r="BMO12" s="151"/>
      <c r="BMP12" s="151"/>
      <c r="BMQ12" s="151"/>
      <c r="BMR12" s="151"/>
      <c r="BMS12" s="151"/>
      <c r="BMT12" s="151"/>
      <c r="BMU12" s="151"/>
      <c r="BMV12" s="151"/>
      <c r="BMW12" s="151"/>
      <c r="BMX12" s="151"/>
      <c r="BMY12" s="151"/>
      <c r="BMZ12" s="151"/>
      <c r="BNA12" s="151"/>
      <c r="BNB12" s="151"/>
      <c r="BNC12" s="151"/>
      <c r="BND12" s="151"/>
      <c r="BNE12" s="151"/>
      <c r="BNF12" s="151"/>
      <c r="BNG12" s="151"/>
      <c r="BNH12" s="151"/>
      <c r="BNI12" s="151"/>
      <c r="BNJ12" s="151"/>
      <c r="BNK12" s="151"/>
      <c r="BNL12" s="151"/>
      <c r="BNM12" s="151"/>
      <c r="BNN12" s="151"/>
      <c r="BNO12" s="151"/>
      <c r="BNP12" s="151"/>
      <c r="BNQ12" s="151"/>
      <c r="BNR12" s="151"/>
      <c r="BNS12" s="151"/>
      <c r="BNT12" s="151"/>
      <c r="BNU12" s="151"/>
      <c r="BNV12" s="151"/>
      <c r="BNW12" s="151"/>
      <c r="BNX12" s="151"/>
      <c r="BNY12" s="151"/>
      <c r="BNZ12" s="151"/>
      <c r="BOA12" s="151"/>
      <c r="BOB12" s="151"/>
      <c r="BOC12" s="151"/>
      <c r="BOD12" s="151"/>
      <c r="BOE12" s="151"/>
      <c r="BOF12" s="151"/>
      <c r="BOG12" s="151"/>
      <c r="BOH12" s="151"/>
      <c r="BOI12" s="151"/>
      <c r="BOJ12" s="151"/>
      <c r="BOK12" s="151"/>
      <c r="BOL12" s="151"/>
      <c r="BOM12" s="151"/>
      <c r="BON12" s="151"/>
      <c r="BOO12" s="151"/>
      <c r="BOP12" s="151"/>
      <c r="BOQ12" s="151"/>
      <c r="BOR12" s="151"/>
      <c r="BOS12" s="151"/>
      <c r="BOT12" s="151"/>
      <c r="BOU12" s="151"/>
      <c r="BOV12" s="151"/>
      <c r="BOW12" s="151"/>
      <c r="BOX12" s="151"/>
      <c r="BOY12" s="151"/>
      <c r="BOZ12" s="151"/>
      <c r="BPA12" s="151"/>
      <c r="BPB12" s="151"/>
      <c r="BPC12" s="151"/>
      <c r="BPD12" s="151"/>
      <c r="BPE12" s="151"/>
      <c r="BPF12" s="151"/>
      <c r="BPG12" s="151"/>
      <c r="BPH12" s="151"/>
      <c r="BPI12" s="151"/>
      <c r="BPJ12" s="151"/>
      <c r="BPK12" s="151"/>
      <c r="BPL12" s="151"/>
      <c r="BPM12" s="151"/>
      <c r="BPN12" s="151"/>
      <c r="BPO12" s="151"/>
      <c r="BPP12" s="151"/>
      <c r="BPQ12" s="151"/>
      <c r="BPR12" s="151"/>
      <c r="BPS12" s="151"/>
      <c r="BPT12" s="151"/>
      <c r="BPU12" s="151"/>
      <c r="BPV12" s="151"/>
      <c r="BPW12" s="151"/>
      <c r="BPX12" s="151"/>
      <c r="BPY12" s="151"/>
      <c r="BPZ12" s="151"/>
      <c r="BQA12" s="151"/>
      <c r="BQB12" s="151"/>
      <c r="BQC12" s="151"/>
      <c r="BQD12" s="151"/>
      <c r="BQE12" s="151"/>
      <c r="BQF12" s="151"/>
      <c r="BQG12" s="151"/>
      <c r="BQH12" s="151"/>
      <c r="BQI12" s="151"/>
      <c r="BQJ12" s="151"/>
      <c r="BQK12" s="151"/>
      <c r="BQL12" s="151"/>
      <c r="BQM12" s="151"/>
      <c r="BQN12" s="151"/>
      <c r="BQO12" s="151"/>
      <c r="BQP12" s="151"/>
      <c r="BQQ12" s="151"/>
      <c r="BQR12" s="151"/>
      <c r="BQS12" s="151"/>
      <c r="BQT12" s="151"/>
      <c r="BQU12" s="151"/>
      <c r="BQV12" s="151"/>
      <c r="BQW12" s="151"/>
      <c r="BQX12" s="151"/>
      <c r="BQY12" s="151"/>
      <c r="BQZ12" s="151"/>
      <c r="BRA12" s="151"/>
      <c r="BRB12" s="151"/>
      <c r="BRC12" s="151"/>
      <c r="BRD12" s="151"/>
      <c r="BRE12" s="151"/>
      <c r="BRF12" s="151"/>
      <c r="BRG12" s="151"/>
      <c r="BRH12" s="151"/>
      <c r="BRI12" s="151"/>
      <c r="BRJ12" s="151"/>
      <c r="BRK12" s="151"/>
      <c r="BRL12" s="151"/>
      <c r="BRM12" s="151"/>
      <c r="BRN12" s="151"/>
      <c r="BRO12" s="151"/>
      <c r="BRP12" s="151"/>
      <c r="BRQ12" s="151"/>
      <c r="BRR12" s="151"/>
      <c r="BRS12" s="151"/>
      <c r="BRT12" s="151"/>
      <c r="BRU12" s="151"/>
      <c r="BRV12" s="151"/>
      <c r="BRW12" s="151"/>
      <c r="BRX12" s="151"/>
      <c r="BRY12" s="151"/>
      <c r="BRZ12" s="151"/>
      <c r="BSA12" s="151"/>
      <c r="BSB12" s="151"/>
      <c r="BSC12" s="151"/>
      <c r="BSD12" s="151"/>
      <c r="BSE12" s="151"/>
      <c r="BSF12" s="151"/>
      <c r="BSG12" s="151"/>
      <c r="BSH12" s="151"/>
      <c r="BSI12" s="151"/>
      <c r="BSJ12" s="151"/>
      <c r="BSK12" s="151"/>
      <c r="BSL12" s="151"/>
      <c r="BSM12" s="151"/>
      <c r="BSN12" s="151"/>
      <c r="BSO12" s="151"/>
      <c r="BSP12" s="151"/>
      <c r="BSQ12" s="151"/>
      <c r="BSR12" s="151"/>
      <c r="BSS12" s="151"/>
      <c r="BST12" s="151"/>
      <c r="BSU12" s="151"/>
      <c r="BSV12" s="151"/>
      <c r="BSW12" s="151"/>
      <c r="BSX12" s="151"/>
      <c r="BSY12" s="151"/>
      <c r="BSZ12" s="151"/>
      <c r="BTA12" s="151"/>
      <c r="BTB12" s="151"/>
      <c r="BTC12" s="151"/>
      <c r="BTD12" s="151"/>
      <c r="BTE12" s="151"/>
      <c r="BTF12" s="151"/>
      <c r="BTG12" s="151"/>
      <c r="BTH12" s="151"/>
      <c r="BTI12" s="151"/>
      <c r="BTJ12" s="151"/>
      <c r="BTK12" s="151"/>
      <c r="BTL12" s="151"/>
      <c r="BTM12" s="151"/>
      <c r="BTN12" s="151"/>
      <c r="BTO12" s="151"/>
      <c r="BTP12" s="151"/>
      <c r="BTQ12" s="151"/>
      <c r="BTR12" s="151"/>
      <c r="BTS12" s="151"/>
      <c r="BTT12" s="151"/>
      <c r="BTU12" s="151"/>
      <c r="BTV12" s="151"/>
      <c r="BTW12" s="151"/>
      <c r="BTX12" s="151"/>
      <c r="BTY12" s="151"/>
      <c r="BTZ12" s="151"/>
      <c r="BUA12" s="151"/>
      <c r="BUB12" s="151"/>
      <c r="BUC12" s="151"/>
      <c r="BUD12" s="151"/>
      <c r="BUE12" s="151"/>
      <c r="BUF12" s="151"/>
      <c r="BUG12" s="151"/>
      <c r="BUH12" s="151"/>
      <c r="BUI12" s="151"/>
      <c r="BUJ12" s="151"/>
      <c r="BUK12" s="151"/>
      <c r="BUL12" s="151"/>
      <c r="BUM12" s="151"/>
      <c r="BUN12" s="151"/>
      <c r="BUO12" s="151"/>
      <c r="BUP12" s="151"/>
      <c r="BUQ12" s="151"/>
      <c r="BUR12" s="151"/>
      <c r="BUS12" s="151"/>
      <c r="BUT12" s="151"/>
      <c r="BUU12" s="151"/>
      <c r="BUV12" s="151"/>
      <c r="BUW12" s="151"/>
      <c r="BUX12" s="151"/>
      <c r="BUY12" s="151"/>
      <c r="BUZ12" s="151"/>
      <c r="BVA12" s="151"/>
      <c r="BVB12" s="151"/>
      <c r="BVC12" s="151"/>
      <c r="BVD12" s="151"/>
      <c r="BVE12" s="151"/>
      <c r="BVF12" s="151"/>
      <c r="BVG12" s="151"/>
      <c r="BVH12" s="151"/>
      <c r="BVI12" s="151"/>
      <c r="BVJ12" s="151"/>
      <c r="BVK12" s="151"/>
      <c r="BVL12" s="151"/>
      <c r="BVM12" s="151"/>
      <c r="BVN12" s="151"/>
      <c r="BVO12" s="151"/>
      <c r="BVP12" s="151"/>
      <c r="BVQ12" s="151"/>
      <c r="BVR12" s="151"/>
      <c r="BVS12" s="151"/>
      <c r="BVT12" s="151"/>
      <c r="BVU12" s="151"/>
      <c r="BVV12" s="151"/>
      <c r="BVW12" s="151"/>
      <c r="BVX12" s="151"/>
      <c r="BVY12" s="151"/>
      <c r="BVZ12" s="151"/>
      <c r="BWA12" s="151"/>
      <c r="BWB12" s="151"/>
      <c r="BWC12" s="151"/>
      <c r="BWD12" s="151"/>
      <c r="BWE12" s="151"/>
      <c r="BWF12" s="151"/>
      <c r="BWG12" s="151"/>
      <c r="BWH12" s="151"/>
      <c r="BWI12" s="151"/>
      <c r="BWJ12" s="151"/>
      <c r="BWK12" s="151"/>
      <c r="BWL12" s="151"/>
      <c r="BWM12" s="151"/>
      <c r="BWN12" s="151"/>
      <c r="BWO12" s="151"/>
      <c r="BWP12" s="151"/>
      <c r="BWQ12" s="151"/>
      <c r="BWR12" s="151"/>
      <c r="BWS12" s="151"/>
      <c r="BWT12" s="151"/>
      <c r="BWU12" s="151"/>
      <c r="BWV12" s="151"/>
      <c r="BWW12" s="151"/>
      <c r="BWX12" s="151"/>
      <c r="BWY12" s="151"/>
      <c r="BWZ12" s="151"/>
      <c r="BXA12" s="151"/>
      <c r="BXB12" s="151"/>
      <c r="BXC12" s="151"/>
      <c r="BXD12" s="151"/>
      <c r="BXE12" s="151"/>
      <c r="BXF12" s="151"/>
      <c r="BXG12" s="151"/>
      <c r="BXH12" s="151"/>
      <c r="BXI12" s="151"/>
      <c r="BXJ12" s="151"/>
      <c r="BXK12" s="151"/>
      <c r="BXL12" s="151"/>
      <c r="BXM12" s="151"/>
      <c r="BXN12" s="151"/>
      <c r="BXO12" s="151"/>
      <c r="BXP12" s="151"/>
      <c r="BXQ12" s="151"/>
      <c r="BXR12" s="151"/>
      <c r="BXS12" s="151"/>
      <c r="BXT12" s="151"/>
      <c r="BXU12" s="151"/>
      <c r="BXV12" s="151"/>
      <c r="BXW12" s="151"/>
      <c r="BXX12" s="151"/>
      <c r="BXY12" s="151"/>
      <c r="BXZ12" s="151"/>
      <c r="BYA12" s="151"/>
      <c r="BYB12" s="151"/>
      <c r="BYC12" s="151"/>
      <c r="BYD12" s="151"/>
      <c r="BYE12" s="151"/>
      <c r="BYF12" s="151"/>
      <c r="BYG12" s="151"/>
    </row>
    <row r="13" spans="1:2009" s="3" customFormat="1" ht="12.75" hidden="1" customHeight="1" x14ac:dyDescent="0.25">
      <c r="A13" s="72"/>
      <c r="B13" s="72"/>
      <c r="C13" s="131"/>
      <c r="D13" s="131"/>
      <c r="E13" s="131"/>
      <c r="F13" s="131"/>
      <c r="G13" s="490"/>
      <c r="H13" s="744"/>
      <c r="I13" s="26"/>
    </row>
    <row r="14" spans="1:2009" s="75" customFormat="1" ht="24.95" hidden="1" customHeight="1" x14ac:dyDescent="0.25">
      <c r="A14" s="98" t="s">
        <v>66</v>
      </c>
      <c r="B14" s="99"/>
      <c r="C14" s="133"/>
      <c r="D14" s="133"/>
      <c r="E14" s="134"/>
      <c r="F14" s="134"/>
      <c r="G14" s="491"/>
      <c r="H14" s="744"/>
      <c r="I14" s="21"/>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row>
    <row r="15" spans="1:2009" s="75" customFormat="1" ht="24.95" hidden="1" customHeight="1" x14ac:dyDescent="0.25">
      <c r="A15" s="100"/>
      <c r="B15" s="76" t="s">
        <v>195</v>
      </c>
      <c r="C15" s="135"/>
      <c r="D15" s="135"/>
      <c r="E15" s="136"/>
      <c r="F15" s="136"/>
      <c r="G15" s="492">
        <f t="shared" ref="G15:G18" si="0">ROUND(SUM(C15:F15),5)</f>
        <v>0</v>
      </c>
      <c r="H15" s="744"/>
      <c r="I15" s="21"/>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row>
    <row r="16" spans="1:2009" s="75" customFormat="1" ht="24.95" hidden="1" customHeight="1" x14ac:dyDescent="0.25">
      <c r="A16" s="100"/>
      <c r="B16" s="76" t="s">
        <v>264</v>
      </c>
      <c r="C16" s="135"/>
      <c r="D16" s="135"/>
      <c r="E16" s="136"/>
      <c r="F16" s="136"/>
      <c r="G16" s="492">
        <f t="shared" si="0"/>
        <v>0</v>
      </c>
      <c r="H16" s="744"/>
      <c r="I16" s="21"/>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row>
    <row r="17" spans="1:2009" s="75" customFormat="1" ht="24.95" hidden="1" customHeight="1" x14ac:dyDescent="0.25">
      <c r="A17" s="100"/>
      <c r="B17" s="76" t="s">
        <v>305</v>
      </c>
      <c r="C17" s="135"/>
      <c r="D17" s="135"/>
      <c r="E17" s="136"/>
      <c r="F17" s="136"/>
      <c r="G17" s="492"/>
      <c r="H17" s="744"/>
      <c r="I17" s="21"/>
      <c r="J17"/>
      <c r="K17" s="244"/>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row>
    <row r="18" spans="1:2009" s="75" customFormat="1" ht="24.95" hidden="1" customHeight="1" x14ac:dyDescent="0.25">
      <c r="A18" s="100"/>
      <c r="B18" s="76" t="s">
        <v>265</v>
      </c>
      <c r="C18" s="135"/>
      <c r="D18" s="135"/>
      <c r="E18" s="136"/>
      <c r="F18" s="136"/>
      <c r="G18" s="492">
        <f t="shared" si="0"/>
        <v>0</v>
      </c>
      <c r="H18" s="744"/>
      <c r="I18" s="21"/>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row>
    <row r="19" spans="1:2009" s="75" customFormat="1" ht="24.95" hidden="1" customHeight="1" x14ac:dyDescent="0.25">
      <c r="A19" s="100"/>
      <c r="B19" s="76" t="s">
        <v>306</v>
      </c>
      <c r="C19" s="135"/>
      <c r="D19" s="135"/>
      <c r="E19" s="136"/>
      <c r="F19" s="136"/>
      <c r="G19" s="492"/>
      <c r="H19" s="744"/>
      <c r="I19" s="21"/>
      <c r="J19"/>
      <c r="K19" s="244"/>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row>
    <row r="20" spans="1:2009" s="77" customFormat="1" ht="24.95" hidden="1" customHeight="1" x14ac:dyDescent="0.25">
      <c r="A20" s="101"/>
      <c r="B20" s="92" t="s">
        <v>310</v>
      </c>
      <c r="C20" s="135"/>
      <c r="D20" s="135"/>
      <c r="E20" s="136"/>
      <c r="F20" s="136"/>
      <c r="G20" s="492"/>
      <c r="H20" s="744"/>
      <c r="I20" s="26"/>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row>
    <row r="21" spans="1:2009" s="161" customFormat="1" ht="24.95" hidden="1" customHeight="1" thickBot="1" x14ac:dyDescent="0.3">
      <c r="A21" s="157"/>
      <c r="B21" s="158" t="s">
        <v>67</v>
      </c>
      <c r="C21" s="159"/>
      <c r="D21" s="159"/>
      <c r="E21" s="159"/>
      <c r="F21" s="159"/>
      <c r="G21" s="493"/>
      <c r="H21" s="746"/>
      <c r="I21" s="26"/>
      <c r="J21" s="160"/>
      <c r="K21" s="322"/>
      <c r="L21"/>
      <c r="M21"/>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c r="IR21" s="160"/>
      <c r="IS21" s="160"/>
      <c r="IT21" s="160"/>
      <c r="IU21" s="160"/>
      <c r="IV21" s="160"/>
      <c r="IW21" s="160"/>
      <c r="IX21" s="160"/>
      <c r="IY21" s="160"/>
      <c r="IZ21" s="160"/>
      <c r="JA21" s="160"/>
      <c r="JB21" s="160"/>
      <c r="JC21" s="160"/>
      <c r="JD21" s="160"/>
      <c r="JE21" s="160"/>
      <c r="JF21" s="160"/>
      <c r="JG21" s="160"/>
      <c r="JH21" s="160"/>
      <c r="JI21" s="160"/>
      <c r="JJ21" s="160"/>
      <c r="JK21" s="160"/>
      <c r="JL21" s="160"/>
      <c r="JM21" s="160"/>
      <c r="JN21" s="160"/>
      <c r="JO21" s="160"/>
      <c r="JP21" s="160"/>
      <c r="JQ21" s="160"/>
      <c r="JR21" s="160"/>
      <c r="JS21" s="160"/>
      <c r="JT21" s="160"/>
      <c r="JU21" s="160"/>
      <c r="JV21" s="160"/>
      <c r="JW21" s="160"/>
      <c r="JX21" s="160"/>
      <c r="JY21" s="160"/>
      <c r="JZ21" s="160"/>
      <c r="KA21" s="160"/>
      <c r="KB21" s="160"/>
      <c r="KC21" s="160"/>
      <c r="KD21" s="160"/>
      <c r="KE21" s="160"/>
      <c r="KF21" s="160"/>
      <c r="KG21" s="160"/>
      <c r="KH21" s="160"/>
      <c r="KI21" s="160"/>
      <c r="KJ21" s="160"/>
      <c r="KK21" s="160"/>
      <c r="KL21" s="160"/>
      <c r="KM21" s="160"/>
      <c r="KN21" s="160"/>
      <c r="KO21" s="160"/>
      <c r="KP21" s="160"/>
      <c r="KQ21" s="160"/>
      <c r="KR21" s="160"/>
      <c r="KS21" s="160"/>
      <c r="KT21" s="160"/>
      <c r="KU21" s="160"/>
      <c r="KV21" s="160"/>
      <c r="KW21" s="160"/>
      <c r="KX21" s="160"/>
      <c r="KY21" s="160"/>
      <c r="KZ21" s="160"/>
      <c r="LA21" s="160"/>
      <c r="LB21" s="160"/>
      <c r="LC21" s="160"/>
      <c r="LD21" s="160"/>
      <c r="LE21" s="160"/>
      <c r="LF21" s="160"/>
      <c r="LG21" s="160"/>
      <c r="LH21" s="160"/>
      <c r="LI21" s="160"/>
      <c r="LJ21" s="160"/>
      <c r="LK21" s="160"/>
      <c r="LL21" s="160"/>
      <c r="LM21" s="160"/>
      <c r="LN21" s="160"/>
      <c r="LO21" s="160"/>
      <c r="LP21" s="160"/>
      <c r="LQ21" s="160"/>
      <c r="LR21" s="160"/>
      <c r="LS21" s="160"/>
      <c r="LT21" s="160"/>
      <c r="LU21" s="160"/>
      <c r="LV21" s="160"/>
      <c r="LW21" s="160"/>
      <c r="LX21" s="160"/>
      <c r="LY21" s="160"/>
      <c r="LZ21" s="160"/>
      <c r="MA21" s="160"/>
      <c r="MB21" s="160"/>
      <c r="MC21" s="160"/>
      <c r="MD21" s="160"/>
      <c r="ME21" s="160"/>
      <c r="MF21" s="160"/>
      <c r="MG21" s="160"/>
      <c r="MH21" s="160"/>
      <c r="MI21" s="160"/>
      <c r="MJ21" s="160"/>
      <c r="MK21" s="160"/>
      <c r="ML21" s="160"/>
      <c r="MM21" s="160"/>
      <c r="MN21" s="160"/>
      <c r="MO21" s="160"/>
      <c r="MP21" s="160"/>
      <c r="MQ21" s="160"/>
      <c r="MR21" s="160"/>
      <c r="MS21" s="160"/>
      <c r="MT21" s="160"/>
      <c r="MU21" s="160"/>
      <c r="MV21" s="160"/>
      <c r="MW21" s="160"/>
      <c r="MX21" s="160"/>
      <c r="MY21" s="160"/>
      <c r="MZ21" s="160"/>
      <c r="NA21" s="160"/>
      <c r="NB21" s="160"/>
      <c r="NC21" s="160"/>
      <c r="ND21" s="160"/>
      <c r="NE21" s="160"/>
      <c r="NF21" s="160"/>
      <c r="NG21" s="160"/>
      <c r="NH21" s="160"/>
      <c r="NI21" s="160"/>
      <c r="NJ21" s="160"/>
      <c r="NK21" s="160"/>
      <c r="NL21" s="160"/>
      <c r="NM21" s="160"/>
      <c r="NN21" s="160"/>
      <c r="NO21" s="160"/>
      <c r="NP21" s="160"/>
      <c r="NQ21" s="160"/>
      <c r="NR21" s="160"/>
      <c r="NS21" s="160"/>
      <c r="NT21" s="160"/>
      <c r="NU21" s="160"/>
      <c r="NV21" s="160"/>
      <c r="NW21" s="160"/>
      <c r="NX21" s="160"/>
      <c r="NY21" s="160"/>
      <c r="NZ21" s="160"/>
      <c r="OA21" s="160"/>
      <c r="OB21" s="160"/>
      <c r="OC21" s="160"/>
      <c r="OD21" s="160"/>
      <c r="OE21" s="160"/>
      <c r="OF21" s="160"/>
      <c r="OG21" s="160"/>
      <c r="OH21" s="160"/>
      <c r="OI21" s="160"/>
      <c r="OJ21" s="160"/>
      <c r="OK21" s="160"/>
      <c r="OL21" s="160"/>
      <c r="OM21" s="160"/>
      <c r="ON21" s="160"/>
      <c r="OO21" s="160"/>
      <c r="OP21" s="160"/>
      <c r="OQ21" s="160"/>
      <c r="OR21" s="160"/>
      <c r="OS21" s="160"/>
      <c r="OT21" s="160"/>
      <c r="OU21" s="160"/>
      <c r="OV21" s="160"/>
      <c r="OW21" s="160"/>
      <c r="OX21" s="160"/>
      <c r="OY21" s="160"/>
      <c r="OZ21" s="160"/>
      <c r="PA21" s="160"/>
      <c r="PB21" s="160"/>
      <c r="PC21" s="160"/>
      <c r="PD21" s="160"/>
      <c r="PE21" s="160"/>
      <c r="PF21" s="160"/>
      <c r="PG21" s="160"/>
      <c r="PH21" s="160"/>
      <c r="PI21" s="160"/>
      <c r="PJ21" s="160"/>
      <c r="PK21" s="160"/>
      <c r="PL21" s="160"/>
      <c r="PM21" s="160"/>
      <c r="PN21" s="160"/>
      <c r="PO21" s="160"/>
      <c r="PP21" s="160"/>
      <c r="PQ21" s="160"/>
      <c r="PR21" s="160"/>
      <c r="PS21" s="160"/>
      <c r="PT21" s="160"/>
      <c r="PU21" s="160"/>
      <c r="PV21" s="160"/>
      <c r="PW21" s="160"/>
      <c r="PX21" s="160"/>
      <c r="PY21" s="160"/>
      <c r="PZ21" s="160"/>
      <c r="QA21" s="160"/>
      <c r="QB21" s="160"/>
      <c r="QC21" s="160"/>
      <c r="QD21" s="160"/>
      <c r="QE21" s="160"/>
      <c r="QF21" s="160"/>
      <c r="QG21" s="160"/>
      <c r="QH21" s="160"/>
      <c r="QI21" s="160"/>
      <c r="QJ21" s="160"/>
      <c r="QK21" s="160"/>
      <c r="QL21" s="160"/>
      <c r="QM21" s="160"/>
      <c r="QN21" s="160"/>
      <c r="QO21" s="160"/>
      <c r="QP21" s="160"/>
      <c r="QQ21" s="160"/>
      <c r="QR21" s="160"/>
      <c r="QS21" s="160"/>
      <c r="QT21" s="160"/>
      <c r="QU21" s="160"/>
      <c r="QV21" s="160"/>
      <c r="QW21" s="160"/>
      <c r="QX21" s="160"/>
      <c r="QY21" s="160"/>
      <c r="QZ21" s="160"/>
      <c r="RA21" s="160"/>
      <c r="RB21" s="160"/>
      <c r="RC21" s="160"/>
      <c r="RD21" s="160"/>
      <c r="RE21" s="160"/>
      <c r="RF21" s="160"/>
      <c r="RG21" s="160"/>
      <c r="RH21" s="160"/>
      <c r="RI21" s="160"/>
      <c r="RJ21" s="160"/>
      <c r="RK21" s="160"/>
      <c r="RL21" s="160"/>
      <c r="RM21" s="160"/>
      <c r="RN21" s="160"/>
      <c r="RO21" s="160"/>
      <c r="RP21" s="160"/>
      <c r="RQ21" s="160"/>
      <c r="RR21" s="160"/>
      <c r="RS21" s="160"/>
      <c r="RT21" s="160"/>
      <c r="RU21" s="160"/>
      <c r="RV21" s="160"/>
      <c r="RW21" s="160"/>
      <c r="RX21" s="160"/>
      <c r="RY21" s="160"/>
      <c r="RZ21" s="160"/>
      <c r="SA21" s="160"/>
      <c r="SB21" s="160"/>
      <c r="SC21" s="160"/>
      <c r="SD21" s="160"/>
      <c r="SE21" s="160"/>
      <c r="SF21" s="160"/>
      <c r="SG21" s="160"/>
      <c r="SH21" s="160"/>
      <c r="SI21" s="160"/>
      <c r="SJ21" s="160"/>
      <c r="SK21" s="160"/>
      <c r="SL21" s="160"/>
      <c r="SM21" s="160"/>
      <c r="SN21" s="160"/>
      <c r="SO21" s="160"/>
      <c r="SP21" s="160"/>
      <c r="SQ21" s="160"/>
      <c r="SR21" s="160"/>
      <c r="SS21" s="160"/>
      <c r="ST21" s="160"/>
      <c r="SU21" s="160"/>
      <c r="SV21" s="160"/>
      <c r="SW21" s="160"/>
      <c r="SX21" s="160"/>
      <c r="SY21" s="160"/>
      <c r="SZ21" s="160"/>
      <c r="TA21" s="160"/>
      <c r="TB21" s="160"/>
      <c r="TC21" s="160"/>
      <c r="TD21" s="160"/>
      <c r="TE21" s="160"/>
      <c r="TF21" s="160"/>
      <c r="TG21" s="160"/>
      <c r="TH21" s="160"/>
      <c r="TI21" s="160"/>
      <c r="TJ21" s="160"/>
      <c r="TK21" s="160"/>
      <c r="TL21" s="160"/>
      <c r="TM21" s="160"/>
      <c r="TN21" s="160"/>
      <c r="TO21" s="160"/>
      <c r="TP21" s="160"/>
      <c r="TQ21" s="160"/>
      <c r="TR21" s="160"/>
      <c r="TS21" s="160"/>
      <c r="TT21" s="160"/>
      <c r="TU21" s="160"/>
      <c r="TV21" s="160"/>
      <c r="TW21" s="160"/>
      <c r="TX21" s="160"/>
      <c r="TY21" s="160"/>
      <c r="TZ21" s="160"/>
      <c r="UA21" s="160"/>
      <c r="UB21" s="160"/>
      <c r="UC21" s="160"/>
      <c r="UD21" s="160"/>
      <c r="UE21" s="160"/>
      <c r="UF21" s="160"/>
      <c r="UG21" s="160"/>
      <c r="UH21" s="160"/>
      <c r="UI21" s="160"/>
      <c r="UJ21" s="160"/>
      <c r="UK21" s="160"/>
      <c r="UL21" s="160"/>
      <c r="UM21" s="160"/>
      <c r="UN21" s="160"/>
      <c r="UO21" s="160"/>
      <c r="UP21" s="160"/>
      <c r="UQ21" s="160"/>
      <c r="UR21" s="160"/>
      <c r="US21" s="160"/>
      <c r="UT21" s="160"/>
      <c r="UU21" s="160"/>
      <c r="UV21" s="160"/>
      <c r="UW21" s="160"/>
      <c r="UX21" s="160"/>
      <c r="UY21" s="160"/>
      <c r="UZ21" s="160"/>
      <c r="VA21" s="160"/>
      <c r="VB21" s="160"/>
      <c r="VC21" s="160"/>
      <c r="VD21" s="160"/>
      <c r="VE21" s="160"/>
      <c r="VF21" s="160"/>
      <c r="VG21" s="160"/>
      <c r="VH21" s="160"/>
      <c r="VI21" s="160"/>
      <c r="VJ21" s="160"/>
      <c r="VK21" s="160"/>
      <c r="VL21" s="160"/>
      <c r="VM21" s="160"/>
      <c r="VN21" s="160"/>
      <c r="VO21" s="160"/>
      <c r="VP21" s="160"/>
      <c r="VQ21" s="160"/>
      <c r="VR21" s="160"/>
      <c r="VS21" s="160"/>
      <c r="VT21" s="160"/>
      <c r="VU21" s="160"/>
      <c r="VV21" s="160"/>
      <c r="VW21" s="160"/>
      <c r="VX21" s="160"/>
      <c r="VY21" s="160"/>
      <c r="VZ21" s="160"/>
      <c r="WA21" s="160"/>
      <c r="WB21" s="160"/>
      <c r="WC21" s="160"/>
      <c r="WD21" s="160"/>
      <c r="WE21" s="160"/>
      <c r="WF21" s="160"/>
      <c r="WG21" s="160"/>
      <c r="WH21" s="160"/>
      <c r="WI21" s="160"/>
      <c r="WJ21" s="160"/>
      <c r="WK21" s="160"/>
      <c r="WL21" s="160"/>
      <c r="WM21" s="160"/>
      <c r="WN21" s="160"/>
      <c r="WO21" s="160"/>
      <c r="WP21" s="160"/>
      <c r="WQ21" s="160"/>
      <c r="WR21" s="160"/>
      <c r="WS21" s="160"/>
      <c r="WT21" s="160"/>
      <c r="WU21" s="160"/>
      <c r="WV21" s="160"/>
      <c r="WW21" s="160"/>
      <c r="WX21" s="160"/>
      <c r="WY21" s="160"/>
      <c r="WZ21" s="160"/>
      <c r="XA21" s="160"/>
      <c r="XB21" s="160"/>
      <c r="XC21" s="160"/>
      <c r="XD21" s="160"/>
      <c r="XE21" s="160"/>
      <c r="XF21" s="160"/>
      <c r="XG21" s="160"/>
      <c r="XH21" s="160"/>
      <c r="XI21" s="160"/>
      <c r="XJ21" s="160"/>
      <c r="XK21" s="160"/>
      <c r="XL21" s="160"/>
      <c r="XM21" s="160"/>
      <c r="XN21" s="160"/>
      <c r="XO21" s="160"/>
      <c r="XP21" s="160"/>
      <c r="XQ21" s="160"/>
      <c r="XR21" s="160"/>
      <c r="XS21" s="160"/>
      <c r="XT21" s="160"/>
      <c r="XU21" s="160"/>
      <c r="XV21" s="160"/>
      <c r="XW21" s="160"/>
      <c r="XX21" s="160"/>
      <c r="XY21" s="160"/>
      <c r="XZ21" s="160"/>
      <c r="YA21" s="160"/>
      <c r="YB21" s="160"/>
      <c r="YC21" s="160"/>
      <c r="YD21" s="160"/>
      <c r="YE21" s="160"/>
      <c r="YF21" s="160"/>
      <c r="YG21" s="160"/>
      <c r="YH21" s="160"/>
      <c r="YI21" s="160"/>
      <c r="YJ21" s="160"/>
      <c r="YK21" s="160"/>
      <c r="YL21" s="160"/>
      <c r="YM21" s="160"/>
      <c r="YN21" s="160"/>
      <c r="YO21" s="160"/>
      <c r="YP21" s="160"/>
      <c r="YQ21" s="160"/>
      <c r="YR21" s="160"/>
      <c r="YS21" s="160"/>
      <c r="YT21" s="160"/>
      <c r="YU21" s="160"/>
      <c r="YV21" s="160"/>
      <c r="YW21" s="160"/>
      <c r="YX21" s="160"/>
      <c r="YY21" s="160"/>
      <c r="YZ21" s="160"/>
      <c r="ZA21" s="160"/>
      <c r="ZB21" s="160"/>
      <c r="ZC21" s="160"/>
      <c r="ZD21" s="160"/>
      <c r="ZE21" s="160"/>
      <c r="ZF21" s="160"/>
      <c r="ZG21" s="160"/>
      <c r="ZH21" s="160"/>
      <c r="ZI21" s="160"/>
      <c r="ZJ21" s="160"/>
      <c r="ZK21" s="160"/>
      <c r="ZL21" s="160"/>
      <c r="ZM21" s="160"/>
      <c r="ZN21" s="160"/>
      <c r="ZO21" s="160"/>
      <c r="ZP21" s="160"/>
      <c r="ZQ21" s="160"/>
      <c r="ZR21" s="160"/>
      <c r="ZS21" s="160"/>
      <c r="ZT21" s="160"/>
      <c r="ZU21" s="160"/>
      <c r="ZV21" s="160"/>
      <c r="ZW21" s="160"/>
      <c r="ZX21" s="160"/>
      <c r="ZY21" s="160"/>
      <c r="ZZ21" s="160"/>
      <c r="AAA21" s="160"/>
      <c r="AAB21" s="160"/>
      <c r="AAC21" s="160"/>
      <c r="AAD21" s="160"/>
      <c r="AAE21" s="160"/>
      <c r="AAF21" s="160"/>
      <c r="AAG21" s="160"/>
      <c r="AAH21" s="160"/>
      <c r="AAI21" s="160"/>
      <c r="AAJ21" s="160"/>
      <c r="AAK21" s="160"/>
      <c r="AAL21" s="160"/>
      <c r="AAM21" s="160"/>
      <c r="AAN21" s="160"/>
      <c r="AAO21" s="160"/>
      <c r="AAP21" s="160"/>
      <c r="AAQ21" s="160"/>
      <c r="AAR21" s="160"/>
      <c r="AAS21" s="160"/>
      <c r="AAT21" s="160"/>
      <c r="AAU21" s="160"/>
      <c r="AAV21" s="160"/>
      <c r="AAW21" s="160"/>
      <c r="AAX21" s="160"/>
      <c r="AAY21" s="160"/>
      <c r="AAZ21" s="160"/>
      <c r="ABA21" s="160"/>
      <c r="ABB21" s="160"/>
      <c r="ABC21" s="160"/>
      <c r="ABD21" s="160"/>
      <c r="ABE21" s="160"/>
      <c r="ABF21" s="160"/>
      <c r="ABG21" s="160"/>
      <c r="ABH21" s="160"/>
      <c r="ABI21" s="160"/>
      <c r="ABJ21" s="160"/>
      <c r="ABK21" s="160"/>
      <c r="ABL21" s="160"/>
      <c r="ABM21" s="160"/>
      <c r="ABN21" s="160"/>
      <c r="ABO21" s="160"/>
      <c r="ABP21" s="160"/>
      <c r="ABQ21" s="160"/>
      <c r="ABR21" s="160"/>
      <c r="ABS21" s="160"/>
      <c r="ABT21" s="160"/>
      <c r="ABU21" s="160"/>
      <c r="ABV21" s="160"/>
      <c r="ABW21" s="160"/>
      <c r="ABX21" s="160"/>
      <c r="ABY21" s="160"/>
      <c r="ABZ21" s="160"/>
      <c r="ACA21" s="160"/>
      <c r="ACB21" s="160"/>
      <c r="ACC21" s="160"/>
      <c r="ACD21" s="160"/>
      <c r="ACE21" s="160"/>
      <c r="ACF21" s="160"/>
      <c r="ACG21" s="160"/>
      <c r="ACH21" s="160"/>
      <c r="ACI21" s="160"/>
      <c r="ACJ21" s="160"/>
      <c r="ACK21" s="160"/>
      <c r="ACL21" s="160"/>
      <c r="ACM21" s="160"/>
      <c r="ACN21" s="160"/>
      <c r="ACO21" s="160"/>
      <c r="ACP21" s="160"/>
      <c r="ACQ21" s="160"/>
      <c r="ACR21" s="160"/>
      <c r="ACS21" s="160"/>
      <c r="ACT21" s="160"/>
      <c r="ACU21" s="160"/>
      <c r="ACV21" s="160"/>
      <c r="ACW21" s="160"/>
      <c r="ACX21" s="160"/>
      <c r="ACY21" s="160"/>
      <c r="ACZ21" s="160"/>
      <c r="ADA21" s="160"/>
      <c r="ADB21" s="160"/>
      <c r="ADC21" s="160"/>
      <c r="ADD21" s="160"/>
      <c r="ADE21" s="160"/>
      <c r="ADF21" s="160"/>
      <c r="ADG21" s="160"/>
      <c r="ADH21" s="160"/>
      <c r="ADI21" s="160"/>
      <c r="ADJ21" s="160"/>
      <c r="ADK21" s="160"/>
      <c r="ADL21" s="160"/>
      <c r="ADM21" s="160"/>
      <c r="ADN21" s="160"/>
      <c r="ADO21" s="160"/>
      <c r="ADP21" s="160"/>
      <c r="ADQ21" s="160"/>
      <c r="ADR21" s="160"/>
      <c r="ADS21" s="160"/>
      <c r="ADT21" s="160"/>
      <c r="ADU21" s="160"/>
      <c r="ADV21" s="160"/>
      <c r="ADW21" s="160"/>
      <c r="ADX21" s="160"/>
      <c r="ADY21" s="160"/>
      <c r="ADZ21" s="160"/>
      <c r="AEA21" s="160"/>
      <c r="AEB21" s="160"/>
      <c r="AEC21" s="160"/>
      <c r="AED21" s="160"/>
      <c r="AEE21" s="160"/>
      <c r="AEF21" s="160"/>
      <c r="AEG21" s="160"/>
      <c r="AEH21" s="160"/>
      <c r="AEI21" s="160"/>
      <c r="AEJ21" s="160"/>
      <c r="AEK21" s="160"/>
      <c r="AEL21" s="160"/>
      <c r="AEM21" s="160"/>
      <c r="AEN21" s="160"/>
      <c r="AEO21" s="160"/>
      <c r="AEP21" s="160"/>
      <c r="AEQ21" s="160"/>
      <c r="AER21" s="160"/>
      <c r="AES21" s="160"/>
      <c r="AET21" s="160"/>
      <c r="AEU21" s="160"/>
      <c r="AEV21" s="160"/>
      <c r="AEW21" s="160"/>
      <c r="AEX21" s="160"/>
      <c r="AEY21" s="160"/>
      <c r="AEZ21" s="160"/>
      <c r="AFA21" s="160"/>
      <c r="AFB21" s="160"/>
      <c r="AFC21" s="160"/>
      <c r="AFD21" s="160"/>
      <c r="AFE21" s="160"/>
      <c r="AFF21" s="160"/>
      <c r="AFG21" s="160"/>
      <c r="AFH21" s="160"/>
      <c r="AFI21" s="160"/>
      <c r="AFJ21" s="160"/>
      <c r="AFK21" s="160"/>
      <c r="AFL21" s="160"/>
      <c r="AFM21" s="160"/>
      <c r="AFN21" s="160"/>
      <c r="AFO21" s="160"/>
      <c r="AFP21" s="160"/>
      <c r="AFQ21" s="160"/>
      <c r="AFR21" s="160"/>
      <c r="AFS21" s="160"/>
      <c r="AFT21" s="160"/>
      <c r="AFU21" s="160"/>
      <c r="AFV21" s="160"/>
      <c r="AFW21" s="160"/>
      <c r="AFX21" s="160"/>
      <c r="AFY21" s="160"/>
      <c r="AFZ21" s="160"/>
      <c r="AGA21" s="160"/>
      <c r="AGB21" s="160"/>
      <c r="AGC21" s="160"/>
      <c r="AGD21" s="160"/>
      <c r="AGE21" s="160"/>
      <c r="AGF21" s="160"/>
      <c r="AGG21" s="160"/>
      <c r="AGH21" s="160"/>
      <c r="AGI21" s="160"/>
      <c r="AGJ21" s="160"/>
      <c r="AGK21" s="160"/>
      <c r="AGL21" s="160"/>
      <c r="AGM21" s="160"/>
      <c r="AGN21" s="160"/>
      <c r="AGO21" s="160"/>
      <c r="AGP21" s="160"/>
      <c r="AGQ21" s="160"/>
      <c r="AGR21" s="160"/>
      <c r="AGS21" s="160"/>
      <c r="AGT21" s="160"/>
      <c r="AGU21" s="160"/>
      <c r="AGV21" s="160"/>
      <c r="AGW21" s="160"/>
      <c r="AGX21" s="160"/>
      <c r="AGY21" s="160"/>
      <c r="AGZ21" s="160"/>
      <c r="AHA21" s="160"/>
      <c r="AHB21" s="160"/>
      <c r="AHC21" s="160"/>
      <c r="AHD21" s="160"/>
      <c r="AHE21" s="160"/>
      <c r="AHF21" s="160"/>
      <c r="AHG21" s="160"/>
      <c r="AHH21" s="160"/>
      <c r="AHI21" s="160"/>
      <c r="AHJ21" s="160"/>
      <c r="AHK21" s="160"/>
      <c r="AHL21" s="160"/>
      <c r="AHM21" s="160"/>
      <c r="AHN21" s="160"/>
      <c r="AHO21" s="160"/>
      <c r="AHP21" s="160"/>
      <c r="AHQ21" s="160"/>
      <c r="AHR21" s="160"/>
      <c r="AHS21" s="160"/>
      <c r="AHT21" s="160"/>
      <c r="AHU21" s="160"/>
      <c r="AHV21" s="160"/>
      <c r="AHW21" s="160"/>
      <c r="AHX21" s="160"/>
      <c r="AHY21" s="160"/>
      <c r="AHZ21" s="160"/>
      <c r="AIA21" s="160"/>
      <c r="AIB21" s="160"/>
      <c r="AIC21" s="160"/>
      <c r="AID21" s="160"/>
      <c r="AIE21" s="160"/>
      <c r="AIF21" s="160"/>
      <c r="AIG21" s="160"/>
      <c r="AIH21" s="160"/>
      <c r="AII21" s="160"/>
      <c r="AIJ21" s="160"/>
      <c r="AIK21" s="160"/>
      <c r="AIL21" s="160"/>
      <c r="AIM21" s="160"/>
      <c r="AIN21" s="160"/>
      <c r="AIO21" s="160"/>
      <c r="AIP21" s="160"/>
      <c r="AIQ21" s="160"/>
      <c r="AIR21" s="160"/>
      <c r="AIS21" s="160"/>
      <c r="AIT21" s="160"/>
      <c r="AIU21" s="160"/>
      <c r="AIV21" s="160"/>
      <c r="AIW21" s="160"/>
      <c r="AIX21" s="160"/>
      <c r="AIY21" s="160"/>
      <c r="AIZ21" s="160"/>
      <c r="AJA21" s="160"/>
      <c r="AJB21" s="160"/>
      <c r="AJC21" s="160"/>
      <c r="AJD21" s="160"/>
      <c r="AJE21" s="160"/>
      <c r="AJF21" s="160"/>
      <c r="AJG21" s="160"/>
      <c r="AJH21" s="160"/>
      <c r="AJI21" s="160"/>
      <c r="AJJ21" s="160"/>
      <c r="AJK21" s="160"/>
      <c r="AJL21" s="160"/>
      <c r="AJM21" s="160"/>
      <c r="AJN21" s="160"/>
      <c r="AJO21" s="160"/>
      <c r="AJP21" s="160"/>
      <c r="AJQ21" s="160"/>
      <c r="AJR21" s="160"/>
      <c r="AJS21" s="160"/>
      <c r="AJT21" s="160"/>
      <c r="AJU21" s="160"/>
      <c r="AJV21" s="160"/>
      <c r="AJW21" s="160"/>
      <c r="AJX21" s="160"/>
      <c r="AJY21" s="160"/>
      <c r="AJZ21" s="160"/>
      <c r="AKA21" s="160"/>
      <c r="AKB21" s="160"/>
      <c r="AKC21" s="160"/>
      <c r="AKD21" s="160"/>
      <c r="AKE21" s="160"/>
      <c r="AKF21" s="160"/>
      <c r="AKG21" s="160"/>
      <c r="AKH21" s="160"/>
      <c r="AKI21" s="160"/>
      <c r="AKJ21" s="160"/>
      <c r="AKK21" s="160"/>
      <c r="AKL21" s="160"/>
      <c r="AKM21" s="160"/>
      <c r="AKN21" s="160"/>
      <c r="AKO21" s="160"/>
      <c r="AKP21" s="160"/>
      <c r="AKQ21" s="160"/>
      <c r="AKR21" s="160"/>
      <c r="AKS21" s="160"/>
      <c r="AKT21" s="160"/>
      <c r="AKU21" s="160"/>
      <c r="AKV21" s="160"/>
      <c r="AKW21" s="160"/>
      <c r="AKX21" s="160"/>
      <c r="AKY21" s="160"/>
      <c r="AKZ21" s="160"/>
      <c r="ALA21" s="160"/>
      <c r="ALB21" s="160"/>
      <c r="ALC21" s="160"/>
      <c r="ALD21" s="160"/>
      <c r="ALE21" s="160"/>
      <c r="ALF21" s="160"/>
      <c r="ALG21" s="160"/>
      <c r="ALH21" s="160"/>
      <c r="ALI21" s="160"/>
      <c r="ALJ21" s="160"/>
      <c r="ALK21" s="160"/>
      <c r="ALL21" s="160"/>
      <c r="ALM21" s="160"/>
      <c r="ALN21" s="160"/>
      <c r="ALO21" s="160"/>
      <c r="ALP21" s="160"/>
      <c r="ALQ21" s="160"/>
      <c r="ALR21" s="160"/>
      <c r="ALS21" s="160"/>
      <c r="ALT21" s="160"/>
      <c r="ALU21" s="160"/>
      <c r="ALV21" s="160"/>
      <c r="ALW21" s="160"/>
      <c r="ALX21" s="160"/>
      <c r="ALY21" s="160"/>
      <c r="ALZ21" s="160"/>
      <c r="AMA21" s="160"/>
      <c r="AMB21" s="160"/>
      <c r="AMC21" s="160"/>
      <c r="AMD21" s="160"/>
      <c r="AME21" s="160"/>
      <c r="AMF21" s="160"/>
      <c r="AMG21" s="160"/>
      <c r="AMH21" s="160"/>
      <c r="AMI21" s="160"/>
      <c r="AMJ21" s="160"/>
      <c r="AMK21" s="160"/>
      <c r="AML21" s="160"/>
      <c r="AMM21" s="160"/>
      <c r="AMN21" s="160"/>
      <c r="AMO21" s="160"/>
      <c r="AMP21" s="160"/>
      <c r="AMQ21" s="160"/>
      <c r="AMR21" s="160"/>
      <c r="AMS21" s="160"/>
      <c r="AMT21" s="160"/>
      <c r="AMU21" s="160"/>
      <c r="AMV21" s="160"/>
      <c r="AMW21" s="160"/>
      <c r="AMX21" s="160"/>
      <c r="AMY21" s="160"/>
      <c r="AMZ21" s="160"/>
      <c r="ANA21" s="160"/>
      <c r="ANB21" s="160"/>
      <c r="ANC21" s="160"/>
      <c r="AND21" s="160"/>
      <c r="ANE21" s="160"/>
      <c r="ANF21" s="160"/>
      <c r="ANG21" s="160"/>
      <c r="ANH21" s="160"/>
      <c r="ANI21" s="160"/>
      <c r="ANJ21" s="160"/>
      <c r="ANK21" s="160"/>
      <c r="ANL21" s="160"/>
      <c r="ANM21" s="160"/>
      <c r="ANN21" s="160"/>
      <c r="ANO21" s="160"/>
      <c r="ANP21" s="160"/>
      <c r="ANQ21" s="160"/>
      <c r="ANR21" s="160"/>
      <c r="ANS21" s="160"/>
      <c r="ANT21" s="160"/>
      <c r="ANU21" s="160"/>
      <c r="ANV21" s="160"/>
      <c r="ANW21" s="160"/>
      <c r="ANX21" s="160"/>
      <c r="ANY21" s="160"/>
      <c r="ANZ21" s="160"/>
      <c r="AOA21" s="160"/>
      <c r="AOB21" s="160"/>
      <c r="AOC21" s="160"/>
      <c r="AOD21" s="160"/>
      <c r="AOE21" s="160"/>
      <c r="AOF21" s="160"/>
      <c r="AOG21" s="160"/>
      <c r="AOH21" s="160"/>
      <c r="AOI21" s="160"/>
      <c r="AOJ21" s="160"/>
      <c r="AOK21" s="160"/>
      <c r="AOL21" s="160"/>
      <c r="AOM21" s="160"/>
      <c r="AON21" s="160"/>
      <c r="AOO21" s="160"/>
      <c r="AOP21" s="160"/>
      <c r="AOQ21" s="160"/>
      <c r="AOR21" s="160"/>
      <c r="AOS21" s="160"/>
      <c r="AOT21" s="160"/>
      <c r="AOU21" s="160"/>
      <c r="AOV21" s="160"/>
      <c r="AOW21" s="160"/>
      <c r="AOX21" s="160"/>
      <c r="AOY21" s="160"/>
      <c r="AOZ21" s="160"/>
      <c r="APA21" s="160"/>
      <c r="APB21" s="160"/>
      <c r="APC21" s="160"/>
      <c r="APD21" s="160"/>
      <c r="APE21" s="160"/>
      <c r="APF21" s="160"/>
      <c r="APG21" s="160"/>
      <c r="APH21" s="160"/>
      <c r="API21" s="160"/>
      <c r="APJ21" s="160"/>
      <c r="APK21" s="160"/>
      <c r="APL21" s="160"/>
      <c r="APM21" s="160"/>
      <c r="APN21" s="160"/>
      <c r="APO21" s="160"/>
      <c r="APP21" s="160"/>
      <c r="APQ21" s="160"/>
      <c r="APR21" s="160"/>
      <c r="APS21" s="160"/>
      <c r="APT21" s="160"/>
      <c r="APU21" s="160"/>
      <c r="APV21" s="160"/>
      <c r="APW21" s="160"/>
      <c r="APX21" s="160"/>
      <c r="APY21" s="160"/>
      <c r="APZ21" s="160"/>
      <c r="AQA21" s="160"/>
      <c r="AQB21" s="160"/>
      <c r="AQC21" s="160"/>
      <c r="AQD21" s="160"/>
      <c r="AQE21" s="160"/>
      <c r="AQF21" s="160"/>
      <c r="AQG21" s="160"/>
      <c r="AQH21" s="160"/>
      <c r="AQI21" s="160"/>
      <c r="AQJ21" s="160"/>
      <c r="AQK21" s="160"/>
      <c r="AQL21" s="160"/>
      <c r="AQM21" s="160"/>
      <c r="AQN21" s="160"/>
      <c r="AQO21" s="160"/>
      <c r="AQP21" s="160"/>
      <c r="AQQ21" s="160"/>
      <c r="AQR21" s="160"/>
      <c r="AQS21" s="160"/>
      <c r="AQT21" s="160"/>
      <c r="AQU21" s="160"/>
      <c r="AQV21" s="160"/>
      <c r="AQW21" s="160"/>
      <c r="AQX21" s="160"/>
      <c r="AQY21" s="160"/>
      <c r="AQZ21" s="160"/>
      <c r="ARA21" s="160"/>
      <c r="ARB21" s="160"/>
      <c r="ARC21" s="160"/>
      <c r="ARD21" s="160"/>
      <c r="ARE21" s="160"/>
      <c r="ARF21" s="160"/>
      <c r="ARG21" s="160"/>
      <c r="ARH21" s="160"/>
      <c r="ARI21" s="160"/>
      <c r="ARJ21" s="160"/>
      <c r="ARK21" s="160"/>
      <c r="ARL21" s="160"/>
      <c r="ARM21" s="160"/>
      <c r="ARN21" s="160"/>
      <c r="ARO21" s="160"/>
      <c r="ARP21" s="160"/>
      <c r="ARQ21" s="160"/>
      <c r="ARR21" s="160"/>
      <c r="ARS21" s="160"/>
      <c r="ART21" s="160"/>
      <c r="ARU21" s="160"/>
      <c r="ARV21" s="160"/>
      <c r="ARW21" s="160"/>
      <c r="ARX21" s="160"/>
      <c r="ARY21" s="160"/>
      <c r="ARZ21" s="160"/>
      <c r="ASA21" s="160"/>
      <c r="ASB21" s="160"/>
      <c r="ASC21" s="160"/>
      <c r="ASD21" s="160"/>
      <c r="ASE21" s="160"/>
      <c r="ASF21" s="160"/>
      <c r="ASG21" s="160"/>
      <c r="ASH21" s="160"/>
      <c r="ASI21" s="160"/>
      <c r="ASJ21" s="160"/>
      <c r="ASK21" s="160"/>
      <c r="ASL21" s="160"/>
      <c r="ASM21" s="160"/>
      <c r="ASN21" s="160"/>
      <c r="ASO21" s="160"/>
      <c r="ASP21" s="160"/>
      <c r="ASQ21" s="160"/>
      <c r="ASR21" s="160"/>
      <c r="ASS21" s="160"/>
      <c r="AST21" s="160"/>
      <c r="ASU21" s="160"/>
      <c r="ASV21" s="160"/>
      <c r="ASW21" s="160"/>
      <c r="ASX21" s="160"/>
      <c r="ASY21" s="160"/>
      <c r="ASZ21" s="160"/>
      <c r="ATA21" s="160"/>
      <c r="ATB21" s="160"/>
      <c r="ATC21" s="160"/>
      <c r="ATD21" s="160"/>
      <c r="ATE21" s="160"/>
      <c r="ATF21" s="160"/>
      <c r="ATG21" s="160"/>
      <c r="ATH21" s="160"/>
      <c r="ATI21" s="160"/>
      <c r="ATJ21" s="160"/>
      <c r="ATK21" s="160"/>
      <c r="ATL21" s="160"/>
      <c r="ATM21" s="160"/>
      <c r="ATN21" s="160"/>
      <c r="ATO21" s="160"/>
      <c r="ATP21" s="160"/>
      <c r="ATQ21" s="160"/>
      <c r="ATR21" s="160"/>
      <c r="ATS21" s="160"/>
      <c r="ATT21" s="160"/>
      <c r="ATU21" s="160"/>
      <c r="ATV21" s="160"/>
      <c r="ATW21" s="160"/>
      <c r="ATX21" s="160"/>
      <c r="ATY21" s="160"/>
      <c r="ATZ21" s="160"/>
      <c r="AUA21" s="160"/>
      <c r="AUB21" s="160"/>
      <c r="AUC21" s="160"/>
      <c r="AUD21" s="160"/>
      <c r="AUE21" s="160"/>
      <c r="AUF21" s="160"/>
      <c r="AUG21" s="160"/>
      <c r="AUH21" s="160"/>
      <c r="AUI21" s="160"/>
      <c r="AUJ21" s="160"/>
      <c r="AUK21" s="160"/>
      <c r="AUL21" s="160"/>
      <c r="AUM21" s="160"/>
      <c r="AUN21" s="160"/>
      <c r="AUO21" s="160"/>
      <c r="AUP21" s="160"/>
      <c r="AUQ21" s="160"/>
      <c r="AUR21" s="160"/>
      <c r="AUS21" s="160"/>
      <c r="AUT21" s="160"/>
      <c r="AUU21" s="160"/>
      <c r="AUV21" s="160"/>
      <c r="AUW21" s="160"/>
      <c r="AUX21" s="160"/>
      <c r="AUY21" s="160"/>
      <c r="AUZ21" s="160"/>
      <c r="AVA21" s="160"/>
      <c r="AVB21" s="160"/>
      <c r="AVC21" s="160"/>
      <c r="AVD21" s="160"/>
      <c r="AVE21" s="160"/>
      <c r="AVF21" s="160"/>
      <c r="AVG21" s="160"/>
      <c r="AVH21" s="160"/>
      <c r="AVI21" s="160"/>
      <c r="AVJ21" s="160"/>
      <c r="AVK21" s="160"/>
      <c r="AVL21" s="160"/>
      <c r="AVM21" s="160"/>
      <c r="AVN21" s="160"/>
      <c r="AVO21" s="160"/>
      <c r="AVP21" s="160"/>
      <c r="AVQ21" s="160"/>
      <c r="AVR21" s="160"/>
      <c r="AVS21" s="160"/>
      <c r="AVT21" s="160"/>
      <c r="AVU21" s="160"/>
      <c r="AVV21" s="160"/>
      <c r="AVW21" s="160"/>
      <c r="AVX21" s="160"/>
      <c r="AVY21" s="160"/>
      <c r="AVZ21" s="160"/>
      <c r="AWA21" s="160"/>
      <c r="AWB21" s="160"/>
      <c r="AWC21" s="160"/>
      <c r="AWD21" s="160"/>
      <c r="AWE21" s="160"/>
      <c r="AWF21" s="160"/>
      <c r="AWG21" s="160"/>
      <c r="AWH21" s="160"/>
      <c r="AWI21" s="160"/>
      <c r="AWJ21" s="160"/>
      <c r="AWK21" s="160"/>
      <c r="AWL21" s="160"/>
      <c r="AWM21" s="160"/>
      <c r="AWN21" s="160"/>
      <c r="AWO21" s="160"/>
      <c r="AWP21" s="160"/>
      <c r="AWQ21" s="160"/>
      <c r="AWR21" s="160"/>
      <c r="AWS21" s="160"/>
      <c r="AWT21" s="160"/>
      <c r="AWU21" s="160"/>
      <c r="AWV21" s="160"/>
      <c r="AWW21" s="160"/>
      <c r="AWX21" s="160"/>
      <c r="AWY21" s="160"/>
      <c r="AWZ21" s="160"/>
      <c r="AXA21" s="160"/>
      <c r="AXB21" s="160"/>
      <c r="AXC21" s="160"/>
      <c r="AXD21" s="160"/>
      <c r="AXE21" s="160"/>
      <c r="AXF21" s="160"/>
      <c r="AXG21" s="160"/>
      <c r="AXH21" s="160"/>
      <c r="AXI21" s="160"/>
      <c r="AXJ21" s="160"/>
      <c r="AXK21" s="160"/>
      <c r="AXL21" s="160"/>
      <c r="AXM21" s="160"/>
      <c r="AXN21" s="160"/>
      <c r="AXO21" s="160"/>
      <c r="AXP21" s="160"/>
      <c r="AXQ21" s="160"/>
      <c r="AXR21" s="160"/>
      <c r="AXS21" s="160"/>
      <c r="AXT21" s="160"/>
      <c r="AXU21" s="160"/>
      <c r="AXV21" s="160"/>
      <c r="AXW21" s="160"/>
      <c r="AXX21" s="160"/>
      <c r="AXY21" s="160"/>
      <c r="AXZ21" s="160"/>
      <c r="AYA21" s="160"/>
      <c r="AYB21" s="160"/>
      <c r="AYC21" s="160"/>
      <c r="AYD21" s="160"/>
      <c r="AYE21" s="160"/>
      <c r="AYF21" s="160"/>
      <c r="AYG21" s="160"/>
      <c r="AYH21" s="160"/>
      <c r="AYI21" s="160"/>
      <c r="AYJ21" s="160"/>
      <c r="AYK21" s="160"/>
      <c r="AYL21" s="160"/>
      <c r="AYM21" s="160"/>
      <c r="AYN21" s="160"/>
      <c r="AYO21" s="160"/>
      <c r="AYP21" s="160"/>
      <c r="AYQ21" s="160"/>
      <c r="AYR21" s="160"/>
      <c r="AYS21" s="160"/>
      <c r="AYT21" s="160"/>
      <c r="AYU21" s="160"/>
      <c r="AYV21" s="160"/>
      <c r="AYW21" s="160"/>
      <c r="AYX21" s="160"/>
      <c r="AYY21" s="160"/>
      <c r="AYZ21" s="160"/>
      <c r="AZA21" s="160"/>
      <c r="AZB21" s="160"/>
      <c r="AZC21" s="160"/>
      <c r="AZD21" s="160"/>
      <c r="AZE21" s="160"/>
      <c r="AZF21" s="160"/>
      <c r="AZG21" s="160"/>
      <c r="AZH21" s="160"/>
      <c r="AZI21" s="160"/>
      <c r="AZJ21" s="160"/>
      <c r="AZK21" s="160"/>
      <c r="AZL21" s="160"/>
      <c r="AZM21" s="160"/>
      <c r="AZN21" s="160"/>
      <c r="AZO21" s="160"/>
      <c r="AZP21" s="160"/>
      <c r="AZQ21" s="160"/>
      <c r="AZR21" s="160"/>
      <c r="AZS21" s="160"/>
      <c r="AZT21" s="160"/>
      <c r="AZU21" s="160"/>
      <c r="AZV21" s="160"/>
      <c r="AZW21" s="160"/>
      <c r="AZX21" s="160"/>
      <c r="AZY21" s="160"/>
      <c r="AZZ21" s="160"/>
      <c r="BAA21" s="160"/>
      <c r="BAB21" s="160"/>
      <c r="BAC21" s="160"/>
      <c r="BAD21" s="160"/>
      <c r="BAE21" s="160"/>
      <c r="BAF21" s="160"/>
      <c r="BAG21" s="160"/>
      <c r="BAH21" s="160"/>
      <c r="BAI21" s="160"/>
      <c r="BAJ21" s="160"/>
      <c r="BAK21" s="160"/>
      <c r="BAL21" s="160"/>
      <c r="BAM21" s="160"/>
      <c r="BAN21" s="160"/>
      <c r="BAO21" s="160"/>
      <c r="BAP21" s="160"/>
      <c r="BAQ21" s="160"/>
      <c r="BAR21" s="160"/>
      <c r="BAS21" s="160"/>
      <c r="BAT21" s="160"/>
      <c r="BAU21" s="160"/>
      <c r="BAV21" s="160"/>
      <c r="BAW21" s="160"/>
      <c r="BAX21" s="160"/>
      <c r="BAY21" s="160"/>
      <c r="BAZ21" s="160"/>
      <c r="BBA21" s="160"/>
      <c r="BBB21" s="160"/>
      <c r="BBC21" s="160"/>
      <c r="BBD21" s="160"/>
      <c r="BBE21" s="160"/>
      <c r="BBF21" s="160"/>
      <c r="BBG21" s="160"/>
      <c r="BBH21" s="160"/>
      <c r="BBI21" s="160"/>
      <c r="BBJ21" s="160"/>
      <c r="BBK21" s="160"/>
      <c r="BBL21" s="160"/>
      <c r="BBM21" s="160"/>
      <c r="BBN21" s="160"/>
      <c r="BBO21" s="160"/>
      <c r="BBP21" s="160"/>
      <c r="BBQ21" s="160"/>
      <c r="BBR21" s="160"/>
      <c r="BBS21" s="160"/>
      <c r="BBT21" s="160"/>
      <c r="BBU21" s="160"/>
      <c r="BBV21" s="160"/>
      <c r="BBW21" s="160"/>
      <c r="BBX21" s="160"/>
      <c r="BBY21" s="160"/>
      <c r="BBZ21" s="160"/>
      <c r="BCA21" s="160"/>
      <c r="BCB21" s="160"/>
      <c r="BCC21" s="160"/>
      <c r="BCD21" s="160"/>
      <c r="BCE21" s="160"/>
      <c r="BCF21" s="160"/>
      <c r="BCG21" s="160"/>
      <c r="BCH21" s="160"/>
      <c r="BCI21" s="160"/>
      <c r="BCJ21" s="160"/>
      <c r="BCK21" s="160"/>
      <c r="BCL21" s="160"/>
      <c r="BCM21" s="160"/>
      <c r="BCN21" s="160"/>
      <c r="BCO21" s="160"/>
      <c r="BCP21" s="160"/>
      <c r="BCQ21" s="160"/>
      <c r="BCR21" s="160"/>
      <c r="BCS21" s="160"/>
      <c r="BCT21" s="160"/>
      <c r="BCU21" s="160"/>
      <c r="BCV21" s="160"/>
      <c r="BCW21" s="160"/>
      <c r="BCX21" s="160"/>
      <c r="BCY21" s="160"/>
      <c r="BCZ21" s="160"/>
      <c r="BDA21" s="160"/>
      <c r="BDB21" s="160"/>
      <c r="BDC21" s="160"/>
      <c r="BDD21" s="160"/>
      <c r="BDE21" s="160"/>
      <c r="BDF21" s="160"/>
      <c r="BDG21" s="160"/>
      <c r="BDH21" s="160"/>
      <c r="BDI21" s="160"/>
      <c r="BDJ21" s="160"/>
      <c r="BDK21" s="160"/>
      <c r="BDL21" s="160"/>
      <c r="BDM21" s="160"/>
      <c r="BDN21" s="160"/>
      <c r="BDO21" s="160"/>
      <c r="BDP21" s="160"/>
      <c r="BDQ21" s="160"/>
      <c r="BDR21" s="160"/>
      <c r="BDS21" s="160"/>
      <c r="BDT21" s="160"/>
      <c r="BDU21" s="160"/>
      <c r="BDV21" s="160"/>
      <c r="BDW21" s="160"/>
      <c r="BDX21" s="160"/>
      <c r="BDY21" s="160"/>
      <c r="BDZ21" s="160"/>
      <c r="BEA21" s="160"/>
      <c r="BEB21" s="160"/>
      <c r="BEC21" s="160"/>
      <c r="BED21" s="160"/>
      <c r="BEE21" s="160"/>
      <c r="BEF21" s="160"/>
      <c r="BEG21" s="160"/>
      <c r="BEH21" s="160"/>
      <c r="BEI21" s="160"/>
      <c r="BEJ21" s="160"/>
      <c r="BEK21" s="160"/>
      <c r="BEL21" s="160"/>
      <c r="BEM21" s="160"/>
      <c r="BEN21" s="160"/>
      <c r="BEO21" s="160"/>
      <c r="BEP21" s="160"/>
      <c r="BEQ21" s="160"/>
      <c r="BER21" s="160"/>
      <c r="BES21" s="160"/>
      <c r="BET21" s="160"/>
      <c r="BEU21" s="160"/>
      <c r="BEV21" s="160"/>
      <c r="BEW21" s="160"/>
      <c r="BEX21" s="160"/>
      <c r="BEY21" s="160"/>
      <c r="BEZ21" s="160"/>
      <c r="BFA21" s="160"/>
      <c r="BFB21" s="160"/>
      <c r="BFC21" s="160"/>
      <c r="BFD21" s="160"/>
      <c r="BFE21" s="160"/>
      <c r="BFF21" s="160"/>
      <c r="BFG21" s="160"/>
      <c r="BFH21" s="160"/>
      <c r="BFI21" s="160"/>
      <c r="BFJ21" s="160"/>
      <c r="BFK21" s="160"/>
      <c r="BFL21" s="160"/>
      <c r="BFM21" s="160"/>
      <c r="BFN21" s="160"/>
      <c r="BFO21" s="160"/>
      <c r="BFP21" s="160"/>
      <c r="BFQ21" s="160"/>
      <c r="BFR21" s="160"/>
      <c r="BFS21" s="160"/>
      <c r="BFT21" s="160"/>
      <c r="BFU21" s="160"/>
      <c r="BFV21" s="160"/>
      <c r="BFW21" s="160"/>
      <c r="BFX21" s="160"/>
      <c r="BFY21" s="160"/>
      <c r="BFZ21" s="160"/>
      <c r="BGA21" s="160"/>
      <c r="BGB21" s="160"/>
      <c r="BGC21" s="160"/>
      <c r="BGD21" s="160"/>
      <c r="BGE21" s="160"/>
      <c r="BGF21" s="160"/>
      <c r="BGG21" s="160"/>
      <c r="BGH21" s="160"/>
      <c r="BGI21" s="160"/>
      <c r="BGJ21" s="160"/>
      <c r="BGK21" s="160"/>
      <c r="BGL21" s="160"/>
      <c r="BGM21" s="160"/>
      <c r="BGN21" s="160"/>
      <c r="BGO21" s="160"/>
      <c r="BGP21" s="160"/>
      <c r="BGQ21" s="160"/>
      <c r="BGR21" s="160"/>
      <c r="BGS21" s="160"/>
      <c r="BGT21" s="160"/>
      <c r="BGU21" s="160"/>
      <c r="BGV21" s="160"/>
      <c r="BGW21" s="160"/>
      <c r="BGX21" s="160"/>
      <c r="BGY21" s="160"/>
      <c r="BGZ21" s="160"/>
      <c r="BHA21" s="160"/>
      <c r="BHB21" s="160"/>
      <c r="BHC21" s="160"/>
      <c r="BHD21" s="160"/>
      <c r="BHE21" s="160"/>
      <c r="BHF21" s="160"/>
      <c r="BHG21" s="160"/>
      <c r="BHH21" s="160"/>
      <c r="BHI21" s="160"/>
      <c r="BHJ21" s="160"/>
      <c r="BHK21" s="160"/>
      <c r="BHL21" s="160"/>
      <c r="BHM21" s="160"/>
      <c r="BHN21" s="160"/>
      <c r="BHO21" s="160"/>
      <c r="BHP21" s="160"/>
      <c r="BHQ21" s="160"/>
      <c r="BHR21" s="160"/>
      <c r="BHS21" s="160"/>
      <c r="BHT21" s="160"/>
      <c r="BHU21" s="160"/>
      <c r="BHV21" s="160"/>
      <c r="BHW21" s="160"/>
      <c r="BHX21" s="160"/>
      <c r="BHY21" s="160"/>
      <c r="BHZ21" s="160"/>
      <c r="BIA21" s="160"/>
      <c r="BIB21" s="160"/>
      <c r="BIC21" s="160"/>
      <c r="BID21" s="160"/>
      <c r="BIE21" s="160"/>
      <c r="BIF21" s="160"/>
      <c r="BIG21" s="160"/>
      <c r="BIH21" s="160"/>
      <c r="BII21" s="160"/>
      <c r="BIJ21" s="160"/>
      <c r="BIK21" s="160"/>
      <c r="BIL21" s="160"/>
      <c r="BIM21" s="160"/>
      <c r="BIN21" s="160"/>
      <c r="BIO21" s="160"/>
      <c r="BIP21" s="160"/>
      <c r="BIQ21" s="160"/>
      <c r="BIR21" s="160"/>
      <c r="BIS21" s="160"/>
      <c r="BIT21" s="160"/>
      <c r="BIU21" s="160"/>
      <c r="BIV21" s="160"/>
      <c r="BIW21" s="160"/>
      <c r="BIX21" s="160"/>
      <c r="BIY21" s="160"/>
      <c r="BIZ21" s="160"/>
      <c r="BJA21" s="160"/>
      <c r="BJB21" s="160"/>
      <c r="BJC21" s="160"/>
      <c r="BJD21" s="160"/>
      <c r="BJE21" s="160"/>
      <c r="BJF21" s="160"/>
      <c r="BJG21" s="160"/>
      <c r="BJH21" s="160"/>
      <c r="BJI21" s="160"/>
      <c r="BJJ21" s="160"/>
      <c r="BJK21" s="160"/>
      <c r="BJL21" s="160"/>
      <c r="BJM21" s="160"/>
      <c r="BJN21" s="160"/>
      <c r="BJO21" s="160"/>
      <c r="BJP21" s="160"/>
      <c r="BJQ21" s="160"/>
      <c r="BJR21" s="160"/>
      <c r="BJS21" s="160"/>
      <c r="BJT21" s="160"/>
      <c r="BJU21" s="160"/>
      <c r="BJV21" s="160"/>
      <c r="BJW21" s="160"/>
      <c r="BJX21" s="160"/>
      <c r="BJY21" s="160"/>
      <c r="BJZ21" s="160"/>
      <c r="BKA21" s="160"/>
      <c r="BKB21" s="160"/>
      <c r="BKC21" s="160"/>
      <c r="BKD21" s="160"/>
      <c r="BKE21" s="160"/>
      <c r="BKF21" s="160"/>
      <c r="BKG21" s="160"/>
      <c r="BKH21" s="160"/>
      <c r="BKI21" s="160"/>
      <c r="BKJ21" s="160"/>
      <c r="BKK21" s="160"/>
      <c r="BKL21" s="160"/>
      <c r="BKM21" s="160"/>
      <c r="BKN21" s="160"/>
      <c r="BKO21" s="160"/>
      <c r="BKP21" s="160"/>
      <c r="BKQ21" s="160"/>
      <c r="BKR21" s="160"/>
      <c r="BKS21" s="160"/>
      <c r="BKT21" s="160"/>
      <c r="BKU21" s="160"/>
      <c r="BKV21" s="160"/>
      <c r="BKW21" s="160"/>
      <c r="BKX21" s="160"/>
      <c r="BKY21" s="160"/>
      <c r="BKZ21" s="160"/>
      <c r="BLA21" s="160"/>
      <c r="BLB21" s="160"/>
      <c r="BLC21" s="160"/>
      <c r="BLD21" s="160"/>
      <c r="BLE21" s="160"/>
      <c r="BLF21" s="160"/>
      <c r="BLG21" s="160"/>
      <c r="BLH21" s="160"/>
      <c r="BLI21" s="160"/>
      <c r="BLJ21" s="160"/>
      <c r="BLK21" s="160"/>
      <c r="BLL21" s="160"/>
      <c r="BLM21" s="160"/>
      <c r="BLN21" s="160"/>
      <c r="BLO21" s="160"/>
      <c r="BLP21" s="160"/>
      <c r="BLQ21" s="160"/>
      <c r="BLR21" s="160"/>
      <c r="BLS21" s="160"/>
      <c r="BLT21" s="160"/>
      <c r="BLU21" s="160"/>
      <c r="BLV21" s="160"/>
      <c r="BLW21" s="160"/>
      <c r="BLX21" s="160"/>
      <c r="BLY21" s="160"/>
      <c r="BLZ21" s="160"/>
      <c r="BMA21" s="160"/>
      <c r="BMB21" s="160"/>
      <c r="BMC21" s="160"/>
      <c r="BMD21" s="160"/>
      <c r="BME21" s="160"/>
      <c r="BMF21" s="160"/>
      <c r="BMG21" s="160"/>
      <c r="BMH21" s="160"/>
      <c r="BMI21" s="160"/>
      <c r="BMJ21" s="160"/>
      <c r="BMK21" s="160"/>
      <c r="BML21" s="160"/>
      <c r="BMM21" s="160"/>
      <c r="BMN21" s="160"/>
      <c r="BMO21" s="160"/>
      <c r="BMP21" s="160"/>
      <c r="BMQ21" s="160"/>
      <c r="BMR21" s="160"/>
      <c r="BMS21" s="160"/>
      <c r="BMT21" s="160"/>
      <c r="BMU21" s="160"/>
      <c r="BMV21" s="160"/>
      <c r="BMW21" s="160"/>
      <c r="BMX21" s="160"/>
      <c r="BMY21" s="160"/>
      <c r="BMZ21" s="160"/>
      <c r="BNA21" s="160"/>
      <c r="BNB21" s="160"/>
      <c r="BNC21" s="160"/>
      <c r="BND21" s="160"/>
      <c r="BNE21" s="160"/>
      <c r="BNF21" s="160"/>
      <c r="BNG21" s="160"/>
      <c r="BNH21" s="160"/>
      <c r="BNI21" s="160"/>
      <c r="BNJ21" s="160"/>
      <c r="BNK21" s="160"/>
      <c r="BNL21" s="160"/>
      <c r="BNM21" s="160"/>
      <c r="BNN21" s="160"/>
      <c r="BNO21" s="160"/>
      <c r="BNP21" s="160"/>
      <c r="BNQ21" s="160"/>
      <c r="BNR21" s="160"/>
      <c r="BNS21" s="160"/>
      <c r="BNT21" s="160"/>
      <c r="BNU21" s="160"/>
      <c r="BNV21" s="160"/>
      <c r="BNW21" s="160"/>
      <c r="BNX21" s="160"/>
      <c r="BNY21" s="160"/>
      <c r="BNZ21" s="160"/>
      <c r="BOA21" s="160"/>
      <c r="BOB21" s="160"/>
      <c r="BOC21" s="160"/>
      <c r="BOD21" s="160"/>
      <c r="BOE21" s="160"/>
      <c r="BOF21" s="160"/>
      <c r="BOG21" s="160"/>
      <c r="BOH21" s="160"/>
      <c r="BOI21" s="160"/>
      <c r="BOJ21" s="160"/>
      <c r="BOK21" s="160"/>
      <c r="BOL21" s="160"/>
      <c r="BOM21" s="160"/>
      <c r="BON21" s="160"/>
      <c r="BOO21" s="160"/>
      <c r="BOP21" s="160"/>
      <c r="BOQ21" s="160"/>
      <c r="BOR21" s="160"/>
      <c r="BOS21" s="160"/>
      <c r="BOT21" s="160"/>
      <c r="BOU21" s="160"/>
      <c r="BOV21" s="160"/>
      <c r="BOW21" s="160"/>
      <c r="BOX21" s="160"/>
      <c r="BOY21" s="160"/>
      <c r="BOZ21" s="160"/>
      <c r="BPA21" s="160"/>
      <c r="BPB21" s="160"/>
      <c r="BPC21" s="160"/>
      <c r="BPD21" s="160"/>
      <c r="BPE21" s="160"/>
      <c r="BPF21" s="160"/>
      <c r="BPG21" s="160"/>
      <c r="BPH21" s="160"/>
      <c r="BPI21" s="160"/>
      <c r="BPJ21" s="160"/>
      <c r="BPK21" s="160"/>
      <c r="BPL21" s="160"/>
      <c r="BPM21" s="160"/>
      <c r="BPN21" s="160"/>
      <c r="BPO21" s="160"/>
      <c r="BPP21" s="160"/>
      <c r="BPQ21" s="160"/>
      <c r="BPR21" s="160"/>
      <c r="BPS21" s="160"/>
      <c r="BPT21" s="160"/>
      <c r="BPU21" s="160"/>
      <c r="BPV21" s="160"/>
      <c r="BPW21" s="160"/>
      <c r="BPX21" s="160"/>
      <c r="BPY21" s="160"/>
      <c r="BPZ21" s="160"/>
      <c r="BQA21" s="160"/>
      <c r="BQB21" s="160"/>
      <c r="BQC21" s="160"/>
      <c r="BQD21" s="160"/>
      <c r="BQE21" s="160"/>
      <c r="BQF21" s="160"/>
      <c r="BQG21" s="160"/>
      <c r="BQH21" s="160"/>
      <c r="BQI21" s="160"/>
      <c r="BQJ21" s="160"/>
      <c r="BQK21" s="160"/>
      <c r="BQL21" s="160"/>
      <c r="BQM21" s="160"/>
      <c r="BQN21" s="160"/>
      <c r="BQO21" s="160"/>
      <c r="BQP21" s="160"/>
      <c r="BQQ21" s="160"/>
      <c r="BQR21" s="160"/>
      <c r="BQS21" s="160"/>
      <c r="BQT21" s="160"/>
      <c r="BQU21" s="160"/>
      <c r="BQV21" s="160"/>
      <c r="BQW21" s="160"/>
      <c r="BQX21" s="160"/>
      <c r="BQY21" s="160"/>
      <c r="BQZ21" s="160"/>
      <c r="BRA21" s="160"/>
      <c r="BRB21" s="160"/>
      <c r="BRC21" s="160"/>
      <c r="BRD21" s="160"/>
      <c r="BRE21" s="160"/>
      <c r="BRF21" s="160"/>
      <c r="BRG21" s="160"/>
      <c r="BRH21" s="160"/>
      <c r="BRI21" s="160"/>
      <c r="BRJ21" s="160"/>
      <c r="BRK21" s="160"/>
      <c r="BRL21" s="160"/>
      <c r="BRM21" s="160"/>
      <c r="BRN21" s="160"/>
      <c r="BRO21" s="160"/>
      <c r="BRP21" s="160"/>
      <c r="BRQ21" s="160"/>
      <c r="BRR21" s="160"/>
      <c r="BRS21" s="160"/>
      <c r="BRT21" s="160"/>
      <c r="BRU21" s="160"/>
      <c r="BRV21" s="160"/>
      <c r="BRW21" s="160"/>
      <c r="BRX21" s="160"/>
      <c r="BRY21" s="160"/>
      <c r="BRZ21" s="160"/>
      <c r="BSA21" s="160"/>
      <c r="BSB21" s="160"/>
      <c r="BSC21" s="160"/>
      <c r="BSD21" s="160"/>
      <c r="BSE21" s="160"/>
      <c r="BSF21" s="160"/>
      <c r="BSG21" s="160"/>
      <c r="BSH21" s="160"/>
      <c r="BSI21" s="160"/>
      <c r="BSJ21" s="160"/>
      <c r="BSK21" s="160"/>
      <c r="BSL21" s="160"/>
      <c r="BSM21" s="160"/>
      <c r="BSN21" s="160"/>
      <c r="BSO21" s="160"/>
      <c r="BSP21" s="160"/>
      <c r="BSQ21" s="160"/>
      <c r="BSR21" s="160"/>
      <c r="BSS21" s="160"/>
      <c r="BST21" s="160"/>
      <c r="BSU21" s="160"/>
      <c r="BSV21" s="160"/>
      <c r="BSW21" s="160"/>
      <c r="BSX21" s="160"/>
      <c r="BSY21" s="160"/>
      <c r="BSZ21" s="160"/>
      <c r="BTA21" s="160"/>
      <c r="BTB21" s="160"/>
      <c r="BTC21" s="160"/>
      <c r="BTD21" s="160"/>
      <c r="BTE21" s="160"/>
      <c r="BTF21" s="160"/>
      <c r="BTG21" s="160"/>
      <c r="BTH21" s="160"/>
      <c r="BTI21" s="160"/>
      <c r="BTJ21" s="160"/>
      <c r="BTK21" s="160"/>
      <c r="BTL21" s="160"/>
      <c r="BTM21" s="160"/>
      <c r="BTN21" s="160"/>
      <c r="BTO21" s="160"/>
      <c r="BTP21" s="160"/>
      <c r="BTQ21" s="160"/>
      <c r="BTR21" s="160"/>
      <c r="BTS21" s="160"/>
      <c r="BTT21" s="160"/>
      <c r="BTU21" s="160"/>
      <c r="BTV21" s="160"/>
      <c r="BTW21" s="160"/>
      <c r="BTX21" s="160"/>
      <c r="BTY21" s="160"/>
      <c r="BTZ21" s="160"/>
      <c r="BUA21" s="160"/>
      <c r="BUB21" s="160"/>
      <c r="BUC21" s="160"/>
      <c r="BUD21" s="160"/>
      <c r="BUE21" s="160"/>
      <c r="BUF21" s="160"/>
      <c r="BUG21" s="160"/>
      <c r="BUH21" s="160"/>
      <c r="BUI21" s="160"/>
      <c r="BUJ21" s="160"/>
      <c r="BUK21" s="160"/>
      <c r="BUL21" s="160"/>
      <c r="BUM21" s="160"/>
      <c r="BUN21" s="160"/>
      <c r="BUO21" s="160"/>
      <c r="BUP21" s="160"/>
      <c r="BUQ21" s="160"/>
      <c r="BUR21" s="160"/>
      <c r="BUS21" s="160"/>
      <c r="BUT21" s="160"/>
      <c r="BUU21" s="160"/>
      <c r="BUV21" s="160"/>
      <c r="BUW21" s="160"/>
      <c r="BUX21" s="160"/>
      <c r="BUY21" s="160"/>
      <c r="BUZ21" s="160"/>
      <c r="BVA21" s="160"/>
      <c r="BVB21" s="160"/>
      <c r="BVC21" s="160"/>
      <c r="BVD21" s="160"/>
      <c r="BVE21" s="160"/>
      <c r="BVF21" s="160"/>
      <c r="BVG21" s="160"/>
      <c r="BVH21" s="160"/>
      <c r="BVI21" s="160"/>
      <c r="BVJ21" s="160"/>
      <c r="BVK21" s="160"/>
      <c r="BVL21" s="160"/>
      <c r="BVM21" s="160"/>
      <c r="BVN21" s="160"/>
      <c r="BVO21" s="160"/>
      <c r="BVP21" s="160"/>
      <c r="BVQ21" s="160"/>
      <c r="BVR21" s="160"/>
      <c r="BVS21" s="160"/>
      <c r="BVT21" s="160"/>
      <c r="BVU21" s="160"/>
      <c r="BVV21" s="160"/>
      <c r="BVW21" s="160"/>
      <c r="BVX21" s="160"/>
      <c r="BVY21" s="160"/>
      <c r="BVZ21" s="160"/>
      <c r="BWA21" s="160"/>
      <c r="BWB21" s="160"/>
      <c r="BWC21" s="160"/>
      <c r="BWD21" s="160"/>
      <c r="BWE21" s="160"/>
      <c r="BWF21" s="160"/>
      <c r="BWG21" s="160"/>
      <c r="BWH21" s="160"/>
      <c r="BWI21" s="160"/>
      <c r="BWJ21" s="160"/>
      <c r="BWK21" s="160"/>
      <c r="BWL21" s="160"/>
      <c r="BWM21" s="160"/>
      <c r="BWN21" s="160"/>
      <c r="BWO21" s="160"/>
      <c r="BWP21" s="160"/>
      <c r="BWQ21" s="160"/>
      <c r="BWR21" s="160"/>
      <c r="BWS21" s="160"/>
      <c r="BWT21" s="160"/>
      <c r="BWU21" s="160"/>
      <c r="BWV21" s="160"/>
      <c r="BWW21" s="160"/>
      <c r="BWX21" s="160"/>
      <c r="BWY21" s="160"/>
      <c r="BWZ21" s="160"/>
      <c r="BXA21" s="160"/>
      <c r="BXB21" s="160"/>
      <c r="BXC21" s="160"/>
      <c r="BXD21" s="160"/>
      <c r="BXE21" s="160"/>
      <c r="BXF21" s="160"/>
      <c r="BXG21" s="160"/>
      <c r="BXH21" s="160"/>
      <c r="BXI21" s="160"/>
      <c r="BXJ21" s="160"/>
      <c r="BXK21" s="160"/>
      <c r="BXL21" s="160"/>
      <c r="BXM21" s="160"/>
      <c r="BXN21" s="160"/>
      <c r="BXO21" s="160"/>
      <c r="BXP21" s="160"/>
      <c r="BXQ21" s="160"/>
      <c r="BXR21" s="160"/>
      <c r="BXS21" s="160"/>
      <c r="BXT21" s="160"/>
      <c r="BXU21" s="160"/>
      <c r="BXV21" s="160"/>
      <c r="BXW21" s="160"/>
      <c r="BXX21" s="160"/>
      <c r="BXY21" s="160"/>
      <c r="BXZ21" s="160"/>
      <c r="BYA21" s="160"/>
      <c r="BYB21" s="160"/>
      <c r="BYC21" s="160"/>
      <c r="BYD21" s="160"/>
      <c r="BYE21" s="160"/>
      <c r="BYF21" s="160"/>
      <c r="BYG21" s="160"/>
    </row>
    <row r="22" spans="1:2009" s="3" customFormat="1" ht="12.75" hidden="1" customHeight="1" thickBot="1" x14ac:dyDescent="0.3">
      <c r="A22" s="72"/>
      <c r="B22" s="78"/>
      <c r="C22" s="137"/>
      <c r="D22" s="137"/>
      <c r="E22" s="137"/>
      <c r="F22" s="137"/>
      <c r="G22" s="494"/>
      <c r="H22" s="744"/>
      <c r="I22" s="26"/>
      <c r="K22" s="323"/>
      <c r="L22" s="322">
        <v>5.54</v>
      </c>
      <c r="M22"/>
    </row>
    <row r="23" spans="1:2009" s="79" customFormat="1" ht="24.95" hidden="1" customHeight="1" x14ac:dyDescent="0.25">
      <c r="A23" s="102" t="s">
        <v>90</v>
      </c>
      <c r="B23" s="103"/>
      <c r="C23" s="138"/>
      <c r="D23" s="138"/>
      <c r="E23" s="139"/>
      <c r="F23" s="139"/>
      <c r="G23" s="495"/>
      <c r="H23" s="744"/>
      <c r="I23" s="21"/>
      <c r="J23"/>
      <c r="K23" s="323"/>
      <c r="L23" s="323" t="s">
        <v>192</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row>
    <row r="24" spans="1:2009" s="79" customFormat="1" ht="24.95" hidden="1" customHeight="1" x14ac:dyDescent="0.25">
      <c r="A24" s="104"/>
      <c r="B24" s="93" t="s">
        <v>151</v>
      </c>
      <c r="C24" s="140"/>
      <c r="D24" s="140"/>
      <c r="E24" s="141"/>
      <c r="F24" s="141"/>
      <c r="G24" s="496"/>
      <c r="H24" s="744"/>
      <c r="I24" s="21"/>
      <c r="J24"/>
      <c r="K24" s="324"/>
      <c r="L24"/>
      <c r="M24" s="325">
        <v>12.3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row>
    <row r="25" spans="1:2009" s="166" customFormat="1" ht="24.95" hidden="1" customHeight="1" thickBot="1" x14ac:dyDescent="0.3">
      <c r="A25" s="162"/>
      <c r="B25" s="163" t="s">
        <v>135</v>
      </c>
      <c r="C25" s="164"/>
      <c r="D25" s="165"/>
      <c r="E25" s="165"/>
      <c r="F25" s="165">
        <f>SUM(F23:F24)</f>
        <v>0</v>
      </c>
      <c r="G25" s="497">
        <f>ROUND(SUM(C25:F25),5)</f>
        <v>0</v>
      </c>
      <c r="H25" s="746"/>
      <c r="I25" s="2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151"/>
      <c r="DV25" s="151"/>
      <c r="DW25" s="151"/>
      <c r="DX25" s="151"/>
      <c r="DY25" s="151"/>
      <c r="DZ25" s="151"/>
      <c r="EA25" s="151"/>
      <c r="EB25" s="151"/>
      <c r="EC25" s="151"/>
      <c r="ED25" s="151"/>
      <c r="EE25" s="151"/>
      <c r="EF25" s="151"/>
      <c r="EG25" s="151"/>
      <c r="EH25" s="151"/>
      <c r="EI25" s="151"/>
      <c r="EJ25" s="151"/>
      <c r="EK25" s="151"/>
      <c r="EL25" s="151"/>
      <c r="EM25" s="151"/>
      <c r="EN25" s="151"/>
      <c r="EO25" s="151"/>
      <c r="EP25" s="151"/>
      <c r="EQ25" s="151"/>
      <c r="ER25" s="151"/>
      <c r="ES25" s="151"/>
      <c r="ET25" s="151"/>
      <c r="EU25" s="151"/>
      <c r="EV25" s="151"/>
      <c r="EW25" s="151"/>
      <c r="EX25" s="151"/>
      <c r="EY25" s="151"/>
      <c r="EZ25" s="151"/>
      <c r="FA25" s="151"/>
      <c r="FB25" s="151"/>
      <c r="FC25" s="151"/>
      <c r="FD25" s="151"/>
      <c r="FE25" s="151"/>
      <c r="FF25" s="151"/>
      <c r="FG25" s="151"/>
      <c r="FH25" s="151"/>
      <c r="FI25" s="151"/>
      <c r="FJ25" s="151"/>
      <c r="FK25" s="151"/>
      <c r="FL25" s="151"/>
      <c r="FM25" s="151"/>
      <c r="FN25" s="151"/>
      <c r="FO25" s="151"/>
      <c r="FP25" s="151"/>
      <c r="FQ25" s="151"/>
      <c r="FR25" s="151"/>
      <c r="FS25" s="151"/>
      <c r="FT25" s="151"/>
      <c r="FU25" s="151"/>
      <c r="FV25" s="151"/>
      <c r="FW25" s="151"/>
      <c r="FX25" s="151"/>
      <c r="FY25" s="151"/>
      <c r="FZ25" s="151"/>
      <c r="GA25" s="151"/>
      <c r="GB25" s="151"/>
      <c r="GC25" s="151"/>
      <c r="GD25" s="151"/>
      <c r="GE25" s="151"/>
      <c r="GF25" s="151"/>
      <c r="GG25" s="151"/>
      <c r="GH25" s="151"/>
      <c r="GI25" s="151"/>
      <c r="GJ25" s="151"/>
      <c r="GK25" s="151"/>
      <c r="GL25" s="151"/>
      <c r="GM25" s="151"/>
      <c r="GN25" s="151"/>
      <c r="GO25" s="151"/>
      <c r="GP25" s="151"/>
      <c r="GQ25" s="151"/>
      <c r="GR25" s="151"/>
      <c r="GS25" s="151"/>
      <c r="GT25" s="151"/>
      <c r="GU25" s="151"/>
      <c r="GV25" s="151"/>
      <c r="GW25" s="151"/>
      <c r="GX25" s="151"/>
      <c r="GY25" s="151"/>
      <c r="GZ25" s="151"/>
      <c r="HA25" s="151"/>
      <c r="HB25" s="151"/>
      <c r="HC25" s="151"/>
      <c r="HD25" s="151"/>
      <c r="HE25" s="151"/>
      <c r="HF25" s="151"/>
      <c r="HG25" s="151"/>
      <c r="HH25" s="151"/>
      <c r="HI25" s="151"/>
      <c r="HJ25" s="151"/>
      <c r="HK25" s="151"/>
      <c r="HL25" s="151"/>
      <c r="HM25" s="151"/>
      <c r="HN25" s="151"/>
      <c r="HO25" s="151"/>
      <c r="HP25" s="151"/>
      <c r="HQ25" s="151"/>
      <c r="HR25" s="151"/>
      <c r="HS25" s="151"/>
      <c r="HT25" s="151"/>
      <c r="HU25" s="151"/>
      <c r="HV25" s="151"/>
      <c r="HW25" s="151"/>
      <c r="HX25" s="151"/>
      <c r="HY25" s="151"/>
      <c r="HZ25" s="151"/>
      <c r="IA25" s="151"/>
      <c r="IB25" s="151"/>
      <c r="IC25" s="151"/>
      <c r="ID25" s="151"/>
      <c r="IE25" s="151"/>
      <c r="IF25" s="151"/>
      <c r="IG25" s="151"/>
      <c r="IH25" s="151"/>
      <c r="II25" s="151"/>
      <c r="IJ25" s="151"/>
      <c r="IK25" s="151"/>
      <c r="IL25" s="151"/>
      <c r="IM25" s="151"/>
      <c r="IN25" s="151"/>
      <c r="IO25" s="151"/>
      <c r="IP25" s="151"/>
      <c r="IQ25" s="151"/>
      <c r="IR25" s="151"/>
      <c r="IS25" s="151"/>
      <c r="IT25" s="151"/>
      <c r="IU25" s="151"/>
      <c r="IV25" s="151"/>
      <c r="IW25" s="151"/>
      <c r="IX25" s="151"/>
      <c r="IY25" s="151"/>
      <c r="IZ25" s="151"/>
      <c r="JA25" s="151"/>
      <c r="JB25" s="151"/>
      <c r="JC25" s="151"/>
      <c r="JD25" s="151"/>
      <c r="JE25" s="151"/>
      <c r="JF25" s="151"/>
      <c r="JG25" s="151"/>
      <c r="JH25" s="151"/>
      <c r="JI25" s="151"/>
      <c r="JJ25" s="151"/>
      <c r="JK25" s="151"/>
      <c r="JL25" s="151"/>
      <c r="JM25" s="151"/>
      <c r="JN25" s="151"/>
      <c r="JO25" s="151"/>
      <c r="JP25" s="151"/>
      <c r="JQ25" s="151"/>
      <c r="JR25" s="151"/>
      <c r="JS25" s="151"/>
      <c r="JT25" s="151"/>
      <c r="JU25" s="151"/>
      <c r="JV25" s="151"/>
      <c r="JW25" s="151"/>
      <c r="JX25" s="151"/>
      <c r="JY25" s="151"/>
      <c r="JZ25" s="151"/>
      <c r="KA25" s="151"/>
      <c r="KB25" s="151"/>
      <c r="KC25" s="151"/>
      <c r="KD25" s="151"/>
      <c r="KE25" s="151"/>
      <c r="KF25" s="151"/>
      <c r="KG25" s="151"/>
      <c r="KH25" s="151"/>
      <c r="KI25" s="151"/>
      <c r="KJ25" s="151"/>
      <c r="KK25" s="151"/>
      <c r="KL25" s="151"/>
      <c r="KM25" s="151"/>
      <c r="KN25" s="151"/>
      <c r="KO25" s="151"/>
      <c r="KP25" s="151"/>
      <c r="KQ25" s="151"/>
      <c r="KR25" s="151"/>
      <c r="KS25" s="151"/>
      <c r="KT25" s="151"/>
      <c r="KU25" s="151"/>
      <c r="KV25" s="151"/>
      <c r="KW25" s="151"/>
      <c r="KX25" s="151"/>
      <c r="KY25" s="151"/>
      <c r="KZ25" s="151"/>
      <c r="LA25" s="151"/>
      <c r="LB25" s="151"/>
      <c r="LC25" s="151"/>
      <c r="LD25" s="151"/>
      <c r="LE25" s="151"/>
      <c r="LF25" s="151"/>
      <c r="LG25" s="151"/>
      <c r="LH25" s="151"/>
      <c r="LI25" s="151"/>
      <c r="LJ25" s="151"/>
      <c r="LK25" s="151"/>
      <c r="LL25" s="151"/>
      <c r="LM25" s="151"/>
      <c r="LN25" s="151"/>
      <c r="LO25" s="151"/>
      <c r="LP25" s="151"/>
      <c r="LQ25" s="151"/>
      <c r="LR25" s="151"/>
      <c r="LS25" s="151"/>
      <c r="LT25" s="151"/>
      <c r="LU25" s="151"/>
      <c r="LV25" s="151"/>
      <c r="LW25" s="151"/>
      <c r="LX25" s="151"/>
      <c r="LY25" s="151"/>
      <c r="LZ25" s="151"/>
      <c r="MA25" s="151"/>
      <c r="MB25" s="151"/>
      <c r="MC25" s="151"/>
      <c r="MD25" s="151"/>
      <c r="ME25" s="151"/>
      <c r="MF25" s="151"/>
      <c r="MG25" s="151"/>
      <c r="MH25" s="151"/>
      <c r="MI25" s="151"/>
      <c r="MJ25" s="151"/>
      <c r="MK25" s="151"/>
      <c r="ML25" s="151"/>
      <c r="MM25" s="151"/>
      <c r="MN25" s="151"/>
      <c r="MO25" s="151"/>
      <c r="MP25" s="151"/>
      <c r="MQ25" s="151"/>
      <c r="MR25" s="151"/>
      <c r="MS25" s="151"/>
      <c r="MT25" s="151"/>
      <c r="MU25" s="151"/>
      <c r="MV25" s="151"/>
      <c r="MW25" s="151"/>
      <c r="MX25" s="151"/>
      <c r="MY25" s="151"/>
      <c r="MZ25" s="151"/>
      <c r="NA25" s="151"/>
      <c r="NB25" s="151"/>
      <c r="NC25" s="151"/>
      <c r="ND25" s="151"/>
      <c r="NE25" s="151"/>
      <c r="NF25" s="151"/>
      <c r="NG25" s="151"/>
      <c r="NH25" s="151"/>
      <c r="NI25" s="151"/>
      <c r="NJ25" s="151"/>
      <c r="NK25" s="151"/>
      <c r="NL25" s="151"/>
      <c r="NM25" s="151"/>
      <c r="NN25" s="151"/>
      <c r="NO25" s="151"/>
      <c r="NP25" s="151"/>
      <c r="NQ25" s="151"/>
      <c r="NR25" s="151"/>
      <c r="NS25" s="151"/>
      <c r="NT25" s="151"/>
      <c r="NU25" s="151"/>
      <c r="NV25" s="151"/>
      <c r="NW25" s="151"/>
      <c r="NX25" s="151"/>
      <c r="NY25" s="151"/>
      <c r="NZ25" s="151"/>
      <c r="OA25" s="151"/>
      <c r="OB25" s="151"/>
      <c r="OC25" s="151"/>
      <c r="OD25" s="151"/>
      <c r="OE25" s="151"/>
      <c r="OF25" s="151"/>
      <c r="OG25" s="151"/>
      <c r="OH25" s="151"/>
      <c r="OI25" s="151"/>
      <c r="OJ25" s="151"/>
      <c r="OK25" s="151"/>
      <c r="OL25" s="151"/>
      <c r="OM25" s="151"/>
      <c r="ON25" s="151"/>
      <c r="OO25" s="151"/>
      <c r="OP25" s="151"/>
      <c r="OQ25" s="151"/>
      <c r="OR25" s="151"/>
      <c r="OS25" s="151"/>
      <c r="OT25" s="151"/>
      <c r="OU25" s="151"/>
      <c r="OV25" s="151"/>
      <c r="OW25" s="151"/>
      <c r="OX25" s="151"/>
      <c r="OY25" s="151"/>
      <c r="OZ25" s="151"/>
      <c r="PA25" s="151"/>
      <c r="PB25" s="151"/>
      <c r="PC25" s="151"/>
      <c r="PD25" s="151"/>
      <c r="PE25" s="151"/>
      <c r="PF25" s="151"/>
      <c r="PG25" s="151"/>
      <c r="PH25" s="151"/>
      <c r="PI25" s="151"/>
      <c r="PJ25" s="151"/>
      <c r="PK25" s="151"/>
      <c r="PL25" s="151"/>
      <c r="PM25" s="151"/>
      <c r="PN25" s="151"/>
      <c r="PO25" s="151"/>
      <c r="PP25" s="151"/>
      <c r="PQ25" s="151"/>
      <c r="PR25" s="151"/>
      <c r="PS25" s="151"/>
      <c r="PT25" s="151"/>
      <c r="PU25" s="151"/>
      <c r="PV25" s="151"/>
      <c r="PW25" s="151"/>
      <c r="PX25" s="151"/>
      <c r="PY25" s="151"/>
      <c r="PZ25" s="151"/>
      <c r="QA25" s="151"/>
      <c r="QB25" s="151"/>
      <c r="QC25" s="151"/>
      <c r="QD25" s="151"/>
      <c r="QE25" s="151"/>
      <c r="QF25" s="151"/>
      <c r="QG25" s="151"/>
      <c r="QH25" s="151"/>
      <c r="QI25" s="151"/>
      <c r="QJ25" s="151"/>
      <c r="QK25" s="151"/>
      <c r="QL25" s="151"/>
      <c r="QM25" s="151"/>
      <c r="QN25" s="151"/>
      <c r="QO25" s="151"/>
      <c r="QP25" s="151"/>
      <c r="QQ25" s="151"/>
      <c r="QR25" s="151"/>
      <c r="QS25" s="151"/>
      <c r="QT25" s="151"/>
      <c r="QU25" s="151"/>
      <c r="QV25" s="151"/>
      <c r="QW25" s="151"/>
      <c r="QX25" s="151"/>
      <c r="QY25" s="151"/>
      <c r="QZ25" s="151"/>
      <c r="RA25" s="151"/>
      <c r="RB25" s="151"/>
      <c r="RC25" s="151"/>
      <c r="RD25" s="151"/>
      <c r="RE25" s="151"/>
      <c r="RF25" s="151"/>
      <c r="RG25" s="151"/>
      <c r="RH25" s="151"/>
      <c r="RI25" s="151"/>
      <c r="RJ25" s="151"/>
      <c r="RK25" s="151"/>
      <c r="RL25" s="151"/>
      <c r="RM25" s="151"/>
      <c r="RN25" s="151"/>
      <c r="RO25" s="151"/>
      <c r="RP25" s="151"/>
      <c r="RQ25" s="151"/>
      <c r="RR25" s="151"/>
      <c r="RS25" s="151"/>
      <c r="RT25" s="151"/>
      <c r="RU25" s="151"/>
      <c r="RV25" s="151"/>
      <c r="RW25" s="151"/>
      <c r="RX25" s="151"/>
      <c r="RY25" s="151"/>
      <c r="RZ25" s="151"/>
      <c r="SA25" s="151"/>
      <c r="SB25" s="151"/>
      <c r="SC25" s="151"/>
      <c r="SD25" s="151"/>
      <c r="SE25" s="151"/>
      <c r="SF25" s="151"/>
      <c r="SG25" s="151"/>
      <c r="SH25" s="151"/>
      <c r="SI25" s="151"/>
      <c r="SJ25" s="151"/>
      <c r="SK25" s="151"/>
      <c r="SL25" s="151"/>
      <c r="SM25" s="151"/>
      <c r="SN25" s="151"/>
      <c r="SO25" s="151"/>
      <c r="SP25" s="151"/>
      <c r="SQ25" s="151"/>
      <c r="SR25" s="151"/>
      <c r="SS25" s="151"/>
      <c r="ST25" s="151"/>
      <c r="SU25" s="151"/>
      <c r="SV25" s="151"/>
      <c r="SW25" s="151"/>
      <c r="SX25" s="151"/>
      <c r="SY25" s="151"/>
      <c r="SZ25" s="151"/>
      <c r="TA25" s="151"/>
      <c r="TB25" s="151"/>
      <c r="TC25" s="151"/>
      <c r="TD25" s="151"/>
      <c r="TE25" s="151"/>
      <c r="TF25" s="151"/>
      <c r="TG25" s="151"/>
      <c r="TH25" s="151"/>
      <c r="TI25" s="151"/>
      <c r="TJ25" s="151"/>
      <c r="TK25" s="151"/>
      <c r="TL25" s="151"/>
      <c r="TM25" s="151"/>
      <c r="TN25" s="151"/>
      <c r="TO25" s="151"/>
      <c r="TP25" s="151"/>
      <c r="TQ25" s="151"/>
      <c r="TR25" s="151"/>
      <c r="TS25" s="151"/>
      <c r="TT25" s="151"/>
      <c r="TU25" s="151"/>
      <c r="TV25" s="151"/>
      <c r="TW25" s="151"/>
      <c r="TX25" s="151"/>
      <c r="TY25" s="151"/>
      <c r="TZ25" s="151"/>
      <c r="UA25" s="151"/>
      <c r="UB25" s="151"/>
      <c r="UC25" s="151"/>
      <c r="UD25" s="151"/>
      <c r="UE25" s="151"/>
      <c r="UF25" s="151"/>
      <c r="UG25" s="151"/>
      <c r="UH25" s="151"/>
      <c r="UI25" s="151"/>
      <c r="UJ25" s="151"/>
      <c r="UK25" s="151"/>
      <c r="UL25" s="151"/>
      <c r="UM25" s="151"/>
      <c r="UN25" s="151"/>
      <c r="UO25" s="151"/>
      <c r="UP25" s="151"/>
      <c r="UQ25" s="151"/>
      <c r="UR25" s="151"/>
      <c r="US25" s="151"/>
      <c r="UT25" s="151"/>
      <c r="UU25" s="151"/>
      <c r="UV25" s="151"/>
      <c r="UW25" s="151"/>
      <c r="UX25" s="151"/>
      <c r="UY25" s="151"/>
      <c r="UZ25" s="151"/>
      <c r="VA25" s="151"/>
      <c r="VB25" s="151"/>
      <c r="VC25" s="151"/>
      <c r="VD25" s="151"/>
      <c r="VE25" s="151"/>
      <c r="VF25" s="151"/>
      <c r="VG25" s="151"/>
      <c r="VH25" s="151"/>
      <c r="VI25" s="151"/>
      <c r="VJ25" s="151"/>
      <c r="VK25" s="151"/>
      <c r="VL25" s="151"/>
      <c r="VM25" s="151"/>
      <c r="VN25" s="151"/>
      <c r="VO25" s="151"/>
      <c r="VP25" s="151"/>
      <c r="VQ25" s="151"/>
      <c r="VR25" s="151"/>
      <c r="VS25" s="151"/>
      <c r="VT25" s="151"/>
      <c r="VU25" s="151"/>
      <c r="VV25" s="151"/>
      <c r="VW25" s="151"/>
      <c r="VX25" s="151"/>
      <c r="VY25" s="151"/>
      <c r="VZ25" s="151"/>
      <c r="WA25" s="151"/>
      <c r="WB25" s="151"/>
      <c r="WC25" s="151"/>
      <c r="WD25" s="151"/>
      <c r="WE25" s="151"/>
      <c r="WF25" s="151"/>
      <c r="WG25" s="151"/>
      <c r="WH25" s="151"/>
      <c r="WI25" s="151"/>
      <c r="WJ25" s="151"/>
      <c r="WK25" s="151"/>
      <c r="WL25" s="151"/>
      <c r="WM25" s="151"/>
      <c r="WN25" s="151"/>
      <c r="WO25" s="151"/>
      <c r="WP25" s="151"/>
      <c r="WQ25" s="151"/>
      <c r="WR25" s="151"/>
      <c r="WS25" s="151"/>
      <c r="WT25" s="151"/>
      <c r="WU25" s="151"/>
      <c r="WV25" s="151"/>
      <c r="WW25" s="151"/>
      <c r="WX25" s="151"/>
      <c r="WY25" s="151"/>
      <c r="WZ25" s="151"/>
      <c r="XA25" s="151"/>
      <c r="XB25" s="151"/>
      <c r="XC25" s="151"/>
      <c r="XD25" s="151"/>
      <c r="XE25" s="151"/>
      <c r="XF25" s="151"/>
      <c r="XG25" s="151"/>
      <c r="XH25" s="151"/>
      <c r="XI25" s="151"/>
      <c r="XJ25" s="151"/>
      <c r="XK25" s="151"/>
      <c r="XL25" s="151"/>
      <c r="XM25" s="151"/>
      <c r="XN25" s="151"/>
      <c r="XO25" s="151"/>
      <c r="XP25" s="151"/>
      <c r="XQ25" s="151"/>
      <c r="XR25" s="151"/>
      <c r="XS25" s="151"/>
      <c r="XT25" s="151"/>
      <c r="XU25" s="151"/>
      <c r="XV25" s="151"/>
      <c r="XW25" s="151"/>
      <c r="XX25" s="151"/>
      <c r="XY25" s="151"/>
      <c r="XZ25" s="151"/>
      <c r="YA25" s="151"/>
      <c r="YB25" s="151"/>
      <c r="YC25" s="151"/>
      <c r="YD25" s="151"/>
      <c r="YE25" s="151"/>
      <c r="YF25" s="151"/>
      <c r="YG25" s="151"/>
      <c r="YH25" s="151"/>
      <c r="YI25" s="151"/>
      <c r="YJ25" s="151"/>
      <c r="YK25" s="151"/>
      <c r="YL25" s="151"/>
      <c r="YM25" s="151"/>
      <c r="YN25" s="151"/>
      <c r="YO25" s="151"/>
      <c r="YP25" s="151"/>
      <c r="YQ25" s="151"/>
      <c r="YR25" s="151"/>
      <c r="YS25" s="151"/>
      <c r="YT25" s="151"/>
      <c r="YU25" s="151"/>
      <c r="YV25" s="151"/>
      <c r="YW25" s="151"/>
      <c r="YX25" s="151"/>
      <c r="YY25" s="151"/>
      <c r="YZ25" s="151"/>
      <c r="ZA25" s="151"/>
      <c r="ZB25" s="151"/>
      <c r="ZC25" s="151"/>
      <c r="ZD25" s="151"/>
      <c r="ZE25" s="151"/>
      <c r="ZF25" s="151"/>
      <c r="ZG25" s="151"/>
      <c r="ZH25" s="151"/>
      <c r="ZI25" s="151"/>
      <c r="ZJ25" s="151"/>
      <c r="ZK25" s="151"/>
      <c r="ZL25" s="151"/>
      <c r="ZM25" s="151"/>
      <c r="ZN25" s="151"/>
      <c r="ZO25" s="151"/>
      <c r="ZP25" s="151"/>
      <c r="ZQ25" s="151"/>
      <c r="ZR25" s="151"/>
      <c r="ZS25" s="151"/>
      <c r="ZT25" s="151"/>
      <c r="ZU25" s="151"/>
      <c r="ZV25" s="151"/>
      <c r="ZW25" s="151"/>
      <c r="ZX25" s="151"/>
      <c r="ZY25" s="151"/>
      <c r="ZZ25" s="151"/>
      <c r="AAA25" s="151"/>
      <c r="AAB25" s="151"/>
      <c r="AAC25" s="151"/>
      <c r="AAD25" s="151"/>
      <c r="AAE25" s="151"/>
      <c r="AAF25" s="151"/>
      <c r="AAG25" s="151"/>
      <c r="AAH25" s="151"/>
      <c r="AAI25" s="151"/>
      <c r="AAJ25" s="151"/>
      <c r="AAK25" s="151"/>
      <c r="AAL25" s="151"/>
      <c r="AAM25" s="151"/>
      <c r="AAN25" s="151"/>
      <c r="AAO25" s="151"/>
      <c r="AAP25" s="151"/>
      <c r="AAQ25" s="151"/>
      <c r="AAR25" s="151"/>
      <c r="AAS25" s="151"/>
      <c r="AAT25" s="151"/>
      <c r="AAU25" s="151"/>
      <c r="AAV25" s="151"/>
      <c r="AAW25" s="151"/>
      <c r="AAX25" s="151"/>
      <c r="AAY25" s="151"/>
      <c r="AAZ25" s="151"/>
      <c r="ABA25" s="151"/>
      <c r="ABB25" s="151"/>
      <c r="ABC25" s="151"/>
      <c r="ABD25" s="151"/>
      <c r="ABE25" s="151"/>
      <c r="ABF25" s="151"/>
      <c r="ABG25" s="151"/>
      <c r="ABH25" s="151"/>
      <c r="ABI25" s="151"/>
      <c r="ABJ25" s="151"/>
      <c r="ABK25" s="151"/>
      <c r="ABL25" s="151"/>
      <c r="ABM25" s="151"/>
      <c r="ABN25" s="151"/>
      <c r="ABO25" s="151"/>
      <c r="ABP25" s="151"/>
      <c r="ABQ25" s="151"/>
      <c r="ABR25" s="151"/>
      <c r="ABS25" s="151"/>
      <c r="ABT25" s="151"/>
      <c r="ABU25" s="151"/>
      <c r="ABV25" s="151"/>
      <c r="ABW25" s="151"/>
      <c r="ABX25" s="151"/>
      <c r="ABY25" s="151"/>
      <c r="ABZ25" s="151"/>
      <c r="ACA25" s="151"/>
      <c r="ACB25" s="151"/>
      <c r="ACC25" s="151"/>
      <c r="ACD25" s="151"/>
      <c r="ACE25" s="151"/>
      <c r="ACF25" s="151"/>
      <c r="ACG25" s="151"/>
      <c r="ACH25" s="151"/>
      <c r="ACI25" s="151"/>
      <c r="ACJ25" s="151"/>
      <c r="ACK25" s="151"/>
      <c r="ACL25" s="151"/>
      <c r="ACM25" s="151"/>
      <c r="ACN25" s="151"/>
      <c r="ACO25" s="151"/>
      <c r="ACP25" s="151"/>
      <c r="ACQ25" s="151"/>
      <c r="ACR25" s="151"/>
      <c r="ACS25" s="151"/>
      <c r="ACT25" s="151"/>
      <c r="ACU25" s="151"/>
      <c r="ACV25" s="151"/>
      <c r="ACW25" s="151"/>
      <c r="ACX25" s="151"/>
      <c r="ACY25" s="151"/>
      <c r="ACZ25" s="151"/>
      <c r="ADA25" s="151"/>
      <c r="ADB25" s="151"/>
      <c r="ADC25" s="151"/>
      <c r="ADD25" s="151"/>
      <c r="ADE25" s="151"/>
      <c r="ADF25" s="151"/>
      <c r="ADG25" s="151"/>
      <c r="ADH25" s="151"/>
      <c r="ADI25" s="151"/>
      <c r="ADJ25" s="151"/>
      <c r="ADK25" s="151"/>
      <c r="ADL25" s="151"/>
      <c r="ADM25" s="151"/>
      <c r="ADN25" s="151"/>
      <c r="ADO25" s="151"/>
      <c r="ADP25" s="151"/>
      <c r="ADQ25" s="151"/>
      <c r="ADR25" s="151"/>
      <c r="ADS25" s="151"/>
      <c r="ADT25" s="151"/>
      <c r="ADU25" s="151"/>
      <c r="ADV25" s="151"/>
      <c r="ADW25" s="151"/>
      <c r="ADX25" s="151"/>
      <c r="ADY25" s="151"/>
      <c r="ADZ25" s="151"/>
      <c r="AEA25" s="151"/>
      <c r="AEB25" s="151"/>
      <c r="AEC25" s="151"/>
      <c r="AED25" s="151"/>
      <c r="AEE25" s="151"/>
      <c r="AEF25" s="151"/>
      <c r="AEG25" s="151"/>
      <c r="AEH25" s="151"/>
      <c r="AEI25" s="151"/>
      <c r="AEJ25" s="151"/>
      <c r="AEK25" s="151"/>
      <c r="AEL25" s="151"/>
      <c r="AEM25" s="151"/>
      <c r="AEN25" s="151"/>
      <c r="AEO25" s="151"/>
      <c r="AEP25" s="151"/>
      <c r="AEQ25" s="151"/>
      <c r="AER25" s="151"/>
      <c r="AES25" s="151"/>
      <c r="AET25" s="151"/>
      <c r="AEU25" s="151"/>
      <c r="AEV25" s="151"/>
      <c r="AEW25" s="151"/>
      <c r="AEX25" s="151"/>
      <c r="AEY25" s="151"/>
      <c r="AEZ25" s="151"/>
      <c r="AFA25" s="151"/>
      <c r="AFB25" s="151"/>
      <c r="AFC25" s="151"/>
      <c r="AFD25" s="151"/>
      <c r="AFE25" s="151"/>
      <c r="AFF25" s="151"/>
      <c r="AFG25" s="151"/>
      <c r="AFH25" s="151"/>
      <c r="AFI25" s="151"/>
      <c r="AFJ25" s="151"/>
      <c r="AFK25" s="151"/>
      <c r="AFL25" s="151"/>
      <c r="AFM25" s="151"/>
      <c r="AFN25" s="151"/>
      <c r="AFO25" s="151"/>
      <c r="AFP25" s="151"/>
      <c r="AFQ25" s="151"/>
      <c r="AFR25" s="151"/>
      <c r="AFS25" s="151"/>
      <c r="AFT25" s="151"/>
      <c r="AFU25" s="151"/>
      <c r="AFV25" s="151"/>
      <c r="AFW25" s="151"/>
      <c r="AFX25" s="151"/>
      <c r="AFY25" s="151"/>
      <c r="AFZ25" s="151"/>
      <c r="AGA25" s="151"/>
      <c r="AGB25" s="151"/>
      <c r="AGC25" s="151"/>
      <c r="AGD25" s="151"/>
      <c r="AGE25" s="151"/>
      <c r="AGF25" s="151"/>
      <c r="AGG25" s="151"/>
      <c r="AGH25" s="151"/>
      <c r="AGI25" s="151"/>
      <c r="AGJ25" s="151"/>
      <c r="AGK25" s="151"/>
      <c r="AGL25" s="151"/>
      <c r="AGM25" s="151"/>
      <c r="AGN25" s="151"/>
      <c r="AGO25" s="151"/>
      <c r="AGP25" s="151"/>
      <c r="AGQ25" s="151"/>
      <c r="AGR25" s="151"/>
      <c r="AGS25" s="151"/>
      <c r="AGT25" s="151"/>
      <c r="AGU25" s="151"/>
      <c r="AGV25" s="151"/>
      <c r="AGW25" s="151"/>
      <c r="AGX25" s="151"/>
      <c r="AGY25" s="151"/>
      <c r="AGZ25" s="151"/>
      <c r="AHA25" s="151"/>
      <c r="AHB25" s="151"/>
      <c r="AHC25" s="151"/>
      <c r="AHD25" s="151"/>
      <c r="AHE25" s="151"/>
      <c r="AHF25" s="151"/>
      <c r="AHG25" s="151"/>
      <c r="AHH25" s="151"/>
      <c r="AHI25" s="151"/>
      <c r="AHJ25" s="151"/>
      <c r="AHK25" s="151"/>
      <c r="AHL25" s="151"/>
      <c r="AHM25" s="151"/>
      <c r="AHN25" s="151"/>
      <c r="AHO25" s="151"/>
      <c r="AHP25" s="151"/>
      <c r="AHQ25" s="151"/>
      <c r="AHR25" s="151"/>
      <c r="AHS25" s="151"/>
      <c r="AHT25" s="151"/>
      <c r="AHU25" s="151"/>
      <c r="AHV25" s="151"/>
      <c r="AHW25" s="151"/>
      <c r="AHX25" s="151"/>
      <c r="AHY25" s="151"/>
      <c r="AHZ25" s="151"/>
      <c r="AIA25" s="151"/>
      <c r="AIB25" s="151"/>
      <c r="AIC25" s="151"/>
      <c r="AID25" s="151"/>
      <c r="AIE25" s="151"/>
      <c r="AIF25" s="151"/>
      <c r="AIG25" s="151"/>
      <c r="AIH25" s="151"/>
      <c r="AII25" s="151"/>
      <c r="AIJ25" s="151"/>
      <c r="AIK25" s="151"/>
      <c r="AIL25" s="151"/>
      <c r="AIM25" s="151"/>
      <c r="AIN25" s="151"/>
      <c r="AIO25" s="151"/>
      <c r="AIP25" s="151"/>
      <c r="AIQ25" s="151"/>
      <c r="AIR25" s="151"/>
      <c r="AIS25" s="151"/>
      <c r="AIT25" s="151"/>
      <c r="AIU25" s="151"/>
      <c r="AIV25" s="151"/>
      <c r="AIW25" s="151"/>
      <c r="AIX25" s="151"/>
      <c r="AIY25" s="151"/>
      <c r="AIZ25" s="151"/>
      <c r="AJA25" s="151"/>
      <c r="AJB25" s="151"/>
      <c r="AJC25" s="151"/>
      <c r="AJD25" s="151"/>
      <c r="AJE25" s="151"/>
      <c r="AJF25" s="151"/>
      <c r="AJG25" s="151"/>
      <c r="AJH25" s="151"/>
      <c r="AJI25" s="151"/>
      <c r="AJJ25" s="151"/>
      <c r="AJK25" s="151"/>
      <c r="AJL25" s="151"/>
      <c r="AJM25" s="151"/>
      <c r="AJN25" s="151"/>
      <c r="AJO25" s="151"/>
      <c r="AJP25" s="151"/>
      <c r="AJQ25" s="151"/>
      <c r="AJR25" s="151"/>
      <c r="AJS25" s="151"/>
      <c r="AJT25" s="151"/>
      <c r="AJU25" s="151"/>
      <c r="AJV25" s="151"/>
      <c r="AJW25" s="151"/>
      <c r="AJX25" s="151"/>
      <c r="AJY25" s="151"/>
      <c r="AJZ25" s="151"/>
      <c r="AKA25" s="151"/>
      <c r="AKB25" s="151"/>
      <c r="AKC25" s="151"/>
      <c r="AKD25" s="151"/>
      <c r="AKE25" s="151"/>
      <c r="AKF25" s="151"/>
      <c r="AKG25" s="151"/>
      <c r="AKH25" s="151"/>
      <c r="AKI25" s="151"/>
      <c r="AKJ25" s="151"/>
      <c r="AKK25" s="151"/>
      <c r="AKL25" s="151"/>
      <c r="AKM25" s="151"/>
      <c r="AKN25" s="151"/>
      <c r="AKO25" s="151"/>
      <c r="AKP25" s="151"/>
      <c r="AKQ25" s="151"/>
      <c r="AKR25" s="151"/>
      <c r="AKS25" s="151"/>
      <c r="AKT25" s="151"/>
      <c r="AKU25" s="151"/>
      <c r="AKV25" s="151"/>
      <c r="AKW25" s="151"/>
      <c r="AKX25" s="151"/>
      <c r="AKY25" s="151"/>
      <c r="AKZ25" s="151"/>
      <c r="ALA25" s="151"/>
      <c r="ALB25" s="151"/>
      <c r="ALC25" s="151"/>
      <c r="ALD25" s="151"/>
      <c r="ALE25" s="151"/>
      <c r="ALF25" s="151"/>
      <c r="ALG25" s="151"/>
      <c r="ALH25" s="151"/>
      <c r="ALI25" s="151"/>
      <c r="ALJ25" s="151"/>
      <c r="ALK25" s="151"/>
      <c r="ALL25" s="151"/>
      <c r="ALM25" s="151"/>
      <c r="ALN25" s="151"/>
      <c r="ALO25" s="151"/>
      <c r="ALP25" s="151"/>
      <c r="ALQ25" s="151"/>
      <c r="ALR25" s="151"/>
      <c r="ALS25" s="151"/>
      <c r="ALT25" s="151"/>
      <c r="ALU25" s="151"/>
      <c r="ALV25" s="151"/>
      <c r="ALW25" s="151"/>
      <c r="ALX25" s="151"/>
      <c r="ALY25" s="151"/>
      <c r="ALZ25" s="151"/>
      <c r="AMA25" s="151"/>
      <c r="AMB25" s="151"/>
      <c r="AMC25" s="151"/>
      <c r="AMD25" s="151"/>
      <c r="AME25" s="151"/>
      <c r="AMF25" s="151"/>
      <c r="AMG25" s="151"/>
      <c r="AMH25" s="151"/>
      <c r="AMI25" s="151"/>
      <c r="AMJ25" s="151"/>
      <c r="AMK25" s="151"/>
      <c r="AML25" s="151"/>
      <c r="AMM25" s="151"/>
      <c r="AMN25" s="151"/>
      <c r="AMO25" s="151"/>
      <c r="AMP25" s="151"/>
      <c r="AMQ25" s="151"/>
      <c r="AMR25" s="151"/>
      <c r="AMS25" s="151"/>
      <c r="AMT25" s="151"/>
      <c r="AMU25" s="151"/>
      <c r="AMV25" s="151"/>
      <c r="AMW25" s="151"/>
      <c r="AMX25" s="151"/>
      <c r="AMY25" s="151"/>
      <c r="AMZ25" s="151"/>
      <c r="ANA25" s="151"/>
      <c r="ANB25" s="151"/>
      <c r="ANC25" s="151"/>
      <c r="AND25" s="151"/>
      <c r="ANE25" s="151"/>
      <c r="ANF25" s="151"/>
      <c r="ANG25" s="151"/>
      <c r="ANH25" s="151"/>
      <c r="ANI25" s="151"/>
      <c r="ANJ25" s="151"/>
      <c r="ANK25" s="151"/>
      <c r="ANL25" s="151"/>
      <c r="ANM25" s="151"/>
      <c r="ANN25" s="151"/>
      <c r="ANO25" s="151"/>
      <c r="ANP25" s="151"/>
      <c r="ANQ25" s="151"/>
      <c r="ANR25" s="151"/>
      <c r="ANS25" s="151"/>
      <c r="ANT25" s="151"/>
      <c r="ANU25" s="151"/>
      <c r="ANV25" s="151"/>
      <c r="ANW25" s="151"/>
      <c r="ANX25" s="151"/>
      <c r="ANY25" s="151"/>
      <c r="ANZ25" s="151"/>
      <c r="AOA25" s="151"/>
      <c r="AOB25" s="151"/>
      <c r="AOC25" s="151"/>
      <c r="AOD25" s="151"/>
      <c r="AOE25" s="151"/>
      <c r="AOF25" s="151"/>
      <c r="AOG25" s="151"/>
      <c r="AOH25" s="151"/>
      <c r="AOI25" s="151"/>
      <c r="AOJ25" s="151"/>
      <c r="AOK25" s="151"/>
      <c r="AOL25" s="151"/>
      <c r="AOM25" s="151"/>
      <c r="AON25" s="151"/>
      <c r="AOO25" s="151"/>
      <c r="AOP25" s="151"/>
      <c r="AOQ25" s="151"/>
      <c r="AOR25" s="151"/>
      <c r="AOS25" s="151"/>
      <c r="AOT25" s="151"/>
      <c r="AOU25" s="151"/>
      <c r="AOV25" s="151"/>
      <c r="AOW25" s="151"/>
      <c r="AOX25" s="151"/>
      <c r="AOY25" s="151"/>
      <c r="AOZ25" s="151"/>
      <c r="APA25" s="151"/>
      <c r="APB25" s="151"/>
      <c r="APC25" s="151"/>
      <c r="APD25" s="151"/>
      <c r="APE25" s="151"/>
      <c r="APF25" s="151"/>
      <c r="APG25" s="151"/>
      <c r="APH25" s="151"/>
      <c r="API25" s="151"/>
      <c r="APJ25" s="151"/>
      <c r="APK25" s="151"/>
      <c r="APL25" s="151"/>
      <c r="APM25" s="151"/>
      <c r="APN25" s="151"/>
      <c r="APO25" s="151"/>
      <c r="APP25" s="151"/>
      <c r="APQ25" s="151"/>
      <c r="APR25" s="151"/>
      <c r="APS25" s="151"/>
      <c r="APT25" s="151"/>
      <c r="APU25" s="151"/>
      <c r="APV25" s="151"/>
      <c r="APW25" s="151"/>
      <c r="APX25" s="151"/>
      <c r="APY25" s="151"/>
      <c r="APZ25" s="151"/>
      <c r="AQA25" s="151"/>
      <c r="AQB25" s="151"/>
      <c r="AQC25" s="151"/>
      <c r="AQD25" s="151"/>
      <c r="AQE25" s="151"/>
      <c r="AQF25" s="151"/>
      <c r="AQG25" s="151"/>
      <c r="AQH25" s="151"/>
      <c r="AQI25" s="151"/>
      <c r="AQJ25" s="151"/>
      <c r="AQK25" s="151"/>
      <c r="AQL25" s="151"/>
      <c r="AQM25" s="151"/>
      <c r="AQN25" s="151"/>
      <c r="AQO25" s="151"/>
      <c r="AQP25" s="151"/>
      <c r="AQQ25" s="151"/>
      <c r="AQR25" s="151"/>
      <c r="AQS25" s="151"/>
      <c r="AQT25" s="151"/>
      <c r="AQU25" s="151"/>
      <c r="AQV25" s="151"/>
      <c r="AQW25" s="151"/>
      <c r="AQX25" s="151"/>
      <c r="AQY25" s="151"/>
      <c r="AQZ25" s="151"/>
      <c r="ARA25" s="151"/>
      <c r="ARB25" s="151"/>
      <c r="ARC25" s="151"/>
      <c r="ARD25" s="151"/>
      <c r="ARE25" s="151"/>
      <c r="ARF25" s="151"/>
      <c r="ARG25" s="151"/>
      <c r="ARH25" s="151"/>
      <c r="ARI25" s="151"/>
      <c r="ARJ25" s="151"/>
      <c r="ARK25" s="151"/>
      <c r="ARL25" s="151"/>
      <c r="ARM25" s="151"/>
      <c r="ARN25" s="151"/>
      <c r="ARO25" s="151"/>
      <c r="ARP25" s="151"/>
      <c r="ARQ25" s="151"/>
      <c r="ARR25" s="151"/>
      <c r="ARS25" s="151"/>
      <c r="ART25" s="151"/>
      <c r="ARU25" s="151"/>
      <c r="ARV25" s="151"/>
      <c r="ARW25" s="151"/>
      <c r="ARX25" s="151"/>
      <c r="ARY25" s="151"/>
      <c r="ARZ25" s="151"/>
      <c r="ASA25" s="151"/>
      <c r="ASB25" s="151"/>
      <c r="ASC25" s="151"/>
      <c r="ASD25" s="151"/>
      <c r="ASE25" s="151"/>
      <c r="ASF25" s="151"/>
      <c r="ASG25" s="151"/>
      <c r="ASH25" s="151"/>
      <c r="ASI25" s="151"/>
      <c r="ASJ25" s="151"/>
      <c r="ASK25" s="151"/>
      <c r="ASL25" s="151"/>
      <c r="ASM25" s="151"/>
      <c r="ASN25" s="151"/>
      <c r="ASO25" s="151"/>
      <c r="ASP25" s="151"/>
      <c r="ASQ25" s="151"/>
      <c r="ASR25" s="151"/>
      <c r="ASS25" s="151"/>
      <c r="AST25" s="151"/>
      <c r="ASU25" s="151"/>
      <c r="ASV25" s="151"/>
      <c r="ASW25" s="151"/>
      <c r="ASX25" s="151"/>
      <c r="ASY25" s="151"/>
      <c r="ASZ25" s="151"/>
      <c r="ATA25" s="151"/>
      <c r="ATB25" s="151"/>
      <c r="ATC25" s="151"/>
      <c r="ATD25" s="151"/>
      <c r="ATE25" s="151"/>
      <c r="ATF25" s="151"/>
      <c r="ATG25" s="151"/>
      <c r="ATH25" s="151"/>
      <c r="ATI25" s="151"/>
      <c r="ATJ25" s="151"/>
      <c r="ATK25" s="151"/>
      <c r="ATL25" s="151"/>
      <c r="ATM25" s="151"/>
      <c r="ATN25" s="151"/>
      <c r="ATO25" s="151"/>
      <c r="ATP25" s="151"/>
      <c r="ATQ25" s="151"/>
      <c r="ATR25" s="151"/>
      <c r="ATS25" s="151"/>
      <c r="ATT25" s="151"/>
      <c r="ATU25" s="151"/>
      <c r="ATV25" s="151"/>
      <c r="ATW25" s="151"/>
      <c r="ATX25" s="151"/>
      <c r="ATY25" s="151"/>
      <c r="ATZ25" s="151"/>
      <c r="AUA25" s="151"/>
      <c r="AUB25" s="151"/>
      <c r="AUC25" s="151"/>
      <c r="AUD25" s="151"/>
      <c r="AUE25" s="151"/>
      <c r="AUF25" s="151"/>
      <c r="AUG25" s="151"/>
      <c r="AUH25" s="151"/>
      <c r="AUI25" s="151"/>
      <c r="AUJ25" s="151"/>
      <c r="AUK25" s="151"/>
      <c r="AUL25" s="151"/>
      <c r="AUM25" s="151"/>
      <c r="AUN25" s="151"/>
      <c r="AUO25" s="151"/>
      <c r="AUP25" s="151"/>
      <c r="AUQ25" s="151"/>
      <c r="AUR25" s="151"/>
      <c r="AUS25" s="151"/>
      <c r="AUT25" s="151"/>
      <c r="AUU25" s="151"/>
      <c r="AUV25" s="151"/>
      <c r="AUW25" s="151"/>
      <c r="AUX25" s="151"/>
      <c r="AUY25" s="151"/>
      <c r="AUZ25" s="151"/>
      <c r="AVA25" s="151"/>
      <c r="AVB25" s="151"/>
      <c r="AVC25" s="151"/>
      <c r="AVD25" s="151"/>
      <c r="AVE25" s="151"/>
      <c r="AVF25" s="151"/>
      <c r="AVG25" s="151"/>
      <c r="AVH25" s="151"/>
      <c r="AVI25" s="151"/>
      <c r="AVJ25" s="151"/>
      <c r="AVK25" s="151"/>
      <c r="AVL25" s="151"/>
      <c r="AVM25" s="151"/>
      <c r="AVN25" s="151"/>
      <c r="AVO25" s="151"/>
      <c r="AVP25" s="151"/>
      <c r="AVQ25" s="151"/>
      <c r="AVR25" s="151"/>
      <c r="AVS25" s="151"/>
      <c r="AVT25" s="151"/>
      <c r="AVU25" s="151"/>
      <c r="AVV25" s="151"/>
      <c r="AVW25" s="151"/>
      <c r="AVX25" s="151"/>
      <c r="AVY25" s="151"/>
      <c r="AVZ25" s="151"/>
      <c r="AWA25" s="151"/>
      <c r="AWB25" s="151"/>
      <c r="AWC25" s="151"/>
      <c r="AWD25" s="151"/>
      <c r="AWE25" s="151"/>
      <c r="AWF25" s="151"/>
      <c r="AWG25" s="151"/>
      <c r="AWH25" s="151"/>
      <c r="AWI25" s="151"/>
      <c r="AWJ25" s="151"/>
      <c r="AWK25" s="151"/>
      <c r="AWL25" s="151"/>
      <c r="AWM25" s="151"/>
      <c r="AWN25" s="151"/>
      <c r="AWO25" s="151"/>
      <c r="AWP25" s="151"/>
      <c r="AWQ25" s="151"/>
      <c r="AWR25" s="151"/>
      <c r="AWS25" s="151"/>
      <c r="AWT25" s="151"/>
      <c r="AWU25" s="151"/>
      <c r="AWV25" s="151"/>
      <c r="AWW25" s="151"/>
      <c r="AWX25" s="151"/>
      <c r="AWY25" s="151"/>
      <c r="AWZ25" s="151"/>
      <c r="AXA25" s="151"/>
      <c r="AXB25" s="151"/>
      <c r="AXC25" s="151"/>
      <c r="AXD25" s="151"/>
      <c r="AXE25" s="151"/>
      <c r="AXF25" s="151"/>
      <c r="AXG25" s="151"/>
      <c r="AXH25" s="151"/>
      <c r="AXI25" s="151"/>
      <c r="AXJ25" s="151"/>
      <c r="AXK25" s="151"/>
      <c r="AXL25" s="151"/>
      <c r="AXM25" s="151"/>
      <c r="AXN25" s="151"/>
      <c r="AXO25" s="151"/>
      <c r="AXP25" s="151"/>
      <c r="AXQ25" s="151"/>
      <c r="AXR25" s="151"/>
      <c r="AXS25" s="151"/>
      <c r="AXT25" s="151"/>
      <c r="AXU25" s="151"/>
      <c r="AXV25" s="151"/>
      <c r="AXW25" s="151"/>
      <c r="AXX25" s="151"/>
      <c r="AXY25" s="151"/>
      <c r="AXZ25" s="151"/>
      <c r="AYA25" s="151"/>
      <c r="AYB25" s="151"/>
      <c r="AYC25" s="151"/>
      <c r="AYD25" s="151"/>
      <c r="AYE25" s="151"/>
      <c r="AYF25" s="151"/>
      <c r="AYG25" s="151"/>
      <c r="AYH25" s="151"/>
      <c r="AYI25" s="151"/>
      <c r="AYJ25" s="151"/>
      <c r="AYK25" s="151"/>
      <c r="AYL25" s="151"/>
      <c r="AYM25" s="151"/>
      <c r="AYN25" s="151"/>
      <c r="AYO25" s="151"/>
      <c r="AYP25" s="151"/>
      <c r="AYQ25" s="151"/>
      <c r="AYR25" s="151"/>
      <c r="AYS25" s="151"/>
      <c r="AYT25" s="151"/>
      <c r="AYU25" s="151"/>
      <c r="AYV25" s="151"/>
      <c r="AYW25" s="151"/>
      <c r="AYX25" s="151"/>
      <c r="AYY25" s="151"/>
      <c r="AYZ25" s="151"/>
      <c r="AZA25" s="151"/>
      <c r="AZB25" s="151"/>
      <c r="AZC25" s="151"/>
      <c r="AZD25" s="151"/>
      <c r="AZE25" s="151"/>
      <c r="AZF25" s="151"/>
      <c r="AZG25" s="151"/>
      <c r="AZH25" s="151"/>
      <c r="AZI25" s="151"/>
      <c r="AZJ25" s="151"/>
      <c r="AZK25" s="151"/>
      <c r="AZL25" s="151"/>
      <c r="AZM25" s="151"/>
      <c r="AZN25" s="151"/>
      <c r="AZO25" s="151"/>
      <c r="AZP25" s="151"/>
      <c r="AZQ25" s="151"/>
      <c r="AZR25" s="151"/>
      <c r="AZS25" s="151"/>
      <c r="AZT25" s="151"/>
      <c r="AZU25" s="151"/>
      <c r="AZV25" s="151"/>
      <c r="AZW25" s="151"/>
      <c r="AZX25" s="151"/>
      <c r="AZY25" s="151"/>
      <c r="AZZ25" s="151"/>
      <c r="BAA25" s="151"/>
      <c r="BAB25" s="151"/>
      <c r="BAC25" s="151"/>
      <c r="BAD25" s="151"/>
      <c r="BAE25" s="151"/>
      <c r="BAF25" s="151"/>
      <c r="BAG25" s="151"/>
      <c r="BAH25" s="151"/>
      <c r="BAI25" s="151"/>
      <c r="BAJ25" s="151"/>
      <c r="BAK25" s="151"/>
      <c r="BAL25" s="151"/>
      <c r="BAM25" s="151"/>
      <c r="BAN25" s="151"/>
      <c r="BAO25" s="151"/>
      <c r="BAP25" s="151"/>
      <c r="BAQ25" s="151"/>
      <c r="BAR25" s="151"/>
      <c r="BAS25" s="151"/>
      <c r="BAT25" s="151"/>
      <c r="BAU25" s="151"/>
      <c r="BAV25" s="151"/>
      <c r="BAW25" s="151"/>
      <c r="BAX25" s="151"/>
      <c r="BAY25" s="151"/>
      <c r="BAZ25" s="151"/>
      <c r="BBA25" s="151"/>
      <c r="BBB25" s="151"/>
      <c r="BBC25" s="151"/>
      <c r="BBD25" s="151"/>
      <c r="BBE25" s="151"/>
      <c r="BBF25" s="151"/>
      <c r="BBG25" s="151"/>
      <c r="BBH25" s="151"/>
      <c r="BBI25" s="151"/>
      <c r="BBJ25" s="151"/>
      <c r="BBK25" s="151"/>
      <c r="BBL25" s="151"/>
      <c r="BBM25" s="151"/>
      <c r="BBN25" s="151"/>
      <c r="BBO25" s="151"/>
      <c r="BBP25" s="151"/>
      <c r="BBQ25" s="151"/>
      <c r="BBR25" s="151"/>
      <c r="BBS25" s="151"/>
      <c r="BBT25" s="151"/>
      <c r="BBU25" s="151"/>
      <c r="BBV25" s="151"/>
      <c r="BBW25" s="151"/>
      <c r="BBX25" s="151"/>
      <c r="BBY25" s="151"/>
      <c r="BBZ25" s="151"/>
      <c r="BCA25" s="151"/>
      <c r="BCB25" s="151"/>
      <c r="BCC25" s="151"/>
      <c r="BCD25" s="151"/>
      <c r="BCE25" s="151"/>
      <c r="BCF25" s="151"/>
      <c r="BCG25" s="151"/>
      <c r="BCH25" s="151"/>
      <c r="BCI25" s="151"/>
      <c r="BCJ25" s="151"/>
      <c r="BCK25" s="151"/>
      <c r="BCL25" s="151"/>
      <c r="BCM25" s="151"/>
      <c r="BCN25" s="151"/>
      <c r="BCO25" s="151"/>
      <c r="BCP25" s="151"/>
      <c r="BCQ25" s="151"/>
      <c r="BCR25" s="151"/>
      <c r="BCS25" s="151"/>
      <c r="BCT25" s="151"/>
      <c r="BCU25" s="151"/>
      <c r="BCV25" s="151"/>
      <c r="BCW25" s="151"/>
      <c r="BCX25" s="151"/>
      <c r="BCY25" s="151"/>
      <c r="BCZ25" s="151"/>
      <c r="BDA25" s="151"/>
      <c r="BDB25" s="151"/>
      <c r="BDC25" s="151"/>
      <c r="BDD25" s="151"/>
      <c r="BDE25" s="151"/>
      <c r="BDF25" s="151"/>
      <c r="BDG25" s="151"/>
      <c r="BDH25" s="151"/>
      <c r="BDI25" s="151"/>
      <c r="BDJ25" s="151"/>
      <c r="BDK25" s="151"/>
      <c r="BDL25" s="151"/>
      <c r="BDM25" s="151"/>
      <c r="BDN25" s="151"/>
      <c r="BDO25" s="151"/>
      <c r="BDP25" s="151"/>
      <c r="BDQ25" s="151"/>
      <c r="BDR25" s="151"/>
      <c r="BDS25" s="151"/>
      <c r="BDT25" s="151"/>
      <c r="BDU25" s="151"/>
      <c r="BDV25" s="151"/>
      <c r="BDW25" s="151"/>
      <c r="BDX25" s="151"/>
      <c r="BDY25" s="151"/>
      <c r="BDZ25" s="151"/>
      <c r="BEA25" s="151"/>
      <c r="BEB25" s="151"/>
      <c r="BEC25" s="151"/>
      <c r="BED25" s="151"/>
      <c r="BEE25" s="151"/>
      <c r="BEF25" s="151"/>
      <c r="BEG25" s="151"/>
      <c r="BEH25" s="151"/>
      <c r="BEI25" s="151"/>
      <c r="BEJ25" s="151"/>
      <c r="BEK25" s="151"/>
      <c r="BEL25" s="151"/>
      <c r="BEM25" s="151"/>
      <c r="BEN25" s="151"/>
      <c r="BEO25" s="151"/>
      <c r="BEP25" s="151"/>
      <c r="BEQ25" s="151"/>
      <c r="BER25" s="151"/>
      <c r="BES25" s="151"/>
      <c r="BET25" s="151"/>
      <c r="BEU25" s="151"/>
      <c r="BEV25" s="151"/>
      <c r="BEW25" s="151"/>
      <c r="BEX25" s="151"/>
      <c r="BEY25" s="151"/>
      <c r="BEZ25" s="151"/>
      <c r="BFA25" s="151"/>
      <c r="BFB25" s="151"/>
      <c r="BFC25" s="151"/>
      <c r="BFD25" s="151"/>
      <c r="BFE25" s="151"/>
      <c r="BFF25" s="151"/>
      <c r="BFG25" s="151"/>
      <c r="BFH25" s="151"/>
      <c r="BFI25" s="151"/>
      <c r="BFJ25" s="151"/>
      <c r="BFK25" s="151"/>
      <c r="BFL25" s="151"/>
      <c r="BFM25" s="151"/>
      <c r="BFN25" s="151"/>
      <c r="BFO25" s="151"/>
      <c r="BFP25" s="151"/>
      <c r="BFQ25" s="151"/>
      <c r="BFR25" s="151"/>
      <c r="BFS25" s="151"/>
      <c r="BFT25" s="151"/>
      <c r="BFU25" s="151"/>
      <c r="BFV25" s="151"/>
      <c r="BFW25" s="151"/>
      <c r="BFX25" s="151"/>
      <c r="BFY25" s="151"/>
      <c r="BFZ25" s="151"/>
      <c r="BGA25" s="151"/>
      <c r="BGB25" s="151"/>
      <c r="BGC25" s="151"/>
      <c r="BGD25" s="151"/>
      <c r="BGE25" s="151"/>
      <c r="BGF25" s="151"/>
      <c r="BGG25" s="151"/>
      <c r="BGH25" s="151"/>
      <c r="BGI25" s="151"/>
      <c r="BGJ25" s="151"/>
      <c r="BGK25" s="151"/>
      <c r="BGL25" s="151"/>
      <c r="BGM25" s="151"/>
      <c r="BGN25" s="151"/>
      <c r="BGO25" s="151"/>
      <c r="BGP25" s="151"/>
      <c r="BGQ25" s="151"/>
      <c r="BGR25" s="151"/>
      <c r="BGS25" s="151"/>
      <c r="BGT25" s="151"/>
      <c r="BGU25" s="151"/>
      <c r="BGV25" s="151"/>
      <c r="BGW25" s="151"/>
      <c r="BGX25" s="151"/>
      <c r="BGY25" s="151"/>
      <c r="BGZ25" s="151"/>
      <c r="BHA25" s="151"/>
      <c r="BHB25" s="151"/>
      <c r="BHC25" s="151"/>
      <c r="BHD25" s="151"/>
      <c r="BHE25" s="151"/>
      <c r="BHF25" s="151"/>
      <c r="BHG25" s="151"/>
      <c r="BHH25" s="151"/>
      <c r="BHI25" s="151"/>
      <c r="BHJ25" s="151"/>
      <c r="BHK25" s="151"/>
      <c r="BHL25" s="151"/>
      <c r="BHM25" s="151"/>
      <c r="BHN25" s="151"/>
      <c r="BHO25" s="151"/>
      <c r="BHP25" s="151"/>
      <c r="BHQ25" s="151"/>
      <c r="BHR25" s="151"/>
      <c r="BHS25" s="151"/>
      <c r="BHT25" s="151"/>
      <c r="BHU25" s="151"/>
      <c r="BHV25" s="151"/>
      <c r="BHW25" s="151"/>
      <c r="BHX25" s="151"/>
      <c r="BHY25" s="151"/>
      <c r="BHZ25" s="151"/>
      <c r="BIA25" s="151"/>
      <c r="BIB25" s="151"/>
      <c r="BIC25" s="151"/>
      <c r="BID25" s="151"/>
      <c r="BIE25" s="151"/>
      <c r="BIF25" s="151"/>
      <c r="BIG25" s="151"/>
      <c r="BIH25" s="151"/>
      <c r="BII25" s="151"/>
      <c r="BIJ25" s="151"/>
      <c r="BIK25" s="151"/>
      <c r="BIL25" s="151"/>
      <c r="BIM25" s="151"/>
      <c r="BIN25" s="151"/>
      <c r="BIO25" s="151"/>
      <c r="BIP25" s="151"/>
      <c r="BIQ25" s="151"/>
      <c r="BIR25" s="151"/>
      <c r="BIS25" s="151"/>
      <c r="BIT25" s="151"/>
      <c r="BIU25" s="151"/>
      <c r="BIV25" s="151"/>
      <c r="BIW25" s="151"/>
      <c r="BIX25" s="151"/>
      <c r="BIY25" s="151"/>
      <c r="BIZ25" s="151"/>
      <c r="BJA25" s="151"/>
      <c r="BJB25" s="151"/>
      <c r="BJC25" s="151"/>
      <c r="BJD25" s="151"/>
      <c r="BJE25" s="151"/>
      <c r="BJF25" s="151"/>
      <c r="BJG25" s="151"/>
      <c r="BJH25" s="151"/>
      <c r="BJI25" s="151"/>
      <c r="BJJ25" s="151"/>
      <c r="BJK25" s="151"/>
      <c r="BJL25" s="151"/>
      <c r="BJM25" s="151"/>
      <c r="BJN25" s="151"/>
      <c r="BJO25" s="151"/>
      <c r="BJP25" s="151"/>
      <c r="BJQ25" s="151"/>
      <c r="BJR25" s="151"/>
      <c r="BJS25" s="151"/>
      <c r="BJT25" s="151"/>
      <c r="BJU25" s="151"/>
      <c r="BJV25" s="151"/>
      <c r="BJW25" s="151"/>
      <c r="BJX25" s="151"/>
      <c r="BJY25" s="151"/>
      <c r="BJZ25" s="151"/>
      <c r="BKA25" s="151"/>
      <c r="BKB25" s="151"/>
      <c r="BKC25" s="151"/>
      <c r="BKD25" s="151"/>
      <c r="BKE25" s="151"/>
      <c r="BKF25" s="151"/>
      <c r="BKG25" s="151"/>
      <c r="BKH25" s="151"/>
      <c r="BKI25" s="151"/>
      <c r="BKJ25" s="151"/>
      <c r="BKK25" s="151"/>
      <c r="BKL25" s="151"/>
      <c r="BKM25" s="151"/>
      <c r="BKN25" s="151"/>
      <c r="BKO25" s="151"/>
      <c r="BKP25" s="151"/>
      <c r="BKQ25" s="151"/>
      <c r="BKR25" s="151"/>
      <c r="BKS25" s="151"/>
      <c r="BKT25" s="151"/>
      <c r="BKU25" s="151"/>
      <c r="BKV25" s="151"/>
      <c r="BKW25" s="151"/>
      <c r="BKX25" s="151"/>
      <c r="BKY25" s="151"/>
      <c r="BKZ25" s="151"/>
      <c r="BLA25" s="151"/>
      <c r="BLB25" s="151"/>
      <c r="BLC25" s="151"/>
      <c r="BLD25" s="151"/>
      <c r="BLE25" s="151"/>
      <c r="BLF25" s="151"/>
      <c r="BLG25" s="151"/>
      <c r="BLH25" s="151"/>
      <c r="BLI25" s="151"/>
      <c r="BLJ25" s="151"/>
      <c r="BLK25" s="151"/>
      <c r="BLL25" s="151"/>
      <c r="BLM25" s="151"/>
      <c r="BLN25" s="151"/>
      <c r="BLO25" s="151"/>
      <c r="BLP25" s="151"/>
      <c r="BLQ25" s="151"/>
      <c r="BLR25" s="151"/>
      <c r="BLS25" s="151"/>
      <c r="BLT25" s="151"/>
      <c r="BLU25" s="151"/>
      <c r="BLV25" s="151"/>
      <c r="BLW25" s="151"/>
      <c r="BLX25" s="151"/>
      <c r="BLY25" s="151"/>
      <c r="BLZ25" s="151"/>
      <c r="BMA25" s="151"/>
      <c r="BMB25" s="151"/>
      <c r="BMC25" s="151"/>
      <c r="BMD25" s="151"/>
      <c r="BME25" s="151"/>
      <c r="BMF25" s="151"/>
      <c r="BMG25" s="151"/>
      <c r="BMH25" s="151"/>
      <c r="BMI25" s="151"/>
      <c r="BMJ25" s="151"/>
      <c r="BMK25" s="151"/>
      <c r="BML25" s="151"/>
      <c r="BMM25" s="151"/>
      <c r="BMN25" s="151"/>
      <c r="BMO25" s="151"/>
      <c r="BMP25" s="151"/>
      <c r="BMQ25" s="151"/>
      <c r="BMR25" s="151"/>
      <c r="BMS25" s="151"/>
      <c r="BMT25" s="151"/>
      <c r="BMU25" s="151"/>
      <c r="BMV25" s="151"/>
      <c r="BMW25" s="151"/>
      <c r="BMX25" s="151"/>
      <c r="BMY25" s="151"/>
      <c r="BMZ25" s="151"/>
      <c r="BNA25" s="151"/>
      <c r="BNB25" s="151"/>
      <c r="BNC25" s="151"/>
      <c r="BND25" s="151"/>
      <c r="BNE25" s="151"/>
      <c r="BNF25" s="151"/>
      <c r="BNG25" s="151"/>
      <c r="BNH25" s="151"/>
      <c r="BNI25" s="151"/>
      <c r="BNJ25" s="151"/>
      <c r="BNK25" s="151"/>
      <c r="BNL25" s="151"/>
      <c r="BNM25" s="151"/>
      <c r="BNN25" s="151"/>
      <c r="BNO25" s="151"/>
      <c r="BNP25" s="151"/>
      <c r="BNQ25" s="151"/>
      <c r="BNR25" s="151"/>
      <c r="BNS25" s="151"/>
      <c r="BNT25" s="151"/>
      <c r="BNU25" s="151"/>
      <c r="BNV25" s="151"/>
      <c r="BNW25" s="151"/>
      <c r="BNX25" s="151"/>
      <c r="BNY25" s="151"/>
      <c r="BNZ25" s="151"/>
      <c r="BOA25" s="151"/>
      <c r="BOB25" s="151"/>
      <c r="BOC25" s="151"/>
      <c r="BOD25" s="151"/>
      <c r="BOE25" s="151"/>
      <c r="BOF25" s="151"/>
      <c r="BOG25" s="151"/>
      <c r="BOH25" s="151"/>
      <c r="BOI25" s="151"/>
      <c r="BOJ25" s="151"/>
      <c r="BOK25" s="151"/>
      <c r="BOL25" s="151"/>
      <c r="BOM25" s="151"/>
      <c r="BON25" s="151"/>
      <c r="BOO25" s="151"/>
      <c r="BOP25" s="151"/>
      <c r="BOQ25" s="151"/>
      <c r="BOR25" s="151"/>
      <c r="BOS25" s="151"/>
      <c r="BOT25" s="151"/>
      <c r="BOU25" s="151"/>
      <c r="BOV25" s="151"/>
      <c r="BOW25" s="151"/>
      <c r="BOX25" s="151"/>
      <c r="BOY25" s="151"/>
      <c r="BOZ25" s="151"/>
      <c r="BPA25" s="151"/>
      <c r="BPB25" s="151"/>
      <c r="BPC25" s="151"/>
      <c r="BPD25" s="151"/>
      <c r="BPE25" s="151"/>
      <c r="BPF25" s="151"/>
      <c r="BPG25" s="151"/>
      <c r="BPH25" s="151"/>
      <c r="BPI25" s="151"/>
      <c r="BPJ25" s="151"/>
      <c r="BPK25" s="151"/>
      <c r="BPL25" s="151"/>
      <c r="BPM25" s="151"/>
      <c r="BPN25" s="151"/>
      <c r="BPO25" s="151"/>
      <c r="BPP25" s="151"/>
      <c r="BPQ25" s="151"/>
      <c r="BPR25" s="151"/>
      <c r="BPS25" s="151"/>
      <c r="BPT25" s="151"/>
      <c r="BPU25" s="151"/>
      <c r="BPV25" s="151"/>
      <c r="BPW25" s="151"/>
      <c r="BPX25" s="151"/>
      <c r="BPY25" s="151"/>
      <c r="BPZ25" s="151"/>
      <c r="BQA25" s="151"/>
      <c r="BQB25" s="151"/>
      <c r="BQC25" s="151"/>
      <c r="BQD25" s="151"/>
      <c r="BQE25" s="151"/>
      <c r="BQF25" s="151"/>
      <c r="BQG25" s="151"/>
      <c r="BQH25" s="151"/>
      <c r="BQI25" s="151"/>
      <c r="BQJ25" s="151"/>
      <c r="BQK25" s="151"/>
      <c r="BQL25" s="151"/>
      <c r="BQM25" s="151"/>
      <c r="BQN25" s="151"/>
      <c r="BQO25" s="151"/>
      <c r="BQP25" s="151"/>
      <c r="BQQ25" s="151"/>
      <c r="BQR25" s="151"/>
      <c r="BQS25" s="151"/>
      <c r="BQT25" s="151"/>
      <c r="BQU25" s="151"/>
      <c r="BQV25" s="151"/>
      <c r="BQW25" s="151"/>
      <c r="BQX25" s="151"/>
      <c r="BQY25" s="151"/>
      <c r="BQZ25" s="151"/>
      <c r="BRA25" s="151"/>
      <c r="BRB25" s="151"/>
      <c r="BRC25" s="151"/>
      <c r="BRD25" s="151"/>
      <c r="BRE25" s="151"/>
      <c r="BRF25" s="151"/>
      <c r="BRG25" s="151"/>
      <c r="BRH25" s="151"/>
      <c r="BRI25" s="151"/>
      <c r="BRJ25" s="151"/>
      <c r="BRK25" s="151"/>
      <c r="BRL25" s="151"/>
      <c r="BRM25" s="151"/>
      <c r="BRN25" s="151"/>
      <c r="BRO25" s="151"/>
      <c r="BRP25" s="151"/>
      <c r="BRQ25" s="151"/>
      <c r="BRR25" s="151"/>
      <c r="BRS25" s="151"/>
      <c r="BRT25" s="151"/>
      <c r="BRU25" s="151"/>
      <c r="BRV25" s="151"/>
      <c r="BRW25" s="151"/>
      <c r="BRX25" s="151"/>
      <c r="BRY25" s="151"/>
      <c r="BRZ25" s="151"/>
      <c r="BSA25" s="151"/>
      <c r="BSB25" s="151"/>
      <c r="BSC25" s="151"/>
      <c r="BSD25" s="151"/>
      <c r="BSE25" s="151"/>
      <c r="BSF25" s="151"/>
      <c r="BSG25" s="151"/>
      <c r="BSH25" s="151"/>
      <c r="BSI25" s="151"/>
      <c r="BSJ25" s="151"/>
      <c r="BSK25" s="151"/>
      <c r="BSL25" s="151"/>
      <c r="BSM25" s="151"/>
      <c r="BSN25" s="151"/>
      <c r="BSO25" s="151"/>
      <c r="BSP25" s="151"/>
      <c r="BSQ25" s="151"/>
      <c r="BSR25" s="151"/>
      <c r="BSS25" s="151"/>
      <c r="BST25" s="151"/>
      <c r="BSU25" s="151"/>
      <c r="BSV25" s="151"/>
      <c r="BSW25" s="151"/>
      <c r="BSX25" s="151"/>
      <c r="BSY25" s="151"/>
      <c r="BSZ25" s="151"/>
      <c r="BTA25" s="151"/>
      <c r="BTB25" s="151"/>
      <c r="BTC25" s="151"/>
      <c r="BTD25" s="151"/>
      <c r="BTE25" s="151"/>
      <c r="BTF25" s="151"/>
      <c r="BTG25" s="151"/>
      <c r="BTH25" s="151"/>
      <c r="BTI25" s="151"/>
      <c r="BTJ25" s="151"/>
      <c r="BTK25" s="151"/>
      <c r="BTL25" s="151"/>
      <c r="BTM25" s="151"/>
      <c r="BTN25" s="151"/>
      <c r="BTO25" s="151"/>
      <c r="BTP25" s="151"/>
      <c r="BTQ25" s="151"/>
      <c r="BTR25" s="151"/>
      <c r="BTS25" s="151"/>
      <c r="BTT25" s="151"/>
      <c r="BTU25" s="151"/>
      <c r="BTV25" s="151"/>
      <c r="BTW25" s="151"/>
      <c r="BTX25" s="151"/>
      <c r="BTY25" s="151"/>
      <c r="BTZ25" s="151"/>
      <c r="BUA25" s="151"/>
      <c r="BUB25" s="151"/>
      <c r="BUC25" s="151"/>
      <c r="BUD25" s="151"/>
      <c r="BUE25" s="151"/>
      <c r="BUF25" s="151"/>
      <c r="BUG25" s="151"/>
      <c r="BUH25" s="151"/>
      <c r="BUI25" s="151"/>
      <c r="BUJ25" s="151"/>
      <c r="BUK25" s="151"/>
      <c r="BUL25" s="151"/>
      <c r="BUM25" s="151"/>
      <c r="BUN25" s="151"/>
      <c r="BUO25" s="151"/>
      <c r="BUP25" s="151"/>
      <c r="BUQ25" s="151"/>
      <c r="BUR25" s="151"/>
      <c r="BUS25" s="151"/>
      <c r="BUT25" s="151"/>
      <c r="BUU25" s="151"/>
      <c r="BUV25" s="151"/>
      <c r="BUW25" s="151"/>
      <c r="BUX25" s="151"/>
      <c r="BUY25" s="151"/>
      <c r="BUZ25" s="151"/>
      <c r="BVA25" s="151"/>
      <c r="BVB25" s="151"/>
      <c r="BVC25" s="151"/>
      <c r="BVD25" s="151"/>
      <c r="BVE25" s="151"/>
      <c r="BVF25" s="151"/>
      <c r="BVG25" s="151"/>
      <c r="BVH25" s="151"/>
      <c r="BVI25" s="151"/>
      <c r="BVJ25" s="151"/>
      <c r="BVK25" s="151"/>
      <c r="BVL25" s="151"/>
      <c r="BVM25" s="151"/>
      <c r="BVN25" s="151"/>
      <c r="BVO25" s="151"/>
      <c r="BVP25" s="151"/>
      <c r="BVQ25" s="151"/>
      <c r="BVR25" s="151"/>
      <c r="BVS25" s="151"/>
      <c r="BVT25" s="151"/>
      <c r="BVU25" s="151"/>
      <c r="BVV25" s="151"/>
      <c r="BVW25" s="151"/>
      <c r="BVX25" s="151"/>
      <c r="BVY25" s="151"/>
      <c r="BVZ25" s="151"/>
      <c r="BWA25" s="151"/>
      <c r="BWB25" s="151"/>
      <c r="BWC25" s="151"/>
      <c r="BWD25" s="151"/>
      <c r="BWE25" s="151"/>
      <c r="BWF25" s="151"/>
      <c r="BWG25" s="151"/>
      <c r="BWH25" s="151"/>
      <c r="BWI25" s="151"/>
      <c r="BWJ25" s="151"/>
      <c r="BWK25" s="151"/>
      <c r="BWL25" s="151"/>
      <c r="BWM25" s="151"/>
      <c r="BWN25" s="151"/>
      <c r="BWO25" s="151"/>
      <c r="BWP25" s="151"/>
      <c r="BWQ25" s="151"/>
      <c r="BWR25" s="151"/>
      <c r="BWS25" s="151"/>
      <c r="BWT25" s="151"/>
      <c r="BWU25" s="151"/>
      <c r="BWV25" s="151"/>
      <c r="BWW25" s="151"/>
      <c r="BWX25" s="151"/>
      <c r="BWY25" s="151"/>
      <c r="BWZ25" s="151"/>
      <c r="BXA25" s="151"/>
      <c r="BXB25" s="151"/>
      <c r="BXC25" s="151"/>
      <c r="BXD25" s="151"/>
      <c r="BXE25" s="151"/>
      <c r="BXF25" s="151"/>
      <c r="BXG25" s="151"/>
      <c r="BXH25" s="151"/>
      <c r="BXI25" s="151"/>
      <c r="BXJ25" s="151"/>
      <c r="BXK25" s="151"/>
      <c r="BXL25" s="151"/>
      <c r="BXM25" s="151"/>
      <c r="BXN25" s="151"/>
      <c r="BXO25" s="151"/>
      <c r="BXP25" s="151"/>
      <c r="BXQ25" s="151"/>
      <c r="BXR25" s="151"/>
      <c r="BXS25" s="151"/>
      <c r="BXT25" s="151"/>
      <c r="BXU25" s="151"/>
      <c r="BXV25" s="151"/>
      <c r="BXW25" s="151"/>
      <c r="BXX25" s="151"/>
      <c r="BXY25" s="151"/>
      <c r="BXZ25" s="151"/>
      <c r="BYA25" s="151"/>
      <c r="BYB25" s="151"/>
      <c r="BYC25" s="151"/>
      <c r="BYD25" s="151"/>
      <c r="BYE25" s="151"/>
      <c r="BYF25" s="151"/>
      <c r="BYG25" s="151"/>
    </row>
    <row r="26" spans="1:2009" s="3" customFormat="1" ht="12.75" customHeight="1" thickBot="1" x14ac:dyDescent="0.3">
      <c r="A26" s="72"/>
      <c r="B26" s="72"/>
      <c r="C26" s="131"/>
      <c r="D26" s="131"/>
      <c r="E26" s="131"/>
      <c r="F26" s="131"/>
      <c r="G26" s="490"/>
      <c r="H26" s="744"/>
      <c r="I26" s="26"/>
    </row>
    <row r="27" spans="1:2009" s="80" customFormat="1" ht="24.95" customHeight="1" x14ac:dyDescent="0.25">
      <c r="A27" s="105" t="s">
        <v>149</v>
      </c>
      <c r="B27" s="106"/>
      <c r="C27" s="142"/>
      <c r="D27" s="142"/>
      <c r="E27" s="143"/>
      <c r="F27" s="143"/>
      <c r="G27" s="498"/>
      <c r="H27" s="744"/>
      <c r="I27" s="21"/>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row>
    <row r="28" spans="1:2009" s="80" customFormat="1" ht="24.95" customHeight="1" x14ac:dyDescent="0.25">
      <c r="A28" s="285"/>
      <c r="B28" s="84" t="s">
        <v>669</v>
      </c>
      <c r="C28" s="144"/>
      <c r="D28" s="144">
        <f>20995.27+0.45</f>
        <v>20995.72</v>
      </c>
      <c r="E28" s="145"/>
      <c r="F28" s="145"/>
      <c r="G28" s="499">
        <f>SUM(C28:F28)</f>
        <v>20995.72</v>
      </c>
      <c r="H28" s="744"/>
      <c r="I28" s="21"/>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row>
    <row r="29" spans="1:2009" s="80" customFormat="1" ht="24.95" customHeight="1" x14ac:dyDescent="0.25">
      <c r="A29" s="110"/>
      <c r="B29" s="84" t="s">
        <v>670</v>
      </c>
      <c r="C29" s="144">
        <v>21818.97</v>
      </c>
      <c r="D29" s="144"/>
      <c r="E29" s="145"/>
      <c r="F29" s="145"/>
      <c r="G29" s="499">
        <f>SUM(C29:F29)</f>
        <v>21818.97</v>
      </c>
      <c r="H29" s="744"/>
      <c r="I29" s="21"/>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row>
    <row r="30" spans="1:2009" s="171" customFormat="1" ht="24.95" customHeight="1" thickBot="1" x14ac:dyDescent="0.3">
      <c r="A30" s="167"/>
      <c r="B30" s="168" t="s">
        <v>150</v>
      </c>
      <c r="C30" s="169">
        <f>SUM(C28:C29)</f>
        <v>21818.97</v>
      </c>
      <c r="D30" s="169">
        <f>SUM(D28:D29)</f>
        <v>20995.72</v>
      </c>
      <c r="E30" s="169"/>
      <c r="F30" s="169"/>
      <c r="G30" s="608">
        <f>SUM(G28:G29)</f>
        <v>42814.69</v>
      </c>
      <c r="H30" s="746"/>
      <c r="I30" s="680"/>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c r="DL30" s="170"/>
      <c r="DM30" s="170"/>
      <c r="DN30" s="170"/>
      <c r="DO30" s="170"/>
      <c r="DP30" s="170"/>
      <c r="DQ30" s="170"/>
      <c r="DR30" s="170"/>
      <c r="DS30" s="170"/>
      <c r="DT30" s="170"/>
      <c r="DU30" s="170"/>
      <c r="DV30" s="170"/>
      <c r="DW30" s="170"/>
      <c r="DX30" s="170"/>
      <c r="DY30" s="170"/>
      <c r="DZ30" s="170"/>
      <c r="EA30" s="170"/>
      <c r="EB30" s="170"/>
      <c r="EC30" s="170"/>
      <c r="ED30" s="170"/>
      <c r="EE30" s="170"/>
      <c r="EF30" s="170"/>
      <c r="EG30" s="170"/>
      <c r="EH30" s="170"/>
      <c r="EI30" s="170"/>
      <c r="EJ30" s="170"/>
      <c r="EK30" s="170"/>
      <c r="EL30" s="170"/>
      <c r="EM30" s="170"/>
      <c r="EN30" s="170"/>
      <c r="EO30" s="170"/>
      <c r="EP30" s="170"/>
      <c r="EQ30" s="170"/>
      <c r="ER30" s="170"/>
      <c r="ES30" s="170"/>
      <c r="ET30" s="170"/>
      <c r="EU30" s="170"/>
      <c r="EV30" s="170"/>
      <c r="EW30" s="170"/>
      <c r="EX30" s="170"/>
      <c r="EY30" s="170"/>
      <c r="EZ30" s="170"/>
      <c r="FA30" s="170"/>
      <c r="FB30" s="170"/>
      <c r="FC30" s="170"/>
      <c r="FD30" s="170"/>
      <c r="FE30" s="170"/>
      <c r="FF30" s="170"/>
      <c r="FG30" s="170"/>
      <c r="FH30" s="170"/>
      <c r="FI30" s="170"/>
      <c r="FJ30" s="170"/>
      <c r="FK30" s="170"/>
      <c r="FL30" s="170"/>
      <c r="FM30" s="170"/>
      <c r="FN30" s="170"/>
      <c r="FO30" s="170"/>
      <c r="FP30" s="170"/>
      <c r="FQ30" s="170"/>
      <c r="FR30" s="170"/>
      <c r="FS30" s="170"/>
      <c r="FT30" s="170"/>
      <c r="FU30" s="170"/>
      <c r="FV30" s="170"/>
      <c r="FW30" s="170"/>
      <c r="FX30" s="170"/>
      <c r="FY30" s="170"/>
      <c r="FZ30" s="170"/>
      <c r="GA30" s="170"/>
      <c r="GB30" s="170"/>
      <c r="GC30" s="170"/>
      <c r="GD30" s="170"/>
      <c r="GE30" s="170"/>
      <c r="GF30" s="170"/>
      <c r="GG30" s="170"/>
      <c r="GH30" s="170"/>
      <c r="GI30" s="170"/>
      <c r="GJ30" s="170"/>
      <c r="GK30" s="170"/>
      <c r="GL30" s="170"/>
      <c r="GM30" s="170"/>
      <c r="GN30" s="170"/>
      <c r="GO30" s="170"/>
      <c r="GP30" s="170"/>
      <c r="GQ30" s="170"/>
      <c r="GR30" s="170"/>
      <c r="GS30" s="170"/>
      <c r="GT30" s="170"/>
      <c r="GU30" s="170"/>
      <c r="GV30" s="170"/>
      <c r="GW30" s="170"/>
      <c r="GX30" s="170"/>
      <c r="GY30" s="170"/>
      <c r="GZ30" s="170"/>
      <c r="HA30" s="170"/>
      <c r="HB30" s="170"/>
      <c r="HC30" s="170"/>
      <c r="HD30" s="170"/>
      <c r="HE30" s="170"/>
      <c r="HF30" s="170"/>
      <c r="HG30" s="170"/>
      <c r="HH30" s="170"/>
      <c r="HI30" s="170"/>
      <c r="HJ30" s="170"/>
      <c r="HK30" s="170"/>
      <c r="HL30" s="170"/>
      <c r="HM30" s="170"/>
      <c r="HN30" s="170"/>
      <c r="HO30" s="170"/>
      <c r="HP30" s="170"/>
      <c r="HQ30" s="170"/>
      <c r="HR30" s="170"/>
      <c r="HS30" s="170"/>
      <c r="HT30" s="170"/>
      <c r="HU30" s="170"/>
      <c r="HV30" s="170"/>
      <c r="HW30" s="170"/>
      <c r="HX30" s="170"/>
      <c r="HY30" s="170"/>
      <c r="HZ30" s="170"/>
      <c r="IA30" s="170"/>
      <c r="IB30" s="170"/>
      <c r="IC30" s="170"/>
      <c r="ID30" s="170"/>
      <c r="IE30" s="170"/>
      <c r="IF30" s="170"/>
      <c r="IG30" s="170"/>
      <c r="IH30" s="170"/>
      <c r="II30" s="170"/>
      <c r="IJ30" s="170"/>
      <c r="IK30" s="170"/>
      <c r="IL30" s="170"/>
      <c r="IM30" s="170"/>
      <c r="IN30" s="170"/>
      <c r="IO30" s="170"/>
      <c r="IP30" s="170"/>
      <c r="IQ30" s="170"/>
      <c r="IR30" s="170"/>
      <c r="IS30" s="170"/>
      <c r="IT30" s="170"/>
      <c r="IU30" s="170"/>
      <c r="IV30" s="170"/>
      <c r="IW30" s="170"/>
      <c r="IX30" s="170"/>
      <c r="IY30" s="170"/>
      <c r="IZ30" s="170"/>
      <c r="JA30" s="170"/>
      <c r="JB30" s="170"/>
      <c r="JC30" s="170"/>
      <c r="JD30" s="170"/>
      <c r="JE30" s="170"/>
      <c r="JF30" s="170"/>
      <c r="JG30" s="170"/>
      <c r="JH30" s="170"/>
      <c r="JI30" s="170"/>
      <c r="JJ30" s="170"/>
      <c r="JK30" s="170"/>
      <c r="JL30" s="170"/>
      <c r="JM30" s="170"/>
      <c r="JN30" s="170"/>
      <c r="JO30" s="170"/>
      <c r="JP30" s="170"/>
      <c r="JQ30" s="170"/>
      <c r="JR30" s="170"/>
      <c r="JS30" s="170"/>
      <c r="JT30" s="170"/>
      <c r="JU30" s="170"/>
      <c r="JV30" s="170"/>
      <c r="JW30" s="170"/>
      <c r="JX30" s="170"/>
      <c r="JY30" s="170"/>
      <c r="JZ30" s="170"/>
      <c r="KA30" s="170"/>
      <c r="KB30" s="170"/>
      <c r="KC30" s="170"/>
      <c r="KD30" s="170"/>
      <c r="KE30" s="170"/>
      <c r="KF30" s="170"/>
      <c r="KG30" s="170"/>
      <c r="KH30" s="170"/>
      <c r="KI30" s="170"/>
      <c r="KJ30" s="170"/>
      <c r="KK30" s="170"/>
      <c r="KL30" s="170"/>
      <c r="KM30" s="170"/>
      <c r="KN30" s="170"/>
      <c r="KO30" s="170"/>
      <c r="KP30" s="170"/>
      <c r="KQ30" s="170"/>
      <c r="KR30" s="170"/>
      <c r="KS30" s="170"/>
      <c r="KT30" s="170"/>
      <c r="KU30" s="170"/>
      <c r="KV30" s="170"/>
      <c r="KW30" s="170"/>
      <c r="KX30" s="170"/>
      <c r="KY30" s="170"/>
      <c r="KZ30" s="170"/>
      <c r="LA30" s="170"/>
      <c r="LB30" s="170"/>
      <c r="LC30" s="170"/>
      <c r="LD30" s="170"/>
      <c r="LE30" s="170"/>
      <c r="LF30" s="170"/>
      <c r="LG30" s="170"/>
      <c r="LH30" s="170"/>
      <c r="LI30" s="170"/>
      <c r="LJ30" s="170"/>
      <c r="LK30" s="170"/>
      <c r="LL30" s="170"/>
      <c r="LM30" s="170"/>
      <c r="LN30" s="170"/>
      <c r="LO30" s="170"/>
      <c r="LP30" s="170"/>
      <c r="LQ30" s="170"/>
      <c r="LR30" s="170"/>
      <c r="LS30" s="170"/>
      <c r="LT30" s="170"/>
      <c r="LU30" s="170"/>
      <c r="LV30" s="170"/>
      <c r="LW30" s="170"/>
      <c r="LX30" s="170"/>
      <c r="LY30" s="170"/>
      <c r="LZ30" s="170"/>
      <c r="MA30" s="170"/>
      <c r="MB30" s="170"/>
      <c r="MC30" s="170"/>
      <c r="MD30" s="170"/>
      <c r="ME30" s="170"/>
      <c r="MF30" s="170"/>
      <c r="MG30" s="170"/>
      <c r="MH30" s="170"/>
      <c r="MI30" s="170"/>
      <c r="MJ30" s="170"/>
      <c r="MK30" s="170"/>
      <c r="ML30" s="170"/>
      <c r="MM30" s="170"/>
      <c r="MN30" s="170"/>
      <c r="MO30" s="170"/>
      <c r="MP30" s="170"/>
      <c r="MQ30" s="170"/>
      <c r="MR30" s="170"/>
      <c r="MS30" s="170"/>
      <c r="MT30" s="170"/>
      <c r="MU30" s="170"/>
      <c r="MV30" s="170"/>
      <c r="MW30" s="170"/>
      <c r="MX30" s="170"/>
      <c r="MY30" s="170"/>
      <c r="MZ30" s="170"/>
      <c r="NA30" s="170"/>
      <c r="NB30" s="170"/>
      <c r="NC30" s="170"/>
      <c r="ND30" s="170"/>
      <c r="NE30" s="170"/>
      <c r="NF30" s="170"/>
      <c r="NG30" s="170"/>
      <c r="NH30" s="170"/>
      <c r="NI30" s="170"/>
      <c r="NJ30" s="170"/>
      <c r="NK30" s="170"/>
      <c r="NL30" s="170"/>
      <c r="NM30" s="170"/>
      <c r="NN30" s="170"/>
      <c r="NO30" s="170"/>
      <c r="NP30" s="170"/>
      <c r="NQ30" s="170"/>
      <c r="NR30" s="170"/>
      <c r="NS30" s="170"/>
      <c r="NT30" s="170"/>
      <c r="NU30" s="170"/>
      <c r="NV30" s="170"/>
      <c r="NW30" s="170"/>
      <c r="NX30" s="170"/>
      <c r="NY30" s="170"/>
      <c r="NZ30" s="170"/>
      <c r="OA30" s="170"/>
      <c r="OB30" s="170"/>
      <c r="OC30" s="170"/>
      <c r="OD30" s="170"/>
      <c r="OE30" s="170"/>
      <c r="OF30" s="170"/>
      <c r="OG30" s="170"/>
      <c r="OH30" s="170"/>
      <c r="OI30" s="170"/>
      <c r="OJ30" s="170"/>
      <c r="OK30" s="170"/>
      <c r="OL30" s="170"/>
      <c r="OM30" s="170"/>
      <c r="ON30" s="170"/>
      <c r="OO30" s="170"/>
      <c r="OP30" s="170"/>
      <c r="OQ30" s="170"/>
      <c r="OR30" s="170"/>
      <c r="OS30" s="170"/>
      <c r="OT30" s="170"/>
      <c r="OU30" s="170"/>
      <c r="OV30" s="170"/>
      <c r="OW30" s="170"/>
      <c r="OX30" s="170"/>
      <c r="OY30" s="170"/>
      <c r="OZ30" s="170"/>
      <c r="PA30" s="170"/>
      <c r="PB30" s="170"/>
      <c r="PC30" s="170"/>
      <c r="PD30" s="170"/>
      <c r="PE30" s="170"/>
      <c r="PF30" s="170"/>
      <c r="PG30" s="170"/>
      <c r="PH30" s="170"/>
      <c r="PI30" s="170"/>
      <c r="PJ30" s="170"/>
      <c r="PK30" s="170"/>
      <c r="PL30" s="170"/>
      <c r="PM30" s="170"/>
      <c r="PN30" s="170"/>
      <c r="PO30" s="170"/>
      <c r="PP30" s="170"/>
      <c r="PQ30" s="170"/>
      <c r="PR30" s="170"/>
      <c r="PS30" s="170"/>
      <c r="PT30" s="170"/>
      <c r="PU30" s="170"/>
      <c r="PV30" s="170"/>
      <c r="PW30" s="170"/>
      <c r="PX30" s="170"/>
      <c r="PY30" s="170"/>
      <c r="PZ30" s="170"/>
      <c r="QA30" s="170"/>
      <c r="QB30" s="170"/>
      <c r="QC30" s="170"/>
      <c r="QD30" s="170"/>
      <c r="QE30" s="170"/>
      <c r="QF30" s="170"/>
      <c r="QG30" s="170"/>
      <c r="QH30" s="170"/>
      <c r="QI30" s="170"/>
      <c r="QJ30" s="170"/>
      <c r="QK30" s="170"/>
      <c r="QL30" s="170"/>
      <c r="QM30" s="170"/>
      <c r="QN30" s="170"/>
      <c r="QO30" s="170"/>
      <c r="QP30" s="170"/>
      <c r="QQ30" s="170"/>
      <c r="QR30" s="170"/>
      <c r="QS30" s="170"/>
      <c r="QT30" s="170"/>
      <c r="QU30" s="170"/>
      <c r="QV30" s="170"/>
      <c r="QW30" s="170"/>
      <c r="QX30" s="170"/>
      <c r="QY30" s="170"/>
      <c r="QZ30" s="170"/>
      <c r="RA30" s="170"/>
      <c r="RB30" s="170"/>
      <c r="RC30" s="170"/>
      <c r="RD30" s="170"/>
      <c r="RE30" s="170"/>
      <c r="RF30" s="170"/>
      <c r="RG30" s="170"/>
      <c r="RH30" s="170"/>
      <c r="RI30" s="170"/>
      <c r="RJ30" s="170"/>
      <c r="RK30" s="170"/>
      <c r="RL30" s="170"/>
      <c r="RM30" s="170"/>
      <c r="RN30" s="170"/>
      <c r="RO30" s="170"/>
      <c r="RP30" s="170"/>
      <c r="RQ30" s="170"/>
      <c r="RR30" s="170"/>
      <c r="RS30" s="170"/>
      <c r="RT30" s="170"/>
      <c r="RU30" s="170"/>
      <c r="RV30" s="170"/>
      <c r="RW30" s="170"/>
      <c r="RX30" s="170"/>
      <c r="RY30" s="170"/>
      <c r="RZ30" s="170"/>
      <c r="SA30" s="170"/>
      <c r="SB30" s="170"/>
      <c r="SC30" s="170"/>
      <c r="SD30" s="170"/>
      <c r="SE30" s="170"/>
      <c r="SF30" s="170"/>
      <c r="SG30" s="170"/>
      <c r="SH30" s="170"/>
      <c r="SI30" s="170"/>
      <c r="SJ30" s="170"/>
      <c r="SK30" s="170"/>
      <c r="SL30" s="170"/>
      <c r="SM30" s="170"/>
      <c r="SN30" s="170"/>
      <c r="SO30" s="170"/>
      <c r="SP30" s="170"/>
      <c r="SQ30" s="170"/>
      <c r="SR30" s="170"/>
      <c r="SS30" s="170"/>
      <c r="ST30" s="170"/>
      <c r="SU30" s="170"/>
      <c r="SV30" s="170"/>
      <c r="SW30" s="170"/>
      <c r="SX30" s="170"/>
      <c r="SY30" s="170"/>
      <c r="SZ30" s="170"/>
      <c r="TA30" s="170"/>
      <c r="TB30" s="170"/>
      <c r="TC30" s="170"/>
      <c r="TD30" s="170"/>
      <c r="TE30" s="170"/>
      <c r="TF30" s="170"/>
      <c r="TG30" s="170"/>
      <c r="TH30" s="170"/>
      <c r="TI30" s="170"/>
      <c r="TJ30" s="170"/>
      <c r="TK30" s="170"/>
      <c r="TL30" s="170"/>
      <c r="TM30" s="170"/>
      <c r="TN30" s="170"/>
      <c r="TO30" s="170"/>
      <c r="TP30" s="170"/>
      <c r="TQ30" s="170"/>
      <c r="TR30" s="170"/>
      <c r="TS30" s="170"/>
      <c r="TT30" s="170"/>
      <c r="TU30" s="170"/>
      <c r="TV30" s="170"/>
      <c r="TW30" s="170"/>
      <c r="TX30" s="170"/>
      <c r="TY30" s="170"/>
      <c r="TZ30" s="170"/>
      <c r="UA30" s="170"/>
      <c r="UB30" s="170"/>
      <c r="UC30" s="170"/>
      <c r="UD30" s="170"/>
      <c r="UE30" s="170"/>
      <c r="UF30" s="170"/>
      <c r="UG30" s="170"/>
      <c r="UH30" s="170"/>
      <c r="UI30" s="170"/>
      <c r="UJ30" s="170"/>
      <c r="UK30" s="170"/>
      <c r="UL30" s="170"/>
      <c r="UM30" s="170"/>
      <c r="UN30" s="170"/>
      <c r="UO30" s="170"/>
      <c r="UP30" s="170"/>
      <c r="UQ30" s="170"/>
      <c r="UR30" s="170"/>
      <c r="US30" s="170"/>
      <c r="UT30" s="170"/>
      <c r="UU30" s="170"/>
      <c r="UV30" s="170"/>
      <c r="UW30" s="170"/>
      <c r="UX30" s="170"/>
      <c r="UY30" s="170"/>
      <c r="UZ30" s="170"/>
      <c r="VA30" s="170"/>
      <c r="VB30" s="170"/>
      <c r="VC30" s="170"/>
      <c r="VD30" s="170"/>
      <c r="VE30" s="170"/>
      <c r="VF30" s="170"/>
      <c r="VG30" s="170"/>
      <c r="VH30" s="170"/>
      <c r="VI30" s="170"/>
      <c r="VJ30" s="170"/>
      <c r="VK30" s="170"/>
      <c r="VL30" s="170"/>
      <c r="VM30" s="170"/>
      <c r="VN30" s="170"/>
      <c r="VO30" s="170"/>
      <c r="VP30" s="170"/>
      <c r="VQ30" s="170"/>
      <c r="VR30" s="170"/>
      <c r="VS30" s="170"/>
      <c r="VT30" s="170"/>
      <c r="VU30" s="170"/>
      <c r="VV30" s="170"/>
      <c r="VW30" s="170"/>
      <c r="VX30" s="170"/>
      <c r="VY30" s="170"/>
      <c r="VZ30" s="170"/>
      <c r="WA30" s="170"/>
      <c r="WB30" s="170"/>
      <c r="WC30" s="170"/>
      <c r="WD30" s="170"/>
      <c r="WE30" s="170"/>
      <c r="WF30" s="170"/>
      <c r="WG30" s="170"/>
      <c r="WH30" s="170"/>
      <c r="WI30" s="170"/>
      <c r="WJ30" s="170"/>
      <c r="WK30" s="170"/>
      <c r="WL30" s="170"/>
      <c r="WM30" s="170"/>
      <c r="WN30" s="170"/>
      <c r="WO30" s="170"/>
      <c r="WP30" s="170"/>
      <c r="WQ30" s="170"/>
      <c r="WR30" s="170"/>
      <c r="WS30" s="170"/>
      <c r="WT30" s="170"/>
      <c r="WU30" s="170"/>
      <c r="WV30" s="170"/>
      <c r="WW30" s="170"/>
      <c r="WX30" s="170"/>
      <c r="WY30" s="170"/>
      <c r="WZ30" s="170"/>
      <c r="XA30" s="170"/>
      <c r="XB30" s="170"/>
      <c r="XC30" s="170"/>
      <c r="XD30" s="170"/>
      <c r="XE30" s="170"/>
      <c r="XF30" s="170"/>
      <c r="XG30" s="170"/>
      <c r="XH30" s="170"/>
      <c r="XI30" s="170"/>
      <c r="XJ30" s="170"/>
      <c r="XK30" s="170"/>
      <c r="XL30" s="170"/>
      <c r="XM30" s="170"/>
      <c r="XN30" s="170"/>
      <c r="XO30" s="170"/>
      <c r="XP30" s="170"/>
      <c r="XQ30" s="170"/>
      <c r="XR30" s="170"/>
      <c r="XS30" s="170"/>
      <c r="XT30" s="170"/>
      <c r="XU30" s="170"/>
      <c r="XV30" s="170"/>
      <c r="XW30" s="170"/>
      <c r="XX30" s="170"/>
      <c r="XY30" s="170"/>
      <c r="XZ30" s="170"/>
      <c r="YA30" s="170"/>
      <c r="YB30" s="170"/>
      <c r="YC30" s="170"/>
      <c r="YD30" s="170"/>
      <c r="YE30" s="170"/>
      <c r="YF30" s="170"/>
      <c r="YG30" s="170"/>
      <c r="YH30" s="170"/>
      <c r="YI30" s="170"/>
      <c r="YJ30" s="170"/>
      <c r="YK30" s="170"/>
      <c r="YL30" s="170"/>
      <c r="YM30" s="170"/>
      <c r="YN30" s="170"/>
      <c r="YO30" s="170"/>
      <c r="YP30" s="170"/>
      <c r="YQ30" s="170"/>
      <c r="YR30" s="170"/>
      <c r="YS30" s="170"/>
      <c r="YT30" s="170"/>
      <c r="YU30" s="170"/>
      <c r="YV30" s="170"/>
      <c r="YW30" s="170"/>
      <c r="YX30" s="170"/>
      <c r="YY30" s="170"/>
      <c r="YZ30" s="170"/>
      <c r="ZA30" s="170"/>
      <c r="ZB30" s="170"/>
      <c r="ZC30" s="170"/>
      <c r="ZD30" s="170"/>
      <c r="ZE30" s="170"/>
      <c r="ZF30" s="170"/>
      <c r="ZG30" s="170"/>
      <c r="ZH30" s="170"/>
      <c r="ZI30" s="170"/>
      <c r="ZJ30" s="170"/>
      <c r="ZK30" s="170"/>
      <c r="ZL30" s="170"/>
      <c r="ZM30" s="170"/>
      <c r="ZN30" s="170"/>
      <c r="ZO30" s="170"/>
      <c r="ZP30" s="170"/>
      <c r="ZQ30" s="170"/>
      <c r="ZR30" s="170"/>
      <c r="ZS30" s="170"/>
      <c r="ZT30" s="170"/>
      <c r="ZU30" s="170"/>
      <c r="ZV30" s="170"/>
      <c r="ZW30" s="170"/>
      <c r="ZX30" s="170"/>
      <c r="ZY30" s="170"/>
      <c r="ZZ30" s="170"/>
      <c r="AAA30" s="170"/>
      <c r="AAB30" s="170"/>
      <c r="AAC30" s="170"/>
      <c r="AAD30" s="170"/>
      <c r="AAE30" s="170"/>
      <c r="AAF30" s="170"/>
      <c r="AAG30" s="170"/>
      <c r="AAH30" s="170"/>
      <c r="AAI30" s="170"/>
      <c r="AAJ30" s="170"/>
      <c r="AAK30" s="170"/>
      <c r="AAL30" s="170"/>
      <c r="AAM30" s="170"/>
      <c r="AAN30" s="170"/>
      <c r="AAO30" s="170"/>
      <c r="AAP30" s="170"/>
      <c r="AAQ30" s="170"/>
      <c r="AAR30" s="170"/>
      <c r="AAS30" s="170"/>
      <c r="AAT30" s="170"/>
      <c r="AAU30" s="170"/>
      <c r="AAV30" s="170"/>
      <c r="AAW30" s="170"/>
      <c r="AAX30" s="170"/>
      <c r="AAY30" s="170"/>
      <c r="AAZ30" s="170"/>
      <c r="ABA30" s="170"/>
      <c r="ABB30" s="170"/>
      <c r="ABC30" s="170"/>
      <c r="ABD30" s="170"/>
      <c r="ABE30" s="170"/>
      <c r="ABF30" s="170"/>
      <c r="ABG30" s="170"/>
      <c r="ABH30" s="170"/>
      <c r="ABI30" s="170"/>
      <c r="ABJ30" s="170"/>
      <c r="ABK30" s="170"/>
      <c r="ABL30" s="170"/>
      <c r="ABM30" s="170"/>
      <c r="ABN30" s="170"/>
      <c r="ABO30" s="170"/>
      <c r="ABP30" s="170"/>
      <c r="ABQ30" s="170"/>
      <c r="ABR30" s="170"/>
      <c r="ABS30" s="170"/>
      <c r="ABT30" s="170"/>
      <c r="ABU30" s="170"/>
      <c r="ABV30" s="170"/>
      <c r="ABW30" s="170"/>
      <c r="ABX30" s="170"/>
      <c r="ABY30" s="170"/>
      <c r="ABZ30" s="170"/>
      <c r="ACA30" s="170"/>
      <c r="ACB30" s="170"/>
      <c r="ACC30" s="170"/>
      <c r="ACD30" s="170"/>
      <c r="ACE30" s="170"/>
      <c r="ACF30" s="170"/>
      <c r="ACG30" s="170"/>
      <c r="ACH30" s="170"/>
      <c r="ACI30" s="170"/>
      <c r="ACJ30" s="170"/>
      <c r="ACK30" s="170"/>
      <c r="ACL30" s="170"/>
      <c r="ACM30" s="170"/>
      <c r="ACN30" s="170"/>
      <c r="ACO30" s="170"/>
      <c r="ACP30" s="170"/>
      <c r="ACQ30" s="170"/>
      <c r="ACR30" s="170"/>
      <c r="ACS30" s="170"/>
      <c r="ACT30" s="170"/>
      <c r="ACU30" s="170"/>
      <c r="ACV30" s="170"/>
      <c r="ACW30" s="170"/>
      <c r="ACX30" s="170"/>
      <c r="ACY30" s="170"/>
      <c r="ACZ30" s="170"/>
      <c r="ADA30" s="170"/>
      <c r="ADB30" s="170"/>
      <c r="ADC30" s="170"/>
      <c r="ADD30" s="170"/>
      <c r="ADE30" s="170"/>
      <c r="ADF30" s="170"/>
      <c r="ADG30" s="170"/>
      <c r="ADH30" s="170"/>
      <c r="ADI30" s="170"/>
      <c r="ADJ30" s="170"/>
      <c r="ADK30" s="170"/>
      <c r="ADL30" s="170"/>
      <c r="ADM30" s="170"/>
      <c r="ADN30" s="170"/>
      <c r="ADO30" s="170"/>
      <c r="ADP30" s="170"/>
      <c r="ADQ30" s="170"/>
      <c r="ADR30" s="170"/>
      <c r="ADS30" s="170"/>
      <c r="ADT30" s="170"/>
      <c r="ADU30" s="170"/>
      <c r="ADV30" s="170"/>
      <c r="ADW30" s="170"/>
      <c r="ADX30" s="170"/>
      <c r="ADY30" s="170"/>
      <c r="ADZ30" s="170"/>
      <c r="AEA30" s="170"/>
      <c r="AEB30" s="170"/>
      <c r="AEC30" s="170"/>
      <c r="AED30" s="170"/>
      <c r="AEE30" s="170"/>
      <c r="AEF30" s="170"/>
      <c r="AEG30" s="170"/>
      <c r="AEH30" s="170"/>
      <c r="AEI30" s="170"/>
      <c r="AEJ30" s="170"/>
      <c r="AEK30" s="170"/>
      <c r="AEL30" s="170"/>
      <c r="AEM30" s="170"/>
      <c r="AEN30" s="170"/>
      <c r="AEO30" s="170"/>
      <c r="AEP30" s="170"/>
      <c r="AEQ30" s="170"/>
      <c r="AER30" s="170"/>
      <c r="AES30" s="170"/>
      <c r="AET30" s="170"/>
      <c r="AEU30" s="170"/>
      <c r="AEV30" s="170"/>
      <c r="AEW30" s="170"/>
      <c r="AEX30" s="170"/>
      <c r="AEY30" s="170"/>
      <c r="AEZ30" s="170"/>
      <c r="AFA30" s="170"/>
      <c r="AFB30" s="170"/>
      <c r="AFC30" s="170"/>
      <c r="AFD30" s="170"/>
      <c r="AFE30" s="170"/>
      <c r="AFF30" s="170"/>
      <c r="AFG30" s="170"/>
      <c r="AFH30" s="170"/>
      <c r="AFI30" s="170"/>
      <c r="AFJ30" s="170"/>
      <c r="AFK30" s="170"/>
      <c r="AFL30" s="170"/>
      <c r="AFM30" s="170"/>
      <c r="AFN30" s="170"/>
      <c r="AFO30" s="170"/>
      <c r="AFP30" s="170"/>
      <c r="AFQ30" s="170"/>
      <c r="AFR30" s="170"/>
      <c r="AFS30" s="170"/>
      <c r="AFT30" s="170"/>
      <c r="AFU30" s="170"/>
      <c r="AFV30" s="170"/>
      <c r="AFW30" s="170"/>
      <c r="AFX30" s="170"/>
      <c r="AFY30" s="170"/>
      <c r="AFZ30" s="170"/>
      <c r="AGA30" s="170"/>
      <c r="AGB30" s="170"/>
      <c r="AGC30" s="170"/>
      <c r="AGD30" s="170"/>
      <c r="AGE30" s="170"/>
      <c r="AGF30" s="170"/>
      <c r="AGG30" s="170"/>
      <c r="AGH30" s="170"/>
      <c r="AGI30" s="170"/>
      <c r="AGJ30" s="170"/>
      <c r="AGK30" s="170"/>
      <c r="AGL30" s="170"/>
      <c r="AGM30" s="170"/>
      <c r="AGN30" s="170"/>
      <c r="AGO30" s="170"/>
      <c r="AGP30" s="170"/>
      <c r="AGQ30" s="170"/>
      <c r="AGR30" s="170"/>
      <c r="AGS30" s="170"/>
      <c r="AGT30" s="170"/>
      <c r="AGU30" s="170"/>
      <c r="AGV30" s="170"/>
      <c r="AGW30" s="170"/>
      <c r="AGX30" s="170"/>
      <c r="AGY30" s="170"/>
      <c r="AGZ30" s="170"/>
      <c r="AHA30" s="170"/>
      <c r="AHB30" s="170"/>
      <c r="AHC30" s="170"/>
      <c r="AHD30" s="170"/>
      <c r="AHE30" s="170"/>
      <c r="AHF30" s="170"/>
      <c r="AHG30" s="170"/>
      <c r="AHH30" s="170"/>
      <c r="AHI30" s="170"/>
      <c r="AHJ30" s="170"/>
      <c r="AHK30" s="170"/>
      <c r="AHL30" s="170"/>
      <c r="AHM30" s="170"/>
      <c r="AHN30" s="170"/>
      <c r="AHO30" s="170"/>
      <c r="AHP30" s="170"/>
      <c r="AHQ30" s="170"/>
      <c r="AHR30" s="170"/>
      <c r="AHS30" s="170"/>
      <c r="AHT30" s="170"/>
      <c r="AHU30" s="170"/>
      <c r="AHV30" s="170"/>
      <c r="AHW30" s="170"/>
      <c r="AHX30" s="170"/>
      <c r="AHY30" s="170"/>
      <c r="AHZ30" s="170"/>
      <c r="AIA30" s="170"/>
      <c r="AIB30" s="170"/>
      <c r="AIC30" s="170"/>
      <c r="AID30" s="170"/>
      <c r="AIE30" s="170"/>
      <c r="AIF30" s="170"/>
      <c r="AIG30" s="170"/>
      <c r="AIH30" s="170"/>
      <c r="AII30" s="170"/>
      <c r="AIJ30" s="170"/>
      <c r="AIK30" s="170"/>
      <c r="AIL30" s="170"/>
      <c r="AIM30" s="170"/>
      <c r="AIN30" s="170"/>
      <c r="AIO30" s="170"/>
      <c r="AIP30" s="170"/>
      <c r="AIQ30" s="170"/>
      <c r="AIR30" s="170"/>
      <c r="AIS30" s="170"/>
      <c r="AIT30" s="170"/>
      <c r="AIU30" s="170"/>
      <c r="AIV30" s="170"/>
      <c r="AIW30" s="170"/>
      <c r="AIX30" s="170"/>
      <c r="AIY30" s="170"/>
      <c r="AIZ30" s="170"/>
      <c r="AJA30" s="170"/>
      <c r="AJB30" s="170"/>
      <c r="AJC30" s="170"/>
      <c r="AJD30" s="170"/>
      <c r="AJE30" s="170"/>
      <c r="AJF30" s="170"/>
      <c r="AJG30" s="170"/>
      <c r="AJH30" s="170"/>
      <c r="AJI30" s="170"/>
      <c r="AJJ30" s="170"/>
      <c r="AJK30" s="170"/>
      <c r="AJL30" s="170"/>
      <c r="AJM30" s="170"/>
      <c r="AJN30" s="170"/>
      <c r="AJO30" s="170"/>
      <c r="AJP30" s="170"/>
      <c r="AJQ30" s="170"/>
      <c r="AJR30" s="170"/>
      <c r="AJS30" s="170"/>
      <c r="AJT30" s="170"/>
      <c r="AJU30" s="170"/>
      <c r="AJV30" s="170"/>
      <c r="AJW30" s="170"/>
      <c r="AJX30" s="170"/>
      <c r="AJY30" s="170"/>
      <c r="AJZ30" s="170"/>
      <c r="AKA30" s="170"/>
      <c r="AKB30" s="170"/>
      <c r="AKC30" s="170"/>
      <c r="AKD30" s="170"/>
      <c r="AKE30" s="170"/>
      <c r="AKF30" s="170"/>
      <c r="AKG30" s="170"/>
      <c r="AKH30" s="170"/>
      <c r="AKI30" s="170"/>
      <c r="AKJ30" s="170"/>
      <c r="AKK30" s="170"/>
      <c r="AKL30" s="170"/>
      <c r="AKM30" s="170"/>
      <c r="AKN30" s="170"/>
      <c r="AKO30" s="170"/>
      <c r="AKP30" s="170"/>
      <c r="AKQ30" s="170"/>
      <c r="AKR30" s="170"/>
      <c r="AKS30" s="170"/>
      <c r="AKT30" s="170"/>
      <c r="AKU30" s="170"/>
      <c r="AKV30" s="170"/>
      <c r="AKW30" s="170"/>
      <c r="AKX30" s="170"/>
      <c r="AKY30" s="170"/>
      <c r="AKZ30" s="170"/>
      <c r="ALA30" s="170"/>
      <c r="ALB30" s="170"/>
      <c r="ALC30" s="170"/>
      <c r="ALD30" s="170"/>
      <c r="ALE30" s="170"/>
      <c r="ALF30" s="170"/>
      <c r="ALG30" s="170"/>
      <c r="ALH30" s="170"/>
      <c r="ALI30" s="170"/>
      <c r="ALJ30" s="170"/>
      <c r="ALK30" s="170"/>
      <c r="ALL30" s="170"/>
      <c r="ALM30" s="170"/>
      <c r="ALN30" s="170"/>
      <c r="ALO30" s="170"/>
      <c r="ALP30" s="170"/>
      <c r="ALQ30" s="170"/>
      <c r="ALR30" s="170"/>
      <c r="ALS30" s="170"/>
      <c r="ALT30" s="170"/>
      <c r="ALU30" s="170"/>
      <c r="ALV30" s="170"/>
      <c r="ALW30" s="170"/>
      <c r="ALX30" s="170"/>
      <c r="ALY30" s="170"/>
      <c r="ALZ30" s="170"/>
      <c r="AMA30" s="170"/>
      <c r="AMB30" s="170"/>
      <c r="AMC30" s="170"/>
      <c r="AMD30" s="170"/>
      <c r="AME30" s="170"/>
      <c r="AMF30" s="170"/>
      <c r="AMG30" s="170"/>
      <c r="AMH30" s="170"/>
      <c r="AMI30" s="170"/>
      <c r="AMJ30" s="170"/>
      <c r="AMK30" s="170"/>
      <c r="AML30" s="170"/>
      <c r="AMM30" s="170"/>
      <c r="AMN30" s="170"/>
      <c r="AMO30" s="170"/>
      <c r="AMP30" s="170"/>
      <c r="AMQ30" s="170"/>
      <c r="AMR30" s="170"/>
      <c r="AMS30" s="170"/>
      <c r="AMT30" s="170"/>
      <c r="AMU30" s="170"/>
      <c r="AMV30" s="170"/>
      <c r="AMW30" s="170"/>
      <c r="AMX30" s="170"/>
      <c r="AMY30" s="170"/>
      <c r="AMZ30" s="170"/>
      <c r="ANA30" s="170"/>
      <c r="ANB30" s="170"/>
      <c r="ANC30" s="170"/>
      <c r="AND30" s="170"/>
      <c r="ANE30" s="170"/>
      <c r="ANF30" s="170"/>
      <c r="ANG30" s="170"/>
      <c r="ANH30" s="170"/>
      <c r="ANI30" s="170"/>
      <c r="ANJ30" s="170"/>
      <c r="ANK30" s="170"/>
      <c r="ANL30" s="170"/>
      <c r="ANM30" s="170"/>
      <c r="ANN30" s="170"/>
      <c r="ANO30" s="170"/>
      <c r="ANP30" s="170"/>
      <c r="ANQ30" s="170"/>
      <c r="ANR30" s="170"/>
      <c r="ANS30" s="170"/>
      <c r="ANT30" s="170"/>
      <c r="ANU30" s="170"/>
      <c r="ANV30" s="170"/>
      <c r="ANW30" s="170"/>
      <c r="ANX30" s="170"/>
      <c r="ANY30" s="170"/>
      <c r="ANZ30" s="170"/>
      <c r="AOA30" s="170"/>
      <c r="AOB30" s="170"/>
      <c r="AOC30" s="170"/>
      <c r="AOD30" s="170"/>
      <c r="AOE30" s="170"/>
      <c r="AOF30" s="170"/>
      <c r="AOG30" s="170"/>
      <c r="AOH30" s="170"/>
      <c r="AOI30" s="170"/>
      <c r="AOJ30" s="170"/>
      <c r="AOK30" s="170"/>
      <c r="AOL30" s="170"/>
      <c r="AOM30" s="170"/>
      <c r="AON30" s="170"/>
      <c r="AOO30" s="170"/>
      <c r="AOP30" s="170"/>
      <c r="AOQ30" s="170"/>
      <c r="AOR30" s="170"/>
      <c r="AOS30" s="170"/>
      <c r="AOT30" s="170"/>
      <c r="AOU30" s="170"/>
      <c r="AOV30" s="170"/>
      <c r="AOW30" s="170"/>
      <c r="AOX30" s="170"/>
      <c r="AOY30" s="170"/>
      <c r="AOZ30" s="170"/>
      <c r="APA30" s="170"/>
      <c r="APB30" s="170"/>
      <c r="APC30" s="170"/>
      <c r="APD30" s="170"/>
      <c r="APE30" s="170"/>
      <c r="APF30" s="170"/>
      <c r="APG30" s="170"/>
      <c r="APH30" s="170"/>
      <c r="API30" s="170"/>
      <c r="APJ30" s="170"/>
      <c r="APK30" s="170"/>
      <c r="APL30" s="170"/>
      <c r="APM30" s="170"/>
      <c r="APN30" s="170"/>
      <c r="APO30" s="170"/>
      <c r="APP30" s="170"/>
      <c r="APQ30" s="170"/>
      <c r="APR30" s="170"/>
      <c r="APS30" s="170"/>
      <c r="APT30" s="170"/>
      <c r="APU30" s="170"/>
      <c r="APV30" s="170"/>
      <c r="APW30" s="170"/>
      <c r="APX30" s="170"/>
      <c r="APY30" s="170"/>
      <c r="APZ30" s="170"/>
      <c r="AQA30" s="170"/>
      <c r="AQB30" s="170"/>
      <c r="AQC30" s="170"/>
      <c r="AQD30" s="170"/>
      <c r="AQE30" s="170"/>
      <c r="AQF30" s="170"/>
      <c r="AQG30" s="170"/>
      <c r="AQH30" s="170"/>
      <c r="AQI30" s="170"/>
      <c r="AQJ30" s="170"/>
      <c r="AQK30" s="170"/>
      <c r="AQL30" s="170"/>
      <c r="AQM30" s="170"/>
      <c r="AQN30" s="170"/>
      <c r="AQO30" s="170"/>
      <c r="AQP30" s="170"/>
      <c r="AQQ30" s="170"/>
      <c r="AQR30" s="170"/>
      <c r="AQS30" s="170"/>
      <c r="AQT30" s="170"/>
      <c r="AQU30" s="170"/>
      <c r="AQV30" s="170"/>
      <c r="AQW30" s="170"/>
      <c r="AQX30" s="170"/>
      <c r="AQY30" s="170"/>
      <c r="AQZ30" s="170"/>
      <c r="ARA30" s="170"/>
      <c r="ARB30" s="170"/>
      <c r="ARC30" s="170"/>
      <c r="ARD30" s="170"/>
      <c r="ARE30" s="170"/>
      <c r="ARF30" s="170"/>
      <c r="ARG30" s="170"/>
      <c r="ARH30" s="170"/>
      <c r="ARI30" s="170"/>
      <c r="ARJ30" s="170"/>
      <c r="ARK30" s="170"/>
      <c r="ARL30" s="170"/>
      <c r="ARM30" s="170"/>
      <c r="ARN30" s="170"/>
      <c r="ARO30" s="170"/>
      <c r="ARP30" s="170"/>
      <c r="ARQ30" s="170"/>
      <c r="ARR30" s="170"/>
      <c r="ARS30" s="170"/>
      <c r="ART30" s="170"/>
      <c r="ARU30" s="170"/>
      <c r="ARV30" s="170"/>
      <c r="ARW30" s="170"/>
      <c r="ARX30" s="170"/>
      <c r="ARY30" s="170"/>
      <c r="ARZ30" s="170"/>
      <c r="ASA30" s="170"/>
      <c r="ASB30" s="170"/>
      <c r="ASC30" s="170"/>
      <c r="ASD30" s="170"/>
      <c r="ASE30" s="170"/>
      <c r="ASF30" s="170"/>
      <c r="ASG30" s="170"/>
      <c r="ASH30" s="170"/>
      <c r="ASI30" s="170"/>
      <c r="ASJ30" s="170"/>
      <c r="ASK30" s="170"/>
      <c r="ASL30" s="170"/>
      <c r="ASM30" s="170"/>
      <c r="ASN30" s="170"/>
      <c r="ASO30" s="170"/>
      <c r="ASP30" s="170"/>
      <c r="ASQ30" s="170"/>
      <c r="ASR30" s="170"/>
      <c r="ASS30" s="170"/>
      <c r="AST30" s="170"/>
      <c r="ASU30" s="170"/>
      <c r="ASV30" s="170"/>
      <c r="ASW30" s="170"/>
      <c r="ASX30" s="170"/>
      <c r="ASY30" s="170"/>
      <c r="ASZ30" s="170"/>
      <c r="ATA30" s="170"/>
      <c r="ATB30" s="170"/>
      <c r="ATC30" s="170"/>
      <c r="ATD30" s="170"/>
      <c r="ATE30" s="170"/>
      <c r="ATF30" s="170"/>
      <c r="ATG30" s="170"/>
      <c r="ATH30" s="170"/>
      <c r="ATI30" s="170"/>
      <c r="ATJ30" s="170"/>
      <c r="ATK30" s="170"/>
      <c r="ATL30" s="170"/>
      <c r="ATM30" s="170"/>
      <c r="ATN30" s="170"/>
      <c r="ATO30" s="170"/>
      <c r="ATP30" s="170"/>
      <c r="ATQ30" s="170"/>
      <c r="ATR30" s="170"/>
      <c r="ATS30" s="170"/>
      <c r="ATT30" s="170"/>
      <c r="ATU30" s="170"/>
      <c r="ATV30" s="170"/>
      <c r="ATW30" s="170"/>
      <c r="ATX30" s="170"/>
      <c r="ATY30" s="170"/>
      <c r="ATZ30" s="170"/>
      <c r="AUA30" s="170"/>
      <c r="AUB30" s="170"/>
      <c r="AUC30" s="170"/>
      <c r="AUD30" s="170"/>
      <c r="AUE30" s="170"/>
      <c r="AUF30" s="170"/>
      <c r="AUG30" s="170"/>
      <c r="AUH30" s="170"/>
      <c r="AUI30" s="170"/>
      <c r="AUJ30" s="170"/>
      <c r="AUK30" s="170"/>
      <c r="AUL30" s="170"/>
      <c r="AUM30" s="170"/>
      <c r="AUN30" s="170"/>
      <c r="AUO30" s="170"/>
      <c r="AUP30" s="170"/>
      <c r="AUQ30" s="170"/>
      <c r="AUR30" s="170"/>
      <c r="AUS30" s="170"/>
      <c r="AUT30" s="170"/>
      <c r="AUU30" s="170"/>
      <c r="AUV30" s="170"/>
      <c r="AUW30" s="170"/>
      <c r="AUX30" s="170"/>
      <c r="AUY30" s="170"/>
      <c r="AUZ30" s="170"/>
      <c r="AVA30" s="170"/>
      <c r="AVB30" s="170"/>
      <c r="AVC30" s="170"/>
      <c r="AVD30" s="170"/>
      <c r="AVE30" s="170"/>
      <c r="AVF30" s="170"/>
      <c r="AVG30" s="170"/>
      <c r="AVH30" s="170"/>
      <c r="AVI30" s="170"/>
      <c r="AVJ30" s="170"/>
      <c r="AVK30" s="170"/>
      <c r="AVL30" s="170"/>
      <c r="AVM30" s="170"/>
      <c r="AVN30" s="170"/>
      <c r="AVO30" s="170"/>
      <c r="AVP30" s="170"/>
      <c r="AVQ30" s="170"/>
      <c r="AVR30" s="170"/>
      <c r="AVS30" s="170"/>
      <c r="AVT30" s="170"/>
      <c r="AVU30" s="170"/>
      <c r="AVV30" s="170"/>
      <c r="AVW30" s="170"/>
      <c r="AVX30" s="170"/>
      <c r="AVY30" s="170"/>
      <c r="AVZ30" s="170"/>
      <c r="AWA30" s="170"/>
      <c r="AWB30" s="170"/>
      <c r="AWC30" s="170"/>
      <c r="AWD30" s="170"/>
      <c r="AWE30" s="170"/>
      <c r="AWF30" s="170"/>
      <c r="AWG30" s="170"/>
      <c r="AWH30" s="170"/>
      <c r="AWI30" s="170"/>
      <c r="AWJ30" s="170"/>
      <c r="AWK30" s="170"/>
      <c r="AWL30" s="170"/>
      <c r="AWM30" s="170"/>
      <c r="AWN30" s="170"/>
      <c r="AWO30" s="170"/>
      <c r="AWP30" s="170"/>
      <c r="AWQ30" s="170"/>
      <c r="AWR30" s="170"/>
      <c r="AWS30" s="170"/>
      <c r="AWT30" s="170"/>
      <c r="AWU30" s="170"/>
      <c r="AWV30" s="170"/>
      <c r="AWW30" s="170"/>
      <c r="AWX30" s="170"/>
      <c r="AWY30" s="170"/>
      <c r="AWZ30" s="170"/>
      <c r="AXA30" s="170"/>
      <c r="AXB30" s="170"/>
      <c r="AXC30" s="170"/>
      <c r="AXD30" s="170"/>
      <c r="AXE30" s="170"/>
      <c r="AXF30" s="170"/>
      <c r="AXG30" s="170"/>
      <c r="AXH30" s="170"/>
      <c r="AXI30" s="170"/>
      <c r="AXJ30" s="170"/>
      <c r="AXK30" s="170"/>
      <c r="AXL30" s="170"/>
      <c r="AXM30" s="170"/>
      <c r="AXN30" s="170"/>
      <c r="AXO30" s="170"/>
      <c r="AXP30" s="170"/>
      <c r="AXQ30" s="170"/>
      <c r="AXR30" s="170"/>
      <c r="AXS30" s="170"/>
      <c r="AXT30" s="170"/>
      <c r="AXU30" s="170"/>
      <c r="AXV30" s="170"/>
      <c r="AXW30" s="170"/>
      <c r="AXX30" s="170"/>
      <c r="AXY30" s="170"/>
      <c r="AXZ30" s="170"/>
      <c r="AYA30" s="170"/>
      <c r="AYB30" s="170"/>
      <c r="AYC30" s="170"/>
      <c r="AYD30" s="170"/>
      <c r="AYE30" s="170"/>
      <c r="AYF30" s="170"/>
      <c r="AYG30" s="170"/>
      <c r="AYH30" s="170"/>
      <c r="AYI30" s="170"/>
      <c r="AYJ30" s="170"/>
      <c r="AYK30" s="170"/>
      <c r="AYL30" s="170"/>
      <c r="AYM30" s="170"/>
      <c r="AYN30" s="170"/>
      <c r="AYO30" s="170"/>
      <c r="AYP30" s="170"/>
      <c r="AYQ30" s="170"/>
      <c r="AYR30" s="170"/>
      <c r="AYS30" s="170"/>
      <c r="AYT30" s="170"/>
      <c r="AYU30" s="170"/>
      <c r="AYV30" s="170"/>
      <c r="AYW30" s="170"/>
      <c r="AYX30" s="170"/>
      <c r="AYY30" s="170"/>
      <c r="AYZ30" s="170"/>
      <c r="AZA30" s="170"/>
      <c r="AZB30" s="170"/>
      <c r="AZC30" s="170"/>
      <c r="AZD30" s="170"/>
      <c r="AZE30" s="170"/>
      <c r="AZF30" s="170"/>
      <c r="AZG30" s="170"/>
      <c r="AZH30" s="170"/>
      <c r="AZI30" s="170"/>
      <c r="AZJ30" s="170"/>
      <c r="AZK30" s="170"/>
      <c r="AZL30" s="170"/>
      <c r="AZM30" s="170"/>
      <c r="AZN30" s="170"/>
      <c r="AZO30" s="170"/>
      <c r="AZP30" s="170"/>
      <c r="AZQ30" s="170"/>
      <c r="AZR30" s="170"/>
      <c r="AZS30" s="170"/>
      <c r="AZT30" s="170"/>
      <c r="AZU30" s="170"/>
      <c r="AZV30" s="170"/>
      <c r="AZW30" s="170"/>
      <c r="AZX30" s="170"/>
      <c r="AZY30" s="170"/>
      <c r="AZZ30" s="170"/>
      <c r="BAA30" s="170"/>
      <c r="BAB30" s="170"/>
      <c r="BAC30" s="170"/>
      <c r="BAD30" s="170"/>
      <c r="BAE30" s="170"/>
      <c r="BAF30" s="170"/>
      <c r="BAG30" s="170"/>
      <c r="BAH30" s="170"/>
      <c r="BAI30" s="170"/>
      <c r="BAJ30" s="170"/>
      <c r="BAK30" s="170"/>
      <c r="BAL30" s="170"/>
      <c r="BAM30" s="170"/>
      <c r="BAN30" s="170"/>
      <c r="BAO30" s="170"/>
      <c r="BAP30" s="170"/>
      <c r="BAQ30" s="170"/>
      <c r="BAR30" s="170"/>
      <c r="BAS30" s="170"/>
      <c r="BAT30" s="170"/>
      <c r="BAU30" s="170"/>
      <c r="BAV30" s="170"/>
      <c r="BAW30" s="170"/>
      <c r="BAX30" s="170"/>
      <c r="BAY30" s="170"/>
      <c r="BAZ30" s="170"/>
      <c r="BBA30" s="170"/>
      <c r="BBB30" s="170"/>
      <c r="BBC30" s="170"/>
      <c r="BBD30" s="170"/>
      <c r="BBE30" s="170"/>
      <c r="BBF30" s="170"/>
      <c r="BBG30" s="170"/>
      <c r="BBH30" s="170"/>
      <c r="BBI30" s="170"/>
      <c r="BBJ30" s="170"/>
      <c r="BBK30" s="170"/>
      <c r="BBL30" s="170"/>
      <c r="BBM30" s="170"/>
      <c r="BBN30" s="170"/>
      <c r="BBO30" s="170"/>
      <c r="BBP30" s="170"/>
      <c r="BBQ30" s="170"/>
      <c r="BBR30" s="170"/>
      <c r="BBS30" s="170"/>
      <c r="BBT30" s="170"/>
      <c r="BBU30" s="170"/>
      <c r="BBV30" s="170"/>
      <c r="BBW30" s="170"/>
      <c r="BBX30" s="170"/>
      <c r="BBY30" s="170"/>
      <c r="BBZ30" s="170"/>
      <c r="BCA30" s="170"/>
      <c r="BCB30" s="170"/>
      <c r="BCC30" s="170"/>
      <c r="BCD30" s="170"/>
      <c r="BCE30" s="170"/>
      <c r="BCF30" s="170"/>
      <c r="BCG30" s="170"/>
      <c r="BCH30" s="170"/>
      <c r="BCI30" s="170"/>
      <c r="BCJ30" s="170"/>
      <c r="BCK30" s="170"/>
      <c r="BCL30" s="170"/>
      <c r="BCM30" s="170"/>
      <c r="BCN30" s="170"/>
      <c r="BCO30" s="170"/>
      <c r="BCP30" s="170"/>
      <c r="BCQ30" s="170"/>
      <c r="BCR30" s="170"/>
      <c r="BCS30" s="170"/>
      <c r="BCT30" s="170"/>
      <c r="BCU30" s="170"/>
      <c r="BCV30" s="170"/>
      <c r="BCW30" s="170"/>
      <c r="BCX30" s="170"/>
      <c r="BCY30" s="170"/>
      <c r="BCZ30" s="170"/>
      <c r="BDA30" s="170"/>
      <c r="BDB30" s="170"/>
      <c r="BDC30" s="170"/>
      <c r="BDD30" s="170"/>
      <c r="BDE30" s="170"/>
      <c r="BDF30" s="170"/>
      <c r="BDG30" s="170"/>
      <c r="BDH30" s="170"/>
      <c r="BDI30" s="170"/>
      <c r="BDJ30" s="170"/>
      <c r="BDK30" s="170"/>
      <c r="BDL30" s="170"/>
      <c r="BDM30" s="170"/>
      <c r="BDN30" s="170"/>
      <c r="BDO30" s="170"/>
      <c r="BDP30" s="170"/>
      <c r="BDQ30" s="170"/>
      <c r="BDR30" s="170"/>
      <c r="BDS30" s="170"/>
      <c r="BDT30" s="170"/>
      <c r="BDU30" s="170"/>
      <c r="BDV30" s="170"/>
      <c r="BDW30" s="170"/>
      <c r="BDX30" s="170"/>
      <c r="BDY30" s="170"/>
      <c r="BDZ30" s="170"/>
      <c r="BEA30" s="170"/>
      <c r="BEB30" s="170"/>
      <c r="BEC30" s="170"/>
      <c r="BED30" s="170"/>
      <c r="BEE30" s="170"/>
      <c r="BEF30" s="170"/>
      <c r="BEG30" s="170"/>
      <c r="BEH30" s="170"/>
      <c r="BEI30" s="170"/>
      <c r="BEJ30" s="170"/>
      <c r="BEK30" s="170"/>
      <c r="BEL30" s="170"/>
      <c r="BEM30" s="170"/>
      <c r="BEN30" s="170"/>
      <c r="BEO30" s="170"/>
      <c r="BEP30" s="170"/>
      <c r="BEQ30" s="170"/>
      <c r="BER30" s="170"/>
      <c r="BES30" s="170"/>
      <c r="BET30" s="170"/>
      <c r="BEU30" s="170"/>
      <c r="BEV30" s="170"/>
      <c r="BEW30" s="170"/>
      <c r="BEX30" s="170"/>
      <c r="BEY30" s="170"/>
      <c r="BEZ30" s="170"/>
      <c r="BFA30" s="170"/>
      <c r="BFB30" s="170"/>
      <c r="BFC30" s="170"/>
      <c r="BFD30" s="170"/>
      <c r="BFE30" s="170"/>
      <c r="BFF30" s="170"/>
      <c r="BFG30" s="170"/>
      <c r="BFH30" s="170"/>
      <c r="BFI30" s="170"/>
      <c r="BFJ30" s="170"/>
      <c r="BFK30" s="170"/>
      <c r="BFL30" s="170"/>
      <c r="BFM30" s="170"/>
      <c r="BFN30" s="170"/>
      <c r="BFO30" s="170"/>
      <c r="BFP30" s="170"/>
      <c r="BFQ30" s="170"/>
      <c r="BFR30" s="170"/>
      <c r="BFS30" s="170"/>
      <c r="BFT30" s="170"/>
      <c r="BFU30" s="170"/>
      <c r="BFV30" s="170"/>
      <c r="BFW30" s="170"/>
      <c r="BFX30" s="170"/>
      <c r="BFY30" s="170"/>
      <c r="BFZ30" s="170"/>
      <c r="BGA30" s="170"/>
      <c r="BGB30" s="170"/>
      <c r="BGC30" s="170"/>
      <c r="BGD30" s="170"/>
      <c r="BGE30" s="170"/>
      <c r="BGF30" s="170"/>
      <c r="BGG30" s="170"/>
      <c r="BGH30" s="170"/>
      <c r="BGI30" s="170"/>
      <c r="BGJ30" s="170"/>
      <c r="BGK30" s="170"/>
      <c r="BGL30" s="170"/>
      <c r="BGM30" s="170"/>
      <c r="BGN30" s="170"/>
      <c r="BGO30" s="170"/>
      <c r="BGP30" s="170"/>
      <c r="BGQ30" s="170"/>
      <c r="BGR30" s="170"/>
      <c r="BGS30" s="170"/>
      <c r="BGT30" s="170"/>
      <c r="BGU30" s="170"/>
      <c r="BGV30" s="170"/>
      <c r="BGW30" s="170"/>
      <c r="BGX30" s="170"/>
      <c r="BGY30" s="170"/>
      <c r="BGZ30" s="170"/>
      <c r="BHA30" s="170"/>
      <c r="BHB30" s="170"/>
      <c r="BHC30" s="170"/>
      <c r="BHD30" s="170"/>
      <c r="BHE30" s="170"/>
      <c r="BHF30" s="170"/>
      <c r="BHG30" s="170"/>
      <c r="BHH30" s="170"/>
      <c r="BHI30" s="170"/>
      <c r="BHJ30" s="170"/>
      <c r="BHK30" s="170"/>
      <c r="BHL30" s="170"/>
      <c r="BHM30" s="170"/>
      <c r="BHN30" s="170"/>
      <c r="BHO30" s="170"/>
      <c r="BHP30" s="170"/>
      <c r="BHQ30" s="170"/>
      <c r="BHR30" s="170"/>
      <c r="BHS30" s="170"/>
      <c r="BHT30" s="170"/>
      <c r="BHU30" s="170"/>
      <c r="BHV30" s="170"/>
      <c r="BHW30" s="170"/>
      <c r="BHX30" s="170"/>
      <c r="BHY30" s="170"/>
      <c r="BHZ30" s="170"/>
      <c r="BIA30" s="170"/>
      <c r="BIB30" s="170"/>
      <c r="BIC30" s="170"/>
      <c r="BID30" s="170"/>
      <c r="BIE30" s="170"/>
      <c r="BIF30" s="170"/>
      <c r="BIG30" s="170"/>
      <c r="BIH30" s="170"/>
      <c r="BII30" s="170"/>
      <c r="BIJ30" s="170"/>
      <c r="BIK30" s="170"/>
      <c r="BIL30" s="170"/>
      <c r="BIM30" s="170"/>
      <c r="BIN30" s="170"/>
      <c r="BIO30" s="170"/>
      <c r="BIP30" s="170"/>
      <c r="BIQ30" s="170"/>
      <c r="BIR30" s="170"/>
      <c r="BIS30" s="170"/>
      <c r="BIT30" s="170"/>
      <c r="BIU30" s="170"/>
      <c r="BIV30" s="170"/>
      <c r="BIW30" s="170"/>
      <c r="BIX30" s="170"/>
      <c r="BIY30" s="170"/>
      <c r="BIZ30" s="170"/>
      <c r="BJA30" s="170"/>
      <c r="BJB30" s="170"/>
      <c r="BJC30" s="170"/>
      <c r="BJD30" s="170"/>
      <c r="BJE30" s="170"/>
      <c r="BJF30" s="170"/>
      <c r="BJG30" s="170"/>
      <c r="BJH30" s="170"/>
      <c r="BJI30" s="170"/>
      <c r="BJJ30" s="170"/>
      <c r="BJK30" s="170"/>
      <c r="BJL30" s="170"/>
      <c r="BJM30" s="170"/>
      <c r="BJN30" s="170"/>
      <c r="BJO30" s="170"/>
      <c r="BJP30" s="170"/>
      <c r="BJQ30" s="170"/>
      <c r="BJR30" s="170"/>
      <c r="BJS30" s="170"/>
      <c r="BJT30" s="170"/>
      <c r="BJU30" s="170"/>
      <c r="BJV30" s="170"/>
      <c r="BJW30" s="170"/>
      <c r="BJX30" s="170"/>
      <c r="BJY30" s="170"/>
      <c r="BJZ30" s="170"/>
      <c r="BKA30" s="170"/>
      <c r="BKB30" s="170"/>
      <c r="BKC30" s="170"/>
      <c r="BKD30" s="170"/>
      <c r="BKE30" s="170"/>
      <c r="BKF30" s="170"/>
      <c r="BKG30" s="170"/>
      <c r="BKH30" s="170"/>
      <c r="BKI30" s="170"/>
      <c r="BKJ30" s="170"/>
      <c r="BKK30" s="170"/>
      <c r="BKL30" s="170"/>
      <c r="BKM30" s="170"/>
      <c r="BKN30" s="170"/>
      <c r="BKO30" s="170"/>
      <c r="BKP30" s="170"/>
      <c r="BKQ30" s="170"/>
      <c r="BKR30" s="170"/>
      <c r="BKS30" s="170"/>
      <c r="BKT30" s="170"/>
      <c r="BKU30" s="170"/>
      <c r="BKV30" s="170"/>
      <c r="BKW30" s="170"/>
      <c r="BKX30" s="170"/>
      <c r="BKY30" s="170"/>
      <c r="BKZ30" s="170"/>
      <c r="BLA30" s="170"/>
      <c r="BLB30" s="170"/>
      <c r="BLC30" s="170"/>
      <c r="BLD30" s="170"/>
      <c r="BLE30" s="170"/>
      <c r="BLF30" s="170"/>
      <c r="BLG30" s="170"/>
      <c r="BLH30" s="170"/>
      <c r="BLI30" s="170"/>
      <c r="BLJ30" s="170"/>
      <c r="BLK30" s="170"/>
      <c r="BLL30" s="170"/>
      <c r="BLM30" s="170"/>
      <c r="BLN30" s="170"/>
      <c r="BLO30" s="170"/>
      <c r="BLP30" s="170"/>
      <c r="BLQ30" s="170"/>
      <c r="BLR30" s="170"/>
      <c r="BLS30" s="170"/>
      <c r="BLT30" s="170"/>
      <c r="BLU30" s="170"/>
      <c r="BLV30" s="170"/>
      <c r="BLW30" s="170"/>
      <c r="BLX30" s="170"/>
      <c r="BLY30" s="170"/>
      <c r="BLZ30" s="170"/>
      <c r="BMA30" s="170"/>
      <c r="BMB30" s="170"/>
      <c r="BMC30" s="170"/>
      <c r="BMD30" s="170"/>
      <c r="BME30" s="170"/>
      <c r="BMF30" s="170"/>
      <c r="BMG30" s="170"/>
      <c r="BMH30" s="170"/>
      <c r="BMI30" s="170"/>
      <c r="BMJ30" s="170"/>
      <c r="BMK30" s="170"/>
      <c r="BML30" s="170"/>
      <c r="BMM30" s="170"/>
      <c r="BMN30" s="170"/>
      <c r="BMO30" s="170"/>
      <c r="BMP30" s="170"/>
      <c r="BMQ30" s="170"/>
      <c r="BMR30" s="170"/>
      <c r="BMS30" s="170"/>
      <c r="BMT30" s="170"/>
      <c r="BMU30" s="170"/>
      <c r="BMV30" s="170"/>
      <c r="BMW30" s="170"/>
      <c r="BMX30" s="170"/>
      <c r="BMY30" s="170"/>
      <c r="BMZ30" s="170"/>
      <c r="BNA30" s="170"/>
      <c r="BNB30" s="170"/>
      <c r="BNC30" s="170"/>
      <c r="BND30" s="170"/>
      <c r="BNE30" s="170"/>
      <c r="BNF30" s="170"/>
      <c r="BNG30" s="170"/>
      <c r="BNH30" s="170"/>
      <c r="BNI30" s="170"/>
      <c r="BNJ30" s="170"/>
      <c r="BNK30" s="170"/>
      <c r="BNL30" s="170"/>
      <c r="BNM30" s="170"/>
      <c r="BNN30" s="170"/>
      <c r="BNO30" s="170"/>
      <c r="BNP30" s="170"/>
      <c r="BNQ30" s="170"/>
      <c r="BNR30" s="170"/>
      <c r="BNS30" s="170"/>
      <c r="BNT30" s="170"/>
      <c r="BNU30" s="170"/>
      <c r="BNV30" s="170"/>
      <c r="BNW30" s="170"/>
      <c r="BNX30" s="170"/>
      <c r="BNY30" s="170"/>
      <c r="BNZ30" s="170"/>
      <c r="BOA30" s="170"/>
      <c r="BOB30" s="170"/>
      <c r="BOC30" s="170"/>
      <c r="BOD30" s="170"/>
      <c r="BOE30" s="170"/>
      <c r="BOF30" s="170"/>
      <c r="BOG30" s="170"/>
      <c r="BOH30" s="170"/>
      <c r="BOI30" s="170"/>
      <c r="BOJ30" s="170"/>
      <c r="BOK30" s="170"/>
      <c r="BOL30" s="170"/>
      <c r="BOM30" s="170"/>
      <c r="BON30" s="170"/>
      <c r="BOO30" s="170"/>
      <c r="BOP30" s="170"/>
      <c r="BOQ30" s="170"/>
      <c r="BOR30" s="170"/>
      <c r="BOS30" s="170"/>
      <c r="BOT30" s="170"/>
      <c r="BOU30" s="170"/>
      <c r="BOV30" s="170"/>
      <c r="BOW30" s="170"/>
      <c r="BOX30" s="170"/>
      <c r="BOY30" s="170"/>
      <c r="BOZ30" s="170"/>
      <c r="BPA30" s="170"/>
      <c r="BPB30" s="170"/>
      <c r="BPC30" s="170"/>
      <c r="BPD30" s="170"/>
      <c r="BPE30" s="170"/>
      <c r="BPF30" s="170"/>
      <c r="BPG30" s="170"/>
      <c r="BPH30" s="170"/>
      <c r="BPI30" s="170"/>
      <c r="BPJ30" s="170"/>
      <c r="BPK30" s="170"/>
      <c r="BPL30" s="170"/>
      <c r="BPM30" s="170"/>
      <c r="BPN30" s="170"/>
      <c r="BPO30" s="170"/>
      <c r="BPP30" s="170"/>
      <c r="BPQ30" s="170"/>
      <c r="BPR30" s="170"/>
      <c r="BPS30" s="170"/>
      <c r="BPT30" s="170"/>
      <c r="BPU30" s="170"/>
      <c r="BPV30" s="170"/>
      <c r="BPW30" s="170"/>
      <c r="BPX30" s="170"/>
      <c r="BPY30" s="170"/>
      <c r="BPZ30" s="170"/>
      <c r="BQA30" s="170"/>
      <c r="BQB30" s="170"/>
      <c r="BQC30" s="170"/>
      <c r="BQD30" s="170"/>
      <c r="BQE30" s="170"/>
      <c r="BQF30" s="170"/>
      <c r="BQG30" s="170"/>
      <c r="BQH30" s="170"/>
      <c r="BQI30" s="170"/>
      <c r="BQJ30" s="170"/>
      <c r="BQK30" s="170"/>
      <c r="BQL30" s="170"/>
      <c r="BQM30" s="170"/>
      <c r="BQN30" s="170"/>
      <c r="BQO30" s="170"/>
      <c r="BQP30" s="170"/>
      <c r="BQQ30" s="170"/>
      <c r="BQR30" s="170"/>
      <c r="BQS30" s="170"/>
      <c r="BQT30" s="170"/>
      <c r="BQU30" s="170"/>
      <c r="BQV30" s="170"/>
      <c r="BQW30" s="170"/>
      <c r="BQX30" s="170"/>
      <c r="BQY30" s="170"/>
      <c r="BQZ30" s="170"/>
      <c r="BRA30" s="170"/>
      <c r="BRB30" s="170"/>
      <c r="BRC30" s="170"/>
      <c r="BRD30" s="170"/>
      <c r="BRE30" s="170"/>
      <c r="BRF30" s="170"/>
      <c r="BRG30" s="170"/>
      <c r="BRH30" s="170"/>
      <c r="BRI30" s="170"/>
      <c r="BRJ30" s="170"/>
      <c r="BRK30" s="170"/>
      <c r="BRL30" s="170"/>
      <c r="BRM30" s="170"/>
      <c r="BRN30" s="170"/>
      <c r="BRO30" s="170"/>
      <c r="BRP30" s="170"/>
      <c r="BRQ30" s="170"/>
      <c r="BRR30" s="170"/>
      <c r="BRS30" s="170"/>
      <c r="BRT30" s="170"/>
      <c r="BRU30" s="170"/>
      <c r="BRV30" s="170"/>
      <c r="BRW30" s="170"/>
      <c r="BRX30" s="170"/>
      <c r="BRY30" s="170"/>
      <c r="BRZ30" s="170"/>
      <c r="BSA30" s="170"/>
      <c r="BSB30" s="170"/>
      <c r="BSC30" s="170"/>
      <c r="BSD30" s="170"/>
      <c r="BSE30" s="170"/>
      <c r="BSF30" s="170"/>
      <c r="BSG30" s="170"/>
      <c r="BSH30" s="170"/>
      <c r="BSI30" s="170"/>
      <c r="BSJ30" s="170"/>
      <c r="BSK30" s="170"/>
      <c r="BSL30" s="170"/>
      <c r="BSM30" s="170"/>
      <c r="BSN30" s="170"/>
      <c r="BSO30" s="170"/>
      <c r="BSP30" s="170"/>
      <c r="BSQ30" s="170"/>
      <c r="BSR30" s="170"/>
      <c r="BSS30" s="170"/>
      <c r="BST30" s="170"/>
      <c r="BSU30" s="170"/>
      <c r="BSV30" s="170"/>
      <c r="BSW30" s="170"/>
      <c r="BSX30" s="170"/>
      <c r="BSY30" s="170"/>
      <c r="BSZ30" s="170"/>
      <c r="BTA30" s="170"/>
      <c r="BTB30" s="170"/>
      <c r="BTC30" s="170"/>
      <c r="BTD30" s="170"/>
      <c r="BTE30" s="170"/>
      <c r="BTF30" s="170"/>
      <c r="BTG30" s="170"/>
      <c r="BTH30" s="170"/>
      <c r="BTI30" s="170"/>
      <c r="BTJ30" s="170"/>
      <c r="BTK30" s="170"/>
      <c r="BTL30" s="170"/>
      <c r="BTM30" s="170"/>
      <c r="BTN30" s="170"/>
      <c r="BTO30" s="170"/>
      <c r="BTP30" s="170"/>
      <c r="BTQ30" s="170"/>
      <c r="BTR30" s="170"/>
      <c r="BTS30" s="170"/>
      <c r="BTT30" s="170"/>
      <c r="BTU30" s="170"/>
      <c r="BTV30" s="170"/>
      <c r="BTW30" s="170"/>
      <c r="BTX30" s="170"/>
      <c r="BTY30" s="170"/>
      <c r="BTZ30" s="170"/>
      <c r="BUA30" s="170"/>
      <c r="BUB30" s="170"/>
      <c r="BUC30" s="170"/>
      <c r="BUD30" s="170"/>
      <c r="BUE30" s="170"/>
      <c r="BUF30" s="170"/>
      <c r="BUG30" s="170"/>
      <c r="BUH30" s="170"/>
      <c r="BUI30" s="170"/>
      <c r="BUJ30" s="170"/>
      <c r="BUK30" s="170"/>
      <c r="BUL30" s="170"/>
      <c r="BUM30" s="170"/>
      <c r="BUN30" s="170"/>
      <c r="BUO30" s="170"/>
      <c r="BUP30" s="170"/>
      <c r="BUQ30" s="170"/>
      <c r="BUR30" s="170"/>
      <c r="BUS30" s="170"/>
      <c r="BUT30" s="170"/>
      <c r="BUU30" s="170"/>
      <c r="BUV30" s="170"/>
      <c r="BUW30" s="170"/>
      <c r="BUX30" s="170"/>
      <c r="BUY30" s="170"/>
      <c r="BUZ30" s="170"/>
      <c r="BVA30" s="170"/>
      <c r="BVB30" s="170"/>
      <c r="BVC30" s="170"/>
      <c r="BVD30" s="170"/>
      <c r="BVE30" s="170"/>
      <c r="BVF30" s="170"/>
      <c r="BVG30" s="170"/>
      <c r="BVH30" s="170"/>
      <c r="BVI30" s="170"/>
      <c r="BVJ30" s="170"/>
      <c r="BVK30" s="170"/>
      <c r="BVL30" s="170"/>
      <c r="BVM30" s="170"/>
      <c r="BVN30" s="170"/>
      <c r="BVO30" s="170"/>
      <c r="BVP30" s="170"/>
      <c r="BVQ30" s="170"/>
      <c r="BVR30" s="170"/>
      <c r="BVS30" s="170"/>
      <c r="BVT30" s="170"/>
      <c r="BVU30" s="170"/>
      <c r="BVV30" s="170"/>
      <c r="BVW30" s="170"/>
      <c r="BVX30" s="170"/>
      <c r="BVY30" s="170"/>
      <c r="BVZ30" s="170"/>
      <c r="BWA30" s="170"/>
      <c r="BWB30" s="170"/>
      <c r="BWC30" s="170"/>
      <c r="BWD30" s="170"/>
      <c r="BWE30" s="170"/>
      <c r="BWF30" s="170"/>
      <c r="BWG30" s="170"/>
      <c r="BWH30" s="170"/>
      <c r="BWI30" s="170"/>
      <c r="BWJ30" s="170"/>
      <c r="BWK30" s="170"/>
      <c r="BWL30" s="170"/>
      <c r="BWM30" s="170"/>
      <c r="BWN30" s="170"/>
      <c r="BWO30" s="170"/>
      <c r="BWP30" s="170"/>
      <c r="BWQ30" s="170"/>
      <c r="BWR30" s="170"/>
      <c r="BWS30" s="170"/>
      <c r="BWT30" s="170"/>
      <c r="BWU30" s="170"/>
      <c r="BWV30" s="170"/>
      <c r="BWW30" s="170"/>
      <c r="BWX30" s="170"/>
      <c r="BWY30" s="170"/>
      <c r="BWZ30" s="170"/>
      <c r="BXA30" s="170"/>
      <c r="BXB30" s="170"/>
      <c r="BXC30" s="170"/>
      <c r="BXD30" s="170"/>
      <c r="BXE30" s="170"/>
      <c r="BXF30" s="170"/>
      <c r="BXG30" s="170"/>
      <c r="BXH30" s="170"/>
      <c r="BXI30" s="170"/>
      <c r="BXJ30" s="170"/>
      <c r="BXK30" s="170"/>
      <c r="BXL30" s="170"/>
      <c r="BXM30" s="170"/>
      <c r="BXN30" s="170"/>
      <c r="BXO30" s="170"/>
      <c r="BXP30" s="170"/>
      <c r="BXQ30" s="170"/>
      <c r="BXR30" s="170"/>
      <c r="BXS30" s="170"/>
      <c r="BXT30" s="170"/>
      <c r="BXU30" s="170"/>
      <c r="BXV30" s="170"/>
      <c r="BXW30" s="170"/>
      <c r="BXX30" s="170"/>
      <c r="BXY30" s="170"/>
      <c r="BXZ30" s="170"/>
      <c r="BYA30" s="170"/>
      <c r="BYB30" s="170"/>
      <c r="BYC30" s="170"/>
      <c r="BYD30" s="170"/>
      <c r="BYE30" s="170"/>
      <c r="BYF30" s="170"/>
      <c r="BYG30" s="170"/>
    </row>
    <row r="31" spans="1:2009" ht="17.25" hidden="1" customHeight="1" thickBot="1" x14ac:dyDescent="0.3">
      <c r="A31" s="81"/>
      <c r="B31" s="81"/>
      <c r="C31" s="137"/>
      <c r="D31" s="137"/>
      <c r="E31" s="137"/>
      <c r="F31" s="137"/>
      <c r="G31" s="494"/>
      <c r="N31" s="151"/>
      <c r="P31" s="151"/>
    </row>
    <row r="32" spans="1:2009" s="83" customFormat="1" ht="24.95" hidden="1" customHeight="1" x14ac:dyDescent="0.25">
      <c r="A32" s="105" t="s">
        <v>37</v>
      </c>
      <c r="B32" s="106"/>
      <c r="C32" s="146"/>
      <c r="D32" s="146"/>
      <c r="E32" s="147"/>
      <c r="F32" s="147"/>
      <c r="G32" s="501"/>
      <c r="H32" s="744"/>
      <c r="I32" s="21"/>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82"/>
      <c r="JY32" s="82"/>
      <c r="JZ32" s="82"/>
      <c r="KA32" s="82"/>
      <c r="KB32" s="82"/>
      <c r="KC32" s="82"/>
      <c r="KD32" s="82"/>
      <c r="KE32" s="82"/>
      <c r="KF32" s="82"/>
      <c r="KG32" s="82"/>
      <c r="KH32" s="82"/>
      <c r="KI32" s="82"/>
      <c r="KJ32" s="82"/>
      <c r="KK32" s="82"/>
      <c r="KL32" s="82"/>
      <c r="KM32" s="82"/>
      <c r="KN32" s="82"/>
      <c r="KO32" s="82"/>
      <c r="KP32" s="82"/>
      <c r="KQ32" s="82"/>
      <c r="KR32" s="82"/>
      <c r="KS32" s="82"/>
      <c r="KT32" s="82"/>
      <c r="KU32" s="82"/>
      <c r="KV32" s="82"/>
      <c r="KW32" s="82"/>
      <c r="KX32" s="82"/>
      <c r="KY32" s="82"/>
      <c r="KZ32" s="82"/>
      <c r="LA32" s="82"/>
      <c r="LB32" s="82"/>
      <c r="LC32" s="82"/>
      <c r="LD32" s="82"/>
      <c r="LE32" s="82"/>
      <c r="LF32" s="82"/>
      <c r="LG32" s="82"/>
      <c r="LH32" s="82"/>
      <c r="LI32" s="82"/>
      <c r="LJ32" s="82"/>
      <c r="LK32" s="82"/>
      <c r="LL32" s="82"/>
      <c r="LM32" s="82"/>
      <c r="LN32" s="82"/>
      <c r="LO32" s="82"/>
      <c r="LP32" s="82"/>
      <c r="LQ32" s="82"/>
      <c r="LR32" s="82"/>
      <c r="LS32" s="82"/>
      <c r="LT32" s="82"/>
      <c r="LU32" s="82"/>
      <c r="LV32" s="82"/>
      <c r="LW32" s="82"/>
      <c r="LX32" s="82"/>
      <c r="LY32" s="82"/>
      <c r="LZ32" s="82"/>
      <c r="MA32" s="82"/>
      <c r="MB32" s="82"/>
      <c r="MC32" s="82"/>
      <c r="MD32" s="82"/>
      <c r="ME32" s="82"/>
      <c r="MF32" s="82"/>
      <c r="MG32" s="82"/>
      <c r="MH32" s="82"/>
      <c r="MI32" s="82"/>
      <c r="MJ32" s="82"/>
      <c r="MK32" s="82"/>
      <c r="ML32" s="82"/>
      <c r="MM32" s="82"/>
      <c r="MN32" s="82"/>
      <c r="MO32" s="82"/>
      <c r="MP32" s="82"/>
      <c r="MQ32" s="82"/>
      <c r="MR32" s="82"/>
      <c r="MS32" s="82"/>
      <c r="MT32" s="82"/>
      <c r="MU32" s="82"/>
      <c r="MV32" s="82"/>
      <c r="MW32" s="82"/>
      <c r="MX32" s="82"/>
      <c r="MY32" s="82"/>
      <c r="MZ32" s="82"/>
      <c r="NA32" s="82"/>
      <c r="NB32" s="82"/>
      <c r="NC32" s="82"/>
      <c r="ND32" s="82"/>
      <c r="NE32" s="82"/>
      <c r="NF32" s="82"/>
      <c r="NG32" s="82"/>
      <c r="NH32" s="82"/>
      <c r="NI32" s="82"/>
      <c r="NJ32" s="82"/>
      <c r="NK32" s="82"/>
      <c r="NL32" s="82"/>
      <c r="NM32" s="82"/>
      <c r="NN32" s="82"/>
      <c r="NO32" s="82"/>
      <c r="NP32" s="82"/>
      <c r="NQ32" s="82"/>
      <c r="NR32" s="82"/>
      <c r="NS32" s="82"/>
      <c r="NT32" s="82"/>
      <c r="NU32" s="82"/>
      <c r="NV32" s="82"/>
      <c r="NW32" s="82"/>
      <c r="NX32" s="82"/>
      <c r="NY32" s="82"/>
      <c r="NZ32" s="82"/>
      <c r="OA32" s="82"/>
      <c r="OB32" s="82"/>
      <c r="OC32" s="82"/>
      <c r="OD32" s="82"/>
      <c r="OE32" s="82"/>
      <c r="OF32" s="82"/>
      <c r="OG32" s="82"/>
      <c r="OH32" s="82"/>
      <c r="OI32" s="82"/>
      <c r="OJ32" s="82"/>
      <c r="OK32" s="82"/>
      <c r="OL32" s="82"/>
      <c r="OM32" s="82"/>
      <c r="ON32" s="82"/>
      <c r="OO32" s="82"/>
      <c r="OP32" s="82"/>
      <c r="OQ32" s="82"/>
      <c r="OR32" s="82"/>
      <c r="OS32" s="82"/>
      <c r="OT32" s="82"/>
      <c r="OU32" s="82"/>
      <c r="OV32" s="82"/>
      <c r="OW32" s="82"/>
      <c r="OX32" s="82"/>
      <c r="OY32" s="82"/>
      <c r="OZ32" s="82"/>
      <c r="PA32" s="82"/>
      <c r="PB32" s="82"/>
      <c r="PC32" s="82"/>
      <c r="PD32" s="82"/>
      <c r="PE32" s="82"/>
      <c r="PF32" s="82"/>
      <c r="PG32" s="82"/>
      <c r="PH32" s="82"/>
      <c r="PI32" s="82"/>
      <c r="PJ32" s="82"/>
      <c r="PK32" s="82"/>
      <c r="PL32" s="82"/>
      <c r="PM32" s="82"/>
      <c r="PN32" s="82"/>
      <c r="PO32" s="82"/>
      <c r="PP32" s="82"/>
      <c r="PQ32" s="82"/>
      <c r="PR32" s="82"/>
      <c r="PS32" s="82"/>
      <c r="PT32" s="82"/>
      <c r="PU32" s="82"/>
      <c r="PV32" s="82"/>
      <c r="PW32" s="82"/>
      <c r="PX32" s="82"/>
      <c r="PY32" s="82"/>
      <c r="PZ32" s="82"/>
      <c r="QA32" s="82"/>
      <c r="QB32" s="82"/>
      <c r="QC32" s="82"/>
      <c r="QD32" s="82"/>
      <c r="QE32" s="82"/>
      <c r="QF32" s="82"/>
      <c r="QG32" s="82"/>
      <c r="QH32" s="82"/>
      <c r="QI32" s="82"/>
      <c r="QJ32" s="82"/>
      <c r="QK32" s="82"/>
      <c r="QL32" s="82"/>
      <c r="QM32" s="82"/>
      <c r="QN32" s="82"/>
      <c r="QO32" s="82"/>
      <c r="QP32" s="82"/>
      <c r="QQ32" s="82"/>
      <c r="QR32" s="82"/>
      <c r="QS32" s="82"/>
      <c r="QT32" s="82"/>
      <c r="QU32" s="82"/>
      <c r="QV32" s="82"/>
      <c r="QW32" s="82"/>
      <c r="QX32" s="82"/>
      <c r="QY32" s="82"/>
      <c r="QZ32" s="82"/>
      <c r="RA32" s="82"/>
      <c r="RB32" s="82"/>
      <c r="RC32" s="82"/>
      <c r="RD32" s="82"/>
      <c r="RE32" s="82"/>
      <c r="RF32" s="82"/>
      <c r="RG32" s="82"/>
      <c r="RH32" s="82"/>
      <c r="RI32" s="82"/>
      <c r="RJ32" s="82"/>
      <c r="RK32" s="82"/>
      <c r="RL32" s="82"/>
      <c r="RM32" s="82"/>
      <c r="RN32" s="82"/>
      <c r="RO32" s="82"/>
      <c r="RP32" s="82"/>
      <c r="RQ32" s="82"/>
      <c r="RR32" s="82"/>
      <c r="RS32" s="82"/>
      <c r="RT32" s="82"/>
      <c r="RU32" s="82"/>
      <c r="RV32" s="82"/>
      <c r="RW32" s="82"/>
      <c r="RX32" s="82"/>
      <c r="RY32" s="82"/>
      <c r="RZ32" s="82"/>
      <c r="SA32" s="82"/>
      <c r="SB32" s="82"/>
      <c r="SC32" s="82"/>
      <c r="SD32" s="82"/>
      <c r="SE32" s="82"/>
      <c r="SF32" s="82"/>
      <c r="SG32" s="82"/>
      <c r="SH32" s="82"/>
      <c r="SI32" s="82"/>
      <c r="SJ32" s="82"/>
      <c r="SK32" s="82"/>
      <c r="SL32" s="82"/>
      <c r="SM32" s="82"/>
      <c r="SN32" s="82"/>
      <c r="SO32" s="82"/>
      <c r="SP32" s="82"/>
      <c r="SQ32" s="82"/>
      <c r="SR32" s="82"/>
      <c r="SS32" s="82"/>
      <c r="ST32" s="82"/>
      <c r="SU32" s="82"/>
      <c r="SV32" s="82"/>
      <c r="SW32" s="82"/>
      <c r="SX32" s="82"/>
      <c r="SY32" s="82"/>
      <c r="SZ32" s="82"/>
      <c r="TA32" s="82"/>
      <c r="TB32" s="82"/>
      <c r="TC32" s="82"/>
      <c r="TD32" s="82"/>
      <c r="TE32" s="82"/>
      <c r="TF32" s="82"/>
      <c r="TG32" s="82"/>
      <c r="TH32" s="82"/>
      <c r="TI32" s="82"/>
      <c r="TJ32" s="82"/>
      <c r="TK32" s="82"/>
      <c r="TL32" s="82"/>
      <c r="TM32" s="82"/>
      <c r="TN32" s="82"/>
      <c r="TO32" s="82"/>
      <c r="TP32" s="82"/>
      <c r="TQ32" s="82"/>
      <c r="TR32" s="82"/>
      <c r="TS32" s="82"/>
      <c r="TT32" s="82"/>
      <c r="TU32" s="82"/>
      <c r="TV32" s="82"/>
      <c r="TW32" s="82"/>
      <c r="TX32" s="82"/>
      <c r="TY32" s="82"/>
      <c r="TZ32" s="82"/>
      <c r="UA32" s="82"/>
      <c r="UB32" s="82"/>
      <c r="UC32" s="82"/>
      <c r="UD32" s="82"/>
      <c r="UE32" s="82"/>
      <c r="UF32" s="82"/>
      <c r="UG32" s="82"/>
      <c r="UH32" s="82"/>
      <c r="UI32" s="82"/>
      <c r="UJ32" s="82"/>
      <c r="UK32" s="82"/>
      <c r="UL32" s="82"/>
      <c r="UM32" s="82"/>
      <c r="UN32" s="82"/>
      <c r="UO32" s="82"/>
      <c r="UP32" s="82"/>
      <c r="UQ32" s="82"/>
      <c r="UR32" s="82"/>
      <c r="US32" s="82"/>
      <c r="UT32" s="82"/>
      <c r="UU32" s="82"/>
      <c r="UV32" s="82"/>
      <c r="UW32" s="82"/>
      <c r="UX32" s="82"/>
      <c r="UY32" s="82"/>
      <c r="UZ32" s="82"/>
      <c r="VA32" s="82"/>
      <c r="VB32" s="82"/>
      <c r="VC32" s="82"/>
      <c r="VD32" s="82"/>
      <c r="VE32" s="82"/>
      <c r="VF32" s="82"/>
      <c r="VG32" s="82"/>
      <c r="VH32" s="82"/>
      <c r="VI32" s="82"/>
      <c r="VJ32" s="82"/>
      <c r="VK32" s="82"/>
      <c r="VL32" s="82"/>
      <c r="VM32" s="82"/>
      <c r="VN32" s="82"/>
      <c r="VO32" s="82"/>
      <c r="VP32" s="82"/>
      <c r="VQ32" s="82"/>
      <c r="VR32" s="82"/>
      <c r="VS32" s="82"/>
      <c r="VT32" s="82"/>
      <c r="VU32" s="82"/>
      <c r="VV32" s="82"/>
      <c r="VW32" s="82"/>
      <c r="VX32" s="82"/>
      <c r="VY32" s="82"/>
      <c r="VZ32" s="82"/>
      <c r="WA32" s="82"/>
      <c r="WB32" s="82"/>
      <c r="WC32" s="82"/>
      <c r="WD32" s="82"/>
      <c r="WE32" s="82"/>
      <c r="WF32" s="82"/>
      <c r="WG32" s="82"/>
      <c r="WH32" s="82"/>
      <c r="WI32" s="82"/>
      <c r="WJ32" s="82"/>
      <c r="WK32" s="82"/>
      <c r="WL32" s="82"/>
      <c r="WM32" s="82"/>
      <c r="WN32" s="82"/>
      <c r="WO32" s="82"/>
      <c r="WP32" s="82"/>
      <c r="WQ32" s="82"/>
      <c r="WR32" s="82"/>
      <c r="WS32" s="82"/>
      <c r="WT32" s="82"/>
      <c r="WU32" s="82"/>
      <c r="WV32" s="82"/>
      <c r="WW32" s="82"/>
      <c r="WX32" s="82"/>
      <c r="WY32" s="82"/>
      <c r="WZ32" s="82"/>
      <c r="XA32" s="82"/>
      <c r="XB32" s="82"/>
      <c r="XC32" s="82"/>
      <c r="XD32" s="82"/>
      <c r="XE32" s="82"/>
      <c r="XF32" s="82"/>
      <c r="XG32" s="82"/>
      <c r="XH32" s="82"/>
      <c r="XI32" s="82"/>
      <c r="XJ32" s="82"/>
      <c r="XK32" s="82"/>
      <c r="XL32" s="82"/>
      <c r="XM32" s="82"/>
      <c r="XN32" s="82"/>
      <c r="XO32" s="82"/>
      <c r="XP32" s="82"/>
      <c r="XQ32" s="82"/>
      <c r="XR32" s="82"/>
      <c r="XS32" s="82"/>
      <c r="XT32" s="82"/>
      <c r="XU32" s="82"/>
      <c r="XV32" s="82"/>
      <c r="XW32" s="82"/>
      <c r="XX32" s="82"/>
      <c r="XY32" s="82"/>
      <c r="XZ32" s="82"/>
      <c r="YA32" s="82"/>
      <c r="YB32" s="82"/>
      <c r="YC32" s="82"/>
      <c r="YD32" s="82"/>
      <c r="YE32" s="82"/>
      <c r="YF32" s="82"/>
      <c r="YG32" s="82"/>
      <c r="YH32" s="82"/>
      <c r="YI32" s="82"/>
      <c r="YJ32" s="82"/>
      <c r="YK32" s="82"/>
      <c r="YL32" s="82"/>
      <c r="YM32" s="82"/>
      <c r="YN32" s="82"/>
      <c r="YO32" s="82"/>
      <c r="YP32" s="82"/>
      <c r="YQ32" s="82"/>
      <c r="YR32" s="82"/>
      <c r="YS32" s="82"/>
      <c r="YT32" s="82"/>
      <c r="YU32" s="82"/>
      <c r="YV32" s="82"/>
      <c r="YW32" s="82"/>
      <c r="YX32" s="82"/>
      <c r="YY32" s="82"/>
      <c r="YZ32" s="82"/>
      <c r="ZA32" s="82"/>
      <c r="ZB32" s="82"/>
      <c r="ZC32" s="82"/>
      <c r="ZD32" s="82"/>
      <c r="ZE32" s="82"/>
      <c r="ZF32" s="82"/>
      <c r="ZG32" s="82"/>
      <c r="ZH32" s="82"/>
      <c r="ZI32" s="82"/>
      <c r="ZJ32" s="82"/>
      <c r="ZK32" s="82"/>
      <c r="ZL32" s="82"/>
      <c r="ZM32" s="82"/>
      <c r="ZN32" s="82"/>
      <c r="ZO32" s="82"/>
      <c r="ZP32" s="82"/>
      <c r="ZQ32" s="82"/>
      <c r="ZR32" s="82"/>
      <c r="ZS32" s="82"/>
      <c r="ZT32" s="82"/>
      <c r="ZU32" s="82"/>
      <c r="ZV32" s="82"/>
      <c r="ZW32" s="82"/>
      <c r="ZX32" s="82"/>
      <c r="ZY32" s="82"/>
      <c r="ZZ32" s="82"/>
      <c r="AAA32" s="82"/>
      <c r="AAB32" s="82"/>
      <c r="AAC32" s="82"/>
      <c r="AAD32" s="82"/>
      <c r="AAE32" s="82"/>
      <c r="AAF32" s="82"/>
      <c r="AAG32" s="82"/>
      <c r="AAH32" s="82"/>
      <c r="AAI32" s="82"/>
      <c r="AAJ32" s="82"/>
      <c r="AAK32" s="82"/>
      <c r="AAL32" s="82"/>
      <c r="AAM32" s="82"/>
      <c r="AAN32" s="82"/>
      <c r="AAO32" s="82"/>
      <c r="AAP32" s="82"/>
      <c r="AAQ32" s="82"/>
      <c r="AAR32" s="82"/>
      <c r="AAS32" s="82"/>
      <c r="AAT32" s="82"/>
      <c r="AAU32" s="82"/>
      <c r="AAV32" s="82"/>
      <c r="AAW32" s="82"/>
      <c r="AAX32" s="82"/>
      <c r="AAY32" s="82"/>
      <c r="AAZ32" s="82"/>
      <c r="ABA32" s="82"/>
      <c r="ABB32" s="82"/>
      <c r="ABC32" s="82"/>
      <c r="ABD32" s="82"/>
      <c r="ABE32" s="82"/>
      <c r="ABF32" s="82"/>
      <c r="ABG32" s="82"/>
      <c r="ABH32" s="82"/>
      <c r="ABI32" s="82"/>
      <c r="ABJ32" s="82"/>
      <c r="ABK32" s="82"/>
      <c r="ABL32" s="82"/>
      <c r="ABM32" s="82"/>
      <c r="ABN32" s="82"/>
      <c r="ABO32" s="82"/>
      <c r="ABP32" s="82"/>
      <c r="ABQ32" s="82"/>
      <c r="ABR32" s="82"/>
      <c r="ABS32" s="82"/>
      <c r="ABT32" s="82"/>
      <c r="ABU32" s="82"/>
      <c r="ABV32" s="82"/>
      <c r="ABW32" s="82"/>
      <c r="ABX32" s="82"/>
      <c r="ABY32" s="82"/>
      <c r="ABZ32" s="82"/>
      <c r="ACA32" s="82"/>
      <c r="ACB32" s="82"/>
      <c r="ACC32" s="82"/>
      <c r="ACD32" s="82"/>
      <c r="ACE32" s="82"/>
      <c r="ACF32" s="82"/>
      <c r="ACG32" s="82"/>
      <c r="ACH32" s="82"/>
      <c r="ACI32" s="82"/>
      <c r="ACJ32" s="82"/>
      <c r="ACK32" s="82"/>
      <c r="ACL32" s="82"/>
      <c r="ACM32" s="82"/>
      <c r="ACN32" s="82"/>
      <c r="ACO32" s="82"/>
      <c r="ACP32" s="82"/>
      <c r="ACQ32" s="82"/>
      <c r="ACR32" s="82"/>
      <c r="ACS32" s="82"/>
      <c r="ACT32" s="82"/>
      <c r="ACU32" s="82"/>
      <c r="ACV32" s="82"/>
      <c r="ACW32" s="82"/>
      <c r="ACX32" s="82"/>
      <c r="ACY32" s="82"/>
      <c r="ACZ32" s="82"/>
      <c r="ADA32" s="82"/>
      <c r="ADB32" s="82"/>
      <c r="ADC32" s="82"/>
      <c r="ADD32" s="82"/>
      <c r="ADE32" s="82"/>
      <c r="ADF32" s="82"/>
      <c r="ADG32" s="82"/>
      <c r="ADH32" s="82"/>
      <c r="ADI32" s="82"/>
      <c r="ADJ32" s="82"/>
      <c r="ADK32" s="82"/>
      <c r="ADL32" s="82"/>
      <c r="ADM32" s="82"/>
      <c r="ADN32" s="82"/>
      <c r="ADO32" s="82"/>
      <c r="ADP32" s="82"/>
      <c r="ADQ32" s="82"/>
      <c r="ADR32" s="82"/>
      <c r="ADS32" s="82"/>
      <c r="ADT32" s="82"/>
      <c r="ADU32" s="82"/>
      <c r="ADV32" s="82"/>
      <c r="ADW32" s="82"/>
      <c r="ADX32" s="82"/>
      <c r="ADY32" s="82"/>
      <c r="ADZ32" s="82"/>
      <c r="AEA32" s="82"/>
      <c r="AEB32" s="82"/>
      <c r="AEC32" s="82"/>
      <c r="AED32" s="82"/>
      <c r="AEE32" s="82"/>
      <c r="AEF32" s="82"/>
      <c r="AEG32" s="82"/>
      <c r="AEH32" s="82"/>
      <c r="AEI32" s="82"/>
      <c r="AEJ32" s="82"/>
      <c r="AEK32" s="82"/>
      <c r="AEL32" s="82"/>
      <c r="AEM32" s="82"/>
      <c r="AEN32" s="82"/>
      <c r="AEO32" s="82"/>
      <c r="AEP32" s="82"/>
      <c r="AEQ32" s="82"/>
      <c r="AER32" s="82"/>
      <c r="AES32" s="82"/>
      <c r="AET32" s="82"/>
      <c r="AEU32" s="82"/>
      <c r="AEV32" s="82"/>
      <c r="AEW32" s="82"/>
      <c r="AEX32" s="82"/>
      <c r="AEY32" s="82"/>
      <c r="AEZ32" s="82"/>
      <c r="AFA32" s="82"/>
      <c r="AFB32" s="82"/>
      <c r="AFC32" s="82"/>
      <c r="AFD32" s="82"/>
      <c r="AFE32" s="82"/>
      <c r="AFF32" s="82"/>
      <c r="AFG32" s="82"/>
      <c r="AFH32" s="82"/>
      <c r="AFI32" s="82"/>
      <c r="AFJ32" s="82"/>
      <c r="AFK32" s="82"/>
      <c r="AFL32" s="82"/>
      <c r="AFM32" s="82"/>
      <c r="AFN32" s="82"/>
      <c r="AFO32" s="82"/>
      <c r="AFP32" s="82"/>
      <c r="AFQ32" s="82"/>
      <c r="AFR32" s="82"/>
      <c r="AFS32" s="82"/>
      <c r="AFT32" s="82"/>
      <c r="AFU32" s="82"/>
      <c r="AFV32" s="82"/>
      <c r="AFW32" s="82"/>
      <c r="AFX32" s="82"/>
      <c r="AFY32" s="82"/>
      <c r="AFZ32" s="82"/>
      <c r="AGA32" s="82"/>
      <c r="AGB32" s="82"/>
      <c r="AGC32" s="82"/>
      <c r="AGD32" s="82"/>
      <c r="AGE32" s="82"/>
      <c r="AGF32" s="82"/>
      <c r="AGG32" s="82"/>
      <c r="AGH32" s="82"/>
      <c r="AGI32" s="82"/>
      <c r="AGJ32" s="82"/>
      <c r="AGK32" s="82"/>
      <c r="AGL32" s="82"/>
      <c r="AGM32" s="82"/>
      <c r="AGN32" s="82"/>
      <c r="AGO32" s="82"/>
      <c r="AGP32" s="82"/>
      <c r="AGQ32" s="82"/>
      <c r="AGR32" s="82"/>
      <c r="AGS32" s="82"/>
      <c r="AGT32" s="82"/>
      <c r="AGU32" s="82"/>
      <c r="AGV32" s="82"/>
      <c r="AGW32" s="82"/>
      <c r="AGX32" s="82"/>
      <c r="AGY32" s="82"/>
      <c r="AGZ32" s="82"/>
      <c r="AHA32" s="82"/>
      <c r="AHB32" s="82"/>
      <c r="AHC32" s="82"/>
      <c r="AHD32" s="82"/>
      <c r="AHE32" s="82"/>
      <c r="AHF32" s="82"/>
      <c r="AHG32" s="82"/>
      <c r="AHH32" s="82"/>
      <c r="AHI32" s="82"/>
      <c r="AHJ32" s="82"/>
      <c r="AHK32" s="82"/>
      <c r="AHL32" s="82"/>
      <c r="AHM32" s="82"/>
      <c r="AHN32" s="82"/>
      <c r="AHO32" s="82"/>
      <c r="AHP32" s="82"/>
      <c r="AHQ32" s="82"/>
      <c r="AHR32" s="82"/>
      <c r="AHS32" s="82"/>
      <c r="AHT32" s="82"/>
      <c r="AHU32" s="82"/>
      <c r="AHV32" s="82"/>
      <c r="AHW32" s="82"/>
      <c r="AHX32" s="82"/>
      <c r="AHY32" s="82"/>
      <c r="AHZ32" s="82"/>
      <c r="AIA32" s="82"/>
      <c r="AIB32" s="82"/>
      <c r="AIC32" s="82"/>
      <c r="AID32" s="82"/>
      <c r="AIE32" s="82"/>
      <c r="AIF32" s="82"/>
      <c r="AIG32" s="82"/>
      <c r="AIH32" s="82"/>
      <c r="AII32" s="82"/>
      <c r="AIJ32" s="82"/>
      <c r="AIK32" s="82"/>
      <c r="AIL32" s="82"/>
      <c r="AIM32" s="82"/>
      <c r="AIN32" s="82"/>
      <c r="AIO32" s="82"/>
      <c r="AIP32" s="82"/>
      <c r="AIQ32" s="82"/>
      <c r="AIR32" s="82"/>
      <c r="AIS32" s="82"/>
      <c r="AIT32" s="82"/>
      <c r="AIU32" s="82"/>
      <c r="AIV32" s="82"/>
      <c r="AIW32" s="82"/>
      <c r="AIX32" s="82"/>
      <c r="AIY32" s="82"/>
      <c r="AIZ32" s="82"/>
      <c r="AJA32" s="82"/>
      <c r="AJB32" s="82"/>
      <c r="AJC32" s="82"/>
      <c r="AJD32" s="82"/>
      <c r="AJE32" s="82"/>
      <c r="AJF32" s="82"/>
      <c r="AJG32" s="82"/>
      <c r="AJH32" s="82"/>
      <c r="AJI32" s="82"/>
      <c r="AJJ32" s="82"/>
      <c r="AJK32" s="82"/>
      <c r="AJL32" s="82"/>
      <c r="AJM32" s="82"/>
      <c r="AJN32" s="82"/>
      <c r="AJO32" s="82"/>
      <c r="AJP32" s="82"/>
      <c r="AJQ32" s="82"/>
      <c r="AJR32" s="82"/>
      <c r="AJS32" s="82"/>
      <c r="AJT32" s="82"/>
      <c r="AJU32" s="82"/>
      <c r="AJV32" s="82"/>
      <c r="AJW32" s="82"/>
      <c r="AJX32" s="82"/>
      <c r="AJY32" s="82"/>
      <c r="AJZ32" s="82"/>
      <c r="AKA32" s="82"/>
      <c r="AKB32" s="82"/>
      <c r="AKC32" s="82"/>
      <c r="AKD32" s="82"/>
      <c r="AKE32" s="82"/>
      <c r="AKF32" s="82"/>
      <c r="AKG32" s="82"/>
      <c r="AKH32" s="82"/>
      <c r="AKI32" s="82"/>
      <c r="AKJ32" s="82"/>
      <c r="AKK32" s="82"/>
      <c r="AKL32" s="82"/>
      <c r="AKM32" s="82"/>
      <c r="AKN32" s="82"/>
      <c r="AKO32" s="82"/>
      <c r="AKP32" s="82"/>
      <c r="AKQ32" s="82"/>
      <c r="AKR32" s="82"/>
      <c r="AKS32" s="82"/>
      <c r="AKT32" s="82"/>
      <c r="AKU32" s="82"/>
      <c r="AKV32" s="82"/>
      <c r="AKW32" s="82"/>
      <c r="AKX32" s="82"/>
      <c r="AKY32" s="82"/>
      <c r="AKZ32" s="82"/>
      <c r="ALA32" s="82"/>
      <c r="ALB32" s="82"/>
      <c r="ALC32" s="82"/>
      <c r="ALD32" s="82"/>
      <c r="ALE32" s="82"/>
      <c r="ALF32" s="82"/>
      <c r="ALG32" s="82"/>
      <c r="ALH32" s="82"/>
      <c r="ALI32" s="82"/>
      <c r="ALJ32" s="82"/>
      <c r="ALK32" s="82"/>
      <c r="ALL32" s="82"/>
      <c r="ALM32" s="82"/>
      <c r="ALN32" s="82"/>
      <c r="ALO32" s="82"/>
      <c r="ALP32" s="82"/>
      <c r="ALQ32" s="82"/>
      <c r="ALR32" s="82"/>
      <c r="ALS32" s="82"/>
      <c r="ALT32" s="82"/>
      <c r="ALU32" s="82"/>
      <c r="ALV32" s="82"/>
      <c r="ALW32" s="82"/>
      <c r="ALX32" s="82"/>
      <c r="ALY32" s="82"/>
      <c r="ALZ32" s="82"/>
      <c r="AMA32" s="82"/>
      <c r="AMB32" s="82"/>
      <c r="AMC32" s="82"/>
      <c r="AMD32" s="82"/>
      <c r="AME32" s="82"/>
      <c r="AMF32" s="82"/>
      <c r="AMG32" s="82"/>
      <c r="AMH32" s="82"/>
      <c r="AMI32" s="82"/>
      <c r="AMJ32" s="82"/>
      <c r="AMK32" s="82"/>
      <c r="AML32" s="82"/>
      <c r="AMM32" s="82"/>
      <c r="AMN32" s="82"/>
      <c r="AMO32" s="82"/>
      <c r="AMP32" s="82"/>
      <c r="AMQ32" s="82"/>
      <c r="AMR32" s="82"/>
      <c r="AMS32" s="82"/>
      <c r="AMT32" s="82"/>
      <c r="AMU32" s="82"/>
      <c r="AMV32" s="82"/>
      <c r="AMW32" s="82"/>
      <c r="AMX32" s="82"/>
      <c r="AMY32" s="82"/>
      <c r="AMZ32" s="82"/>
      <c r="ANA32" s="82"/>
      <c r="ANB32" s="82"/>
      <c r="ANC32" s="82"/>
      <c r="AND32" s="82"/>
      <c r="ANE32" s="82"/>
      <c r="ANF32" s="82"/>
      <c r="ANG32" s="82"/>
      <c r="ANH32" s="82"/>
      <c r="ANI32" s="82"/>
      <c r="ANJ32" s="82"/>
      <c r="ANK32" s="82"/>
      <c r="ANL32" s="82"/>
      <c r="ANM32" s="82"/>
      <c r="ANN32" s="82"/>
      <c r="ANO32" s="82"/>
      <c r="ANP32" s="82"/>
      <c r="ANQ32" s="82"/>
      <c r="ANR32" s="82"/>
      <c r="ANS32" s="82"/>
      <c r="ANT32" s="82"/>
      <c r="ANU32" s="82"/>
      <c r="ANV32" s="82"/>
      <c r="ANW32" s="82"/>
      <c r="ANX32" s="82"/>
      <c r="ANY32" s="82"/>
      <c r="ANZ32" s="82"/>
      <c r="AOA32" s="82"/>
      <c r="AOB32" s="82"/>
      <c r="AOC32" s="82"/>
      <c r="AOD32" s="82"/>
      <c r="AOE32" s="82"/>
      <c r="AOF32" s="82"/>
      <c r="AOG32" s="82"/>
      <c r="AOH32" s="82"/>
      <c r="AOI32" s="82"/>
      <c r="AOJ32" s="82"/>
      <c r="AOK32" s="82"/>
      <c r="AOL32" s="82"/>
      <c r="AOM32" s="82"/>
      <c r="AON32" s="82"/>
      <c r="AOO32" s="82"/>
      <c r="AOP32" s="82"/>
      <c r="AOQ32" s="82"/>
      <c r="AOR32" s="82"/>
      <c r="AOS32" s="82"/>
      <c r="AOT32" s="82"/>
      <c r="AOU32" s="82"/>
      <c r="AOV32" s="82"/>
      <c r="AOW32" s="82"/>
      <c r="AOX32" s="82"/>
      <c r="AOY32" s="82"/>
      <c r="AOZ32" s="82"/>
      <c r="APA32" s="82"/>
      <c r="APB32" s="82"/>
      <c r="APC32" s="82"/>
      <c r="APD32" s="82"/>
      <c r="APE32" s="82"/>
      <c r="APF32" s="82"/>
      <c r="APG32" s="82"/>
      <c r="APH32" s="82"/>
      <c r="API32" s="82"/>
      <c r="APJ32" s="82"/>
      <c r="APK32" s="82"/>
      <c r="APL32" s="82"/>
      <c r="APM32" s="82"/>
      <c r="APN32" s="82"/>
      <c r="APO32" s="82"/>
      <c r="APP32" s="82"/>
      <c r="APQ32" s="82"/>
      <c r="APR32" s="82"/>
      <c r="APS32" s="82"/>
      <c r="APT32" s="82"/>
      <c r="APU32" s="82"/>
      <c r="APV32" s="82"/>
      <c r="APW32" s="82"/>
      <c r="APX32" s="82"/>
      <c r="APY32" s="82"/>
      <c r="APZ32" s="82"/>
      <c r="AQA32" s="82"/>
      <c r="AQB32" s="82"/>
      <c r="AQC32" s="82"/>
      <c r="AQD32" s="82"/>
      <c r="AQE32" s="82"/>
      <c r="AQF32" s="82"/>
      <c r="AQG32" s="82"/>
      <c r="AQH32" s="82"/>
      <c r="AQI32" s="82"/>
      <c r="AQJ32" s="82"/>
      <c r="AQK32" s="82"/>
      <c r="AQL32" s="82"/>
      <c r="AQM32" s="82"/>
      <c r="AQN32" s="82"/>
      <c r="AQO32" s="82"/>
      <c r="AQP32" s="82"/>
      <c r="AQQ32" s="82"/>
      <c r="AQR32" s="82"/>
      <c r="AQS32" s="82"/>
      <c r="AQT32" s="82"/>
      <c r="AQU32" s="82"/>
      <c r="AQV32" s="82"/>
      <c r="AQW32" s="82"/>
      <c r="AQX32" s="82"/>
      <c r="AQY32" s="82"/>
      <c r="AQZ32" s="82"/>
      <c r="ARA32" s="82"/>
      <c r="ARB32" s="82"/>
      <c r="ARC32" s="82"/>
      <c r="ARD32" s="82"/>
      <c r="ARE32" s="82"/>
      <c r="ARF32" s="82"/>
      <c r="ARG32" s="82"/>
      <c r="ARH32" s="82"/>
      <c r="ARI32" s="82"/>
      <c r="ARJ32" s="82"/>
      <c r="ARK32" s="82"/>
      <c r="ARL32" s="82"/>
      <c r="ARM32" s="82"/>
      <c r="ARN32" s="82"/>
      <c r="ARO32" s="82"/>
      <c r="ARP32" s="82"/>
      <c r="ARQ32" s="82"/>
      <c r="ARR32" s="82"/>
      <c r="ARS32" s="82"/>
      <c r="ART32" s="82"/>
      <c r="ARU32" s="82"/>
      <c r="ARV32" s="82"/>
      <c r="ARW32" s="82"/>
      <c r="ARX32" s="82"/>
      <c r="ARY32" s="82"/>
      <c r="ARZ32" s="82"/>
      <c r="ASA32" s="82"/>
      <c r="ASB32" s="82"/>
      <c r="ASC32" s="82"/>
      <c r="ASD32" s="82"/>
      <c r="ASE32" s="82"/>
      <c r="ASF32" s="82"/>
      <c r="ASG32" s="82"/>
      <c r="ASH32" s="82"/>
      <c r="ASI32" s="82"/>
      <c r="ASJ32" s="82"/>
      <c r="ASK32" s="82"/>
      <c r="ASL32" s="82"/>
      <c r="ASM32" s="82"/>
      <c r="ASN32" s="82"/>
      <c r="ASO32" s="82"/>
      <c r="ASP32" s="82"/>
      <c r="ASQ32" s="82"/>
      <c r="ASR32" s="82"/>
      <c r="ASS32" s="82"/>
      <c r="AST32" s="82"/>
      <c r="ASU32" s="82"/>
      <c r="ASV32" s="82"/>
      <c r="ASW32" s="82"/>
      <c r="ASX32" s="82"/>
      <c r="ASY32" s="82"/>
      <c r="ASZ32" s="82"/>
      <c r="ATA32" s="82"/>
      <c r="ATB32" s="82"/>
      <c r="ATC32" s="82"/>
      <c r="ATD32" s="82"/>
      <c r="ATE32" s="82"/>
      <c r="ATF32" s="82"/>
      <c r="ATG32" s="82"/>
      <c r="ATH32" s="82"/>
      <c r="ATI32" s="82"/>
      <c r="ATJ32" s="82"/>
      <c r="ATK32" s="82"/>
      <c r="ATL32" s="82"/>
      <c r="ATM32" s="82"/>
      <c r="ATN32" s="82"/>
      <c r="ATO32" s="82"/>
      <c r="ATP32" s="82"/>
      <c r="ATQ32" s="82"/>
      <c r="ATR32" s="82"/>
      <c r="ATS32" s="82"/>
      <c r="ATT32" s="82"/>
      <c r="ATU32" s="82"/>
      <c r="ATV32" s="82"/>
      <c r="ATW32" s="82"/>
      <c r="ATX32" s="82"/>
      <c r="ATY32" s="82"/>
      <c r="ATZ32" s="82"/>
      <c r="AUA32" s="82"/>
      <c r="AUB32" s="82"/>
      <c r="AUC32" s="82"/>
      <c r="AUD32" s="82"/>
      <c r="AUE32" s="82"/>
      <c r="AUF32" s="82"/>
      <c r="AUG32" s="82"/>
      <c r="AUH32" s="82"/>
      <c r="AUI32" s="82"/>
      <c r="AUJ32" s="82"/>
      <c r="AUK32" s="82"/>
      <c r="AUL32" s="82"/>
      <c r="AUM32" s="82"/>
      <c r="AUN32" s="82"/>
      <c r="AUO32" s="82"/>
      <c r="AUP32" s="82"/>
      <c r="AUQ32" s="82"/>
      <c r="AUR32" s="82"/>
      <c r="AUS32" s="82"/>
      <c r="AUT32" s="82"/>
      <c r="AUU32" s="82"/>
      <c r="AUV32" s="82"/>
      <c r="AUW32" s="82"/>
      <c r="AUX32" s="82"/>
      <c r="AUY32" s="82"/>
      <c r="AUZ32" s="82"/>
      <c r="AVA32" s="82"/>
      <c r="AVB32" s="82"/>
      <c r="AVC32" s="82"/>
      <c r="AVD32" s="82"/>
      <c r="AVE32" s="82"/>
      <c r="AVF32" s="82"/>
      <c r="AVG32" s="82"/>
      <c r="AVH32" s="82"/>
      <c r="AVI32" s="82"/>
      <c r="AVJ32" s="82"/>
      <c r="AVK32" s="82"/>
      <c r="AVL32" s="82"/>
      <c r="AVM32" s="82"/>
      <c r="AVN32" s="82"/>
      <c r="AVO32" s="82"/>
      <c r="AVP32" s="82"/>
      <c r="AVQ32" s="82"/>
      <c r="AVR32" s="82"/>
      <c r="AVS32" s="82"/>
      <c r="AVT32" s="82"/>
      <c r="AVU32" s="82"/>
      <c r="AVV32" s="82"/>
      <c r="AVW32" s="82"/>
      <c r="AVX32" s="82"/>
      <c r="AVY32" s="82"/>
      <c r="AVZ32" s="82"/>
      <c r="AWA32" s="82"/>
      <c r="AWB32" s="82"/>
      <c r="AWC32" s="82"/>
      <c r="AWD32" s="82"/>
      <c r="AWE32" s="82"/>
      <c r="AWF32" s="82"/>
      <c r="AWG32" s="82"/>
      <c r="AWH32" s="82"/>
      <c r="AWI32" s="82"/>
      <c r="AWJ32" s="82"/>
      <c r="AWK32" s="82"/>
      <c r="AWL32" s="82"/>
      <c r="AWM32" s="82"/>
      <c r="AWN32" s="82"/>
      <c r="AWO32" s="82"/>
      <c r="AWP32" s="82"/>
      <c r="AWQ32" s="82"/>
      <c r="AWR32" s="82"/>
      <c r="AWS32" s="82"/>
      <c r="AWT32" s="82"/>
      <c r="AWU32" s="82"/>
      <c r="AWV32" s="82"/>
      <c r="AWW32" s="82"/>
      <c r="AWX32" s="82"/>
      <c r="AWY32" s="82"/>
      <c r="AWZ32" s="82"/>
      <c r="AXA32" s="82"/>
      <c r="AXB32" s="82"/>
      <c r="AXC32" s="82"/>
      <c r="AXD32" s="82"/>
      <c r="AXE32" s="82"/>
      <c r="AXF32" s="82"/>
      <c r="AXG32" s="82"/>
      <c r="AXH32" s="82"/>
      <c r="AXI32" s="82"/>
      <c r="AXJ32" s="82"/>
      <c r="AXK32" s="82"/>
      <c r="AXL32" s="82"/>
      <c r="AXM32" s="82"/>
      <c r="AXN32" s="82"/>
      <c r="AXO32" s="82"/>
      <c r="AXP32" s="82"/>
      <c r="AXQ32" s="82"/>
      <c r="AXR32" s="82"/>
      <c r="AXS32" s="82"/>
      <c r="AXT32" s="82"/>
      <c r="AXU32" s="82"/>
      <c r="AXV32" s="82"/>
      <c r="AXW32" s="82"/>
      <c r="AXX32" s="82"/>
      <c r="AXY32" s="82"/>
      <c r="AXZ32" s="82"/>
      <c r="AYA32" s="82"/>
      <c r="AYB32" s="82"/>
      <c r="AYC32" s="82"/>
      <c r="AYD32" s="82"/>
      <c r="AYE32" s="82"/>
      <c r="AYF32" s="82"/>
      <c r="AYG32" s="82"/>
      <c r="AYH32" s="82"/>
      <c r="AYI32" s="82"/>
      <c r="AYJ32" s="82"/>
      <c r="AYK32" s="82"/>
      <c r="AYL32" s="82"/>
      <c r="AYM32" s="82"/>
      <c r="AYN32" s="82"/>
      <c r="AYO32" s="82"/>
      <c r="AYP32" s="82"/>
      <c r="AYQ32" s="82"/>
      <c r="AYR32" s="82"/>
      <c r="AYS32" s="82"/>
      <c r="AYT32" s="82"/>
      <c r="AYU32" s="82"/>
      <c r="AYV32" s="82"/>
      <c r="AYW32" s="82"/>
      <c r="AYX32" s="82"/>
      <c r="AYY32" s="82"/>
      <c r="AYZ32" s="82"/>
      <c r="AZA32" s="82"/>
      <c r="AZB32" s="82"/>
      <c r="AZC32" s="82"/>
      <c r="AZD32" s="82"/>
      <c r="AZE32" s="82"/>
      <c r="AZF32" s="82"/>
      <c r="AZG32" s="82"/>
      <c r="AZH32" s="82"/>
      <c r="AZI32" s="82"/>
      <c r="AZJ32" s="82"/>
      <c r="AZK32" s="82"/>
      <c r="AZL32" s="82"/>
      <c r="AZM32" s="82"/>
      <c r="AZN32" s="82"/>
      <c r="AZO32" s="82"/>
      <c r="AZP32" s="82"/>
      <c r="AZQ32" s="82"/>
      <c r="AZR32" s="82"/>
      <c r="AZS32" s="82"/>
      <c r="AZT32" s="82"/>
      <c r="AZU32" s="82"/>
      <c r="AZV32" s="82"/>
      <c r="AZW32" s="82"/>
      <c r="AZX32" s="82"/>
      <c r="AZY32" s="82"/>
      <c r="AZZ32" s="82"/>
      <c r="BAA32" s="82"/>
      <c r="BAB32" s="82"/>
      <c r="BAC32" s="82"/>
      <c r="BAD32" s="82"/>
      <c r="BAE32" s="82"/>
      <c r="BAF32" s="82"/>
      <c r="BAG32" s="82"/>
      <c r="BAH32" s="82"/>
      <c r="BAI32" s="82"/>
      <c r="BAJ32" s="82"/>
      <c r="BAK32" s="82"/>
      <c r="BAL32" s="82"/>
      <c r="BAM32" s="82"/>
      <c r="BAN32" s="82"/>
      <c r="BAO32" s="82"/>
      <c r="BAP32" s="82"/>
      <c r="BAQ32" s="82"/>
      <c r="BAR32" s="82"/>
      <c r="BAS32" s="82"/>
      <c r="BAT32" s="82"/>
      <c r="BAU32" s="82"/>
      <c r="BAV32" s="82"/>
      <c r="BAW32" s="82"/>
      <c r="BAX32" s="82"/>
      <c r="BAY32" s="82"/>
      <c r="BAZ32" s="82"/>
      <c r="BBA32" s="82"/>
      <c r="BBB32" s="82"/>
      <c r="BBC32" s="82"/>
      <c r="BBD32" s="82"/>
      <c r="BBE32" s="82"/>
      <c r="BBF32" s="82"/>
      <c r="BBG32" s="82"/>
      <c r="BBH32" s="82"/>
      <c r="BBI32" s="82"/>
      <c r="BBJ32" s="82"/>
      <c r="BBK32" s="82"/>
      <c r="BBL32" s="82"/>
      <c r="BBM32" s="82"/>
      <c r="BBN32" s="82"/>
      <c r="BBO32" s="82"/>
      <c r="BBP32" s="82"/>
      <c r="BBQ32" s="82"/>
      <c r="BBR32" s="82"/>
      <c r="BBS32" s="82"/>
      <c r="BBT32" s="82"/>
      <c r="BBU32" s="82"/>
      <c r="BBV32" s="82"/>
      <c r="BBW32" s="82"/>
      <c r="BBX32" s="82"/>
      <c r="BBY32" s="82"/>
      <c r="BBZ32" s="82"/>
      <c r="BCA32" s="82"/>
      <c r="BCB32" s="82"/>
      <c r="BCC32" s="82"/>
      <c r="BCD32" s="82"/>
      <c r="BCE32" s="82"/>
      <c r="BCF32" s="82"/>
      <c r="BCG32" s="82"/>
      <c r="BCH32" s="82"/>
      <c r="BCI32" s="82"/>
      <c r="BCJ32" s="82"/>
      <c r="BCK32" s="82"/>
      <c r="BCL32" s="82"/>
      <c r="BCM32" s="82"/>
      <c r="BCN32" s="82"/>
      <c r="BCO32" s="82"/>
      <c r="BCP32" s="82"/>
      <c r="BCQ32" s="82"/>
      <c r="BCR32" s="82"/>
      <c r="BCS32" s="82"/>
      <c r="BCT32" s="82"/>
      <c r="BCU32" s="82"/>
      <c r="BCV32" s="82"/>
      <c r="BCW32" s="82"/>
      <c r="BCX32" s="82"/>
      <c r="BCY32" s="82"/>
      <c r="BCZ32" s="82"/>
      <c r="BDA32" s="82"/>
      <c r="BDB32" s="82"/>
      <c r="BDC32" s="82"/>
      <c r="BDD32" s="82"/>
      <c r="BDE32" s="82"/>
      <c r="BDF32" s="82"/>
      <c r="BDG32" s="82"/>
      <c r="BDH32" s="82"/>
      <c r="BDI32" s="82"/>
      <c r="BDJ32" s="82"/>
      <c r="BDK32" s="82"/>
      <c r="BDL32" s="82"/>
      <c r="BDM32" s="82"/>
      <c r="BDN32" s="82"/>
      <c r="BDO32" s="82"/>
      <c r="BDP32" s="82"/>
      <c r="BDQ32" s="82"/>
      <c r="BDR32" s="82"/>
      <c r="BDS32" s="82"/>
      <c r="BDT32" s="82"/>
      <c r="BDU32" s="82"/>
      <c r="BDV32" s="82"/>
      <c r="BDW32" s="82"/>
      <c r="BDX32" s="82"/>
      <c r="BDY32" s="82"/>
      <c r="BDZ32" s="82"/>
      <c r="BEA32" s="82"/>
      <c r="BEB32" s="82"/>
      <c r="BEC32" s="82"/>
      <c r="BED32" s="82"/>
      <c r="BEE32" s="82"/>
      <c r="BEF32" s="82"/>
      <c r="BEG32" s="82"/>
      <c r="BEH32" s="82"/>
      <c r="BEI32" s="82"/>
      <c r="BEJ32" s="82"/>
      <c r="BEK32" s="82"/>
      <c r="BEL32" s="82"/>
      <c r="BEM32" s="82"/>
      <c r="BEN32" s="82"/>
      <c r="BEO32" s="82"/>
      <c r="BEP32" s="82"/>
      <c r="BEQ32" s="82"/>
      <c r="BER32" s="82"/>
      <c r="BES32" s="82"/>
      <c r="BET32" s="82"/>
      <c r="BEU32" s="82"/>
      <c r="BEV32" s="82"/>
      <c r="BEW32" s="82"/>
      <c r="BEX32" s="82"/>
      <c r="BEY32" s="82"/>
      <c r="BEZ32" s="82"/>
      <c r="BFA32" s="82"/>
      <c r="BFB32" s="82"/>
      <c r="BFC32" s="82"/>
      <c r="BFD32" s="82"/>
      <c r="BFE32" s="82"/>
      <c r="BFF32" s="82"/>
      <c r="BFG32" s="82"/>
      <c r="BFH32" s="82"/>
      <c r="BFI32" s="82"/>
      <c r="BFJ32" s="82"/>
      <c r="BFK32" s="82"/>
      <c r="BFL32" s="82"/>
      <c r="BFM32" s="82"/>
      <c r="BFN32" s="82"/>
      <c r="BFO32" s="82"/>
      <c r="BFP32" s="82"/>
      <c r="BFQ32" s="82"/>
      <c r="BFR32" s="82"/>
      <c r="BFS32" s="82"/>
      <c r="BFT32" s="82"/>
      <c r="BFU32" s="82"/>
      <c r="BFV32" s="82"/>
      <c r="BFW32" s="82"/>
      <c r="BFX32" s="82"/>
      <c r="BFY32" s="82"/>
      <c r="BFZ32" s="82"/>
      <c r="BGA32" s="82"/>
      <c r="BGB32" s="82"/>
      <c r="BGC32" s="82"/>
      <c r="BGD32" s="82"/>
      <c r="BGE32" s="82"/>
      <c r="BGF32" s="82"/>
      <c r="BGG32" s="82"/>
      <c r="BGH32" s="82"/>
      <c r="BGI32" s="82"/>
      <c r="BGJ32" s="82"/>
      <c r="BGK32" s="82"/>
      <c r="BGL32" s="82"/>
      <c r="BGM32" s="82"/>
      <c r="BGN32" s="82"/>
      <c r="BGO32" s="82"/>
      <c r="BGP32" s="82"/>
      <c r="BGQ32" s="82"/>
      <c r="BGR32" s="82"/>
      <c r="BGS32" s="82"/>
      <c r="BGT32" s="82"/>
      <c r="BGU32" s="82"/>
      <c r="BGV32" s="82"/>
      <c r="BGW32" s="82"/>
      <c r="BGX32" s="82"/>
      <c r="BGY32" s="82"/>
      <c r="BGZ32" s="82"/>
      <c r="BHA32" s="82"/>
      <c r="BHB32" s="82"/>
      <c r="BHC32" s="82"/>
      <c r="BHD32" s="82"/>
      <c r="BHE32" s="82"/>
      <c r="BHF32" s="82"/>
      <c r="BHG32" s="82"/>
      <c r="BHH32" s="82"/>
      <c r="BHI32" s="82"/>
      <c r="BHJ32" s="82"/>
      <c r="BHK32" s="82"/>
      <c r="BHL32" s="82"/>
      <c r="BHM32" s="82"/>
      <c r="BHN32" s="82"/>
      <c r="BHO32" s="82"/>
      <c r="BHP32" s="82"/>
      <c r="BHQ32" s="82"/>
      <c r="BHR32" s="82"/>
      <c r="BHS32" s="82"/>
      <c r="BHT32" s="82"/>
      <c r="BHU32" s="82"/>
      <c r="BHV32" s="82"/>
      <c r="BHW32" s="82"/>
      <c r="BHX32" s="82"/>
      <c r="BHY32" s="82"/>
      <c r="BHZ32" s="82"/>
      <c r="BIA32" s="82"/>
      <c r="BIB32" s="82"/>
      <c r="BIC32" s="82"/>
      <c r="BID32" s="82"/>
      <c r="BIE32" s="82"/>
      <c r="BIF32" s="82"/>
      <c r="BIG32" s="82"/>
      <c r="BIH32" s="82"/>
      <c r="BII32" s="82"/>
      <c r="BIJ32" s="82"/>
      <c r="BIK32" s="82"/>
      <c r="BIL32" s="82"/>
      <c r="BIM32" s="82"/>
      <c r="BIN32" s="82"/>
      <c r="BIO32" s="82"/>
      <c r="BIP32" s="82"/>
      <c r="BIQ32" s="82"/>
      <c r="BIR32" s="82"/>
      <c r="BIS32" s="82"/>
      <c r="BIT32" s="82"/>
      <c r="BIU32" s="82"/>
      <c r="BIV32" s="82"/>
      <c r="BIW32" s="82"/>
      <c r="BIX32" s="82"/>
      <c r="BIY32" s="82"/>
      <c r="BIZ32" s="82"/>
      <c r="BJA32" s="82"/>
      <c r="BJB32" s="82"/>
      <c r="BJC32" s="82"/>
      <c r="BJD32" s="82"/>
      <c r="BJE32" s="82"/>
      <c r="BJF32" s="82"/>
      <c r="BJG32" s="82"/>
      <c r="BJH32" s="82"/>
      <c r="BJI32" s="82"/>
      <c r="BJJ32" s="82"/>
      <c r="BJK32" s="82"/>
      <c r="BJL32" s="82"/>
      <c r="BJM32" s="82"/>
      <c r="BJN32" s="82"/>
      <c r="BJO32" s="82"/>
      <c r="BJP32" s="82"/>
      <c r="BJQ32" s="82"/>
      <c r="BJR32" s="82"/>
      <c r="BJS32" s="82"/>
      <c r="BJT32" s="82"/>
      <c r="BJU32" s="82"/>
      <c r="BJV32" s="82"/>
      <c r="BJW32" s="82"/>
      <c r="BJX32" s="82"/>
      <c r="BJY32" s="82"/>
      <c r="BJZ32" s="82"/>
      <c r="BKA32" s="82"/>
      <c r="BKB32" s="82"/>
      <c r="BKC32" s="82"/>
      <c r="BKD32" s="82"/>
      <c r="BKE32" s="82"/>
      <c r="BKF32" s="82"/>
      <c r="BKG32" s="82"/>
      <c r="BKH32" s="82"/>
      <c r="BKI32" s="82"/>
      <c r="BKJ32" s="82"/>
      <c r="BKK32" s="82"/>
      <c r="BKL32" s="82"/>
      <c r="BKM32" s="82"/>
      <c r="BKN32" s="82"/>
      <c r="BKO32" s="82"/>
      <c r="BKP32" s="82"/>
      <c r="BKQ32" s="82"/>
      <c r="BKR32" s="82"/>
      <c r="BKS32" s="82"/>
      <c r="BKT32" s="82"/>
      <c r="BKU32" s="82"/>
      <c r="BKV32" s="82"/>
      <c r="BKW32" s="82"/>
      <c r="BKX32" s="82"/>
      <c r="BKY32" s="82"/>
      <c r="BKZ32" s="82"/>
      <c r="BLA32" s="82"/>
      <c r="BLB32" s="82"/>
      <c r="BLC32" s="82"/>
      <c r="BLD32" s="82"/>
      <c r="BLE32" s="82"/>
      <c r="BLF32" s="82"/>
      <c r="BLG32" s="82"/>
      <c r="BLH32" s="82"/>
      <c r="BLI32" s="82"/>
      <c r="BLJ32" s="82"/>
      <c r="BLK32" s="82"/>
      <c r="BLL32" s="82"/>
      <c r="BLM32" s="82"/>
      <c r="BLN32" s="82"/>
      <c r="BLO32" s="82"/>
      <c r="BLP32" s="82"/>
      <c r="BLQ32" s="82"/>
      <c r="BLR32" s="82"/>
      <c r="BLS32" s="82"/>
      <c r="BLT32" s="82"/>
      <c r="BLU32" s="82"/>
      <c r="BLV32" s="82"/>
      <c r="BLW32" s="82"/>
      <c r="BLX32" s="82"/>
      <c r="BLY32" s="82"/>
      <c r="BLZ32" s="82"/>
      <c r="BMA32" s="82"/>
      <c r="BMB32" s="82"/>
      <c r="BMC32" s="82"/>
      <c r="BMD32" s="82"/>
      <c r="BME32" s="82"/>
      <c r="BMF32" s="82"/>
      <c r="BMG32" s="82"/>
      <c r="BMH32" s="82"/>
      <c r="BMI32" s="82"/>
      <c r="BMJ32" s="82"/>
      <c r="BMK32" s="82"/>
      <c r="BML32" s="82"/>
      <c r="BMM32" s="82"/>
      <c r="BMN32" s="82"/>
      <c r="BMO32" s="82"/>
      <c r="BMP32" s="82"/>
      <c r="BMQ32" s="82"/>
      <c r="BMR32" s="82"/>
      <c r="BMS32" s="82"/>
      <c r="BMT32" s="82"/>
      <c r="BMU32" s="82"/>
      <c r="BMV32" s="82"/>
      <c r="BMW32" s="82"/>
      <c r="BMX32" s="82"/>
      <c r="BMY32" s="82"/>
      <c r="BMZ32" s="82"/>
      <c r="BNA32" s="82"/>
      <c r="BNB32" s="82"/>
      <c r="BNC32" s="82"/>
      <c r="BND32" s="82"/>
      <c r="BNE32" s="82"/>
      <c r="BNF32" s="82"/>
      <c r="BNG32" s="82"/>
      <c r="BNH32" s="82"/>
      <c r="BNI32" s="82"/>
      <c r="BNJ32" s="82"/>
      <c r="BNK32" s="82"/>
      <c r="BNL32" s="82"/>
      <c r="BNM32" s="82"/>
      <c r="BNN32" s="82"/>
      <c r="BNO32" s="82"/>
      <c r="BNP32" s="82"/>
      <c r="BNQ32" s="82"/>
      <c r="BNR32" s="82"/>
      <c r="BNS32" s="82"/>
      <c r="BNT32" s="82"/>
      <c r="BNU32" s="82"/>
      <c r="BNV32" s="82"/>
      <c r="BNW32" s="82"/>
      <c r="BNX32" s="82"/>
      <c r="BNY32" s="82"/>
      <c r="BNZ32" s="82"/>
      <c r="BOA32" s="82"/>
      <c r="BOB32" s="82"/>
      <c r="BOC32" s="82"/>
      <c r="BOD32" s="82"/>
      <c r="BOE32" s="82"/>
      <c r="BOF32" s="82"/>
      <c r="BOG32" s="82"/>
      <c r="BOH32" s="82"/>
      <c r="BOI32" s="82"/>
      <c r="BOJ32" s="82"/>
      <c r="BOK32" s="82"/>
      <c r="BOL32" s="82"/>
      <c r="BOM32" s="82"/>
      <c r="BON32" s="82"/>
      <c r="BOO32" s="82"/>
      <c r="BOP32" s="82"/>
      <c r="BOQ32" s="82"/>
      <c r="BOR32" s="82"/>
      <c r="BOS32" s="82"/>
      <c r="BOT32" s="82"/>
      <c r="BOU32" s="82"/>
      <c r="BOV32" s="82"/>
      <c r="BOW32" s="82"/>
      <c r="BOX32" s="82"/>
      <c r="BOY32" s="82"/>
      <c r="BOZ32" s="82"/>
      <c r="BPA32" s="82"/>
      <c r="BPB32" s="82"/>
      <c r="BPC32" s="82"/>
      <c r="BPD32" s="82"/>
      <c r="BPE32" s="82"/>
      <c r="BPF32" s="82"/>
      <c r="BPG32" s="82"/>
      <c r="BPH32" s="82"/>
      <c r="BPI32" s="82"/>
      <c r="BPJ32" s="82"/>
      <c r="BPK32" s="82"/>
      <c r="BPL32" s="82"/>
      <c r="BPM32" s="82"/>
      <c r="BPN32" s="82"/>
      <c r="BPO32" s="82"/>
      <c r="BPP32" s="82"/>
      <c r="BPQ32" s="82"/>
      <c r="BPR32" s="82"/>
      <c r="BPS32" s="82"/>
      <c r="BPT32" s="82"/>
      <c r="BPU32" s="82"/>
      <c r="BPV32" s="82"/>
      <c r="BPW32" s="82"/>
      <c r="BPX32" s="82"/>
      <c r="BPY32" s="82"/>
      <c r="BPZ32" s="82"/>
      <c r="BQA32" s="82"/>
      <c r="BQB32" s="82"/>
      <c r="BQC32" s="82"/>
      <c r="BQD32" s="82"/>
      <c r="BQE32" s="82"/>
      <c r="BQF32" s="82"/>
      <c r="BQG32" s="82"/>
      <c r="BQH32" s="82"/>
      <c r="BQI32" s="82"/>
      <c r="BQJ32" s="82"/>
      <c r="BQK32" s="82"/>
      <c r="BQL32" s="82"/>
      <c r="BQM32" s="82"/>
      <c r="BQN32" s="82"/>
      <c r="BQO32" s="82"/>
      <c r="BQP32" s="82"/>
      <c r="BQQ32" s="82"/>
      <c r="BQR32" s="82"/>
      <c r="BQS32" s="82"/>
      <c r="BQT32" s="82"/>
      <c r="BQU32" s="82"/>
      <c r="BQV32" s="82"/>
      <c r="BQW32" s="82"/>
      <c r="BQX32" s="82"/>
      <c r="BQY32" s="82"/>
      <c r="BQZ32" s="82"/>
      <c r="BRA32" s="82"/>
      <c r="BRB32" s="82"/>
      <c r="BRC32" s="82"/>
      <c r="BRD32" s="82"/>
      <c r="BRE32" s="82"/>
      <c r="BRF32" s="82"/>
      <c r="BRG32" s="82"/>
      <c r="BRH32" s="82"/>
      <c r="BRI32" s="82"/>
      <c r="BRJ32" s="82"/>
      <c r="BRK32" s="82"/>
      <c r="BRL32" s="82"/>
      <c r="BRM32" s="82"/>
      <c r="BRN32" s="82"/>
      <c r="BRO32" s="82"/>
      <c r="BRP32" s="82"/>
      <c r="BRQ32" s="82"/>
      <c r="BRR32" s="82"/>
      <c r="BRS32" s="82"/>
      <c r="BRT32" s="82"/>
      <c r="BRU32" s="82"/>
      <c r="BRV32" s="82"/>
      <c r="BRW32" s="82"/>
      <c r="BRX32" s="82"/>
      <c r="BRY32" s="82"/>
      <c r="BRZ32" s="82"/>
      <c r="BSA32" s="82"/>
      <c r="BSB32" s="82"/>
      <c r="BSC32" s="82"/>
      <c r="BSD32" s="82"/>
      <c r="BSE32" s="82"/>
      <c r="BSF32" s="82"/>
      <c r="BSG32" s="82"/>
      <c r="BSH32" s="82"/>
      <c r="BSI32" s="82"/>
      <c r="BSJ32" s="82"/>
      <c r="BSK32" s="82"/>
      <c r="BSL32" s="82"/>
      <c r="BSM32" s="82"/>
      <c r="BSN32" s="82"/>
      <c r="BSO32" s="82"/>
      <c r="BSP32" s="82"/>
      <c r="BSQ32" s="82"/>
      <c r="BSR32" s="82"/>
      <c r="BSS32" s="82"/>
      <c r="BST32" s="82"/>
      <c r="BSU32" s="82"/>
      <c r="BSV32" s="82"/>
      <c r="BSW32" s="82"/>
      <c r="BSX32" s="82"/>
      <c r="BSY32" s="82"/>
      <c r="BSZ32" s="82"/>
      <c r="BTA32" s="82"/>
      <c r="BTB32" s="82"/>
      <c r="BTC32" s="82"/>
      <c r="BTD32" s="82"/>
      <c r="BTE32" s="82"/>
      <c r="BTF32" s="82"/>
      <c r="BTG32" s="82"/>
      <c r="BTH32" s="82"/>
      <c r="BTI32" s="82"/>
      <c r="BTJ32" s="82"/>
      <c r="BTK32" s="82"/>
      <c r="BTL32" s="82"/>
      <c r="BTM32" s="82"/>
      <c r="BTN32" s="82"/>
      <c r="BTO32" s="82"/>
      <c r="BTP32" s="82"/>
      <c r="BTQ32" s="82"/>
      <c r="BTR32" s="82"/>
      <c r="BTS32" s="82"/>
      <c r="BTT32" s="82"/>
      <c r="BTU32" s="82"/>
      <c r="BTV32" s="82"/>
      <c r="BTW32" s="82"/>
      <c r="BTX32" s="82"/>
      <c r="BTY32" s="82"/>
      <c r="BTZ32" s="82"/>
      <c r="BUA32" s="82"/>
      <c r="BUB32" s="82"/>
      <c r="BUC32" s="82"/>
      <c r="BUD32" s="82"/>
      <c r="BUE32" s="82"/>
      <c r="BUF32" s="82"/>
      <c r="BUG32" s="82"/>
      <c r="BUH32" s="82"/>
      <c r="BUI32" s="82"/>
      <c r="BUJ32" s="82"/>
      <c r="BUK32" s="82"/>
      <c r="BUL32" s="82"/>
      <c r="BUM32" s="82"/>
      <c r="BUN32" s="82"/>
      <c r="BUO32" s="82"/>
      <c r="BUP32" s="82"/>
      <c r="BUQ32" s="82"/>
      <c r="BUR32" s="82"/>
      <c r="BUS32" s="82"/>
      <c r="BUT32" s="82"/>
      <c r="BUU32" s="82"/>
      <c r="BUV32" s="82"/>
      <c r="BUW32" s="82"/>
      <c r="BUX32" s="82"/>
      <c r="BUY32" s="82"/>
      <c r="BUZ32" s="82"/>
      <c r="BVA32" s="82"/>
      <c r="BVB32" s="82"/>
      <c r="BVC32" s="82"/>
      <c r="BVD32" s="82"/>
      <c r="BVE32" s="82"/>
      <c r="BVF32" s="82"/>
      <c r="BVG32" s="82"/>
      <c r="BVH32" s="82"/>
      <c r="BVI32" s="82"/>
      <c r="BVJ32" s="82"/>
      <c r="BVK32" s="82"/>
      <c r="BVL32" s="82"/>
      <c r="BVM32" s="82"/>
      <c r="BVN32" s="82"/>
      <c r="BVO32" s="82"/>
      <c r="BVP32" s="82"/>
      <c r="BVQ32" s="82"/>
      <c r="BVR32" s="82"/>
      <c r="BVS32" s="82"/>
      <c r="BVT32" s="82"/>
      <c r="BVU32" s="82"/>
      <c r="BVV32" s="82"/>
      <c r="BVW32" s="82"/>
      <c r="BVX32" s="82"/>
      <c r="BVY32" s="82"/>
      <c r="BVZ32" s="82"/>
      <c r="BWA32" s="82"/>
      <c r="BWB32" s="82"/>
      <c r="BWC32" s="82"/>
      <c r="BWD32" s="82"/>
      <c r="BWE32" s="82"/>
      <c r="BWF32" s="82"/>
      <c r="BWG32" s="82"/>
      <c r="BWH32" s="82"/>
      <c r="BWI32" s="82"/>
      <c r="BWJ32" s="82"/>
      <c r="BWK32" s="82"/>
      <c r="BWL32" s="82"/>
      <c r="BWM32" s="82"/>
      <c r="BWN32" s="82"/>
      <c r="BWO32" s="82"/>
      <c r="BWP32" s="82"/>
      <c r="BWQ32" s="82"/>
      <c r="BWR32" s="82"/>
      <c r="BWS32" s="82"/>
      <c r="BWT32" s="82"/>
      <c r="BWU32" s="82"/>
      <c r="BWV32" s="82"/>
      <c r="BWW32" s="82"/>
      <c r="BWX32" s="82"/>
      <c r="BWY32" s="82"/>
      <c r="BWZ32" s="82"/>
      <c r="BXA32" s="82"/>
      <c r="BXB32" s="82"/>
      <c r="BXC32" s="82"/>
      <c r="BXD32" s="82"/>
      <c r="BXE32" s="82"/>
      <c r="BXF32" s="82"/>
      <c r="BXG32" s="82"/>
      <c r="BXH32" s="82"/>
      <c r="BXI32" s="82"/>
      <c r="BXJ32" s="82"/>
      <c r="BXK32" s="82"/>
      <c r="BXL32" s="82"/>
      <c r="BXM32" s="82"/>
      <c r="BXN32" s="82"/>
      <c r="BXO32" s="82"/>
      <c r="BXP32" s="82"/>
      <c r="BXQ32" s="82"/>
      <c r="BXR32" s="82"/>
      <c r="BXS32" s="82"/>
      <c r="BXT32" s="82"/>
      <c r="BXU32" s="82"/>
      <c r="BXV32" s="82"/>
      <c r="BXW32" s="82"/>
      <c r="BXX32" s="82"/>
      <c r="BXY32" s="82"/>
      <c r="BXZ32" s="82"/>
      <c r="BYA32" s="82"/>
      <c r="BYB32" s="82"/>
      <c r="BYC32" s="82"/>
      <c r="BYD32" s="82"/>
      <c r="BYE32" s="82"/>
      <c r="BYF32" s="82"/>
      <c r="BYG32" s="82"/>
    </row>
    <row r="33" spans="1:2009" s="80" customFormat="1" ht="24.95" hidden="1" customHeight="1" x14ac:dyDescent="0.25">
      <c r="A33" s="107"/>
      <c r="B33" s="84" t="s">
        <v>38</v>
      </c>
      <c r="C33" s="144"/>
      <c r="D33" s="144"/>
      <c r="E33" s="145"/>
      <c r="F33" s="145"/>
      <c r="G33" s="499"/>
      <c r="H33" s="744"/>
      <c r="I33" s="21"/>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row>
    <row r="34" spans="1:2009" s="171" customFormat="1" ht="24.95" hidden="1" customHeight="1" thickBot="1" x14ac:dyDescent="0.3">
      <c r="A34" s="172"/>
      <c r="B34" s="168" t="s">
        <v>68</v>
      </c>
      <c r="C34" s="169"/>
      <c r="D34" s="169"/>
      <c r="E34" s="169"/>
      <c r="F34" s="169"/>
      <c r="G34" s="500"/>
      <c r="H34" s="746"/>
      <c r="I34" s="2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c r="DY34" s="170"/>
      <c r="DZ34" s="170"/>
      <c r="EA34" s="170"/>
      <c r="EB34" s="170"/>
      <c r="EC34" s="170"/>
      <c r="ED34" s="170"/>
      <c r="EE34" s="170"/>
      <c r="EF34" s="170"/>
      <c r="EG34" s="170"/>
      <c r="EH34" s="170"/>
      <c r="EI34" s="170"/>
      <c r="EJ34" s="170"/>
      <c r="EK34" s="170"/>
      <c r="EL34" s="170"/>
      <c r="EM34" s="170"/>
      <c r="EN34" s="170"/>
      <c r="EO34" s="170"/>
      <c r="EP34" s="170"/>
      <c r="EQ34" s="170"/>
      <c r="ER34" s="170"/>
      <c r="ES34" s="170"/>
      <c r="ET34" s="170"/>
      <c r="EU34" s="170"/>
      <c r="EV34" s="170"/>
      <c r="EW34" s="170"/>
      <c r="EX34" s="170"/>
      <c r="EY34" s="170"/>
      <c r="EZ34" s="170"/>
      <c r="FA34" s="170"/>
      <c r="FB34" s="170"/>
      <c r="FC34" s="170"/>
      <c r="FD34" s="170"/>
      <c r="FE34" s="170"/>
      <c r="FF34" s="170"/>
      <c r="FG34" s="170"/>
      <c r="FH34" s="170"/>
      <c r="FI34" s="170"/>
      <c r="FJ34" s="170"/>
      <c r="FK34" s="170"/>
      <c r="FL34" s="170"/>
      <c r="FM34" s="170"/>
      <c r="FN34" s="170"/>
      <c r="FO34" s="170"/>
      <c r="FP34" s="170"/>
      <c r="FQ34" s="170"/>
      <c r="FR34" s="170"/>
      <c r="FS34" s="170"/>
      <c r="FT34" s="170"/>
      <c r="FU34" s="170"/>
      <c r="FV34" s="170"/>
      <c r="FW34" s="170"/>
      <c r="FX34" s="170"/>
      <c r="FY34" s="170"/>
      <c r="FZ34" s="170"/>
      <c r="GA34" s="170"/>
      <c r="GB34" s="170"/>
      <c r="GC34" s="170"/>
      <c r="GD34" s="170"/>
      <c r="GE34" s="170"/>
      <c r="GF34" s="170"/>
      <c r="GG34" s="170"/>
      <c r="GH34" s="170"/>
      <c r="GI34" s="170"/>
      <c r="GJ34" s="170"/>
      <c r="GK34" s="170"/>
      <c r="GL34" s="170"/>
      <c r="GM34" s="170"/>
      <c r="GN34" s="170"/>
      <c r="GO34" s="170"/>
      <c r="GP34" s="170"/>
      <c r="GQ34" s="170"/>
      <c r="GR34" s="170"/>
      <c r="GS34" s="170"/>
      <c r="GT34" s="170"/>
      <c r="GU34" s="170"/>
      <c r="GV34" s="170"/>
      <c r="GW34" s="170"/>
      <c r="GX34" s="170"/>
      <c r="GY34" s="170"/>
      <c r="GZ34" s="170"/>
      <c r="HA34" s="170"/>
      <c r="HB34" s="170"/>
      <c r="HC34" s="170"/>
      <c r="HD34" s="170"/>
      <c r="HE34" s="170"/>
      <c r="HF34" s="170"/>
      <c r="HG34" s="170"/>
      <c r="HH34" s="170"/>
      <c r="HI34" s="170"/>
      <c r="HJ34" s="170"/>
      <c r="HK34" s="170"/>
      <c r="HL34" s="170"/>
      <c r="HM34" s="170"/>
      <c r="HN34" s="170"/>
      <c r="HO34" s="170"/>
      <c r="HP34" s="170"/>
      <c r="HQ34" s="170"/>
      <c r="HR34" s="170"/>
      <c r="HS34" s="170"/>
      <c r="HT34" s="170"/>
      <c r="HU34" s="170"/>
      <c r="HV34" s="170"/>
      <c r="HW34" s="170"/>
      <c r="HX34" s="170"/>
      <c r="HY34" s="170"/>
      <c r="HZ34" s="170"/>
      <c r="IA34" s="170"/>
      <c r="IB34" s="170"/>
      <c r="IC34" s="170"/>
      <c r="ID34" s="170"/>
      <c r="IE34" s="170"/>
      <c r="IF34" s="170"/>
      <c r="IG34" s="170"/>
      <c r="IH34" s="170"/>
      <c r="II34" s="170"/>
      <c r="IJ34" s="170"/>
      <c r="IK34" s="170"/>
      <c r="IL34" s="170"/>
      <c r="IM34" s="170"/>
      <c r="IN34" s="170"/>
      <c r="IO34" s="170"/>
      <c r="IP34" s="170"/>
      <c r="IQ34" s="170"/>
      <c r="IR34" s="170"/>
      <c r="IS34" s="170"/>
      <c r="IT34" s="170"/>
      <c r="IU34" s="170"/>
      <c r="IV34" s="170"/>
      <c r="IW34" s="170"/>
      <c r="IX34" s="170"/>
      <c r="IY34" s="170"/>
      <c r="IZ34" s="170"/>
      <c r="JA34" s="170"/>
      <c r="JB34" s="170"/>
      <c r="JC34" s="170"/>
      <c r="JD34" s="170"/>
      <c r="JE34" s="170"/>
      <c r="JF34" s="170"/>
      <c r="JG34" s="170"/>
      <c r="JH34" s="170"/>
      <c r="JI34" s="170"/>
      <c r="JJ34" s="170"/>
      <c r="JK34" s="170"/>
      <c r="JL34" s="170"/>
      <c r="JM34" s="170"/>
      <c r="JN34" s="170"/>
      <c r="JO34" s="170"/>
      <c r="JP34" s="170"/>
      <c r="JQ34" s="170"/>
      <c r="JR34" s="170"/>
      <c r="JS34" s="170"/>
      <c r="JT34" s="170"/>
      <c r="JU34" s="170"/>
      <c r="JV34" s="170"/>
      <c r="JW34" s="170"/>
      <c r="JX34" s="170"/>
      <c r="JY34" s="170"/>
      <c r="JZ34" s="170"/>
      <c r="KA34" s="170"/>
      <c r="KB34" s="170"/>
      <c r="KC34" s="170"/>
      <c r="KD34" s="170"/>
      <c r="KE34" s="170"/>
      <c r="KF34" s="170"/>
      <c r="KG34" s="170"/>
      <c r="KH34" s="170"/>
      <c r="KI34" s="170"/>
      <c r="KJ34" s="170"/>
      <c r="KK34" s="170"/>
      <c r="KL34" s="170"/>
      <c r="KM34" s="170"/>
      <c r="KN34" s="170"/>
      <c r="KO34" s="170"/>
      <c r="KP34" s="170"/>
      <c r="KQ34" s="170"/>
      <c r="KR34" s="170"/>
      <c r="KS34" s="170"/>
      <c r="KT34" s="170"/>
      <c r="KU34" s="170"/>
      <c r="KV34" s="170"/>
      <c r="KW34" s="170"/>
      <c r="KX34" s="170"/>
      <c r="KY34" s="170"/>
      <c r="KZ34" s="170"/>
      <c r="LA34" s="170"/>
      <c r="LB34" s="170"/>
      <c r="LC34" s="170"/>
      <c r="LD34" s="170"/>
      <c r="LE34" s="170"/>
      <c r="LF34" s="170"/>
      <c r="LG34" s="170"/>
      <c r="LH34" s="170"/>
      <c r="LI34" s="170"/>
      <c r="LJ34" s="170"/>
      <c r="LK34" s="170"/>
      <c r="LL34" s="170"/>
      <c r="LM34" s="170"/>
      <c r="LN34" s="170"/>
      <c r="LO34" s="170"/>
      <c r="LP34" s="170"/>
      <c r="LQ34" s="170"/>
      <c r="LR34" s="170"/>
      <c r="LS34" s="170"/>
      <c r="LT34" s="170"/>
      <c r="LU34" s="170"/>
      <c r="LV34" s="170"/>
      <c r="LW34" s="170"/>
      <c r="LX34" s="170"/>
      <c r="LY34" s="170"/>
      <c r="LZ34" s="170"/>
      <c r="MA34" s="170"/>
      <c r="MB34" s="170"/>
      <c r="MC34" s="170"/>
      <c r="MD34" s="170"/>
      <c r="ME34" s="170"/>
      <c r="MF34" s="170"/>
      <c r="MG34" s="170"/>
      <c r="MH34" s="170"/>
      <c r="MI34" s="170"/>
      <c r="MJ34" s="170"/>
      <c r="MK34" s="170"/>
      <c r="ML34" s="170"/>
      <c r="MM34" s="170"/>
      <c r="MN34" s="170"/>
      <c r="MO34" s="170"/>
      <c r="MP34" s="170"/>
      <c r="MQ34" s="170"/>
      <c r="MR34" s="170"/>
      <c r="MS34" s="170"/>
      <c r="MT34" s="170"/>
      <c r="MU34" s="170"/>
      <c r="MV34" s="170"/>
      <c r="MW34" s="170"/>
      <c r="MX34" s="170"/>
      <c r="MY34" s="170"/>
      <c r="MZ34" s="170"/>
      <c r="NA34" s="170"/>
      <c r="NB34" s="170"/>
      <c r="NC34" s="170"/>
      <c r="ND34" s="170"/>
      <c r="NE34" s="170"/>
      <c r="NF34" s="170"/>
      <c r="NG34" s="170"/>
      <c r="NH34" s="170"/>
      <c r="NI34" s="170"/>
      <c r="NJ34" s="170"/>
      <c r="NK34" s="170"/>
      <c r="NL34" s="170"/>
      <c r="NM34" s="170"/>
      <c r="NN34" s="170"/>
      <c r="NO34" s="170"/>
      <c r="NP34" s="170"/>
      <c r="NQ34" s="170"/>
      <c r="NR34" s="170"/>
      <c r="NS34" s="170"/>
      <c r="NT34" s="170"/>
      <c r="NU34" s="170"/>
      <c r="NV34" s="170"/>
      <c r="NW34" s="170"/>
      <c r="NX34" s="170"/>
      <c r="NY34" s="170"/>
      <c r="NZ34" s="170"/>
      <c r="OA34" s="170"/>
      <c r="OB34" s="170"/>
      <c r="OC34" s="170"/>
      <c r="OD34" s="170"/>
      <c r="OE34" s="170"/>
      <c r="OF34" s="170"/>
      <c r="OG34" s="170"/>
      <c r="OH34" s="170"/>
      <c r="OI34" s="170"/>
      <c r="OJ34" s="170"/>
      <c r="OK34" s="170"/>
      <c r="OL34" s="170"/>
      <c r="OM34" s="170"/>
      <c r="ON34" s="170"/>
      <c r="OO34" s="170"/>
      <c r="OP34" s="170"/>
      <c r="OQ34" s="170"/>
      <c r="OR34" s="170"/>
      <c r="OS34" s="170"/>
      <c r="OT34" s="170"/>
      <c r="OU34" s="170"/>
      <c r="OV34" s="170"/>
      <c r="OW34" s="170"/>
      <c r="OX34" s="170"/>
      <c r="OY34" s="170"/>
      <c r="OZ34" s="170"/>
      <c r="PA34" s="170"/>
      <c r="PB34" s="170"/>
      <c r="PC34" s="170"/>
      <c r="PD34" s="170"/>
      <c r="PE34" s="170"/>
      <c r="PF34" s="170"/>
      <c r="PG34" s="170"/>
      <c r="PH34" s="170"/>
      <c r="PI34" s="170"/>
      <c r="PJ34" s="170"/>
      <c r="PK34" s="170"/>
      <c r="PL34" s="170"/>
      <c r="PM34" s="170"/>
      <c r="PN34" s="170"/>
      <c r="PO34" s="170"/>
      <c r="PP34" s="170"/>
      <c r="PQ34" s="170"/>
      <c r="PR34" s="170"/>
      <c r="PS34" s="170"/>
      <c r="PT34" s="170"/>
      <c r="PU34" s="170"/>
      <c r="PV34" s="170"/>
      <c r="PW34" s="170"/>
      <c r="PX34" s="170"/>
      <c r="PY34" s="170"/>
      <c r="PZ34" s="170"/>
      <c r="QA34" s="170"/>
      <c r="QB34" s="170"/>
      <c r="QC34" s="170"/>
      <c r="QD34" s="170"/>
      <c r="QE34" s="170"/>
      <c r="QF34" s="170"/>
      <c r="QG34" s="170"/>
      <c r="QH34" s="170"/>
      <c r="QI34" s="170"/>
      <c r="QJ34" s="170"/>
      <c r="QK34" s="170"/>
      <c r="QL34" s="170"/>
      <c r="QM34" s="170"/>
      <c r="QN34" s="170"/>
      <c r="QO34" s="170"/>
      <c r="QP34" s="170"/>
      <c r="QQ34" s="170"/>
      <c r="QR34" s="170"/>
      <c r="QS34" s="170"/>
      <c r="QT34" s="170"/>
      <c r="QU34" s="170"/>
      <c r="QV34" s="170"/>
      <c r="QW34" s="170"/>
      <c r="QX34" s="170"/>
      <c r="QY34" s="170"/>
      <c r="QZ34" s="170"/>
      <c r="RA34" s="170"/>
      <c r="RB34" s="170"/>
      <c r="RC34" s="170"/>
      <c r="RD34" s="170"/>
      <c r="RE34" s="170"/>
      <c r="RF34" s="170"/>
      <c r="RG34" s="170"/>
      <c r="RH34" s="170"/>
      <c r="RI34" s="170"/>
      <c r="RJ34" s="170"/>
      <c r="RK34" s="170"/>
      <c r="RL34" s="170"/>
      <c r="RM34" s="170"/>
      <c r="RN34" s="170"/>
      <c r="RO34" s="170"/>
      <c r="RP34" s="170"/>
      <c r="RQ34" s="170"/>
      <c r="RR34" s="170"/>
      <c r="RS34" s="170"/>
      <c r="RT34" s="170"/>
      <c r="RU34" s="170"/>
      <c r="RV34" s="170"/>
      <c r="RW34" s="170"/>
      <c r="RX34" s="170"/>
      <c r="RY34" s="170"/>
      <c r="RZ34" s="170"/>
      <c r="SA34" s="170"/>
      <c r="SB34" s="170"/>
      <c r="SC34" s="170"/>
      <c r="SD34" s="170"/>
      <c r="SE34" s="170"/>
      <c r="SF34" s="170"/>
      <c r="SG34" s="170"/>
      <c r="SH34" s="170"/>
      <c r="SI34" s="170"/>
      <c r="SJ34" s="170"/>
      <c r="SK34" s="170"/>
      <c r="SL34" s="170"/>
      <c r="SM34" s="170"/>
      <c r="SN34" s="170"/>
      <c r="SO34" s="170"/>
      <c r="SP34" s="170"/>
      <c r="SQ34" s="170"/>
      <c r="SR34" s="170"/>
      <c r="SS34" s="170"/>
      <c r="ST34" s="170"/>
      <c r="SU34" s="170"/>
      <c r="SV34" s="170"/>
      <c r="SW34" s="170"/>
      <c r="SX34" s="170"/>
      <c r="SY34" s="170"/>
      <c r="SZ34" s="170"/>
      <c r="TA34" s="170"/>
      <c r="TB34" s="170"/>
      <c r="TC34" s="170"/>
      <c r="TD34" s="170"/>
      <c r="TE34" s="170"/>
      <c r="TF34" s="170"/>
      <c r="TG34" s="170"/>
      <c r="TH34" s="170"/>
      <c r="TI34" s="170"/>
      <c r="TJ34" s="170"/>
      <c r="TK34" s="170"/>
      <c r="TL34" s="170"/>
      <c r="TM34" s="170"/>
      <c r="TN34" s="170"/>
      <c r="TO34" s="170"/>
      <c r="TP34" s="170"/>
      <c r="TQ34" s="170"/>
      <c r="TR34" s="170"/>
      <c r="TS34" s="170"/>
      <c r="TT34" s="170"/>
      <c r="TU34" s="170"/>
      <c r="TV34" s="170"/>
      <c r="TW34" s="170"/>
      <c r="TX34" s="170"/>
      <c r="TY34" s="170"/>
      <c r="TZ34" s="170"/>
      <c r="UA34" s="170"/>
      <c r="UB34" s="170"/>
      <c r="UC34" s="170"/>
      <c r="UD34" s="170"/>
      <c r="UE34" s="170"/>
      <c r="UF34" s="170"/>
      <c r="UG34" s="170"/>
      <c r="UH34" s="170"/>
      <c r="UI34" s="170"/>
      <c r="UJ34" s="170"/>
      <c r="UK34" s="170"/>
      <c r="UL34" s="170"/>
      <c r="UM34" s="170"/>
      <c r="UN34" s="170"/>
      <c r="UO34" s="170"/>
      <c r="UP34" s="170"/>
      <c r="UQ34" s="170"/>
      <c r="UR34" s="170"/>
      <c r="US34" s="170"/>
      <c r="UT34" s="170"/>
      <c r="UU34" s="170"/>
      <c r="UV34" s="170"/>
      <c r="UW34" s="170"/>
      <c r="UX34" s="170"/>
      <c r="UY34" s="170"/>
      <c r="UZ34" s="170"/>
      <c r="VA34" s="170"/>
      <c r="VB34" s="170"/>
      <c r="VC34" s="170"/>
      <c r="VD34" s="170"/>
      <c r="VE34" s="170"/>
      <c r="VF34" s="170"/>
      <c r="VG34" s="170"/>
      <c r="VH34" s="170"/>
      <c r="VI34" s="170"/>
      <c r="VJ34" s="170"/>
      <c r="VK34" s="170"/>
      <c r="VL34" s="170"/>
      <c r="VM34" s="170"/>
      <c r="VN34" s="170"/>
      <c r="VO34" s="170"/>
      <c r="VP34" s="170"/>
      <c r="VQ34" s="170"/>
      <c r="VR34" s="170"/>
      <c r="VS34" s="170"/>
      <c r="VT34" s="170"/>
      <c r="VU34" s="170"/>
      <c r="VV34" s="170"/>
      <c r="VW34" s="170"/>
      <c r="VX34" s="170"/>
      <c r="VY34" s="170"/>
      <c r="VZ34" s="170"/>
      <c r="WA34" s="170"/>
      <c r="WB34" s="170"/>
      <c r="WC34" s="170"/>
      <c r="WD34" s="170"/>
      <c r="WE34" s="170"/>
      <c r="WF34" s="170"/>
      <c r="WG34" s="170"/>
      <c r="WH34" s="170"/>
      <c r="WI34" s="170"/>
      <c r="WJ34" s="170"/>
      <c r="WK34" s="170"/>
      <c r="WL34" s="170"/>
      <c r="WM34" s="170"/>
      <c r="WN34" s="170"/>
      <c r="WO34" s="170"/>
      <c r="WP34" s="170"/>
      <c r="WQ34" s="170"/>
      <c r="WR34" s="170"/>
      <c r="WS34" s="170"/>
      <c r="WT34" s="170"/>
      <c r="WU34" s="170"/>
      <c r="WV34" s="170"/>
      <c r="WW34" s="170"/>
      <c r="WX34" s="170"/>
      <c r="WY34" s="170"/>
      <c r="WZ34" s="170"/>
      <c r="XA34" s="170"/>
      <c r="XB34" s="170"/>
      <c r="XC34" s="170"/>
      <c r="XD34" s="170"/>
      <c r="XE34" s="170"/>
      <c r="XF34" s="170"/>
      <c r="XG34" s="170"/>
      <c r="XH34" s="170"/>
      <c r="XI34" s="170"/>
      <c r="XJ34" s="170"/>
      <c r="XK34" s="170"/>
      <c r="XL34" s="170"/>
      <c r="XM34" s="170"/>
      <c r="XN34" s="170"/>
      <c r="XO34" s="170"/>
      <c r="XP34" s="170"/>
      <c r="XQ34" s="170"/>
      <c r="XR34" s="170"/>
      <c r="XS34" s="170"/>
      <c r="XT34" s="170"/>
      <c r="XU34" s="170"/>
      <c r="XV34" s="170"/>
      <c r="XW34" s="170"/>
      <c r="XX34" s="170"/>
      <c r="XY34" s="170"/>
      <c r="XZ34" s="170"/>
      <c r="YA34" s="170"/>
      <c r="YB34" s="170"/>
      <c r="YC34" s="170"/>
      <c r="YD34" s="170"/>
      <c r="YE34" s="170"/>
      <c r="YF34" s="170"/>
      <c r="YG34" s="170"/>
      <c r="YH34" s="170"/>
      <c r="YI34" s="170"/>
      <c r="YJ34" s="170"/>
      <c r="YK34" s="170"/>
      <c r="YL34" s="170"/>
      <c r="YM34" s="170"/>
      <c r="YN34" s="170"/>
      <c r="YO34" s="170"/>
      <c r="YP34" s="170"/>
      <c r="YQ34" s="170"/>
      <c r="YR34" s="170"/>
      <c r="YS34" s="170"/>
      <c r="YT34" s="170"/>
      <c r="YU34" s="170"/>
      <c r="YV34" s="170"/>
      <c r="YW34" s="170"/>
      <c r="YX34" s="170"/>
      <c r="YY34" s="170"/>
      <c r="YZ34" s="170"/>
      <c r="ZA34" s="170"/>
      <c r="ZB34" s="170"/>
      <c r="ZC34" s="170"/>
      <c r="ZD34" s="170"/>
      <c r="ZE34" s="170"/>
      <c r="ZF34" s="170"/>
      <c r="ZG34" s="170"/>
      <c r="ZH34" s="170"/>
      <c r="ZI34" s="170"/>
      <c r="ZJ34" s="170"/>
      <c r="ZK34" s="170"/>
      <c r="ZL34" s="170"/>
      <c r="ZM34" s="170"/>
      <c r="ZN34" s="170"/>
      <c r="ZO34" s="170"/>
      <c r="ZP34" s="170"/>
      <c r="ZQ34" s="170"/>
      <c r="ZR34" s="170"/>
      <c r="ZS34" s="170"/>
      <c r="ZT34" s="170"/>
      <c r="ZU34" s="170"/>
      <c r="ZV34" s="170"/>
      <c r="ZW34" s="170"/>
      <c r="ZX34" s="170"/>
      <c r="ZY34" s="170"/>
      <c r="ZZ34" s="170"/>
      <c r="AAA34" s="170"/>
      <c r="AAB34" s="170"/>
      <c r="AAC34" s="170"/>
      <c r="AAD34" s="170"/>
      <c r="AAE34" s="170"/>
      <c r="AAF34" s="170"/>
      <c r="AAG34" s="170"/>
      <c r="AAH34" s="170"/>
      <c r="AAI34" s="170"/>
      <c r="AAJ34" s="170"/>
      <c r="AAK34" s="170"/>
      <c r="AAL34" s="170"/>
      <c r="AAM34" s="170"/>
      <c r="AAN34" s="170"/>
      <c r="AAO34" s="170"/>
      <c r="AAP34" s="170"/>
      <c r="AAQ34" s="170"/>
      <c r="AAR34" s="170"/>
      <c r="AAS34" s="170"/>
      <c r="AAT34" s="170"/>
      <c r="AAU34" s="170"/>
      <c r="AAV34" s="170"/>
      <c r="AAW34" s="170"/>
      <c r="AAX34" s="170"/>
      <c r="AAY34" s="170"/>
      <c r="AAZ34" s="170"/>
      <c r="ABA34" s="170"/>
      <c r="ABB34" s="170"/>
      <c r="ABC34" s="170"/>
      <c r="ABD34" s="170"/>
      <c r="ABE34" s="170"/>
      <c r="ABF34" s="170"/>
      <c r="ABG34" s="170"/>
      <c r="ABH34" s="170"/>
      <c r="ABI34" s="170"/>
      <c r="ABJ34" s="170"/>
      <c r="ABK34" s="170"/>
      <c r="ABL34" s="170"/>
      <c r="ABM34" s="170"/>
      <c r="ABN34" s="170"/>
      <c r="ABO34" s="170"/>
      <c r="ABP34" s="170"/>
      <c r="ABQ34" s="170"/>
      <c r="ABR34" s="170"/>
      <c r="ABS34" s="170"/>
      <c r="ABT34" s="170"/>
      <c r="ABU34" s="170"/>
      <c r="ABV34" s="170"/>
      <c r="ABW34" s="170"/>
      <c r="ABX34" s="170"/>
      <c r="ABY34" s="170"/>
      <c r="ABZ34" s="170"/>
      <c r="ACA34" s="170"/>
      <c r="ACB34" s="170"/>
      <c r="ACC34" s="170"/>
      <c r="ACD34" s="170"/>
      <c r="ACE34" s="170"/>
      <c r="ACF34" s="170"/>
      <c r="ACG34" s="170"/>
      <c r="ACH34" s="170"/>
      <c r="ACI34" s="170"/>
      <c r="ACJ34" s="170"/>
      <c r="ACK34" s="170"/>
      <c r="ACL34" s="170"/>
      <c r="ACM34" s="170"/>
      <c r="ACN34" s="170"/>
      <c r="ACO34" s="170"/>
      <c r="ACP34" s="170"/>
      <c r="ACQ34" s="170"/>
      <c r="ACR34" s="170"/>
      <c r="ACS34" s="170"/>
      <c r="ACT34" s="170"/>
      <c r="ACU34" s="170"/>
      <c r="ACV34" s="170"/>
      <c r="ACW34" s="170"/>
      <c r="ACX34" s="170"/>
      <c r="ACY34" s="170"/>
      <c r="ACZ34" s="170"/>
      <c r="ADA34" s="170"/>
      <c r="ADB34" s="170"/>
      <c r="ADC34" s="170"/>
      <c r="ADD34" s="170"/>
      <c r="ADE34" s="170"/>
      <c r="ADF34" s="170"/>
      <c r="ADG34" s="170"/>
      <c r="ADH34" s="170"/>
      <c r="ADI34" s="170"/>
      <c r="ADJ34" s="170"/>
      <c r="ADK34" s="170"/>
      <c r="ADL34" s="170"/>
      <c r="ADM34" s="170"/>
      <c r="ADN34" s="170"/>
      <c r="ADO34" s="170"/>
      <c r="ADP34" s="170"/>
      <c r="ADQ34" s="170"/>
      <c r="ADR34" s="170"/>
      <c r="ADS34" s="170"/>
      <c r="ADT34" s="170"/>
      <c r="ADU34" s="170"/>
      <c r="ADV34" s="170"/>
      <c r="ADW34" s="170"/>
      <c r="ADX34" s="170"/>
      <c r="ADY34" s="170"/>
      <c r="ADZ34" s="170"/>
      <c r="AEA34" s="170"/>
      <c r="AEB34" s="170"/>
      <c r="AEC34" s="170"/>
      <c r="AED34" s="170"/>
      <c r="AEE34" s="170"/>
      <c r="AEF34" s="170"/>
      <c r="AEG34" s="170"/>
      <c r="AEH34" s="170"/>
      <c r="AEI34" s="170"/>
      <c r="AEJ34" s="170"/>
      <c r="AEK34" s="170"/>
      <c r="AEL34" s="170"/>
      <c r="AEM34" s="170"/>
      <c r="AEN34" s="170"/>
      <c r="AEO34" s="170"/>
      <c r="AEP34" s="170"/>
      <c r="AEQ34" s="170"/>
      <c r="AER34" s="170"/>
      <c r="AES34" s="170"/>
      <c r="AET34" s="170"/>
      <c r="AEU34" s="170"/>
      <c r="AEV34" s="170"/>
      <c r="AEW34" s="170"/>
      <c r="AEX34" s="170"/>
      <c r="AEY34" s="170"/>
      <c r="AEZ34" s="170"/>
      <c r="AFA34" s="170"/>
      <c r="AFB34" s="170"/>
      <c r="AFC34" s="170"/>
      <c r="AFD34" s="170"/>
      <c r="AFE34" s="170"/>
      <c r="AFF34" s="170"/>
      <c r="AFG34" s="170"/>
      <c r="AFH34" s="170"/>
      <c r="AFI34" s="170"/>
      <c r="AFJ34" s="170"/>
      <c r="AFK34" s="170"/>
      <c r="AFL34" s="170"/>
      <c r="AFM34" s="170"/>
      <c r="AFN34" s="170"/>
      <c r="AFO34" s="170"/>
      <c r="AFP34" s="170"/>
      <c r="AFQ34" s="170"/>
      <c r="AFR34" s="170"/>
      <c r="AFS34" s="170"/>
      <c r="AFT34" s="170"/>
      <c r="AFU34" s="170"/>
      <c r="AFV34" s="170"/>
      <c r="AFW34" s="170"/>
      <c r="AFX34" s="170"/>
      <c r="AFY34" s="170"/>
      <c r="AFZ34" s="170"/>
      <c r="AGA34" s="170"/>
      <c r="AGB34" s="170"/>
      <c r="AGC34" s="170"/>
      <c r="AGD34" s="170"/>
      <c r="AGE34" s="170"/>
      <c r="AGF34" s="170"/>
      <c r="AGG34" s="170"/>
      <c r="AGH34" s="170"/>
      <c r="AGI34" s="170"/>
      <c r="AGJ34" s="170"/>
      <c r="AGK34" s="170"/>
      <c r="AGL34" s="170"/>
      <c r="AGM34" s="170"/>
      <c r="AGN34" s="170"/>
      <c r="AGO34" s="170"/>
      <c r="AGP34" s="170"/>
      <c r="AGQ34" s="170"/>
      <c r="AGR34" s="170"/>
      <c r="AGS34" s="170"/>
      <c r="AGT34" s="170"/>
      <c r="AGU34" s="170"/>
      <c r="AGV34" s="170"/>
      <c r="AGW34" s="170"/>
      <c r="AGX34" s="170"/>
      <c r="AGY34" s="170"/>
      <c r="AGZ34" s="170"/>
      <c r="AHA34" s="170"/>
      <c r="AHB34" s="170"/>
      <c r="AHC34" s="170"/>
      <c r="AHD34" s="170"/>
      <c r="AHE34" s="170"/>
      <c r="AHF34" s="170"/>
      <c r="AHG34" s="170"/>
      <c r="AHH34" s="170"/>
      <c r="AHI34" s="170"/>
      <c r="AHJ34" s="170"/>
      <c r="AHK34" s="170"/>
      <c r="AHL34" s="170"/>
      <c r="AHM34" s="170"/>
      <c r="AHN34" s="170"/>
      <c r="AHO34" s="170"/>
      <c r="AHP34" s="170"/>
      <c r="AHQ34" s="170"/>
      <c r="AHR34" s="170"/>
      <c r="AHS34" s="170"/>
      <c r="AHT34" s="170"/>
      <c r="AHU34" s="170"/>
      <c r="AHV34" s="170"/>
      <c r="AHW34" s="170"/>
      <c r="AHX34" s="170"/>
      <c r="AHY34" s="170"/>
      <c r="AHZ34" s="170"/>
      <c r="AIA34" s="170"/>
      <c r="AIB34" s="170"/>
      <c r="AIC34" s="170"/>
      <c r="AID34" s="170"/>
      <c r="AIE34" s="170"/>
      <c r="AIF34" s="170"/>
      <c r="AIG34" s="170"/>
      <c r="AIH34" s="170"/>
      <c r="AII34" s="170"/>
      <c r="AIJ34" s="170"/>
      <c r="AIK34" s="170"/>
      <c r="AIL34" s="170"/>
      <c r="AIM34" s="170"/>
      <c r="AIN34" s="170"/>
      <c r="AIO34" s="170"/>
      <c r="AIP34" s="170"/>
      <c r="AIQ34" s="170"/>
      <c r="AIR34" s="170"/>
      <c r="AIS34" s="170"/>
      <c r="AIT34" s="170"/>
      <c r="AIU34" s="170"/>
      <c r="AIV34" s="170"/>
      <c r="AIW34" s="170"/>
      <c r="AIX34" s="170"/>
      <c r="AIY34" s="170"/>
      <c r="AIZ34" s="170"/>
      <c r="AJA34" s="170"/>
      <c r="AJB34" s="170"/>
      <c r="AJC34" s="170"/>
      <c r="AJD34" s="170"/>
      <c r="AJE34" s="170"/>
      <c r="AJF34" s="170"/>
      <c r="AJG34" s="170"/>
      <c r="AJH34" s="170"/>
      <c r="AJI34" s="170"/>
      <c r="AJJ34" s="170"/>
      <c r="AJK34" s="170"/>
      <c r="AJL34" s="170"/>
      <c r="AJM34" s="170"/>
      <c r="AJN34" s="170"/>
      <c r="AJO34" s="170"/>
      <c r="AJP34" s="170"/>
      <c r="AJQ34" s="170"/>
      <c r="AJR34" s="170"/>
      <c r="AJS34" s="170"/>
      <c r="AJT34" s="170"/>
      <c r="AJU34" s="170"/>
      <c r="AJV34" s="170"/>
      <c r="AJW34" s="170"/>
      <c r="AJX34" s="170"/>
      <c r="AJY34" s="170"/>
      <c r="AJZ34" s="170"/>
      <c r="AKA34" s="170"/>
      <c r="AKB34" s="170"/>
      <c r="AKC34" s="170"/>
      <c r="AKD34" s="170"/>
      <c r="AKE34" s="170"/>
      <c r="AKF34" s="170"/>
      <c r="AKG34" s="170"/>
      <c r="AKH34" s="170"/>
      <c r="AKI34" s="170"/>
      <c r="AKJ34" s="170"/>
      <c r="AKK34" s="170"/>
      <c r="AKL34" s="170"/>
      <c r="AKM34" s="170"/>
      <c r="AKN34" s="170"/>
      <c r="AKO34" s="170"/>
      <c r="AKP34" s="170"/>
      <c r="AKQ34" s="170"/>
      <c r="AKR34" s="170"/>
      <c r="AKS34" s="170"/>
      <c r="AKT34" s="170"/>
      <c r="AKU34" s="170"/>
      <c r="AKV34" s="170"/>
      <c r="AKW34" s="170"/>
      <c r="AKX34" s="170"/>
      <c r="AKY34" s="170"/>
      <c r="AKZ34" s="170"/>
      <c r="ALA34" s="170"/>
      <c r="ALB34" s="170"/>
      <c r="ALC34" s="170"/>
      <c r="ALD34" s="170"/>
      <c r="ALE34" s="170"/>
      <c r="ALF34" s="170"/>
      <c r="ALG34" s="170"/>
      <c r="ALH34" s="170"/>
      <c r="ALI34" s="170"/>
      <c r="ALJ34" s="170"/>
      <c r="ALK34" s="170"/>
      <c r="ALL34" s="170"/>
      <c r="ALM34" s="170"/>
      <c r="ALN34" s="170"/>
      <c r="ALO34" s="170"/>
      <c r="ALP34" s="170"/>
      <c r="ALQ34" s="170"/>
      <c r="ALR34" s="170"/>
      <c r="ALS34" s="170"/>
      <c r="ALT34" s="170"/>
      <c r="ALU34" s="170"/>
      <c r="ALV34" s="170"/>
      <c r="ALW34" s="170"/>
      <c r="ALX34" s="170"/>
      <c r="ALY34" s="170"/>
      <c r="ALZ34" s="170"/>
      <c r="AMA34" s="170"/>
      <c r="AMB34" s="170"/>
      <c r="AMC34" s="170"/>
      <c r="AMD34" s="170"/>
      <c r="AME34" s="170"/>
      <c r="AMF34" s="170"/>
      <c r="AMG34" s="170"/>
      <c r="AMH34" s="170"/>
      <c r="AMI34" s="170"/>
      <c r="AMJ34" s="170"/>
      <c r="AMK34" s="170"/>
      <c r="AML34" s="170"/>
      <c r="AMM34" s="170"/>
      <c r="AMN34" s="170"/>
      <c r="AMO34" s="170"/>
      <c r="AMP34" s="170"/>
      <c r="AMQ34" s="170"/>
      <c r="AMR34" s="170"/>
      <c r="AMS34" s="170"/>
      <c r="AMT34" s="170"/>
      <c r="AMU34" s="170"/>
      <c r="AMV34" s="170"/>
      <c r="AMW34" s="170"/>
      <c r="AMX34" s="170"/>
      <c r="AMY34" s="170"/>
      <c r="AMZ34" s="170"/>
      <c r="ANA34" s="170"/>
      <c r="ANB34" s="170"/>
      <c r="ANC34" s="170"/>
      <c r="AND34" s="170"/>
      <c r="ANE34" s="170"/>
      <c r="ANF34" s="170"/>
      <c r="ANG34" s="170"/>
      <c r="ANH34" s="170"/>
      <c r="ANI34" s="170"/>
      <c r="ANJ34" s="170"/>
      <c r="ANK34" s="170"/>
      <c r="ANL34" s="170"/>
      <c r="ANM34" s="170"/>
      <c r="ANN34" s="170"/>
      <c r="ANO34" s="170"/>
      <c r="ANP34" s="170"/>
      <c r="ANQ34" s="170"/>
      <c r="ANR34" s="170"/>
      <c r="ANS34" s="170"/>
      <c r="ANT34" s="170"/>
      <c r="ANU34" s="170"/>
      <c r="ANV34" s="170"/>
      <c r="ANW34" s="170"/>
      <c r="ANX34" s="170"/>
      <c r="ANY34" s="170"/>
      <c r="ANZ34" s="170"/>
      <c r="AOA34" s="170"/>
      <c r="AOB34" s="170"/>
      <c r="AOC34" s="170"/>
      <c r="AOD34" s="170"/>
      <c r="AOE34" s="170"/>
      <c r="AOF34" s="170"/>
      <c r="AOG34" s="170"/>
      <c r="AOH34" s="170"/>
      <c r="AOI34" s="170"/>
      <c r="AOJ34" s="170"/>
      <c r="AOK34" s="170"/>
      <c r="AOL34" s="170"/>
      <c r="AOM34" s="170"/>
      <c r="AON34" s="170"/>
      <c r="AOO34" s="170"/>
      <c r="AOP34" s="170"/>
      <c r="AOQ34" s="170"/>
      <c r="AOR34" s="170"/>
      <c r="AOS34" s="170"/>
      <c r="AOT34" s="170"/>
      <c r="AOU34" s="170"/>
      <c r="AOV34" s="170"/>
      <c r="AOW34" s="170"/>
      <c r="AOX34" s="170"/>
      <c r="AOY34" s="170"/>
      <c r="AOZ34" s="170"/>
      <c r="APA34" s="170"/>
      <c r="APB34" s="170"/>
      <c r="APC34" s="170"/>
      <c r="APD34" s="170"/>
      <c r="APE34" s="170"/>
      <c r="APF34" s="170"/>
      <c r="APG34" s="170"/>
      <c r="APH34" s="170"/>
      <c r="API34" s="170"/>
      <c r="APJ34" s="170"/>
      <c r="APK34" s="170"/>
      <c r="APL34" s="170"/>
      <c r="APM34" s="170"/>
      <c r="APN34" s="170"/>
      <c r="APO34" s="170"/>
      <c r="APP34" s="170"/>
      <c r="APQ34" s="170"/>
      <c r="APR34" s="170"/>
      <c r="APS34" s="170"/>
      <c r="APT34" s="170"/>
      <c r="APU34" s="170"/>
      <c r="APV34" s="170"/>
      <c r="APW34" s="170"/>
      <c r="APX34" s="170"/>
      <c r="APY34" s="170"/>
      <c r="APZ34" s="170"/>
      <c r="AQA34" s="170"/>
      <c r="AQB34" s="170"/>
      <c r="AQC34" s="170"/>
      <c r="AQD34" s="170"/>
      <c r="AQE34" s="170"/>
      <c r="AQF34" s="170"/>
      <c r="AQG34" s="170"/>
      <c r="AQH34" s="170"/>
      <c r="AQI34" s="170"/>
      <c r="AQJ34" s="170"/>
      <c r="AQK34" s="170"/>
      <c r="AQL34" s="170"/>
      <c r="AQM34" s="170"/>
      <c r="AQN34" s="170"/>
      <c r="AQO34" s="170"/>
      <c r="AQP34" s="170"/>
      <c r="AQQ34" s="170"/>
      <c r="AQR34" s="170"/>
      <c r="AQS34" s="170"/>
      <c r="AQT34" s="170"/>
      <c r="AQU34" s="170"/>
      <c r="AQV34" s="170"/>
      <c r="AQW34" s="170"/>
      <c r="AQX34" s="170"/>
      <c r="AQY34" s="170"/>
      <c r="AQZ34" s="170"/>
      <c r="ARA34" s="170"/>
      <c r="ARB34" s="170"/>
      <c r="ARC34" s="170"/>
      <c r="ARD34" s="170"/>
      <c r="ARE34" s="170"/>
      <c r="ARF34" s="170"/>
      <c r="ARG34" s="170"/>
      <c r="ARH34" s="170"/>
      <c r="ARI34" s="170"/>
      <c r="ARJ34" s="170"/>
      <c r="ARK34" s="170"/>
      <c r="ARL34" s="170"/>
      <c r="ARM34" s="170"/>
      <c r="ARN34" s="170"/>
      <c r="ARO34" s="170"/>
      <c r="ARP34" s="170"/>
      <c r="ARQ34" s="170"/>
      <c r="ARR34" s="170"/>
      <c r="ARS34" s="170"/>
      <c r="ART34" s="170"/>
      <c r="ARU34" s="170"/>
      <c r="ARV34" s="170"/>
      <c r="ARW34" s="170"/>
      <c r="ARX34" s="170"/>
      <c r="ARY34" s="170"/>
      <c r="ARZ34" s="170"/>
      <c r="ASA34" s="170"/>
      <c r="ASB34" s="170"/>
      <c r="ASC34" s="170"/>
      <c r="ASD34" s="170"/>
      <c r="ASE34" s="170"/>
      <c r="ASF34" s="170"/>
      <c r="ASG34" s="170"/>
      <c r="ASH34" s="170"/>
      <c r="ASI34" s="170"/>
      <c r="ASJ34" s="170"/>
      <c r="ASK34" s="170"/>
      <c r="ASL34" s="170"/>
      <c r="ASM34" s="170"/>
      <c r="ASN34" s="170"/>
      <c r="ASO34" s="170"/>
      <c r="ASP34" s="170"/>
      <c r="ASQ34" s="170"/>
      <c r="ASR34" s="170"/>
      <c r="ASS34" s="170"/>
      <c r="AST34" s="170"/>
      <c r="ASU34" s="170"/>
      <c r="ASV34" s="170"/>
      <c r="ASW34" s="170"/>
      <c r="ASX34" s="170"/>
      <c r="ASY34" s="170"/>
      <c r="ASZ34" s="170"/>
      <c r="ATA34" s="170"/>
      <c r="ATB34" s="170"/>
      <c r="ATC34" s="170"/>
      <c r="ATD34" s="170"/>
      <c r="ATE34" s="170"/>
      <c r="ATF34" s="170"/>
      <c r="ATG34" s="170"/>
      <c r="ATH34" s="170"/>
      <c r="ATI34" s="170"/>
      <c r="ATJ34" s="170"/>
      <c r="ATK34" s="170"/>
      <c r="ATL34" s="170"/>
      <c r="ATM34" s="170"/>
      <c r="ATN34" s="170"/>
      <c r="ATO34" s="170"/>
      <c r="ATP34" s="170"/>
      <c r="ATQ34" s="170"/>
      <c r="ATR34" s="170"/>
      <c r="ATS34" s="170"/>
      <c r="ATT34" s="170"/>
      <c r="ATU34" s="170"/>
      <c r="ATV34" s="170"/>
      <c r="ATW34" s="170"/>
      <c r="ATX34" s="170"/>
      <c r="ATY34" s="170"/>
      <c r="ATZ34" s="170"/>
      <c r="AUA34" s="170"/>
      <c r="AUB34" s="170"/>
      <c r="AUC34" s="170"/>
      <c r="AUD34" s="170"/>
      <c r="AUE34" s="170"/>
      <c r="AUF34" s="170"/>
      <c r="AUG34" s="170"/>
      <c r="AUH34" s="170"/>
      <c r="AUI34" s="170"/>
      <c r="AUJ34" s="170"/>
      <c r="AUK34" s="170"/>
      <c r="AUL34" s="170"/>
      <c r="AUM34" s="170"/>
      <c r="AUN34" s="170"/>
      <c r="AUO34" s="170"/>
      <c r="AUP34" s="170"/>
      <c r="AUQ34" s="170"/>
      <c r="AUR34" s="170"/>
      <c r="AUS34" s="170"/>
      <c r="AUT34" s="170"/>
      <c r="AUU34" s="170"/>
      <c r="AUV34" s="170"/>
      <c r="AUW34" s="170"/>
      <c r="AUX34" s="170"/>
      <c r="AUY34" s="170"/>
      <c r="AUZ34" s="170"/>
      <c r="AVA34" s="170"/>
      <c r="AVB34" s="170"/>
      <c r="AVC34" s="170"/>
      <c r="AVD34" s="170"/>
      <c r="AVE34" s="170"/>
      <c r="AVF34" s="170"/>
      <c r="AVG34" s="170"/>
      <c r="AVH34" s="170"/>
      <c r="AVI34" s="170"/>
      <c r="AVJ34" s="170"/>
      <c r="AVK34" s="170"/>
      <c r="AVL34" s="170"/>
      <c r="AVM34" s="170"/>
      <c r="AVN34" s="170"/>
      <c r="AVO34" s="170"/>
      <c r="AVP34" s="170"/>
      <c r="AVQ34" s="170"/>
      <c r="AVR34" s="170"/>
      <c r="AVS34" s="170"/>
      <c r="AVT34" s="170"/>
      <c r="AVU34" s="170"/>
      <c r="AVV34" s="170"/>
      <c r="AVW34" s="170"/>
      <c r="AVX34" s="170"/>
      <c r="AVY34" s="170"/>
      <c r="AVZ34" s="170"/>
      <c r="AWA34" s="170"/>
      <c r="AWB34" s="170"/>
      <c r="AWC34" s="170"/>
      <c r="AWD34" s="170"/>
      <c r="AWE34" s="170"/>
      <c r="AWF34" s="170"/>
      <c r="AWG34" s="170"/>
      <c r="AWH34" s="170"/>
      <c r="AWI34" s="170"/>
      <c r="AWJ34" s="170"/>
      <c r="AWK34" s="170"/>
      <c r="AWL34" s="170"/>
      <c r="AWM34" s="170"/>
      <c r="AWN34" s="170"/>
      <c r="AWO34" s="170"/>
      <c r="AWP34" s="170"/>
      <c r="AWQ34" s="170"/>
      <c r="AWR34" s="170"/>
      <c r="AWS34" s="170"/>
      <c r="AWT34" s="170"/>
      <c r="AWU34" s="170"/>
      <c r="AWV34" s="170"/>
      <c r="AWW34" s="170"/>
      <c r="AWX34" s="170"/>
      <c r="AWY34" s="170"/>
      <c r="AWZ34" s="170"/>
      <c r="AXA34" s="170"/>
      <c r="AXB34" s="170"/>
      <c r="AXC34" s="170"/>
      <c r="AXD34" s="170"/>
      <c r="AXE34" s="170"/>
      <c r="AXF34" s="170"/>
      <c r="AXG34" s="170"/>
      <c r="AXH34" s="170"/>
      <c r="AXI34" s="170"/>
      <c r="AXJ34" s="170"/>
      <c r="AXK34" s="170"/>
      <c r="AXL34" s="170"/>
      <c r="AXM34" s="170"/>
      <c r="AXN34" s="170"/>
      <c r="AXO34" s="170"/>
      <c r="AXP34" s="170"/>
      <c r="AXQ34" s="170"/>
      <c r="AXR34" s="170"/>
      <c r="AXS34" s="170"/>
      <c r="AXT34" s="170"/>
      <c r="AXU34" s="170"/>
      <c r="AXV34" s="170"/>
      <c r="AXW34" s="170"/>
      <c r="AXX34" s="170"/>
      <c r="AXY34" s="170"/>
      <c r="AXZ34" s="170"/>
      <c r="AYA34" s="170"/>
      <c r="AYB34" s="170"/>
      <c r="AYC34" s="170"/>
      <c r="AYD34" s="170"/>
      <c r="AYE34" s="170"/>
      <c r="AYF34" s="170"/>
      <c r="AYG34" s="170"/>
      <c r="AYH34" s="170"/>
      <c r="AYI34" s="170"/>
      <c r="AYJ34" s="170"/>
      <c r="AYK34" s="170"/>
      <c r="AYL34" s="170"/>
      <c r="AYM34" s="170"/>
      <c r="AYN34" s="170"/>
      <c r="AYO34" s="170"/>
      <c r="AYP34" s="170"/>
      <c r="AYQ34" s="170"/>
      <c r="AYR34" s="170"/>
      <c r="AYS34" s="170"/>
      <c r="AYT34" s="170"/>
      <c r="AYU34" s="170"/>
      <c r="AYV34" s="170"/>
      <c r="AYW34" s="170"/>
      <c r="AYX34" s="170"/>
      <c r="AYY34" s="170"/>
      <c r="AYZ34" s="170"/>
      <c r="AZA34" s="170"/>
      <c r="AZB34" s="170"/>
      <c r="AZC34" s="170"/>
      <c r="AZD34" s="170"/>
      <c r="AZE34" s="170"/>
      <c r="AZF34" s="170"/>
      <c r="AZG34" s="170"/>
      <c r="AZH34" s="170"/>
      <c r="AZI34" s="170"/>
      <c r="AZJ34" s="170"/>
      <c r="AZK34" s="170"/>
      <c r="AZL34" s="170"/>
      <c r="AZM34" s="170"/>
      <c r="AZN34" s="170"/>
      <c r="AZO34" s="170"/>
      <c r="AZP34" s="170"/>
      <c r="AZQ34" s="170"/>
      <c r="AZR34" s="170"/>
      <c r="AZS34" s="170"/>
      <c r="AZT34" s="170"/>
      <c r="AZU34" s="170"/>
      <c r="AZV34" s="170"/>
      <c r="AZW34" s="170"/>
      <c r="AZX34" s="170"/>
      <c r="AZY34" s="170"/>
      <c r="AZZ34" s="170"/>
      <c r="BAA34" s="170"/>
      <c r="BAB34" s="170"/>
      <c r="BAC34" s="170"/>
      <c r="BAD34" s="170"/>
      <c r="BAE34" s="170"/>
      <c r="BAF34" s="170"/>
      <c r="BAG34" s="170"/>
      <c r="BAH34" s="170"/>
      <c r="BAI34" s="170"/>
      <c r="BAJ34" s="170"/>
      <c r="BAK34" s="170"/>
      <c r="BAL34" s="170"/>
      <c r="BAM34" s="170"/>
      <c r="BAN34" s="170"/>
      <c r="BAO34" s="170"/>
      <c r="BAP34" s="170"/>
      <c r="BAQ34" s="170"/>
      <c r="BAR34" s="170"/>
      <c r="BAS34" s="170"/>
      <c r="BAT34" s="170"/>
      <c r="BAU34" s="170"/>
      <c r="BAV34" s="170"/>
      <c r="BAW34" s="170"/>
      <c r="BAX34" s="170"/>
      <c r="BAY34" s="170"/>
      <c r="BAZ34" s="170"/>
      <c r="BBA34" s="170"/>
      <c r="BBB34" s="170"/>
      <c r="BBC34" s="170"/>
      <c r="BBD34" s="170"/>
      <c r="BBE34" s="170"/>
      <c r="BBF34" s="170"/>
      <c r="BBG34" s="170"/>
      <c r="BBH34" s="170"/>
      <c r="BBI34" s="170"/>
      <c r="BBJ34" s="170"/>
      <c r="BBK34" s="170"/>
      <c r="BBL34" s="170"/>
      <c r="BBM34" s="170"/>
      <c r="BBN34" s="170"/>
      <c r="BBO34" s="170"/>
      <c r="BBP34" s="170"/>
      <c r="BBQ34" s="170"/>
      <c r="BBR34" s="170"/>
      <c r="BBS34" s="170"/>
      <c r="BBT34" s="170"/>
      <c r="BBU34" s="170"/>
      <c r="BBV34" s="170"/>
      <c r="BBW34" s="170"/>
      <c r="BBX34" s="170"/>
      <c r="BBY34" s="170"/>
      <c r="BBZ34" s="170"/>
      <c r="BCA34" s="170"/>
      <c r="BCB34" s="170"/>
      <c r="BCC34" s="170"/>
      <c r="BCD34" s="170"/>
      <c r="BCE34" s="170"/>
      <c r="BCF34" s="170"/>
      <c r="BCG34" s="170"/>
      <c r="BCH34" s="170"/>
      <c r="BCI34" s="170"/>
      <c r="BCJ34" s="170"/>
      <c r="BCK34" s="170"/>
      <c r="BCL34" s="170"/>
      <c r="BCM34" s="170"/>
      <c r="BCN34" s="170"/>
      <c r="BCO34" s="170"/>
      <c r="BCP34" s="170"/>
      <c r="BCQ34" s="170"/>
      <c r="BCR34" s="170"/>
      <c r="BCS34" s="170"/>
      <c r="BCT34" s="170"/>
      <c r="BCU34" s="170"/>
      <c r="BCV34" s="170"/>
      <c r="BCW34" s="170"/>
      <c r="BCX34" s="170"/>
      <c r="BCY34" s="170"/>
      <c r="BCZ34" s="170"/>
      <c r="BDA34" s="170"/>
      <c r="BDB34" s="170"/>
      <c r="BDC34" s="170"/>
      <c r="BDD34" s="170"/>
      <c r="BDE34" s="170"/>
      <c r="BDF34" s="170"/>
      <c r="BDG34" s="170"/>
      <c r="BDH34" s="170"/>
      <c r="BDI34" s="170"/>
      <c r="BDJ34" s="170"/>
      <c r="BDK34" s="170"/>
      <c r="BDL34" s="170"/>
      <c r="BDM34" s="170"/>
      <c r="BDN34" s="170"/>
      <c r="BDO34" s="170"/>
      <c r="BDP34" s="170"/>
      <c r="BDQ34" s="170"/>
      <c r="BDR34" s="170"/>
      <c r="BDS34" s="170"/>
      <c r="BDT34" s="170"/>
      <c r="BDU34" s="170"/>
      <c r="BDV34" s="170"/>
      <c r="BDW34" s="170"/>
      <c r="BDX34" s="170"/>
      <c r="BDY34" s="170"/>
      <c r="BDZ34" s="170"/>
      <c r="BEA34" s="170"/>
      <c r="BEB34" s="170"/>
      <c r="BEC34" s="170"/>
      <c r="BED34" s="170"/>
      <c r="BEE34" s="170"/>
      <c r="BEF34" s="170"/>
      <c r="BEG34" s="170"/>
      <c r="BEH34" s="170"/>
      <c r="BEI34" s="170"/>
      <c r="BEJ34" s="170"/>
      <c r="BEK34" s="170"/>
      <c r="BEL34" s="170"/>
      <c r="BEM34" s="170"/>
      <c r="BEN34" s="170"/>
      <c r="BEO34" s="170"/>
      <c r="BEP34" s="170"/>
      <c r="BEQ34" s="170"/>
      <c r="BER34" s="170"/>
      <c r="BES34" s="170"/>
      <c r="BET34" s="170"/>
      <c r="BEU34" s="170"/>
      <c r="BEV34" s="170"/>
      <c r="BEW34" s="170"/>
      <c r="BEX34" s="170"/>
      <c r="BEY34" s="170"/>
      <c r="BEZ34" s="170"/>
      <c r="BFA34" s="170"/>
      <c r="BFB34" s="170"/>
      <c r="BFC34" s="170"/>
      <c r="BFD34" s="170"/>
      <c r="BFE34" s="170"/>
      <c r="BFF34" s="170"/>
      <c r="BFG34" s="170"/>
      <c r="BFH34" s="170"/>
      <c r="BFI34" s="170"/>
      <c r="BFJ34" s="170"/>
      <c r="BFK34" s="170"/>
      <c r="BFL34" s="170"/>
      <c r="BFM34" s="170"/>
      <c r="BFN34" s="170"/>
      <c r="BFO34" s="170"/>
      <c r="BFP34" s="170"/>
      <c r="BFQ34" s="170"/>
      <c r="BFR34" s="170"/>
      <c r="BFS34" s="170"/>
      <c r="BFT34" s="170"/>
      <c r="BFU34" s="170"/>
      <c r="BFV34" s="170"/>
      <c r="BFW34" s="170"/>
      <c r="BFX34" s="170"/>
      <c r="BFY34" s="170"/>
      <c r="BFZ34" s="170"/>
      <c r="BGA34" s="170"/>
      <c r="BGB34" s="170"/>
      <c r="BGC34" s="170"/>
      <c r="BGD34" s="170"/>
      <c r="BGE34" s="170"/>
      <c r="BGF34" s="170"/>
      <c r="BGG34" s="170"/>
      <c r="BGH34" s="170"/>
      <c r="BGI34" s="170"/>
      <c r="BGJ34" s="170"/>
      <c r="BGK34" s="170"/>
      <c r="BGL34" s="170"/>
      <c r="BGM34" s="170"/>
      <c r="BGN34" s="170"/>
      <c r="BGO34" s="170"/>
      <c r="BGP34" s="170"/>
      <c r="BGQ34" s="170"/>
      <c r="BGR34" s="170"/>
      <c r="BGS34" s="170"/>
      <c r="BGT34" s="170"/>
      <c r="BGU34" s="170"/>
      <c r="BGV34" s="170"/>
      <c r="BGW34" s="170"/>
      <c r="BGX34" s="170"/>
      <c r="BGY34" s="170"/>
      <c r="BGZ34" s="170"/>
      <c r="BHA34" s="170"/>
      <c r="BHB34" s="170"/>
      <c r="BHC34" s="170"/>
      <c r="BHD34" s="170"/>
      <c r="BHE34" s="170"/>
      <c r="BHF34" s="170"/>
      <c r="BHG34" s="170"/>
      <c r="BHH34" s="170"/>
      <c r="BHI34" s="170"/>
      <c r="BHJ34" s="170"/>
      <c r="BHK34" s="170"/>
      <c r="BHL34" s="170"/>
      <c r="BHM34" s="170"/>
      <c r="BHN34" s="170"/>
      <c r="BHO34" s="170"/>
      <c r="BHP34" s="170"/>
      <c r="BHQ34" s="170"/>
      <c r="BHR34" s="170"/>
      <c r="BHS34" s="170"/>
      <c r="BHT34" s="170"/>
      <c r="BHU34" s="170"/>
      <c r="BHV34" s="170"/>
      <c r="BHW34" s="170"/>
      <c r="BHX34" s="170"/>
      <c r="BHY34" s="170"/>
      <c r="BHZ34" s="170"/>
      <c r="BIA34" s="170"/>
      <c r="BIB34" s="170"/>
      <c r="BIC34" s="170"/>
      <c r="BID34" s="170"/>
      <c r="BIE34" s="170"/>
      <c r="BIF34" s="170"/>
      <c r="BIG34" s="170"/>
      <c r="BIH34" s="170"/>
      <c r="BII34" s="170"/>
      <c r="BIJ34" s="170"/>
      <c r="BIK34" s="170"/>
      <c r="BIL34" s="170"/>
      <c r="BIM34" s="170"/>
      <c r="BIN34" s="170"/>
      <c r="BIO34" s="170"/>
      <c r="BIP34" s="170"/>
      <c r="BIQ34" s="170"/>
      <c r="BIR34" s="170"/>
      <c r="BIS34" s="170"/>
      <c r="BIT34" s="170"/>
      <c r="BIU34" s="170"/>
      <c r="BIV34" s="170"/>
      <c r="BIW34" s="170"/>
      <c r="BIX34" s="170"/>
      <c r="BIY34" s="170"/>
      <c r="BIZ34" s="170"/>
      <c r="BJA34" s="170"/>
      <c r="BJB34" s="170"/>
      <c r="BJC34" s="170"/>
      <c r="BJD34" s="170"/>
      <c r="BJE34" s="170"/>
      <c r="BJF34" s="170"/>
      <c r="BJG34" s="170"/>
      <c r="BJH34" s="170"/>
      <c r="BJI34" s="170"/>
      <c r="BJJ34" s="170"/>
      <c r="BJK34" s="170"/>
      <c r="BJL34" s="170"/>
      <c r="BJM34" s="170"/>
      <c r="BJN34" s="170"/>
      <c r="BJO34" s="170"/>
      <c r="BJP34" s="170"/>
      <c r="BJQ34" s="170"/>
      <c r="BJR34" s="170"/>
      <c r="BJS34" s="170"/>
      <c r="BJT34" s="170"/>
      <c r="BJU34" s="170"/>
      <c r="BJV34" s="170"/>
      <c r="BJW34" s="170"/>
      <c r="BJX34" s="170"/>
      <c r="BJY34" s="170"/>
      <c r="BJZ34" s="170"/>
      <c r="BKA34" s="170"/>
      <c r="BKB34" s="170"/>
      <c r="BKC34" s="170"/>
      <c r="BKD34" s="170"/>
      <c r="BKE34" s="170"/>
      <c r="BKF34" s="170"/>
      <c r="BKG34" s="170"/>
      <c r="BKH34" s="170"/>
      <c r="BKI34" s="170"/>
      <c r="BKJ34" s="170"/>
      <c r="BKK34" s="170"/>
      <c r="BKL34" s="170"/>
      <c r="BKM34" s="170"/>
      <c r="BKN34" s="170"/>
      <c r="BKO34" s="170"/>
      <c r="BKP34" s="170"/>
      <c r="BKQ34" s="170"/>
      <c r="BKR34" s="170"/>
      <c r="BKS34" s="170"/>
      <c r="BKT34" s="170"/>
      <c r="BKU34" s="170"/>
      <c r="BKV34" s="170"/>
      <c r="BKW34" s="170"/>
      <c r="BKX34" s="170"/>
      <c r="BKY34" s="170"/>
      <c r="BKZ34" s="170"/>
      <c r="BLA34" s="170"/>
      <c r="BLB34" s="170"/>
      <c r="BLC34" s="170"/>
      <c r="BLD34" s="170"/>
      <c r="BLE34" s="170"/>
      <c r="BLF34" s="170"/>
      <c r="BLG34" s="170"/>
      <c r="BLH34" s="170"/>
      <c r="BLI34" s="170"/>
      <c r="BLJ34" s="170"/>
      <c r="BLK34" s="170"/>
      <c r="BLL34" s="170"/>
      <c r="BLM34" s="170"/>
      <c r="BLN34" s="170"/>
      <c r="BLO34" s="170"/>
      <c r="BLP34" s="170"/>
      <c r="BLQ34" s="170"/>
      <c r="BLR34" s="170"/>
      <c r="BLS34" s="170"/>
      <c r="BLT34" s="170"/>
      <c r="BLU34" s="170"/>
      <c r="BLV34" s="170"/>
      <c r="BLW34" s="170"/>
      <c r="BLX34" s="170"/>
      <c r="BLY34" s="170"/>
      <c r="BLZ34" s="170"/>
      <c r="BMA34" s="170"/>
      <c r="BMB34" s="170"/>
      <c r="BMC34" s="170"/>
      <c r="BMD34" s="170"/>
      <c r="BME34" s="170"/>
      <c r="BMF34" s="170"/>
      <c r="BMG34" s="170"/>
      <c r="BMH34" s="170"/>
      <c r="BMI34" s="170"/>
      <c r="BMJ34" s="170"/>
      <c r="BMK34" s="170"/>
      <c r="BML34" s="170"/>
      <c r="BMM34" s="170"/>
      <c r="BMN34" s="170"/>
      <c r="BMO34" s="170"/>
      <c r="BMP34" s="170"/>
      <c r="BMQ34" s="170"/>
      <c r="BMR34" s="170"/>
      <c r="BMS34" s="170"/>
      <c r="BMT34" s="170"/>
      <c r="BMU34" s="170"/>
      <c r="BMV34" s="170"/>
      <c r="BMW34" s="170"/>
      <c r="BMX34" s="170"/>
      <c r="BMY34" s="170"/>
      <c r="BMZ34" s="170"/>
      <c r="BNA34" s="170"/>
      <c r="BNB34" s="170"/>
      <c r="BNC34" s="170"/>
      <c r="BND34" s="170"/>
      <c r="BNE34" s="170"/>
      <c r="BNF34" s="170"/>
      <c r="BNG34" s="170"/>
      <c r="BNH34" s="170"/>
      <c r="BNI34" s="170"/>
      <c r="BNJ34" s="170"/>
      <c r="BNK34" s="170"/>
      <c r="BNL34" s="170"/>
      <c r="BNM34" s="170"/>
      <c r="BNN34" s="170"/>
      <c r="BNO34" s="170"/>
      <c r="BNP34" s="170"/>
      <c r="BNQ34" s="170"/>
      <c r="BNR34" s="170"/>
      <c r="BNS34" s="170"/>
      <c r="BNT34" s="170"/>
      <c r="BNU34" s="170"/>
      <c r="BNV34" s="170"/>
      <c r="BNW34" s="170"/>
      <c r="BNX34" s="170"/>
      <c r="BNY34" s="170"/>
      <c r="BNZ34" s="170"/>
      <c r="BOA34" s="170"/>
      <c r="BOB34" s="170"/>
      <c r="BOC34" s="170"/>
      <c r="BOD34" s="170"/>
      <c r="BOE34" s="170"/>
      <c r="BOF34" s="170"/>
      <c r="BOG34" s="170"/>
      <c r="BOH34" s="170"/>
      <c r="BOI34" s="170"/>
      <c r="BOJ34" s="170"/>
      <c r="BOK34" s="170"/>
      <c r="BOL34" s="170"/>
      <c r="BOM34" s="170"/>
      <c r="BON34" s="170"/>
      <c r="BOO34" s="170"/>
      <c r="BOP34" s="170"/>
      <c r="BOQ34" s="170"/>
      <c r="BOR34" s="170"/>
      <c r="BOS34" s="170"/>
      <c r="BOT34" s="170"/>
      <c r="BOU34" s="170"/>
      <c r="BOV34" s="170"/>
      <c r="BOW34" s="170"/>
      <c r="BOX34" s="170"/>
      <c r="BOY34" s="170"/>
      <c r="BOZ34" s="170"/>
      <c r="BPA34" s="170"/>
      <c r="BPB34" s="170"/>
      <c r="BPC34" s="170"/>
      <c r="BPD34" s="170"/>
      <c r="BPE34" s="170"/>
      <c r="BPF34" s="170"/>
      <c r="BPG34" s="170"/>
      <c r="BPH34" s="170"/>
      <c r="BPI34" s="170"/>
      <c r="BPJ34" s="170"/>
      <c r="BPK34" s="170"/>
      <c r="BPL34" s="170"/>
      <c r="BPM34" s="170"/>
      <c r="BPN34" s="170"/>
      <c r="BPO34" s="170"/>
      <c r="BPP34" s="170"/>
      <c r="BPQ34" s="170"/>
      <c r="BPR34" s="170"/>
      <c r="BPS34" s="170"/>
      <c r="BPT34" s="170"/>
      <c r="BPU34" s="170"/>
      <c r="BPV34" s="170"/>
      <c r="BPW34" s="170"/>
      <c r="BPX34" s="170"/>
      <c r="BPY34" s="170"/>
      <c r="BPZ34" s="170"/>
      <c r="BQA34" s="170"/>
      <c r="BQB34" s="170"/>
      <c r="BQC34" s="170"/>
      <c r="BQD34" s="170"/>
      <c r="BQE34" s="170"/>
      <c r="BQF34" s="170"/>
      <c r="BQG34" s="170"/>
      <c r="BQH34" s="170"/>
      <c r="BQI34" s="170"/>
      <c r="BQJ34" s="170"/>
      <c r="BQK34" s="170"/>
      <c r="BQL34" s="170"/>
      <c r="BQM34" s="170"/>
      <c r="BQN34" s="170"/>
      <c r="BQO34" s="170"/>
      <c r="BQP34" s="170"/>
      <c r="BQQ34" s="170"/>
      <c r="BQR34" s="170"/>
      <c r="BQS34" s="170"/>
      <c r="BQT34" s="170"/>
      <c r="BQU34" s="170"/>
      <c r="BQV34" s="170"/>
      <c r="BQW34" s="170"/>
      <c r="BQX34" s="170"/>
      <c r="BQY34" s="170"/>
      <c r="BQZ34" s="170"/>
      <c r="BRA34" s="170"/>
      <c r="BRB34" s="170"/>
      <c r="BRC34" s="170"/>
      <c r="BRD34" s="170"/>
      <c r="BRE34" s="170"/>
      <c r="BRF34" s="170"/>
      <c r="BRG34" s="170"/>
      <c r="BRH34" s="170"/>
      <c r="BRI34" s="170"/>
      <c r="BRJ34" s="170"/>
      <c r="BRK34" s="170"/>
      <c r="BRL34" s="170"/>
      <c r="BRM34" s="170"/>
      <c r="BRN34" s="170"/>
      <c r="BRO34" s="170"/>
      <c r="BRP34" s="170"/>
      <c r="BRQ34" s="170"/>
      <c r="BRR34" s="170"/>
      <c r="BRS34" s="170"/>
      <c r="BRT34" s="170"/>
      <c r="BRU34" s="170"/>
      <c r="BRV34" s="170"/>
      <c r="BRW34" s="170"/>
      <c r="BRX34" s="170"/>
      <c r="BRY34" s="170"/>
      <c r="BRZ34" s="170"/>
      <c r="BSA34" s="170"/>
      <c r="BSB34" s="170"/>
      <c r="BSC34" s="170"/>
      <c r="BSD34" s="170"/>
      <c r="BSE34" s="170"/>
      <c r="BSF34" s="170"/>
      <c r="BSG34" s="170"/>
      <c r="BSH34" s="170"/>
      <c r="BSI34" s="170"/>
      <c r="BSJ34" s="170"/>
      <c r="BSK34" s="170"/>
      <c r="BSL34" s="170"/>
      <c r="BSM34" s="170"/>
      <c r="BSN34" s="170"/>
      <c r="BSO34" s="170"/>
      <c r="BSP34" s="170"/>
      <c r="BSQ34" s="170"/>
      <c r="BSR34" s="170"/>
      <c r="BSS34" s="170"/>
      <c r="BST34" s="170"/>
      <c r="BSU34" s="170"/>
      <c r="BSV34" s="170"/>
      <c r="BSW34" s="170"/>
      <c r="BSX34" s="170"/>
      <c r="BSY34" s="170"/>
      <c r="BSZ34" s="170"/>
      <c r="BTA34" s="170"/>
      <c r="BTB34" s="170"/>
      <c r="BTC34" s="170"/>
      <c r="BTD34" s="170"/>
      <c r="BTE34" s="170"/>
      <c r="BTF34" s="170"/>
      <c r="BTG34" s="170"/>
      <c r="BTH34" s="170"/>
      <c r="BTI34" s="170"/>
      <c r="BTJ34" s="170"/>
      <c r="BTK34" s="170"/>
      <c r="BTL34" s="170"/>
      <c r="BTM34" s="170"/>
      <c r="BTN34" s="170"/>
      <c r="BTO34" s="170"/>
      <c r="BTP34" s="170"/>
      <c r="BTQ34" s="170"/>
      <c r="BTR34" s="170"/>
      <c r="BTS34" s="170"/>
      <c r="BTT34" s="170"/>
      <c r="BTU34" s="170"/>
      <c r="BTV34" s="170"/>
      <c r="BTW34" s="170"/>
      <c r="BTX34" s="170"/>
      <c r="BTY34" s="170"/>
      <c r="BTZ34" s="170"/>
      <c r="BUA34" s="170"/>
      <c r="BUB34" s="170"/>
      <c r="BUC34" s="170"/>
      <c r="BUD34" s="170"/>
      <c r="BUE34" s="170"/>
      <c r="BUF34" s="170"/>
      <c r="BUG34" s="170"/>
      <c r="BUH34" s="170"/>
      <c r="BUI34" s="170"/>
      <c r="BUJ34" s="170"/>
      <c r="BUK34" s="170"/>
      <c r="BUL34" s="170"/>
      <c r="BUM34" s="170"/>
      <c r="BUN34" s="170"/>
      <c r="BUO34" s="170"/>
      <c r="BUP34" s="170"/>
      <c r="BUQ34" s="170"/>
      <c r="BUR34" s="170"/>
      <c r="BUS34" s="170"/>
      <c r="BUT34" s="170"/>
      <c r="BUU34" s="170"/>
      <c r="BUV34" s="170"/>
      <c r="BUW34" s="170"/>
      <c r="BUX34" s="170"/>
      <c r="BUY34" s="170"/>
      <c r="BUZ34" s="170"/>
      <c r="BVA34" s="170"/>
      <c r="BVB34" s="170"/>
      <c r="BVC34" s="170"/>
      <c r="BVD34" s="170"/>
      <c r="BVE34" s="170"/>
      <c r="BVF34" s="170"/>
      <c r="BVG34" s="170"/>
      <c r="BVH34" s="170"/>
      <c r="BVI34" s="170"/>
      <c r="BVJ34" s="170"/>
      <c r="BVK34" s="170"/>
      <c r="BVL34" s="170"/>
      <c r="BVM34" s="170"/>
      <c r="BVN34" s="170"/>
      <c r="BVO34" s="170"/>
      <c r="BVP34" s="170"/>
      <c r="BVQ34" s="170"/>
      <c r="BVR34" s="170"/>
      <c r="BVS34" s="170"/>
      <c r="BVT34" s="170"/>
      <c r="BVU34" s="170"/>
      <c r="BVV34" s="170"/>
      <c r="BVW34" s="170"/>
      <c r="BVX34" s="170"/>
      <c r="BVY34" s="170"/>
      <c r="BVZ34" s="170"/>
      <c r="BWA34" s="170"/>
      <c r="BWB34" s="170"/>
      <c r="BWC34" s="170"/>
      <c r="BWD34" s="170"/>
      <c r="BWE34" s="170"/>
      <c r="BWF34" s="170"/>
      <c r="BWG34" s="170"/>
      <c r="BWH34" s="170"/>
      <c r="BWI34" s="170"/>
      <c r="BWJ34" s="170"/>
      <c r="BWK34" s="170"/>
      <c r="BWL34" s="170"/>
      <c r="BWM34" s="170"/>
      <c r="BWN34" s="170"/>
      <c r="BWO34" s="170"/>
      <c r="BWP34" s="170"/>
      <c r="BWQ34" s="170"/>
      <c r="BWR34" s="170"/>
      <c r="BWS34" s="170"/>
      <c r="BWT34" s="170"/>
      <c r="BWU34" s="170"/>
      <c r="BWV34" s="170"/>
      <c r="BWW34" s="170"/>
      <c r="BWX34" s="170"/>
      <c r="BWY34" s="170"/>
      <c r="BWZ34" s="170"/>
      <c r="BXA34" s="170"/>
      <c r="BXB34" s="170"/>
      <c r="BXC34" s="170"/>
      <c r="BXD34" s="170"/>
      <c r="BXE34" s="170"/>
      <c r="BXF34" s="170"/>
      <c r="BXG34" s="170"/>
      <c r="BXH34" s="170"/>
      <c r="BXI34" s="170"/>
      <c r="BXJ34" s="170"/>
      <c r="BXK34" s="170"/>
      <c r="BXL34" s="170"/>
      <c r="BXM34" s="170"/>
      <c r="BXN34" s="170"/>
      <c r="BXO34" s="170"/>
      <c r="BXP34" s="170"/>
      <c r="BXQ34" s="170"/>
      <c r="BXR34" s="170"/>
      <c r="BXS34" s="170"/>
      <c r="BXT34" s="170"/>
      <c r="BXU34" s="170"/>
      <c r="BXV34" s="170"/>
      <c r="BXW34" s="170"/>
      <c r="BXX34" s="170"/>
      <c r="BXY34" s="170"/>
      <c r="BXZ34" s="170"/>
      <c r="BYA34" s="170"/>
      <c r="BYB34" s="170"/>
      <c r="BYC34" s="170"/>
      <c r="BYD34" s="170"/>
      <c r="BYE34" s="170"/>
      <c r="BYF34" s="170"/>
      <c r="BYG34" s="170"/>
    </row>
    <row r="35" spans="1:2009" s="3" customFormat="1" ht="13.5" customHeight="1" thickBot="1" x14ac:dyDescent="0.3">
      <c r="A35" s="72"/>
      <c r="B35" s="72"/>
      <c r="C35" s="131"/>
      <c r="D35" s="131"/>
      <c r="E35" s="131"/>
      <c r="F35" s="131"/>
      <c r="G35" s="490"/>
      <c r="H35" s="744"/>
      <c r="I35" s="26"/>
    </row>
    <row r="36" spans="1:2009" s="85" customFormat="1" ht="24.95" customHeight="1" x14ac:dyDescent="0.25">
      <c r="A36" s="759" t="s">
        <v>42</v>
      </c>
      <c r="B36" s="760"/>
      <c r="C36" s="761"/>
      <c r="D36" s="761"/>
      <c r="E36" s="762"/>
      <c r="F36" s="762"/>
      <c r="G36" s="763"/>
      <c r="H36" s="744"/>
      <c r="I36" s="26"/>
      <c r="J36" s="3"/>
      <c r="K36" s="3"/>
      <c r="L36" s="3"/>
      <c r="M36" s="3"/>
      <c r="N36" s="160"/>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row>
    <row r="37" spans="1:2009" s="85" customFormat="1" ht="24.95" customHeight="1" x14ac:dyDescent="0.25">
      <c r="A37" s="764"/>
      <c r="B37" s="765" t="s">
        <v>133</v>
      </c>
      <c r="C37" s="766">
        <f>4166.67-0.14</f>
        <v>4166.53</v>
      </c>
      <c r="D37" s="766">
        <v>4166.67</v>
      </c>
      <c r="E37" s="767"/>
      <c r="F37" s="767"/>
      <c r="G37" s="768">
        <f>ROUND(SUM(C37:F37),5)</f>
        <v>8333.2000000000007</v>
      </c>
      <c r="H37" s="744"/>
      <c r="I37" s="26"/>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row>
    <row r="38" spans="1:2009" s="85" customFormat="1" ht="24.95" customHeight="1" x14ac:dyDescent="0.25">
      <c r="A38" s="764"/>
      <c r="B38" s="765" t="s">
        <v>325</v>
      </c>
      <c r="C38" s="766">
        <v>3000</v>
      </c>
      <c r="D38" s="769"/>
      <c r="E38" s="767"/>
      <c r="F38" s="767"/>
      <c r="G38" s="768">
        <f>ROUND(SUM(C38:F38),5)</f>
        <v>3000</v>
      </c>
      <c r="H38" s="744"/>
      <c r="I38" s="26"/>
      <c r="J38" s="3"/>
      <c r="K38" s="3"/>
      <c r="L38" s="3"/>
      <c r="M38" s="3"/>
      <c r="N38" s="160"/>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row>
    <row r="39" spans="1:2009" s="85" customFormat="1" ht="24.95" customHeight="1" x14ac:dyDescent="0.25">
      <c r="A39" s="764"/>
      <c r="B39" s="765" t="s">
        <v>526</v>
      </c>
      <c r="C39" s="770"/>
      <c r="D39" s="770"/>
      <c r="E39" s="767"/>
      <c r="F39" s="767"/>
      <c r="G39" s="768">
        <f>ROUND(SUM(C39:F39),5)</f>
        <v>0</v>
      </c>
      <c r="H39" s="744"/>
      <c r="I39" s="2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row>
    <row r="40" spans="1:2009" s="85" customFormat="1" ht="24.95" customHeight="1" x14ac:dyDescent="0.25">
      <c r="A40" s="764"/>
      <c r="B40" s="765" t="s">
        <v>332</v>
      </c>
      <c r="C40" s="770"/>
      <c r="D40" s="770"/>
      <c r="E40" s="767"/>
      <c r="F40" s="767">
        <v>30</v>
      </c>
      <c r="G40" s="768">
        <f>ROUND(SUM(C40:F40),5)</f>
        <v>30</v>
      </c>
      <c r="H40" s="744"/>
      <c r="I40" s="26"/>
      <c r="J40" s="735"/>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row>
    <row r="41" spans="1:2009" s="85" customFormat="1" ht="24.95" customHeight="1" x14ac:dyDescent="0.25">
      <c r="A41" s="764"/>
      <c r="B41" s="771" t="s">
        <v>43</v>
      </c>
      <c r="C41" s="770">
        <v>15000</v>
      </c>
      <c r="D41" s="770">
        <v>20951.63</v>
      </c>
      <c r="E41" s="767"/>
      <c r="F41" s="767"/>
      <c r="G41" s="768">
        <f>ROUND(SUM(C41:F41),5)</f>
        <v>35951.629999999997</v>
      </c>
      <c r="H41" s="744"/>
      <c r="I41" s="26"/>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row>
    <row r="42" spans="1:2009" s="173" customFormat="1" ht="24.95" customHeight="1" thickBot="1" x14ac:dyDescent="0.3">
      <c r="A42" s="772"/>
      <c r="B42" s="773" t="s">
        <v>44</v>
      </c>
      <c r="C42" s="774">
        <f>SUM(C37:C41)</f>
        <v>22166.53</v>
      </c>
      <c r="D42" s="774">
        <f>SUM(D37:D41)</f>
        <v>25118.300000000003</v>
      </c>
      <c r="E42" s="774"/>
      <c r="F42" s="774">
        <f>SUM(F37:F41)</f>
        <v>30</v>
      </c>
      <c r="G42" s="775">
        <f>SUM(G37:G41)</f>
        <v>47314.83</v>
      </c>
      <c r="H42" s="746"/>
      <c r="I42" s="26"/>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0"/>
      <c r="DZ42" s="160"/>
      <c r="EA42" s="160"/>
      <c r="EB42" s="160"/>
      <c r="EC42" s="160"/>
      <c r="ED42" s="160"/>
      <c r="EE42" s="160"/>
      <c r="EF42" s="160"/>
      <c r="EG42" s="160"/>
      <c r="EH42" s="160"/>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0"/>
      <c r="FG42" s="160"/>
      <c r="FH42" s="160"/>
      <c r="FI42" s="160"/>
      <c r="FJ42" s="160"/>
      <c r="FK42" s="160"/>
      <c r="FL42" s="160"/>
      <c r="FM42" s="160"/>
      <c r="FN42" s="160"/>
      <c r="FO42" s="160"/>
      <c r="FP42" s="160"/>
      <c r="FQ42" s="160"/>
      <c r="FR42" s="160"/>
      <c r="FS42" s="160"/>
      <c r="FT42" s="160"/>
      <c r="FU42" s="160"/>
      <c r="FV42" s="160"/>
      <c r="FW42" s="160"/>
      <c r="FX42" s="160"/>
      <c r="FY42" s="160"/>
      <c r="FZ42" s="160"/>
      <c r="GA42" s="160"/>
      <c r="GB42" s="160"/>
      <c r="GC42" s="160"/>
      <c r="GD42" s="160"/>
      <c r="GE42" s="160"/>
      <c r="GF42" s="160"/>
      <c r="GG42" s="160"/>
      <c r="GH42" s="160"/>
      <c r="GI42" s="160"/>
      <c r="GJ42" s="160"/>
      <c r="GK42" s="160"/>
      <c r="GL42" s="160"/>
      <c r="GM42" s="160"/>
      <c r="GN42" s="160"/>
      <c r="GO42" s="160"/>
      <c r="GP42" s="160"/>
      <c r="GQ42" s="160"/>
      <c r="GR42" s="160"/>
      <c r="GS42" s="160"/>
      <c r="GT42" s="160"/>
      <c r="GU42" s="160"/>
      <c r="GV42" s="160"/>
      <c r="GW42" s="160"/>
      <c r="GX42" s="160"/>
      <c r="GY42" s="160"/>
      <c r="GZ42" s="160"/>
      <c r="HA42" s="160"/>
      <c r="HB42" s="160"/>
      <c r="HC42" s="160"/>
      <c r="HD42" s="160"/>
      <c r="HE42" s="160"/>
      <c r="HF42" s="160"/>
      <c r="HG42" s="160"/>
      <c r="HH42" s="160"/>
      <c r="HI42" s="160"/>
      <c r="HJ42" s="160"/>
      <c r="HK42" s="160"/>
      <c r="HL42" s="160"/>
      <c r="HM42" s="160"/>
      <c r="HN42" s="160"/>
      <c r="HO42" s="160"/>
      <c r="HP42" s="160"/>
      <c r="HQ42" s="160"/>
      <c r="HR42" s="160"/>
      <c r="HS42" s="160"/>
      <c r="HT42" s="160"/>
      <c r="HU42" s="160"/>
      <c r="HV42" s="160"/>
      <c r="HW42" s="160"/>
      <c r="HX42" s="160"/>
      <c r="HY42" s="160"/>
      <c r="HZ42" s="160"/>
      <c r="IA42" s="160"/>
      <c r="IB42" s="160"/>
      <c r="IC42" s="160"/>
      <c r="ID42" s="160"/>
      <c r="IE42" s="160"/>
      <c r="IF42" s="160"/>
      <c r="IG42" s="160"/>
      <c r="IH42" s="160"/>
      <c r="II42" s="160"/>
      <c r="IJ42" s="160"/>
      <c r="IK42" s="160"/>
      <c r="IL42" s="160"/>
      <c r="IM42" s="160"/>
      <c r="IN42" s="160"/>
      <c r="IO42" s="160"/>
      <c r="IP42" s="160"/>
      <c r="IQ42" s="160"/>
      <c r="IR42" s="160"/>
      <c r="IS42" s="160"/>
      <c r="IT42" s="160"/>
      <c r="IU42" s="160"/>
      <c r="IV42" s="160"/>
      <c r="IW42" s="160"/>
      <c r="IX42" s="160"/>
      <c r="IY42" s="160"/>
      <c r="IZ42" s="160"/>
      <c r="JA42" s="160"/>
      <c r="JB42" s="160"/>
      <c r="JC42" s="160"/>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c r="KJ42" s="160"/>
      <c r="KK42" s="160"/>
      <c r="KL42" s="160"/>
      <c r="KM42" s="160"/>
      <c r="KN42" s="160"/>
      <c r="KO42" s="160"/>
      <c r="KP42" s="160"/>
      <c r="KQ42" s="160"/>
      <c r="KR42" s="160"/>
      <c r="KS42" s="160"/>
      <c r="KT42" s="160"/>
      <c r="KU42" s="160"/>
      <c r="KV42" s="160"/>
      <c r="KW42" s="160"/>
      <c r="KX42" s="160"/>
      <c r="KY42" s="160"/>
      <c r="KZ42" s="160"/>
      <c r="LA42" s="160"/>
      <c r="LB42" s="160"/>
      <c r="LC42" s="160"/>
      <c r="LD42" s="160"/>
      <c r="LE42" s="160"/>
      <c r="LF42" s="160"/>
      <c r="LG42" s="160"/>
      <c r="LH42" s="160"/>
      <c r="LI42" s="160"/>
      <c r="LJ42" s="160"/>
      <c r="LK42" s="160"/>
      <c r="LL42" s="160"/>
      <c r="LM42" s="160"/>
      <c r="LN42" s="160"/>
      <c r="LO42" s="160"/>
      <c r="LP42" s="160"/>
      <c r="LQ42" s="160"/>
      <c r="LR42" s="160"/>
      <c r="LS42" s="160"/>
      <c r="LT42" s="160"/>
      <c r="LU42" s="160"/>
      <c r="LV42" s="160"/>
      <c r="LW42" s="160"/>
      <c r="LX42" s="160"/>
      <c r="LY42" s="160"/>
      <c r="LZ42" s="160"/>
      <c r="MA42" s="160"/>
      <c r="MB42" s="160"/>
      <c r="MC42" s="160"/>
      <c r="MD42" s="160"/>
      <c r="ME42" s="160"/>
      <c r="MF42" s="160"/>
      <c r="MG42" s="160"/>
      <c r="MH42" s="160"/>
      <c r="MI42" s="160"/>
      <c r="MJ42" s="160"/>
      <c r="MK42" s="160"/>
      <c r="ML42" s="160"/>
      <c r="MM42" s="160"/>
      <c r="MN42" s="160"/>
      <c r="MO42" s="160"/>
      <c r="MP42" s="160"/>
      <c r="MQ42" s="160"/>
      <c r="MR42" s="160"/>
      <c r="MS42" s="160"/>
      <c r="MT42" s="160"/>
      <c r="MU42" s="160"/>
      <c r="MV42" s="160"/>
      <c r="MW42" s="160"/>
      <c r="MX42" s="160"/>
      <c r="MY42" s="160"/>
      <c r="MZ42" s="160"/>
      <c r="NA42" s="160"/>
      <c r="NB42" s="160"/>
      <c r="NC42" s="160"/>
      <c r="ND42" s="160"/>
      <c r="NE42" s="160"/>
      <c r="NF42" s="160"/>
      <c r="NG42" s="160"/>
      <c r="NH42" s="160"/>
      <c r="NI42" s="160"/>
      <c r="NJ42" s="160"/>
      <c r="NK42" s="160"/>
      <c r="NL42" s="160"/>
      <c r="NM42" s="160"/>
      <c r="NN42" s="160"/>
      <c r="NO42" s="160"/>
      <c r="NP42" s="160"/>
      <c r="NQ42" s="160"/>
      <c r="NR42" s="160"/>
      <c r="NS42" s="160"/>
      <c r="NT42" s="160"/>
      <c r="NU42" s="160"/>
      <c r="NV42" s="160"/>
      <c r="NW42" s="160"/>
      <c r="NX42" s="160"/>
      <c r="NY42" s="160"/>
      <c r="NZ42" s="160"/>
      <c r="OA42" s="160"/>
      <c r="OB42" s="160"/>
      <c r="OC42" s="160"/>
      <c r="OD42" s="160"/>
      <c r="OE42" s="160"/>
      <c r="OF42" s="160"/>
      <c r="OG42" s="160"/>
      <c r="OH42" s="160"/>
      <c r="OI42" s="160"/>
      <c r="OJ42" s="160"/>
      <c r="OK42" s="160"/>
      <c r="OL42" s="160"/>
      <c r="OM42" s="160"/>
      <c r="ON42" s="160"/>
      <c r="OO42" s="160"/>
      <c r="OP42" s="160"/>
      <c r="OQ42" s="160"/>
      <c r="OR42" s="160"/>
      <c r="OS42" s="160"/>
      <c r="OT42" s="160"/>
      <c r="OU42" s="160"/>
      <c r="OV42" s="160"/>
      <c r="OW42" s="160"/>
      <c r="OX42" s="160"/>
      <c r="OY42" s="160"/>
      <c r="OZ42" s="160"/>
      <c r="PA42" s="160"/>
      <c r="PB42" s="160"/>
      <c r="PC42" s="160"/>
      <c r="PD42" s="160"/>
      <c r="PE42" s="160"/>
      <c r="PF42" s="160"/>
      <c r="PG42" s="160"/>
      <c r="PH42" s="160"/>
      <c r="PI42" s="160"/>
      <c r="PJ42" s="160"/>
      <c r="PK42" s="160"/>
      <c r="PL42" s="160"/>
      <c r="PM42" s="160"/>
      <c r="PN42" s="160"/>
      <c r="PO42" s="160"/>
      <c r="PP42" s="160"/>
      <c r="PQ42" s="160"/>
      <c r="PR42" s="160"/>
      <c r="PS42" s="160"/>
      <c r="PT42" s="160"/>
      <c r="PU42" s="160"/>
      <c r="PV42" s="160"/>
      <c r="PW42" s="160"/>
      <c r="PX42" s="160"/>
      <c r="PY42" s="160"/>
      <c r="PZ42" s="160"/>
      <c r="QA42" s="160"/>
      <c r="QB42" s="160"/>
      <c r="QC42" s="160"/>
      <c r="QD42" s="160"/>
      <c r="QE42" s="160"/>
      <c r="QF42" s="160"/>
      <c r="QG42" s="160"/>
      <c r="QH42" s="160"/>
      <c r="QI42" s="160"/>
      <c r="QJ42" s="160"/>
      <c r="QK42" s="160"/>
      <c r="QL42" s="160"/>
      <c r="QM42" s="160"/>
      <c r="QN42" s="160"/>
      <c r="QO42" s="160"/>
      <c r="QP42" s="160"/>
      <c r="QQ42" s="160"/>
      <c r="QR42" s="160"/>
      <c r="QS42" s="160"/>
      <c r="QT42" s="160"/>
      <c r="QU42" s="160"/>
      <c r="QV42" s="160"/>
      <c r="QW42" s="160"/>
      <c r="QX42" s="160"/>
      <c r="QY42" s="160"/>
      <c r="QZ42" s="160"/>
      <c r="RA42" s="160"/>
      <c r="RB42" s="160"/>
      <c r="RC42" s="160"/>
      <c r="RD42" s="160"/>
      <c r="RE42" s="160"/>
      <c r="RF42" s="160"/>
      <c r="RG42" s="160"/>
      <c r="RH42" s="160"/>
      <c r="RI42" s="160"/>
      <c r="RJ42" s="160"/>
      <c r="RK42" s="160"/>
      <c r="RL42" s="160"/>
      <c r="RM42" s="160"/>
      <c r="RN42" s="160"/>
      <c r="RO42" s="160"/>
      <c r="RP42" s="160"/>
      <c r="RQ42" s="160"/>
      <c r="RR42" s="160"/>
      <c r="RS42" s="160"/>
      <c r="RT42" s="160"/>
      <c r="RU42" s="160"/>
      <c r="RV42" s="160"/>
      <c r="RW42" s="160"/>
      <c r="RX42" s="160"/>
      <c r="RY42" s="160"/>
      <c r="RZ42" s="160"/>
      <c r="SA42" s="160"/>
      <c r="SB42" s="160"/>
      <c r="SC42" s="160"/>
      <c r="SD42" s="160"/>
      <c r="SE42" s="160"/>
      <c r="SF42" s="160"/>
      <c r="SG42" s="160"/>
      <c r="SH42" s="160"/>
      <c r="SI42" s="160"/>
      <c r="SJ42" s="160"/>
      <c r="SK42" s="160"/>
      <c r="SL42" s="160"/>
      <c r="SM42" s="160"/>
      <c r="SN42" s="160"/>
      <c r="SO42" s="160"/>
      <c r="SP42" s="160"/>
      <c r="SQ42" s="160"/>
      <c r="SR42" s="160"/>
      <c r="SS42" s="160"/>
      <c r="ST42" s="160"/>
      <c r="SU42" s="160"/>
      <c r="SV42" s="160"/>
      <c r="SW42" s="160"/>
      <c r="SX42" s="160"/>
      <c r="SY42" s="160"/>
      <c r="SZ42" s="160"/>
      <c r="TA42" s="160"/>
      <c r="TB42" s="160"/>
      <c r="TC42" s="160"/>
      <c r="TD42" s="160"/>
      <c r="TE42" s="160"/>
      <c r="TF42" s="160"/>
      <c r="TG42" s="160"/>
      <c r="TH42" s="160"/>
      <c r="TI42" s="160"/>
      <c r="TJ42" s="160"/>
      <c r="TK42" s="160"/>
      <c r="TL42" s="160"/>
      <c r="TM42" s="160"/>
      <c r="TN42" s="160"/>
      <c r="TO42" s="160"/>
      <c r="TP42" s="160"/>
      <c r="TQ42" s="160"/>
      <c r="TR42" s="160"/>
      <c r="TS42" s="160"/>
      <c r="TT42" s="160"/>
      <c r="TU42" s="160"/>
      <c r="TV42" s="160"/>
      <c r="TW42" s="160"/>
      <c r="TX42" s="160"/>
      <c r="TY42" s="160"/>
      <c r="TZ42" s="160"/>
      <c r="UA42" s="160"/>
      <c r="UB42" s="160"/>
      <c r="UC42" s="160"/>
      <c r="UD42" s="160"/>
      <c r="UE42" s="160"/>
      <c r="UF42" s="160"/>
      <c r="UG42" s="160"/>
      <c r="UH42" s="160"/>
      <c r="UI42" s="160"/>
      <c r="UJ42" s="160"/>
      <c r="UK42" s="160"/>
      <c r="UL42" s="160"/>
      <c r="UM42" s="160"/>
      <c r="UN42" s="160"/>
      <c r="UO42" s="160"/>
      <c r="UP42" s="160"/>
      <c r="UQ42" s="160"/>
      <c r="UR42" s="160"/>
      <c r="US42" s="160"/>
      <c r="UT42" s="160"/>
      <c r="UU42" s="160"/>
      <c r="UV42" s="160"/>
      <c r="UW42" s="160"/>
      <c r="UX42" s="160"/>
      <c r="UY42" s="160"/>
      <c r="UZ42" s="160"/>
      <c r="VA42" s="160"/>
      <c r="VB42" s="160"/>
      <c r="VC42" s="160"/>
      <c r="VD42" s="160"/>
      <c r="VE42" s="160"/>
      <c r="VF42" s="160"/>
      <c r="VG42" s="160"/>
      <c r="VH42" s="160"/>
      <c r="VI42" s="160"/>
      <c r="VJ42" s="160"/>
      <c r="VK42" s="160"/>
      <c r="VL42" s="160"/>
      <c r="VM42" s="160"/>
      <c r="VN42" s="160"/>
      <c r="VO42" s="160"/>
      <c r="VP42" s="160"/>
      <c r="VQ42" s="160"/>
      <c r="VR42" s="160"/>
      <c r="VS42" s="160"/>
      <c r="VT42" s="160"/>
      <c r="VU42" s="160"/>
      <c r="VV42" s="160"/>
      <c r="VW42" s="160"/>
      <c r="VX42" s="160"/>
      <c r="VY42" s="160"/>
      <c r="VZ42" s="160"/>
      <c r="WA42" s="160"/>
      <c r="WB42" s="160"/>
      <c r="WC42" s="160"/>
      <c r="WD42" s="160"/>
      <c r="WE42" s="160"/>
      <c r="WF42" s="160"/>
      <c r="WG42" s="160"/>
      <c r="WH42" s="160"/>
      <c r="WI42" s="160"/>
      <c r="WJ42" s="160"/>
      <c r="WK42" s="160"/>
      <c r="WL42" s="160"/>
      <c r="WM42" s="160"/>
      <c r="WN42" s="160"/>
      <c r="WO42" s="160"/>
      <c r="WP42" s="160"/>
      <c r="WQ42" s="160"/>
      <c r="WR42" s="160"/>
      <c r="WS42" s="160"/>
      <c r="WT42" s="160"/>
      <c r="WU42" s="160"/>
      <c r="WV42" s="160"/>
      <c r="WW42" s="160"/>
      <c r="WX42" s="160"/>
      <c r="WY42" s="160"/>
      <c r="WZ42" s="160"/>
      <c r="XA42" s="160"/>
      <c r="XB42" s="160"/>
      <c r="XC42" s="160"/>
      <c r="XD42" s="160"/>
      <c r="XE42" s="160"/>
      <c r="XF42" s="160"/>
      <c r="XG42" s="160"/>
      <c r="XH42" s="160"/>
      <c r="XI42" s="160"/>
      <c r="XJ42" s="160"/>
      <c r="XK42" s="160"/>
      <c r="XL42" s="160"/>
      <c r="XM42" s="160"/>
      <c r="XN42" s="160"/>
      <c r="XO42" s="160"/>
      <c r="XP42" s="160"/>
      <c r="XQ42" s="160"/>
      <c r="XR42" s="160"/>
      <c r="XS42" s="160"/>
      <c r="XT42" s="160"/>
      <c r="XU42" s="160"/>
      <c r="XV42" s="160"/>
      <c r="XW42" s="160"/>
      <c r="XX42" s="160"/>
      <c r="XY42" s="160"/>
      <c r="XZ42" s="160"/>
      <c r="YA42" s="160"/>
      <c r="YB42" s="160"/>
      <c r="YC42" s="160"/>
      <c r="YD42" s="160"/>
      <c r="YE42" s="160"/>
      <c r="YF42" s="160"/>
      <c r="YG42" s="160"/>
      <c r="YH42" s="160"/>
      <c r="YI42" s="160"/>
      <c r="YJ42" s="160"/>
      <c r="YK42" s="160"/>
      <c r="YL42" s="160"/>
      <c r="YM42" s="160"/>
      <c r="YN42" s="160"/>
      <c r="YO42" s="160"/>
      <c r="YP42" s="160"/>
      <c r="YQ42" s="160"/>
      <c r="YR42" s="160"/>
      <c r="YS42" s="160"/>
      <c r="YT42" s="160"/>
      <c r="YU42" s="160"/>
      <c r="YV42" s="160"/>
      <c r="YW42" s="160"/>
      <c r="YX42" s="160"/>
      <c r="YY42" s="160"/>
      <c r="YZ42" s="160"/>
      <c r="ZA42" s="160"/>
      <c r="ZB42" s="160"/>
      <c r="ZC42" s="160"/>
      <c r="ZD42" s="160"/>
      <c r="ZE42" s="160"/>
      <c r="ZF42" s="160"/>
      <c r="ZG42" s="160"/>
      <c r="ZH42" s="160"/>
      <c r="ZI42" s="160"/>
      <c r="ZJ42" s="160"/>
      <c r="ZK42" s="160"/>
      <c r="ZL42" s="160"/>
      <c r="ZM42" s="160"/>
      <c r="ZN42" s="160"/>
      <c r="ZO42" s="160"/>
      <c r="ZP42" s="160"/>
      <c r="ZQ42" s="160"/>
      <c r="ZR42" s="160"/>
      <c r="ZS42" s="160"/>
      <c r="ZT42" s="160"/>
      <c r="ZU42" s="160"/>
      <c r="ZV42" s="160"/>
      <c r="ZW42" s="160"/>
      <c r="ZX42" s="160"/>
      <c r="ZY42" s="160"/>
      <c r="ZZ42" s="160"/>
      <c r="AAA42" s="160"/>
      <c r="AAB42" s="160"/>
      <c r="AAC42" s="160"/>
      <c r="AAD42" s="160"/>
      <c r="AAE42" s="160"/>
      <c r="AAF42" s="160"/>
      <c r="AAG42" s="160"/>
      <c r="AAH42" s="160"/>
      <c r="AAI42" s="160"/>
      <c r="AAJ42" s="160"/>
      <c r="AAK42" s="160"/>
      <c r="AAL42" s="160"/>
      <c r="AAM42" s="160"/>
      <c r="AAN42" s="160"/>
      <c r="AAO42" s="160"/>
      <c r="AAP42" s="160"/>
      <c r="AAQ42" s="160"/>
      <c r="AAR42" s="160"/>
      <c r="AAS42" s="160"/>
      <c r="AAT42" s="160"/>
      <c r="AAU42" s="160"/>
      <c r="AAV42" s="160"/>
      <c r="AAW42" s="160"/>
      <c r="AAX42" s="160"/>
      <c r="AAY42" s="160"/>
      <c r="AAZ42" s="160"/>
      <c r="ABA42" s="160"/>
      <c r="ABB42" s="160"/>
      <c r="ABC42" s="160"/>
      <c r="ABD42" s="160"/>
      <c r="ABE42" s="160"/>
      <c r="ABF42" s="160"/>
      <c r="ABG42" s="160"/>
      <c r="ABH42" s="160"/>
      <c r="ABI42" s="160"/>
      <c r="ABJ42" s="160"/>
      <c r="ABK42" s="160"/>
      <c r="ABL42" s="160"/>
      <c r="ABM42" s="160"/>
      <c r="ABN42" s="160"/>
      <c r="ABO42" s="160"/>
      <c r="ABP42" s="160"/>
      <c r="ABQ42" s="160"/>
      <c r="ABR42" s="160"/>
      <c r="ABS42" s="160"/>
      <c r="ABT42" s="160"/>
      <c r="ABU42" s="160"/>
      <c r="ABV42" s="160"/>
      <c r="ABW42" s="160"/>
      <c r="ABX42" s="160"/>
      <c r="ABY42" s="160"/>
      <c r="ABZ42" s="160"/>
      <c r="ACA42" s="160"/>
      <c r="ACB42" s="160"/>
      <c r="ACC42" s="160"/>
      <c r="ACD42" s="160"/>
      <c r="ACE42" s="160"/>
      <c r="ACF42" s="160"/>
      <c r="ACG42" s="160"/>
      <c r="ACH42" s="160"/>
      <c r="ACI42" s="160"/>
      <c r="ACJ42" s="160"/>
      <c r="ACK42" s="160"/>
      <c r="ACL42" s="160"/>
      <c r="ACM42" s="160"/>
      <c r="ACN42" s="160"/>
      <c r="ACO42" s="160"/>
      <c r="ACP42" s="160"/>
      <c r="ACQ42" s="160"/>
      <c r="ACR42" s="160"/>
      <c r="ACS42" s="160"/>
      <c r="ACT42" s="160"/>
      <c r="ACU42" s="160"/>
      <c r="ACV42" s="160"/>
      <c r="ACW42" s="160"/>
      <c r="ACX42" s="160"/>
      <c r="ACY42" s="160"/>
      <c r="ACZ42" s="160"/>
      <c r="ADA42" s="160"/>
      <c r="ADB42" s="160"/>
      <c r="ADC42" s="160"/>
      <c r="ADD42" s="160"/>
      <c r="ADE42" s="160"/>
      <c r="ADF42" s="160"/>
      <c r="ADG42" s="160"/>
      <c r="ADH42" s="160"/>
      <c r="ADI42" s="160"/>
      <c r="ADJ42" s="160"/>
      <c r="ADK42" s="160"/>
      <c r="ADL42" s="160"/>
      <c r="ADM42" s="160"/>
      <c r="ADN42" s="160"/>
      <c r="ADO42" s="160"/>
      <c r="ADP42" s="160"/>
      <c r="ADQ42" s="160"/>
      <c r="ADR42" s="160"/>
      <c r="ADS42" s="160"/>
      <c r="ADT42" s="160"/>
      <c r="ADU42" s="160"/>
      <c r="ADV42" s="160"/>
      <c r="ADW42" s="160"/>
      <c r="ADX42" s="160"/>
      <c r="ADY42" s="160"/>
      <c r="ADZ42" s="160"/>
      <c r="AEA42" s="160"/>
      <c r="AEB42" s="160"/>
      <c r="AEC42" s="160"/>
      <c r="AED42" s="160"/>
      <c r="AEE42" s="160"/>
      <c r="AEF42" s="160"/>
      <c r="AEG42" s="160"/>
      <c r="AEH42" s="160"/>
      <c r="AEI42" s="160"/>
      <c r="AEJ42" s="160"/>
      <c r="AEK42" s="160"/>
      <c r="AEL42" s="160"/>
      <c r="AEM42" s="160"/>
      <c r="AEN42" s="160"/>
      <c r="AEO42" s="160"/>
      <c r="AEP42" s="160"/>
      <c r="AEQ42" s="160"/>
      <c r="AER42" s="160"/>
      <c r="AES42" s="160"/>
      <c r="AET42" s="160"/>
      <c r="AEU42" s="160"/>
      <c r="AEV42" s="160"/>
      <c r="AEW42" s="160"/>
      <c r="AEX42" s="160"/>
      <c r="AEY42" s="160"/>
      <c r="AEZ42" s="160"/>
      <c r="AFA42" s="160"/>
      <c r="AFB42" s="160"/>
      <c r="AFC42" s="160"/>
      <c r="AFD42" s="160"/>
      <c r="AFE42" s="160"/>
      <c r="AFF42" s="160"/>
      <c r="AFG42" s="160"/>
      <c r="AFH42" s="160"/>
      <c r="AFI42" s="160"/>
      <c r="AFJ42" s="160"/>
      <c r="AFK42" s="160"/>
      <c r="AFL42" s="160"/>
      <c r="AFM42" s="160"/>
      <c r="AFN42" s="160"/>
      <c r="AFO42" s="160"/>
      <c r="AFP42" s="160"/>
      <c r="AFQ42" s="160"/>
      <c r="AFR42" s="160"/>
      <c r="AFS42" s="160"/>
      <c r="AFT42" s="160"/>
      <c r="AFU42" s="160"/>
      <c r="AFV42" s="160"/>
      <c r="AFW42" s="160"/>
      <c r="AFX42" s="160"/>
      <c r="AFY42" s="160"/>
      <c r="AFZ42" s="160"/>
      <c r="AGA42" s="160"/>
      <c r="AGB42" s="160"/>
      <c r="AGC42" s="160"/>
      <c r="AGD42" s="160"/>
      <c r="AGE42" s="160"/>
      <c r="AGF42" s="160"/>
      <c r="AGG42" s="160"/>
      <c r="AGH42" s="160"/>
      <c r="AGI42" s="160"/>
      <c r="AGJ42" s="160"/>
      <c r="AGK42" s="160"/>
      <c r="AGL42" s="160"/>
      <c r="AGM42" s="160"/>
      <c r="AGN42" s="160"/>
      <c r="AGO42" s="160"/>
      <c r="AGP42" s="160"/>
      <c r="AGQ42" s="160"/>
      <c r="AGR42" s="160"/>
      <c r="AGS42" s="160"/>
      <c r="AGT42" s="160"/>
      <c r="AGU42" s="160"/>
      <c r="AGV42" s="160"/>
      <c r="AGW42" s="160"/>
      <c r="AGX42" s="160"/>
      <c r="AGY42" s="160"/>
      <c r="AGZ42" s="160"/>
      <c r="AHA42" s="160"/>
      <c r="AHB42" s="160"/>
      <c r="AHC42" s="160"/>
      <c r="AHD42" s="160"/>
      <c r="AHE42" s="160"/>
      <c r="AHF42" s="160"/>
      <c r="AHG42" s="160"/>
      <c r="AHH42" s="160"/>
      <c r="AHI42" s="160"/>
      <c r="AHJ42" s="160"/>
      <c r="AHK42" s="160"/>
      <c r="AHL42" s="160"/>
      <c r="AHM42" s="160"/>
      <c r="AHN42" s="160"/>
      <c r="AHO42" s="160"/>
      <c r="AHP42" s="160"/>
      <c r="AHQ42" s="160"/>
      <c r="AHR42" s="160"/>
      <c r="AHS42" s="160"/>
      <c r="AHT42" s="160"/>
      <c r="AHU42" s="160"/>
      <c r="AHV42" s="160"/>
      <c r="AHW42" s="160"/>
      <c r="AHX42" s="160"/>
      <c r="AHY42" s="160"/>
      <c r="AHZ42" s="160"/>
      <c r="AIA42" s="160"/>
      <c r="AIB42" s="160"/>
      <c r="AIC42" s="160"/>
      <c r="AID42" s="160"/>
      <c r="AIE42" s="160"/>
      <c r="AIF42" s="160"/>
      <c r="AIG42" s="160"/>
      <c r="AIH42" s="160"/>
      <c r="AII42" s="160"/>
      <c r="AIJ42" s="160"/>
      <c r="AIK42" s="160"/>
      <c r="AIL42" s="160"/>
      <c r="AIM42" s="160"/>
      <c r="AIN42" s="160"/>
      <c r="AIO42" s="160"/>
      <c r="AIP42" s="160"/>
      <c r="AIQ42" s="160"/>
      <c r="AIR42" s="160"/>
      <c r="AIS42" s="160"/>
      <c r="AIT42" s="160"/>
      <c r="AIU42" s="160"/>
      <c r="AIV42" s="160"/>
      <c r="AIW42" s="160"/>
      <c r="AIX42" s="160"/>
      <c r="AIY42" s="160"/>
      <c r="AIZ42" s="160"/>
      <c r="AJA42" s="160"/>
      <c r="AJB42" s="160"/>
      <c r="AJC42" s="160"/>
      <c r="AJD42" s="160"/>
      <c r="AJE42" s="160"/>
      <c r="AJF42" s="160"/>
      <c r="AJG42" s="160"/>
      <c r="AJH42" s="160"/>
      <c r="AJI42" s="160"/>
      <c r="AJJ42" s="160"/>
      <c r="AJK42" s="160"/>
      <c r="AJL42" s="160"/>
      <c r="AJM42" s="160"/>
      <c r="AJN42" s="160"/>
      <c r="AJO42" s="160"/>
      <c r="AJP42" s="160"/>
      <c r="AJQ42" s="160"/>
      <c r="AJR42" s="160"/>
      <c r="AJS42" s="160"/>
      <c r="AJT42" s="160"/>
      <c r="AJU42" s="160"/>
      <c r="AJV42" s="160"/>
      <c r="AJW42" s="160"/>
      <c r="AJX42" s="160"/>
      <c r="AJY42" s="160"/>
      <c r="AJZ42" s="160"/>
      <c r="AKA42" s="160"/>
      <c r="AKB42" s="160"/>
      <c r="AKC42" s="160"/>
      <c r="AKD42" s="160"/>
      <c r="AKE42" s="160"/>
      <c r="AKF42" s="160"/>
      <c r="AKG42" s="160"/>
      <c r="AKH42" s="160"/>
      <c r="AKI42" s="160"/>
      <c r="AKJ42" s="160"/>
      <c r="AKK42" s="160"/>
      <c r="AKL42" s="160"/>
      <c r="AKM42" s="160"/>
      <c r="AKN42" s="160"/>
      <c r="AKO42" s="160"/>
      <c r="AKP42" s="160"/>
      <c r="AKQ42" s="160"/>
      <c r="AKR42" s="160"/>
      <c r="AKS42" s="160"/>
      <c r="AKT42" s="160"/>
      <c r="AKU42" s="160"/>
      <c r="AKV42" s="160"/>
      <c r="AKW42" s="160"/>
      <c r="AKX42" s="160"/>
      <c r="AKY42" s="160"/>
      <c r="AKZ42" s="160"/>
      <c r="ALA42" s="160"/>
      <c r="ALB42" s="160"/>
      <c r="ALC42" s="160"/>
      <c r="ALD42" s="160"/>
      <c r="ALE42" s="160"/>
      <c r="ALF42" s="160"/>
      <c r="ALG42" s="160"/>
      <c r="ALH42" s="160"/>
      <c r="ALI42" s="160"/>
      <c r="ALJ42" s="160"/>
      <c r="ALK42" s="160"/>
      <c r="ALL42" s="160"/>
      <c r="ALM42" s="160"/>
      <c r="ALN42" s="160"/>
      <c r="ALO42" s="160"/>
      <c r="ALP42" s="160"/>
      <c r="ALQ42" s="160"/>
      <c r="ALR42" s="160"/>
      <c r="ALS42" s="160"/>
      <c r="ALT42" s="160"/>
      <c r="ALU42" s="160"/>
      <c r="ALV42" s="160"/>
      <c r="ALW42" s="160"/>
      <c r="ALX42" s="160"/>
      <c r="ALY42" s="160"/>
      <c r="ALZ42" s="160"/>
      <c r="AMA42" s="160"/>
      <c r="AMB42" s="160"/>
      <c r="AMC42" s="160"/>
      <c r="AMD42" s="160"/>
      <c r="AME42" s="160"/>
      <c r="AMF42" s="160"/>
      <c r="AMG42" s="160"/>
      <c r="AMH42" s="160"/>
      <c r="AMI42" s="160"/>
      <c r="AMJ42" s="160"/>
      <c r="AMK42" s="160"/>
      <c r="AML42" s="160"/>
      <c r="AMM42" s="160"/>
      <c r="AMN42" s="160"/>
      <c r="AMO42" s="160"/>
      <c r="AMP42" s="160"/>
      <c r="AMQ42" s="160"/>
      <c r="AMR42" s="160"/>
      <c r="AMS42" s="160"/>
      <c r="AMT42" s="160"/>
      <c r="AMU42" s="160"/>
      <c r="AMV42" s="160"/>
      <c r="AMW42" s="160"/>
      <c r="AMX42" s="160"/>
      <c r="AMY42" s="160"/>
      <c r="AMZ42" s="160"/>
      <c r="ANA42" s="160"/>
      <c r="ANB42" s="160"/>
      <c r="ANC42" s="160"/>
      <c r="AND42" s="160"/>
      <c r="ANE42" s="160"/>
      <c r="ANF42" s="160"/>
      <c r="ANG42" s="160"/>
      <c r="ANH42" s="160"/>
      <c r="ANI42" s="160"/>
      <c r="ANJ42" s="160"/>
      <c r="ANK42" s="160"/>
      <c r="ANL42" s="160"/>
      <c r="ANM42" s="160"/>
      <c r="ANN42" s="160"/>
      <c r="ANO42" s="160"/>
      <c r="ANP42" s="160"/>
      <c r="ANQ42" s="160"/>
      <c r="ANR42" s="160"/>
      <c r="ANS42" s="160"/>
      <c r="ANT42" s="160"/>
      <c r="ANU42" s="160"/>
      <c r="ANV42" s="160"/>
      <c r="ANW42" s="160"/>
      <c r="ANX42" s="160"/>
      <c r="ANY42" s="160"/>
      <c r="ANZ42" s="160"/>
      <c r="AOA42" s="160"/>
      <c r="AOB42" s="160"/>
      <c r="AOC42" s="160"/>
      <c r="AOD42" s="160"/>
      <c r="AOE42" s="160"/>
      <c r="AOF42" s="160"/>
      <c r="AOG42" s="160"/>
      <c r="AOH42" s="160"/>
      <c r="AOI42" s="160"/>
      <c r="AOJ42" s="160"/>
      <c r="AOK42" s="160"/>
      <c r="AOL42" s="160"/>
      <c r="AOM42" s="160"/>
      <c r="AON42" s="160"/>
      <c r="AOO42" s="160"/>
      <c r="AOP42" s="160"/>
      <c r="AOQ42" s="160"/>
      <c r="AOR42" s="160"/>
      <c r="AOS42" s="160"/>
      <c r="AOT42" s="160"/>
      <c r="AOU42" s="160"/>
      <c r="AOV42" s="160"/>
      <c r="AOW42" s="160"/>
      <c r="AOX42" s="160"/>
      <c r="AOY42" s="160"/>
      <c r="AOZ42" s="160"/>
      <c r="APA42" s="160"/>
      <c r="APB42" s="160"/>
      <c r="APC42" s="160"/>
      <c r="APD42" s="160"/>
      <c r="APE42" s="160"/>
      <c r="APF42" s="160"/>
      <c r="APG42" s="160"/>
      <c r="APH42" s="160"/>
      <c r="API42" s="160"/>
      <c r="APJ42" s="160"/>
      <c r="APK42" s="160"/>
      <c r="APL42" s="160"/>
      <c r="APM42" s="160"/>
      <c r="APN42" s="160"/>
      <c r="APO42" s="160"/>
      <c r="APP42" s="160"/>
      <c r="APQ42" s="160"/>
      <c r="APR42" s="160"/>
      <c r="APS42" s="160"/>
      <c r="APT42" s="160"/>
      <c r="APU42" s="160"/>
      <c r="APV42" s="160"/>
      <c r="APW42" s="160"/>
      <c r="APX42" s="160"/>
      <c r="APY42" s="160"/>
      <c r="APZ42" s="160"/>
      <c r="AQA42" s="160"/>
      <c r="AQB42" s="160"/>
      <c r="AQC42" s="160"/>
      <c r="AQD42" s="160"/>
      <c r="AQE42" s="160"/>
      <c r="AQF42" s="160"/>
      <c r="AQG42" s="160"/>
      <c r="AQH42" s="160"/>
      <c r="AQI42" s="160"/>
      <c r="AQJ42" s="160"/>
      <c r="AQK42" s="160"/>
      <c r="AQL42" s="160"/>
      <c r="AQM42" s="160"/>
      <c r="AQN42" s="160"/>
      <c r="AQO42" s="160"/>
      <c r="AQP42" s="160"/>
      <c r="AQQ42" s="160"/>
      <c r="AQR42" s="160"/>
      <c r="AQS42" s="160"/>
      <c r="AQT42" s="160"/>
      <c r="AQU42" s="160"/>
      <c r="AQV42" s="160"/>
      <c r="AQW42" s="160"/>
      <c r="AQX42" s="160"/>
      <c r="AQY42" s="160"/>
      <c r="AQZ42" s="160"/>
      <c r="ARA42" s="160"/>
      <c r="ARB42" s="160"/>
      <c r="ARC42" s="160"/>
      <c r="ARD42" s="160"/>
      <c r="ARE42" s="160"/>
      <c r="ARF42" s="160"/>
      <c r="ARG42" s="160"/>
      <c r="ARH42" s="160"/>
      <c r="ARI42" s="160"/>
      <c r="ARJ42" s="160"/>
      <c r="ARK42" s="160"/>
      <c r="ARL42" s="160"/>
      <c r="ARM42" s="160"/>
      <c r="ARN42" s="160"/>
      <c r="ARO42" s="160"/>
      <c r="ARP42" s="160"/>
      <c r="ARQ42" s="160"/>
      <c r="ARR42" s="160"/>
      <c r="ARS42" s="160"/>
      <c r="ART42" s="160"/>
      <c r="ARU42" s="160"/>
      <c r="ARV42" s="160"/>
      <c r="ARW42" s="160"/>
      <c r="ARX42" s="160"/>
      <c r="ARY42" s="160"/>
      <c r="ARZ42" s="160"/>
      <c r="ASA42" s="160"/>
      <c r="ASB42" s="160"/>
      <c r="ASC42" s="160"/>
      <c r="ASD42" s="160"/>
      <c r="ASE42" s="160"/>
      <c r="ASF42" s="160"/>
      <c r="ASG42" s="160"/>
      <c r="ASH42" s="160"/>
      <c r="ASI42" s="160"/>
      <c r="ASJ42" s="160"/>
      <c r="ASK42" s="160"/>
      <c r="ASL42" s="160"/>
      <c r="ASM42" s="160"/>
      <c r="ASN42" s="160"/>
      <c r="ASO42" s="160"/>
      <c r="ASP42" s="160"/>
      <c r="ASQ42" s="160"/>
      <c r="ASR42" s="160"/>
      <c r="ASS42" s="160"/>
      <c r="AST42" s="160"/>
      <c r="ASU42" s="160"/>
      <c r="ASV42" s="160"/>
      <c r="ASW42" s="160"/>
      <c r="ASX42" s="160"/>
      <c r="ASY42" s="160"/>
      <c r="ASZ42" s="160"/>
      <c r="ATA42" s="160"/>
      <c r="ATB42" s="160"/>
      <c r="ATC42" s="160"/>
      <c r="ATD42" s="160"/>
      <c r="ATE42" s="160"/>
      <c r="ATF42" s="160"/>
      <c r="ATG42" s="160"/>
      <c r="ATH42" s="160"/>
      <c r="ATI42" s="160"/>
      <c r="ATJ42" s="160"/>
      <c r="ATK42" s="160"/>
      <c r="ATL42" s="160"/>
      <c r="ATM42" s="160"/>
      <c r="ATN42" s="160"/>
      <c r="ATO42" s="160"/>
      <c r="ATP42" s="160"/>
      <c r="ATQ42" s="160"/>
      <c r="ATR42" s="160"/>
      <c r="ATS42" s="160"/>
      <c r="ATT42" s="160"/>
      <c r="ATU42" s="160"/>
      <c r="ATV42" s="160"/>
      <c r="ATW42" s="160"/>
      <c r="ATX42" s="160"/>
      <c r="ATY42" s="160"/>
      <c r="ATZ42" s="160"/>
      <c r="AUA42" s="160"/>
      <c r="AUB42" s="160"/>
      <c r="AUC42" s="160"/>
      <c r="AUD42" s="160"/>
      <c r="AUE42" s="160"/>
      <c r="AUF42" s="160"/>
      <c r="AUG42" s="160"/>
      <c r="AUH42" s="160"/>
      <c r="AUI42" s="160"/>
      <c r="AUJ42" s="160"/>
      <c r="AUK42" s="160"/>
      <c r="AUL42" s="160"/>
      <c r="AUM42" s="160"/>
      <c r="AUN42" s="160"/>
      <c r="AUO42" s="160"/>
      <c r="AUP42" s="160"/>
      <c r="AUQ42" s="160"/>
      <c r="AUR42" s="160"/>
      <c r="AUS42" s="160"/>
      <c r="AUT42" s="160"/>
      <c r="AUU42" s="160"/>
      <c r="AUV42" s="160"/>
      <c r="AUW42" s="160"/>
      <c r="AUX42" s="160"/>
      <c r="AUY42" s="160"/>
      <c r="AUZ42" s="160"/>
      <c r="AVA42" s="160"/>
      <c r="AVB42" s="160"/>
      <c r="AVC42" s="160"/>
      <c r="AVD42" s="160"/>
      <c r="AVE42" s="160"/>
      <c r="AVF42" s="160"/>
      <c r="AVG42" s="160"/>
      <c r="AVH42" s="160"/>
      <c r="AVI42" s="160"/>
      <c r="AVJ42" s="160"/>
      <c r="AVK42" s="160"/>
      <c r="AVL42" s="160"/>
      <c r="AVM42" s="160"/>
      <c r="AVN42" s="160"/>
      <c r="AVO42" s="160"/>
      <c r="AVP42" s="160"/>
      <c r="AVQ42" s="160"/>
      <c r="AVR42" s="160"/>
      <c r="AVS42" s="160"/>
      <c r="AVT42" s="160"/>
      <c r="AVU42" s="160"/>
      <c r="AVV42" s="160"/>
      <c r="AVW42" s="160"/>
      <c r="AVX42" s="160"/>
      <c r="AVY42" s="160"/>
      <c r="AVZ42" s="160"/>
      <c r="AWA42" s="160"/>
      <c r="AWB42" s="160"/>
      <c r="AWC42" s="160"/>
      <c r="AWD42" s="160"/>
      <c r="AWE42" s="160"/>
      <c r="AWF42" s="160"/>
      <c r="AWG42" s="160"/>
      <c r="AWH42" s="160"/>
      <c r="AWI42" s="160"/>
      <c r="AWJ42" s="160"/>
      <c r="AWK42" s="160"/>
      <c r="AWL42" s="160"/>
      <c r="AWM42" s="160"/>
      <c r="AWN42" s="160"/>
      <c r="AWO42" s="160"/>
      <c r="AWP42" s="160"/>
      <c r="AWQ42" s="160"/>
      <c r="AWR42" s="160"/>
      <c r="AWS42" s="160"/>
      <c r="AWT42" s="160"/>
      <c r="AWU42" s="160"/>
      <c r="AWV42" s="160"/>
      <c r="AWW42" s="160"/>
      <c r="AWX42" s="160"/>
      <c r="AWY42" s="160"/>
      <c r="AWZ42" s="160"/>
      <c r="AXA42" s="160"/>
      <c r="AXB42" s="160"/>
      <c r="AXC42" s="160"/>
      <c r="AXD42" s="160"/>
      <c r="AXE42" s="160"/>
      <c r="AXF42" s="160"/>
      <c r="AXG42" s="160"/>
      <c r="AXH42" s="160"/>
      <c r="AXI42" s="160"/>
      <c r="AXJ42" s="160"/>
      <c r="AXK42" s="160"/>
      <c r="AXL42" s="160"/>
      <c r="AXM42" s="160"/>
      <c r="AXN42" s="160"/>
      <c r="AXO42" s="160"/>
      <c r="AXP42" s="160"/>
      <c r="AXQ42" s="160"/>
      <c r="AXR42" s="160"/>
      <c r="AXS42" s="160"/>
      <c r="AXT42" s="160"/>
      <c r="AXU42" s="160"/>
      <c r="AXV42" s="160"/>
      <c r="AXW42" s="160"/>
      <c r="AXX42" s="160"/>
      <c r="AXY42" s="160"/>
      <c r="AXZ42" s="160"/>
      <c r="AYA42" s="160"/>
      <c r="AYB42" s="160"/>
      <c r="AYC42" s="160"/>
      <c r="AYD42" s="160"/>
      <c r="AYE42" s="160"/>
      <c r="AYF42" s="160"/>
      <c r="AYG42" s="160"/>
      <c r="AYH42" s="160"/>
      <c r="AYI42" s="160"/>
      <c r="AYJ42" s="160"/>
      <c r="AYK42" s="160"/>
      <c r="AYL42" s="160"/>
      <c r="AYM42" s="160"/>
      <c r="AYN42" s="160"/>
      <c r="AYO42" s="160"/>
      <c r="AYP42" s="160"/>
      <c r="AYQ42" s="160"/>
      <c r="AYR42" s="160"/>
      <c r="AYS42" s="160"/>
      <c r="AYT42" s="160"/>
      <c r="AYU42" s="160"/>
      <c r="AYV42" s="160"/>
      <c r="AYW42" s="160"/>
      <c r="AYX42" s="160"/>
      <c r="AYY42" s="160"/>
      <c r="AYZ42" s="160"/>
      <c r="AZA42" s="160"/>
      <c r="AZB42" s="160"/>
      <c r="AZC42" s="160"/>
      <c r="AZD42" s="160"/>
      <c r="AZE42" s="160"/>
      <c r="AZF42" s="160"/>
      <c r="AZG42" s="160"/>
      <c r="AZH42" s="160"/>
      <c r="AZI42" s="160"/>
      <c r="AZJ42" s="160"/>
      <c r="AZK42" s="160"/>
      <c r="AZL42" s="160"/>
      <c r="AZM42" s="160"/>
      <c r="AZN42" s="160"/>
      <c r="AZO42" s="160"/>
      <c r="AZP42" s="160"/>
      <c r="AZQ42" s="160"/>
      <c r="AZR42" s="160"/>
      <c r="AZS42" s="160"/>
      <c r="AZT42" s="160"/>
      <c r="AZU42" s="160"/>
      <c r="AZV42" s="160"/>
      <c r="AZW42" s="160"/>
      <c r="AZX42" s="160"/>
      <c r="AZY42" s="160"/>
      <c r="AZZ42" s="160"/>
      <c r="BAA42" s="160"/>
      <c r="BAB42" s="160"/>
      <c r="BAC42" s="160"/>
      <c r="BAD42" s="160"/>
      <c r="BAE42" s="160"/>
      <c r="BAF42" s="160"/>
      <c r="BAG42" s="160"/>
      <c r="BAH42" s="160"/>
      <c r="BAI42" s="160"/>
      <c r="BAJ42" s="160"/>
      <c r="BAK42" s="160"/>
      <c r="BAL42" s="160"/>
      <c r="BAM42" s="160"/>
      <c r="BAN42" s="160"/>
      <c r="BAO42" s="160"/>
      <c r="BAP42" s="160"/>
      <c r="BAQ42" s="160"/>
      <c r="BAR42" s="160"/>
      <c r="BAS42" s="160"/>
      <c r="BAT42" s="160"/>
      <c r="BAU42" s="160"/>
      <c r="BAV42" s="160"/>
      <c r="BAW42" s="160"/>
      <c r="BAX42" s="160"/>
      <c r="BAY42" s="160"/>
      <c r="BAZ42" s="160"/>
      <c r="BBA42" s="160"/>
      <c r="BBB42" s="160"/>
      <c r="BBC42" s="160"/>
      <c r="BBD42" s="160"/>
      <c r="BBE42" s="160"/>
      <c r="BBF42" s="160"/>
      <c r="BBG42" s="160"/>
      <c r="BBH42" s="160"/>
      <c r="BBI42" s="160"/>
      <c r="BBJ42" s="160"/>
      <c r="BBK42" s="160"/>
      <c r="BBL42" s="160"/>
      <c r="BBM42" s="160"/>
      <c r="BBN42" s="160"/>
      <c r="BBO42" s="160"/>
      <c r="BBP42" s="160"/>
      <c r="BBQ42" s="160"/>
      <c r="BBR42" s="160"/>
      <c r="BBS42" s="160"/>
      <c r="BBT42" s="160"/>
      <c r="BBU42" s="160"/>
      <c r="BBV42" s="160"/>
      <c r="BBW42" s="160"/>
      <c r="BBX42" s="160"/>
      <c r="BBY42" s="160"/>
      <c r="BBZ42" s="160"/>
      <c r="BCA42" s="160"/>
      <c r="BCB42" s="160"/>
      <c r="BCC42" s="160"/>
      <c r="BCD42" s="160"/>
      <c r="BCE42" s="160"/>
      <c r="BCF42" s="160"/>
      <c r="BCG42" s="160"/>
      <c r="BCH42" s="160"/>
      <c r="BCI42" s="160"/>
      <c r="BCJ42" s="160"/>
      <c r="BCK42" s="160"/>
      <c r="BCL42" s="160"/>
      <c r="BCM42" s="160"/>
      <c r="BCN42" s="160"/>
      <c r="BCO42" s="160"/>
      <c r="BCP42" s="160"/>
      <c r="BCQ42" s="160"/>
      <c r="BCR42" s="160"/>
      <c r="BCS42" s="160"/>
      <c r="BCT42" s="160"/>
      <c r="BCU42" s="160"/>
      <c r="BCV42" s="160"/>
      <c r="BCW42" s="160"/>
      <c r="BCX42" s="160"/>
      <c r="BCY42" s="160"/>
      <c r="BCZ42" s="160"/>
      <c r="BDA42" s="160"/>
      <c r="BDB42" s="160"/>
      <c r="BDC42" s="160"/>
      <c r="BDD42" s="160"/>
      <c r="BDE42" s="160"/>
      <c r="BDF42" s="160"/>
      <c r="BDG42" s="160"/>
      <c r="BDH42" s="160"/>
      <c r="BDI42" s="160"/>
      <c r="BDJ42" s="160"/>
      <c r="BDK42" s="160"/>
      <c r="BDL42" s="160"/>
      <c r="BDM42" s="160"/>
      <c r="BDN42" s="160"/>
      <c r="BDO42" s="160"/>
      <c r="BDP42" s="160"/>
      <c r="BDQ42" s="160"/>
      <c r="BDR42" s="160"/>
      <c r="BDS42" s="160"/>
      <c r="BDT42" s="160"/>
      <c r="BDU42" s="160"/>
      <c r="BDV42" s="160"/>
      <c r="BDW42" s="160"/>
      <c r="BDX42" s="160"/>
      <c r="BDY42" s="160"/>
      <c r="BDZ42" s="160"/>
      <c r="BEA42" s="160"/>
      <c r="BEB42" s="160"/>
      <c r="BEC42" s="160"/>
      <c r="BED42" s="160"/>
      <c r="BEE42" s="160"/>
      <c r="BEF42" s="160"/>
      <c r="BEG42" s="160"/>
      <c r="BEH42" s="160"/>
      <c r="BEI42" s="160"/>
      <c r="BEJ42" s="160"/>
      <c r="BEK42" s="160"/>
      <c r="BEL42" s="160"/>
      <c r="BEM42" s="160"/>
      <c r="BEN42" s="160"/>
      <c r="BEO42" s="160"/>
      <c r="BEP42" s="160"/>
      <c r="BEQ42" s="160"/>
      <c r="BER42" s="160"/>
      <c r="BES42" s="160"/>
      <c r="BET42" s="160"/>
      <c r="BEU42" s="160"/>
      <c r="BEV42" s="160"/>
      <c r="BEW42" s="160"/>
      <c r="BEX42" s="160"/>
      <c r="BEY42" s="160"/>
      <c r="BEZ42" s="160"/>
      <c r="BFA42" s="160"/>
      <c r="BFB42" s="160"/>
      <c r="BFC42" s="160"/>
      <c r="BFD42" s="160"/>
      <c r="BFE42" s="160"/>
      <c r="BFF42" s="160"/>
      <c r="BFG42" s="160"/>
      <c r="BFH42" s="160"/>
      <c r="BFI42" s="160"/>
      <c r="BFJ42" s="160"/>
      <c r="BFK42" s="160"/>
      <c r="BFL42" s="160"/>
      <c r="BFM42" s="160"/>
      <c r="BFN42" s="160"/>
      <c r="BFO42" s="160"/>
      <c r="BFP42" s="160"/>
      <c r="BFQ42" s="160"/>
      <c r="BFR42" s="160"/>
      <c r="BFS42" s="160"/>
      <c r="BFT42" s="160"/>
      <c r="BFU42" s="160"/>
      <c r="BFV42" s="160"/>
      <c r="BFW42" s="160"/>
      <c r="BFX42" s="160"/>
      <c r="BFY42" s="160"/>
      <c r="BFZ42" s="160"/>
      <c r="BGA42" s="160"/>
      <c r="BGB42" s="160"/>
      <c r="BGC42" s="160"/>
      <c r="BGD42" s="160"/>
      <c r="BGE42" s="160"/>
      <c r="BGF42" s="160"/>
      <c r="BGG42" s="160"/>
      <c r="BGH42" s="160"/>
      <c r="BGI42" s="160"/>
      <c r="BGJ42" s="160"/>
      <c r="BGK42" s="160"/>
      <c r="BGL42" s="160"/>
      <c r="BGM42" s="160"/>
      <c r="BGN42" s="160"/>
      <c r="BGO42" s="160"/>
      <c r="BGP42" s="160"/>
      <c r="BGQ42" s="160"/>
      <c r="BGR42" s="160"/>
      <c r="BGS42" s="160"/>
      <c r="BGT42" s="160"/>
      <c r="BGU42" s="160"/>
      <c r="BGV42" s="160"/>
      <c r="BGW42" s="160"/>
      <c r="BGX42" s="160"/>
      <c r="BGY42" s="160"/>
      <c r="BGZ42" s="160"/>
      <c r="BHA42" s="160"/>
      <c r="BHB42" s="160"/>
      <c r="BHC42" s="160"/>
      <c r="BHD42" s="160"/>
      <c r="BHE42" s="160"/>
      <c r="BHF42" s="160"/>
      <c r="BHG42" s="160"/>
      <c r="BHH42" s="160"/>
      <c r="BHI42" s="160"/>
      <c r="BHJ42" s="160"/>
      <c r="BHK42" s="160"/>
      <c r="BHL42" s="160"/>
      <c r="BHM42" s="160"/>
      <c r="BHN42" s="160"/>
      <c r="BHO42" s="160"/>
      <c r="BHP42" s="160"/>
      <c r="BHQ42" s="160"/>
      <c r="BHR42" s="160"/>
      <c r="BHS42" s="160"/>
      <c r="BHT42" s="160"/>
      <c r="BHU42" s="160"/>
      <c r="BHV42" s="160"/>
      <c r="BHW42" s="160"/>
      <c r="BHX42" s="160"/>
      <c r="BHY42" s="160"/>
      <c r="BHZ42" s="160"/>
      <c r="BIA42" s="160"/>
      <c r="BIB42" s="160"/>
      <c r="BIC42" s="160"/>
      <c r="BID42" s="160"/>
      <c r="BIE42" s="160"/>
      <c r="BIF42" s="160"/>
      <c r="BIG42" s="160"/>
      <c r="BIH42" s="160"/>
      <c r="BII42" s="160"/>
      <c r="BIJ42" s="160"/>
      <c r="BIK42" s="160"/>
      <c r="BIL42" s="160"/>
      <c r="BIM42" s="160"/>
      <c r="BIN42" s="160"/>
      <c r="BIO42" s="160"/>
      <c r="BIP42" s="160"/>
      <c r="BIQ42" s="160"/>
      <c r="BIR42" s="160"/>
      <c r="BIS42" s="160"/>
      <c r="BIT42" s="160"/>
      <c r="BIU42" s="160"/>
      <c r="BIV42" s="160"/>
      <c r="BIW42" s="160"/>
      <c r="BIX42" s="160"/>
      <c r="BIY42" s="160"/>
      <c r="BIZ42" s="160"/>
      <c r="BJA42" s="160"/>
      <c r="BJB42" s="160"/>
      <c r="BJC42" s="160"/>
      <c r="BJD42" s="160"/>
      <c r="BJE42" s="160"/>
      <c r="BJF42" s="160"/>
      <c r="BJG42" s="160"/>
      <c r="BJH42" s="160"/>
      <c r="BJI42" s="160"/>
      <c r="BJJ42" s="160"/>
      <c r="BJK42" s="160"/>
      <c r="BJL42" s="160"/>
      <c r="BJM42" s="160"/>
      <c r="BJN42" s="160"/>
      <c r="BJO42" s="160"/>
      <c r="BJP42" s="160"/>
      <c r="BJQ42" s="160"/>
      <c r="BJR42" s="160"/>
      <c r="BJS42" s="160"/>
      <c r="BJT42" s="160"/>
      <c r="BJU42" s="160"/>
      <c r="BJV42" s="160"/>
      <c r="BJW42" s="160"/>
      <c r="BJX42" s="160"/>
      <c r="BJY42" s="160"/>
      <c r="BJZ42" s="160"/>
      <c r="BKA42" s="160"/>
      <c r="BKB42" s="160"/>
      <c r="BKC42" s="160"/>
      <c r="BKD42" s="160"/>
      <c r="BKE42" s="160"/>
      <c r="BKF42" s="160"/>
      <c r="BKG42" s="160"/>
      <c r="BKH42" s="160"/>
      <c r="BKI42" s="160"/>
      <c r="BKJ42" s="160"/>
      <c r="BKK42" s="160"/>
      <c r="BKL42" s="160"/>
      <c r="BKM42" s="160"/>
      <c r="BKN42" s="160"/>
      <c r="BKO42" s="160"/>
      <c r="BKP42" s="160"/>
      <c r="BKQ42" s="160"/>
      <c r="BKR42" s="160"/>
      <c r="BKS42" s="160"/>
      <c r="BKT42" s="160"/>
      <c r="BKU42" s="160"/>
      <c r="BKV42" s="160"/>
      <c r="BKW42" s="160"/>
      <c r="BKX42" s="160"/>
      <c r="BKY42" s="160"/>
      <c r="BKZ42" s="160"/>
      <c r="BLA42" s="160"/>
      <c r="BLB42" s="160"/>
      <c r="BLC42" s="160"/>
      <c r="BLD42" s="160"/>
      <c r="BLE42" s="160"/>
      <c r="BLF42" s="160"/>
      <c r="BLG42" s="160"/>
      <c r="BLH42" s="160"/>
      <c r="BLI42" s="160"/>
      <c r="BLJ42" s="160"/>
      <c r="BLK42" s="160"/>
      <c r="BLL42" s="160"/>
      <c r="BLM42" s="160"/>
      <c r="BLN42" s="160"/>
      <c r="BLO42" s="160"/>
      <c r="BLP42" s="160"/>
      <c r="BLQ42" s="160"/>
      <c r="BLR42" s="160"/>
      <c r="BLS42" s="160"/>
      <c r="BLT42" s="160"/>
      <c r="BLU42" s="160"/>
      <c r="BLV42" s="160"/>
      <c r="BLW42" s="160"/>
      <c r="BLX42" s="160"/>
      <c r="BLY42" s="160"/>
      <c r="BLZ42" s="160"/>
      <c r="BMA42" s="160"/>
      <c r="BMB42" s="160"/>
      <c r="BMC42" s="160"/>
      <c r="BMD42" s="160"/>
      <c r="BME42" s="160"/>
      <c r="BMF42" s="160"/>
      <c r="BMG42" s="160"/>
      <c r="BMH42" s="160"/>
      <c r="BMI42" s="160"/>
      <c r="BMJ42" s="160"/>
      <c r="BMK42" s="160"/>
      <c r="BML42" s="160"/>
      <c r="BMM42" s="160"/>
      <c r="BMN42" s="160"/>
      <c r="BMO42" s="160"/>
      <c r="BMP42" s="160"/>
      <c r="BMQ42" s="160"/>
      <c r="BMR42" s="160"/>
      <c r="BMS42" s="160"/>
      <c r="BMT42" s="160"/>
      <c r="BMU42" s="160"/>
      <c r="BMV42" s="160"/>
      <c r="BMW42" s="160"/>
      <c r="BMX42" s="160"/>
      <c r="BMY42" s="160"/>
      <c r="BMZ42" s="160"/>
      <c r="BNA42" s="160"/>
      <c r="BNB42" s="160"/>
      <c r="BNC42" s="160"/>
      <c r="BND42" s="160"/>
      <c r="BNE42" s="160"/>
      <c r="BNF42" s="160"/>
      <c r="BNG42" s="160"/>
      <c r="BNH42" s="160"/>
      <c r="BNI42" s="160"/>
      <c r="BNJ42" s="160"/>
      <c r="BNK42" s="160"/>
      <c r="BNL42" s="160"/>
      <c r="BNM42" s="160"/>
      <c r="BNN42" s="160"/>
      <c r="BNO42" s="160"/>
      <c r="BNP42" s="160"/>
      <c r="BNQ42" s="160"/>
      <c r="BNR42" s="160"/>
      <c r="BNS42" s="160"/>
      <c r="BNT42" s="160"/>
      <c r="BNU42" s="160"/>
      <c r="BNV42" s="160"/>
      <c r="BNW42" s="160"/>
      <c r="BNX42" s="160"/>
      <c r="BNY42" s="160"/>
      <c r="BNZ42" s="160"/>
      <c r="BOA42" s="160"/>
      <c r="BOB42" s="160"/>
      <c r="BOC42" s="160"/>
      <c r="BOD42" s="160"/>
      <c r="BOE42" s="160"/>
      <c r="BOF42" s="160"/>
      <c r="BOG42" s="160"/>
      <c r="BOH42" s="160"/>
      <c r="BOI42" s="160"/>
      <c r="BOJ42" s="160"/>
      <c r="BOK42" s="160"/>
      <c r="BOL42" s="160"/>
      <c r="BOM42" s="160"/>
      <c r="BON42" s="160"/>
      <c r="BOO42" s="160"/>
      <c r="BOP42" s="160"/>
      <c r="BOQ42" s="160"/>
      <c r="BOR42" s="160"/>
      <c r="BOS42" s="160"/>
      <c r="BOT42" s="160"/>
      <c r="BOU42" s="160"/>
      <c r="BOV42" s="160"/>
      <c r="BOW42" s="160"/>
      <c r="BOX42" s="160"/>
      <c r="BOY42" s="160"/>
      <c r="BOZ42" s="160"/>
      <c r="BPA42" s="160"/>
      <c r="BPB42" s="160"/>
      <c r="BPC42" s="160"/>
      <c r="BPD42" s="160"/>
      <c r="BPE42" s="160"/>
      <c r="BPF42" s="160"/>
      <c r="BPG42" s="160"/>
      <c r="BPH42" s="160"/>
      <c r="BPI42" s="160"/>
      <c r="BPJ42" s="160"/>
      <c r="BPK42" s="160"/>
      <c r="BPL42" s="160"/>
      <c r="BPM42" s="160"/>
      <c r="BPN42" s="160"/>
      <c r="BPO42" s="160"/>
      <c r="BPP42" s="160"/>
      <c r="BPQ42" s="160"/>
      <c r="BPR42" s="160"/>
      <c r="BPS42" s="160"/>
      <c r="BPT42" s="160"/>
      <c r="BPU42" s="160"/>
      <c r="BPV42" s="160"/>
      <c r="BPW42" s="160"/>
      <c r="BPX42" s="160"/>
      <c r="BPY42" s="160"/>
      <c r="BPZ42" s="160"/>
      <c r="BQA42" s="160"/>
      <c r="BQB42" s="160"/>
      <c r="BQC42" s="160"/>
      <c r="BQD42" s="160"/>
      <c r="BQE42" s="160"/>
      <c r="BQF42" s="160"/>
      <c r="BQG42" s="160"/>
      <c r="BQH42" s="160"/>
      <c r="BQI42" s="160"/>
      <c r="BQJ42" s="160"/>
      <c r="BQK42" s="160"/>
      <c r="BQL42" s="160"/>
      <c r="BQM42" s="160"/>
      <c r="BQN42" s="160"/>
      <c r="BQO42" s="160"/>
      <c r="BQP42" s="160"/>
      <c r="BQQ42" s="160"/>
      <c r="BQR42" s="160"/>
      <c r="BQS42" s="160"/>
      <c r="BQT42" s="160"/>
      <c r="BQU42" s="160"/>
      <c r="BQV42" s="160"/>
      <c r="BQW42" s="160"/>
      <c r="BQX42" s="160"/>
      <c r="BQY42" s="160"/>
      <c r="BQZ42" s="160"/>
      <c r="BRA42" s="160"/>
      <c r="BRB42" s="160"/>
      <c r="BRC42" s="160"/>
      <c r="BRD42" s="160"/>
      <c r="BRE42" s="160"/>
      <c r="BRF42" s="160"/>
      <c r="BRG42" s="160"/>
      <c r="BRH42" s="160"/>
      <c r="BRI42" s="160"/>
      <c r="BRJ42" s="160"/>
      <c r="BRK42" s="160"/>
      <c r="BRL42" s="160"/>
      <c r="BRM42" s="160"/>
      <c r="BRN42" s="160"/>
      <c r="BRO42" s="160"/>
      <c r="BRP42" s="160"/>
      <c r="BRQ42" s="160"/>
      <c r="BRR42" s="160"/>
      <c r="BRS42" s="160"/>
      <c r="BRT42" s="160"/>
      <c r="BRU42" s="160"/>
      <c r="BRV42" s="160"/>
      <c r="BRW42" s="160"/>
      <c r="BRX42" s="160"/>
      <c r="BRY42" s="160"/>
      <c r="BRZ42" s="160"/>
      <c r="BSA42" s="160"/>
      <c r="BSB42" s="160"/>
      <c r="BSC42" s="160"/>
      <c r="BSD42" s="160"/>
      <c r="BSE42" s="160"/>
      <c r="BSF42" s="160"/>
      <c r="BSG42" s="160"/>
      <c r="BSH42" s="160"/>
      <c r="BSI42" s="160"/>
      <c r="BSJ42" s="160"/>
      <c r="BSK42" s="160"/>
      <c r="BSL42" s="160"/>
      <c r="BSM42" s="160"/>
      <c r="BSN42" s="160"/>
      <c r="BSO42" s="160"/>
      <c r="BSP42" s="160"/>
      <c r="BSQ42" s="160"/>
      <c r="BSR42" s="160"/>
      <c r="BSS42" s="160"/>
      <c r="BST42" s="160"/>
      <c r="BSU42" s="160"/>
      <c r="BSV42" s="160"/>
      <c r="BSW42" s="160"/>
      <c r="BSX42" s="160"/>
      <c r="BSY42" s="160"/>
      <c r="BSZ42" s="160"/>
      <c r="BTA42" s="160"/>
      <c r="BTB42" s="160"/>
      <c r="BTC42" s="160"/>
      <c r="BTD42" s="160"/>
      <c r="BTE42" s="160"/>
      <c r="BTF42" s="160"/>
      <c r="BTG42" s="160"/>
      <c r="BTH42" s="160"/>
      <c r="BTI42" s="160"/>
      <c r="BTJ42" s="160"/>
      <c r="BTK42" s="160"/>
      <c r="BTL42" s="160"/>
      <c r="BTM42" s="160"/>
      <c r="BTN42" s="160"/>
      <c r="BTO42" s="160"/>
      <c r="BTP42" s="160"/>
      <c r="BTQ42" s="160"/>
      <c r="BTR42" s="160"/>
      <c r="BTS42" s="160"/>
      <c r="BTT42" s="160"/>
      <c r="BTU42" s="160"/>
      <c r="BTV42" s="160"/>
      <c r="BTW42" s="160"/>
      <c r="BTX42" s="160"/>
      <c r="BTY42" s="160"/>
      <c r="BTZ42" s="160"/>
      <c r="BUA42" s="160"/>
      <c r="BUB42" s="160"/>
      <c r="BUC42" s="160"/>
      <c r="BUD42" s="160"/>
      <c r="BUE42" s="160"/>
      <c r="BUF42" s="160"/>
      <c r="BUG42" s="160"/>
      <c r="BUH42" s="160"/>
      <c r="BUI42" s="160"/>
      <c r="BUJ42" s="160"/>
      <c r="BUK42" s="160"/>
      <c r="BUL42" s="160"/>
      <c r="BUM42" s="160"/>
      <c r="BUN42" s="160"/>
      <c r="BUO42" s="160"/>
      <c r="BUP42" s="160"/>
      <c r="BUQ42" s="160"/>
      <c r="BUR42" s="160"/>
      <c r="BUS42" s="160"/>
      <c r="BUT42" s="160"/>
      <c r="BUU42" s="160"/>
      <c r="BUV42" s="160"/>
      <c r="BUW42" s="160"/>
      <c r="BUX42" s="160"/>
      <c r="BUY42" s="160"/>
      <c r="BUZ42" s="160"/>
      <c r="BVA42" s="160"/>
      <c r="BVB42" s="160"/>
      <c r="BVC42" s="160"/>
      <c r="BVD42" s="160"/>
      <c r="BVE42" s="160"/>
      <c r="BVF42" s="160"/>
      <c r="BVG42" s="160"/>
      <c r="BVH42" s="160"/>
      <c r="BVI42" s="160"/>
      <c r="BVJ42" s="160"/>
      <c r="BVK42" s="160"/>
      <c r="BVL42" s="160"/>
      <c r="BVM42" s="160"/>
      <c r="BVN42" s="160"/>
      <c r="BVO42" s="160"/>
      <c r="BVP42" s="160"/>
      <c r="BVQ42" s="160"/>
      <c r="BVR42" s="160"/>
      <c r="BVS42" s="160"/>
      <c r="BVT42" s="160"/>
      <c r="BVU42" s="160"/>
      <c r="BVV42" s="160"/>
      <c r="BVW42" s="160"/>
      <c r="BVX42" s="160"/>
      <c r="BVY42" s="160"/>
      <c r="BVZ42" s="160"/>
      <c r="BWA42" s="160"/>
      <c r="BWB42" s="160"/>
      <c r="BWC42" s="160"/>
      <c r="BWD42" s="160"/>
      <c r="BWE42" s="160"/>
      <c r="BWF42" s="160"/>
      <c r="BWG42" s="160"/>
      <c r="BWH42" s="160"/>
      <c r="BWI42" s="160"/>
      <c r="BWJ42" s="160"/>
      <c r="BWK42" s="160"/>
      <c r="BWL42" s="160"/>
      <c r="BWM42" s="160"/>
      <c r="BWN42" s="160"/>
      <c r="BWO42" s="160"/>
      <c r="BWP42" s="160"/>
      <c r="BWQ42" s="160"/>
      <c r="BWR42" s="160"/>
      <c r="BWS42" s="160"/>
      <c r="BWT42" s="160"/>
      <c r="BWU42" s="160"/>
      <c r="BWV42" s="160"/>
      <c r="BWW42" s="160"/>
      <c r="BWX42" s="160"/>
      <c r="BWY42" s="160"/>
      <c r="BWZ42" s="160"/>
      <c r="BXA42" s="160"/>
      <c r="BXB42" s="160"/>
      <c r="BXC42" s="160"/>
      <c r="BXD42" s="160"/>
      <c r="BXE42" s="160"/>
      <c r="BXF42" s="160"/>
      <c r="BXG42" s="160"/>
      <c r="BXH42" s="160"/>
      <c r="BXI42" s="160"/>
      <c r="BXJ42" s="160"/>
      <c r="BXK42" s="160"/>
      <c r="BXL42" s="160"/>
      <c r="BXM42" s="160"/>
      <c r="BXN42" s="160"/>
      <c r="BXO42" s="160"/>
      <c r="BXP42" s="160"/>
      <c r="BXQ42" s="160"/>
      <c r="BXR42" s="160"/>
      <c r="BXS42" s="160"/>
      <c r="BXT42" s="160"/>
      <c r="BXU42" s="160"/>
      <c r="BXV42" s="160"/>
      <c r="BXW42" s="160"/>
      <c r="BXX42" s="160"/>
      <c r="BXY42" s="160"/>
      <c r="BXZ42" s="160"/>
      <c r="BYA42" s="160"/>
      <c r="BYB42" s="160"/>
      <c r="BYC42" s="160"/>
      <c r="BYD42" s="160"/>
      <c r="BYE42" s="160"/>
      <c r="BYF42" s="160"/>
      <c r="BYG42" s="160"/>
    </row>
    <row r="43" spans="1:2009" s="3" customFormat="1" ht="12.75" customHeight="1" thickBot="1" x14ac:dyDescent="0.3">
      <c r="A43" s="72"/>
      <c r="B43" s="9"/>
      <c r="C43" s="132"/>
      <c r="D43" s="132"/>
      <c r="E43" s="132"/>
      <c r="F43" s="132"/>
      <c r="G43" s="502"/>
      <c r="H43" s="744"/>
      <c r="I43" s="26"/>
    </row>
    <row r="44" spans="1:2009" s="86" customFormat="1" ht="24.95" customHeight="1" x14ac:dyDescent="0.25">
      <c r="A44" s="108" t="s">
        <v>266</v>
      </c>
      <c r="B44" s="326"/>
      <c r="C44" s="327"/>
      <c r="D44" s="328"/>
      <c r="E44" s="327"/>
      <c r="F44" s="328"/>
      <c r="G44" s="503"/>
      <c r="H44" s="744"/>
      <c r="I44" s="26"/>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row>
    <row r="45" spans="1:2009" s="86" customFormat="1" ht="24.95" customHeight="1" x14ac:dyDescent="0.25">
      <c r="A45" s="294"/>
      <c r="B45" s="330" t="s">
        <v>634</v>
      </c>
      <c r="C45" s="352">
        <v>658.19</v>
      </c>
      <c r="D45" s="352">
        <v>614.6</v>
      </c>
      <c r="E45" s="352">
        <v>548.9</v>
      </c>
      <c r="F45" s="396"/>
      <c r="G45" s="504">
        <f>ROUND(SUM(C45:F45),5)</f>
        <v>1821.69</v>
      </c>
      <c r="H45" s="744"/>
      <c r="I45" s="26"/>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row>
    <row r="46" spans="1:2009" s="86" customFormat="1" ht="24.75" hidden="1" customHeight="1" x14ac:dyDescent="0.25">
      <c r="A46" s="294"/>
      <c r="B46" s="330" t="s">
        <v>525</v>
      </c>
      <c r="C46" s="352"/>
      <c r="D46" s="396"/>
      <c r="E46" s="352"/>
      <c r="F46" s="396"/>
      <c r="G46" s="504">
        <f>SUM(C46:F46)</f>
        <v>0</v>
      </c>
      <c r="H46" s="744"/>
      <c r="I46" s="26"/>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row>
    <row r="47" spans="1:2009" s="86" customFormat="1" ht="24.95" hidden="1" customHeight="1" x14ac:dyDescent="0.25">
      <c r="A47" s="294"/>
      <c r="B47" s="330" t="s">
        <v>547</v>
      </c>
      <c r="C47" s="352"/>
      <c r="D47" s="396"/>
      <c r="E47" s="352"/>
      <c r="F47" s="396"/>
      <c r="G47" s="504">
        <f>ROUND(SUM(C47:F47),5)</f>
        <v>0</v>
      </c>
      <c r="H47" s="744"/>
      <c r="I47" s="26"/>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row>
    <row r="48" spans="1:2009" s="86" customFormat="1" ht="24.95" customHeight="1" x14ac:dyDescent="0.25">
      <c r="A48" s="294"/>
      <c r="B48" s="330" t="s">
        <v>633</v>
      </c>
      <c r="C48" s="352">
        <v>11918.8</v>
      </c>
      <c r="D48" s="352">
        <v>12097.89</v>
      </c>
      <c r="E48" s="352">
        <v>13141.46</v>
      </c>
      <c r="F48" s="396">
        <v>25125</v>
      </c>
      <c r="G48" s="504">
        <f>ROUND(SUM(C48:F48),5)</f>
        <v>62283.15</v>
      </c>
      <c r="H48" s="744"/>
      <c r="I48" s="26"/>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row>
    <row r="49" spans="1:2009" s="175" customFormat="1" ht="24.95" customHeight="1" thickBot="1" x14ac:dyDescent="0.3">
      <c r="A49" s="174"/>
      <c r="B49" s="331" t="s">
        <v>439</v>
      </c>
      <c r="C49" s="749">
        <f>SUM(C44:C48)</f>
        <v>12576.99</v>
      </c>
      <c r="D49" s="749">
        <f>SUM(D44:D48)</f>
        <v>12712.49</v>
      </c>
      <c r="E49" s="749">
        <f>SUM(E44:E48)</f>
        <v>13690.359999999999</v>
      </c>
      <c r="F49" s="750">
        <f>SUM(F44:F48)</f>
        <v>25125</v>
      </c>
      <c r="G49" s="742">
        <f>SUM(G44:G48)</f>
        <v>64104.840000000004</v>
      </c>
      <c r="H49" s="746"/>
      <c r="I49" s="2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1"/>
      <c r="BR49" s="151"/>
      <c r="BS49" s="151"/>
      <c r="BT49" s="151"/>
      <c r="BU49" s="151"/>
      <c r="BV49" s="151"/>
      <c r="BW49" s="151"/>
      <c r="BX49" s="151"/>
      <c r="BY49" s="151"/>
      <c r="BZ49" s="151"/>
      <c r="CA49" s="151"/>
      <c r="CB49" s="151"/>
      <c r="CC49" s="151"/>
      <c r="CD49" s="151"/>
      <c r="CE49" s="151"/>
      <c r="CF49" s="151"/>
      <c r="CG49" s="151"/>
      <c r="CH49" s="151"/>
      <c r="CI49" s="151"/>
      <c r="CJ49" s="151"/>
      <c r="CK49" s="151"/>
      <c r="CL49" s="151"/>
      <c r="CM49" s="151"/>
      <c r="CN49" s="151"/>
      <c r="CO49" s="151"/>
      <c r="CP49" s="151"/>
      <c r="CQ49" s="151"/>
      <c r="CR49" s="151"/>
      <c r="CS49" s="151"/>
      <c r="CT49" s="151"/>
      <c r="CU49" s="151"/>
      <c r="CV49" s="151"/>
      <c r="CW49" s="151"/>
      <c r="CX49" s="151"/>
      <c r="CY49" s="151"/>
      <c r="CZ49" s="151"/>
      <c r="DA49" s="151"/>
      <c r="DB49" s="151"/>
      <c r="DC49" s="151"/>
      <c r="DD49" s="151"/>
      <c r="DE49" s="151"/>
      <c r="DF49" s="151"/>
      <c r="DG49" s="151"/>
      <c r="DH49" s="151"/>
      <c r="DI49" s="151"/>
      <c r="DJ49" s="151"/>
      <c r="DK49" s="151"/>
      <c r="DL49" s="151"/>
      <c r="DM49" s="151"/>
      <c r="DN49" s="151"/>
      <c r="DO49" s="151"/>
      <c r="DP49" s="151"/>
      <c r="DQ49" s="151"/>
      <c r="DR49" s="151"/>
      <c r="DS49" s="151"/>
      <c r="DT49" s="151"/>
      <c r="DU49" s="151"/>
      <c r="DV49" s="151"/>
      <c r="DW49" s="151"/>
      <c r="DX49" s="151"/>
      <c r="DY49" s="151"/>
      <c r="DZ49" s="151"/>
      <c r="EA49" s="151"/>
      <c r="EB49" s="151"/>
      <c r="EC49" s="151"/>
      <c r="ED49" s="151"/>
      <c r="EE49" s="151"/>
      <c r="EF49" s="151"/>
      <c r="EG49" s="151"/>
      <c r="EH49" s="151"/>
      <c r="EI49" s="151"/>
      <c r="EJ49" s="151"/>
      <c r="EK49" s="151"/>
      <c r="EL49" s="151"/>
      <c r="EM49" s="151"/>
      <c r="EN49" s="151"/>
      <c r="EO49" s="151"/>
      <c r="EP49" s="151"/>
      <c r="EQ49" s="151"/>
      <c r="ER49" s="151"/>
      <c r="ES49" s="151"/>
      <c r="ET49" s="151"/>
      <c r="EU49" s="151"/>
      <c r="EV49" s="151"/>
      <c r="EW49" s="151"/>
      <c r="EX49" s="151"/>
      <c r="EY49" s="151"/>
      <c r="EZ49" s="151"/>
      <c r="FA49" s="151"/>
      <c r="FB49" s="151"/>
      <c r="FC49" s="151"/>
      <c r="FD49" s="151"/>
      <c r="FE49" s="151"/>
      <c r="FF49" s="151"/>
      <c r="FG49" s="151"/>
      <c r="FH49" s="151"/>
      <c r="FI49" s="151"/>
      <c r="FJ49" s="151"/>
      <c r="FK49" s="151"/>
      <c r="FL49" s="151"/>
      <c r="FM49" s="151"/>
      <c r="FN49" s="151"/>
      <c r="FO49" s="151"/>
      <c r="FP49" s="151"/>
      <c r="FQ49" s="151"/>
      <c r="FR49" s="151"/>
      <c r="FS49" s="151"/>
      <c r="FT49" s="151"/>
      <c r="FU49" s="151"/>
      <c r="FV49" s="151"/>
      <c r="FW49" s="151"/>
      <c r="FX49" s="151"/>
      <c r="FY49" s="151"/>
      <c r="FZ49" s="151"/>
      <c r="GA49" s="151"/>
      <c r="GB49" s="151"/>
      <c r="GC49" s="151"/>
      <c r="GD49" s="151"/>
      <c r="GE49" s="151"/>
      <c r="GF49" s="151"/>
      <c r="GG49" s="151"/>
      <c r="GH49" s="151"/>
      <c r="GI49" s="151"/>
      <c r="GJ49" s="151"/>
      <c r="GK49" s="151"/>
      <c r="GL49" s="151"/>
      <c r="GM49" s="151"/>
      <c r="GN49" s="151"/>
      <c r="GO49" s="151"/>
      <c r="GP49" s="151"/>
      <c r="GQ49" s="151"/>
      <c r="GR49" s="151"/>
      <c r="GS49" s="151"/>
      <c r="GT49" s="151"/>
      <c r="GU49" s="151"/>
      <c r="GV49" s="151"/>
      <c r="GW49" s="151"/>
      <c r="GX49" s="151"/>
      <c r="GY49" s="151"/>
      <c r="GZ49" s="151"/>
      <c r="HA49" s="151"/>
      <c r="HB49" s="151"/>
      <c r="HC49" s="151"/>
      <c r="HD49" s="151"/>
      <c r="HE49" s="151"/>
      <c r="HF49" s="151"/>
      <c r="HG49" s="151"/>
      <c r="HH49" s="151"/>
      <c r="HI49" s="151"/>
      <c r="HJ49" s="151"/>
      <c r="HK49" s="151"/>
      <c r="HL49" s="151"/>
      <c r="HM49" s="151"/>
      <c r="HN49" s="151"/>
      <c r="HO49" s="151"/>
      <c r="HP49" s="151"/>
      <c r="HQ49" s="151"/>
      <c r="HR49" s="151"/>
      <c r="HS49" s="151"/>
      <c r="HT49" s="151"/>
      <c r="HU49" s="151"/>
      <c r="HV49" s="151"/>
      <c r="HW49" s="151"/>
      <c r="HX49" s="151"/>
      <c r="HY49" s="151"/>
      <c r="HZ49" s="151"/>
      <c r="IA49" s="151"/>
      <c r="IB49" s="151"/>
      <c r="IC49" s="151"/>
      <c r="ID49" s="151"/>
      <c r="IE49" s="151"/>
      <c r="IF49" s="151"/>
      <c r="IG49" s="151"/>
      <c r="IH49" s="151"/>
      <c r="II49" s="151"/>
      <c r="IJ49" s="151"/>
      <c r="IK49" s="151"/>
      <c r="IL49" s="151"/>
      <c r="IM49" s="151"/>
      <c r="IN49" s="151"/>
      <c r="IO49" s="151"/>
      <c r="IP49" s="151"/>
      <c r="IQ49" s="151"/>
      <c r="IR49" s="151"/>
      <c r="IS49" s="151"/>
      <c r="IT49" s="151"/>
      <c r="IU49" s="151"/>
      <c r="IV49" s="151"/>
      <c r="IW49" s="151"/>
      <c r="IX49" s="151"/>
      <c r="IY49" s="151"/>
      <c r="IZ49" s="151"/>
      <c r="JA49" s="151"/>
      <c r="JB49" s="151"/>
      <c r="JC49" s="151"/>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c r="KJ49" s="151"/>
      <c r="KK49" s="151"/>
      <c r="KL49" s="151"/>
      <c r="KM49" s="151"/>
      <c r="KN49" s="151"/>
      <c r="KO49" s="151"/>
      <c r="KP49" s="151"/>
      <c r="KQ49" s="151"/>
      <c r="KR49" s="151"/>
      <c r="KS49" s="151"/>
      <c r="KT49" s="151"/>
      <c r="KU49" s="151"/>
      <c r="KV49" s="151"/>
      <c r="KW49" s="151"/>
      <c r="KX49" s="151"/>
      <c r="KY49" s="151"/>
      <c r="KZ49" s="151"/>
      <c r="LA49" s="151"/>
      <c r="LB49" s="151"/>
      <c r="LC49" s="151"/>
      <c r="LD49" s="151"/>
      <c r="LE49" s="151"/>
      <c r="LF49" s="151"/>
      <c r="LG49" s="151"/>
      <c r="LH49" s="151"/>
      <c r="LI49" s="151"/>
      <c r="LJ49" s="151"/>
      <c r="LK49" s="151"/>
      <c r="LL49" s="151"/>
      <c r="LM49" s="151"/>
      <c r="LN49" s="151"/>
      <c r="LO49" s="151"/>
      <c r="LP49" s="151"/>
      <c r="LQ49" s="151"/>
      <c r="LR49" s="151"/>
      <c r="LS49" s="151"/>
      <c r="LT49" s="151"/>
      <c r="LU49" s="151"/>
      <c r="LV49" s="151"/>
      <c r="LW49" s="151"/>
      <c r="LX49" s="151"/>
      <c r="LY49" s="151"/>
      <c r="LZ49" s="151"/>
      <c r="MA49" s="151"/>
      <c r="MB49" s="151"/>
      <c r="MC49" s="151"/>
      <c r="MD49" s="151"/>
      <c r="ME49" s="151"/>
      <c r="MF49" s="151"/>
      <c r="MG49" s="151"/>
      <c r="MH49" s="151"/>
      <c r="MI49" s="151"/>
      <c r="MJ49" s="151"/>
      <c r="MK49" s="151"/>
      <c r="ML49" s="151"/>
      <c r="MM49" s="151"/>
      <c r="MN49" s="151"/>
      <c r="MO49" s="151"/>
      <c r="MP49" s="151"/>
      <c r="MQ49" s="151"/>
      <c r="MR49" s="151"/>
      <c r="MS49" s="151"/>
      <c r="MT49" s="151"/>
      <c r="MU49" s="151"/>
      <c r="MV49" s="151"/>
      <c r="MW49" s="151"/>
      <c r="MX49" s="151"/>
      <c r="MY49" s="151"/>
      <c r="MZ49" s="151"/>
      <c r="NA49" s="151"/>
      <c r="NB49" s="151"/>
      <c r="NC49" s="151"/>
      <c r="ND49" s="151"/>
      <c r="NE49" s="151"/>
      <c r="NF49" s="151"/>
      <c r="NG49" s="151"/>
      <c r="NH49" s="151"/>
      <c r="NI49" s="151"/>
      <c r="NJ49" s="151"/>
      <c r="NK49" s="151"/>
      <c r="NL49" s="151"/>
      <c r="NM49" s="151"/>
      <c r="NN49" s="151"/>
      <c r="NO49" s="151"/>
      <c r="NP49" s="151"/>
      <c r="NQ49" s="151"/>
      <c r="NR49" s="151"/>
      <c r="NS49" s="151"/>
      <c r="NT49" s="151"/>
      <c r="NU49" s="151"/>
      <c r="NV49" s="151"/>
      <c r="NW49" s="151"/>
      <c r="NX49" s="151"/>
      <c r="NY49" s="151"/>
      <c r="NZ49" s="151"/>
      <c r="OA49" s="151"/>
      <c r="OB49" s="151"/>
      <c r="OC49" s="151"/>
      <c r="OD49" s="151"/>
      <c r="OE49" s="151"/>
      <c r="OF49" s="151"/>
      <c r="OG49" s="151"/>
      <c r="OH49" s="151"/>
      <c r="OI49" s="151"/>
      <c r="OJ49" s="151"/>
      <c r="OK49" s="151"/>
      <c r="OL49" s="151"/>
      <c r="OM49" s="151"/>
      <c r="ON49" s="151"/>
      <c r="OO49" s="151"/>
      <c r="OP49" s="151"/>
      <c r="OQ49" s="151"/>
      <c r="OR49" s="151"/>
      <c r="OS49" s="151"/>
      <c r="OT49" s="151"/>
      <c r="OU49" s="151"/>
      <c r="OV49" s="151"/>
      <c r="OW49" s="151"/>
      <c r="OX49" s="151"/>
      <c r="OY49" s="151"/>
      <c r="OZ49" s="151"/>
      <c r="PA49" s="151"/>
      <c r="PB49" s="151"/>
      <c r="PC49" s="151"/>
      <c r="PD49" s="151"/>
      <c r="PE49" s="151"/>
      <c r="PF49" s="151"/>
      <c r="PG49" s="151"/>
      <c r="PH49" s="151"/>
      <c r="PI49" s="151"/>
      <c r="PJ49" s="151"/>
      <c r="PK49" s="151"/>
      <c r="PL49" s="151"/>
      <c r="PM49" s="151"/>
      <c r="PN49" s="151"/>
      <c r="PO49" s="151"/>
      <c r="PP49" s="151"/>
      <c r="PQ49" s="151"/>
      <c r="PR49" s="151"/>
      <c r="PS49" s="151"/>
      <c r="PT49" s="151"/>
      <c r="PU49" s="151"/>
      <c r="PV49" s="151"/>
      <c r="PW49" s="151"/>
      <c r="PX49" s="151"/>
      <c r="PY49" s="151"/>
      <c r="PZ49" s="151"/>
      <c r="QA49" s="151"/>
      <c r="QB49" s="151"/>
      <c r="QC49" s="151"/>
      <c r="QD49" s="151"/>
      <c r="QE49" s="151"/>
      <c r="QF49" s="151"/>
      <c r="QG49" s="151"/>
      <c r="QH49" s="151"/>
      <c r="QI49" s="151"/>
      <c r="QJ49" s="151"/>
      <c r="QK49" s="151"/>
      <c r="QL49" s="151"/>
      <c r="QM49" s="151"/>
      <c r="QN49" s="151"/>
      <c r="QO49" s="151"/>
      <c r="QP49" s="151"/>
      <c r="QQ49" s="151"/>
      <c r="QR49" s="151"/>
      <c r="QS49" s="151"/>
      <c r="QT49" s="151"/>
      <c r="QU49" s="151"/>
      <c r="QV49" s="151"/>
      <c r="QW49" s="151"/>
      <c r="QX49" s="151"/>
      <c r="QY49" s="151"/>
      <c r="QZ49" s="151"/>
      <c r="RA49" s="151"/>
      <c r="RB49" s="151"/>
      <c r="RC49" s="151"/>
      <c r="RD49" s="151"/>
      <c r="RE49" s="151"/>
      <c r="RF49" s="151"/>
      <c r="RG49" s="151"/>
      <c r="RH49" s="151"/>
      <c r="RI49" s="151"/>
      <c r="RJ49" s="151"/>
      <c r="RK49" s="151"/>
      <c r="RL49" s="151"/>
      <c r="RM49" s="151"/>
      <c r="RN49" s="151"/>
      <c r="RO49" s="151"/>
      <c r="RP49" s="151"/>
      <c r="RQ49" s="151"/>
      <c r="RR49" s="151"/>
      <c r="RS49" s="151"/>
      <c r="RT49" s="151"/>
      <c r="RU49" s="151"/>
      <c r="RV49" s="151"/>
      <c r="RW49" s="151"/>
      <c r="RX49" s="151"/>
      <c r="RY49" s="151"/>
      <c r="RZ49" s="151"/>
      <c r="SA49" s="151"/>
      <c r="SB49" s="151"/>
      <c r="SC49" s="151"/>
      <c r="SD49" s="151"/>
      <c r="SE49" s="151"/>
      <c r="SF49" s="151"/>
      <c r="SG49" s="151"/>
      <c r="SH49" s="151"/>
      <c r="SI49" s="151"/>
      <c r="SJ49" s="151"/>
      <c r="SK49" s="151"/>
      <c r="SL49" s="151"/>
      <c r="SM49" s="151"/>
      <c r="SN49" s="151"/>
      <c r="SO49" s="151"/>
      <c r="SP49" s="151"/>
      <c r="SQ49" s="151"/>
      <c r="SR49" s="151"/>
      <c r="SS49" s="151"/>
      <c r="ST49" s="151"/>
      <c r="SU49" s="151"/>
      <c r="SV49" s="151"/>
      <c r="SW49" s="151"/>
      <c r="SX49" s="151"/>
      <c r="SY49" s="151"/>
      <c r="SZ49" s="151"/>
      <c r="TA49" s="151"/>
      <c r="TB49" s="151"/>
      <c r="TC49" s="151"/>
      <c r="TD49" s="151"/>
      <c r="TE49" s="151"/>
      <c r="TF49" s="151"/>
      <c r="TG49" s="151"/>
      <c r="TH49" s="151"/>
      <c r="TI49" s="151"/>
      <c r="TJ49" s="151"/>
      <c r="TK49" s="151"/>
      <c r="TL49" s="151"/>
      <c r="TM49" s="151"/>
      <c r="TN49" s="151"/>
      <c r="TO49" s="151"/>
      <c r="TP49" s="151"/>
      <c r="TQ49" s="151"/>
      <c r="TR49" s="151"/>
      <c r="TS49" s="151"/>
      <c r="TT49" s="151"/>
      <c r="TU49" s="151"/>
      <c r="TV49" s="151"/>
      <c r="TW49" s="151"/>
      <c r="TX49" s="151"/>
      <c r="TY49" s="151"/>
      <c r="TZ49" s="151"/>
      <c r="UA49" s="151"/>
      <c r="UB49" s="151"/>
      <c r="UC49" s="151"/>
      <c r="UD49" s="151"/>
      <c r="UE49" s="151"/>
      <c r="UF49" s="151"/>
      <c r="UG49" s="151"/>
      <c r="UH49" s="151"/>
      <c r="UI49" s="151"/>
      <c r="UJ49" s="151"/>
      <c r="UK49" s="151"/>
      <c r="UL49" s="151"/>
      <c r="UM49" s="151"/>
      <c r="UN49" s="151"/>
      <c r="UO49" s="151"/>
      <c r="UP49" s="151"/>
      <c r="UQ49" s="151"/>
      <c r="UR49" s="151"/>
      <c r="US49" s="151"/>
      <c r="UT49" s="151"/>
      <c r="UU49" s="151"/>
      <c r="UV49" s="151"/>
      <c r="UW49" s="151"/>
      <c r="UX49" s="151"/>
      <c r="UY49" s="151"/>
      <c r="UZ49" s="151"/>
      <c r="VA49" s="151"/>
      <c r="VB49" s="151"/>
      <c r="VC49" s="151"/>
      <c r="VD49" s="151"/>
      <c r="VE49" s="151"/>
      <c r="VF49" s="151"/>
      <c r="VG49" s="151"/>
      <c r="VH49" s="151"/>
      <c r="VI49" s="151"/>
      <c r="VJ49" s="151"/>
      <c r="VK49" s="151"/>
      <c r="VL49" s="151"/>
      <c r="VM49" s="151"/>
      <c r="VN49" s="151"/>
      <c r="VO49" s="151"/>
      <c r="VP49" s="151"/>
      <c r="VQ49" s="151"/>
      <c r="VR49" s="151"/>
      <c r="VS49" s="151"/>
      <c r="VT49" s="151"/>
      <c r="VU49" s="151"/>
      <c r="VV49" s="151"/>
      <c r="VW49" s="151"/>
      <c r="VX49" s="151"/>
      <c r="VY49" s="151"/>
      <c r="VZ49" s="151"/>
      <c r="WA49" s="151"/>
      <c r="WB49" s="151"/>
      <c r="WC49" s="151"/>
      <c r="WD49" s="151"/>
      <c r="WE49" s="151"/>
      <c r="WF49" s="151"/>
      <c r="WG49" s="151"/>
      <c r="WH49" s="151"/>
      <c r="WI49" s="151"/>
      <c r="WJ49" s="151"/>
      <c r="WK49" s="151"/>
      <c r="WL49" s="151"/>
      <c r="WM49" s="151"/>
      <c r="WN49" s="151"/>
      <c r="WO49" s="151"/>
      <c r="WP49" s="151"/>
      <c r="WQ49" s="151"/>
      <c r="WR49" s="151"/>
      <c r="WS49" s="151"/>
      <c r="WT49" s="151"/>
      <c r="WU49" s="151"/>
      <c r="WV49" s="151"/>
      <c r="WW49" s="151"/>
      <c r="WX49" s="151"/>
      <c r="WY49" s="151"/>
      <c r="WZ49" s="151"/>
      <c r="XA49" s="151"/>
      <c r="XB49" s="151"/>
      <c r="XC49" s="151"/>
      <c r="XD49" s="151"/>
      <c r="XE49" s="151"/>
      <c r="XF49" s="151"/>
      <c r="XG49" s="151"/>
      <c r="XH49" s="151"/>
      <c r="XI49" s="151"/>
      <c r="XJ49" s="151"/>
      <c r="XK49" s="151"/>
      <c r="XL49" s="151"/>
      <c r="XM49" s="151"/>
      <c r="XN49" s="151"/>
      <c r="XO49" s="151"/>
      <c r="XP49" s="151"/>
      <c r="XQ49" s="151"/>
      <c r="XR49" s="151"/>
      <c r="XS49" s="151"/>
      <c r="XT49" s="151"/>
      <c r="XU49" s="151"/>
      <c r="XV49" s="151"/>
      <c r="XW49" s="151"/>
      <c r="XX49" s="151"/>
      <c r="XY49" s="151"/>
      <c r="XZ49" s="151"/>
      <c r="YA49" s="151"/>
      <c r="YB49" s="151"/>
      <c r="YC49" s="151"/>
      <c r="YD49" s="151"/>
      <c r="YE49" s="151"/>
      <c r="YF49" s="151"/>
      <c r="YG49" s="151"/>
      <c r="YH49" s="151"/>
      <c r="YI49" s="151"/>
      <c r="YJ49" s="151"/>
      <c r="YK49" s="151"/>
      <c r="YL49" s="151"/>
      <c r="YM49" s="151"/>
      <c r="YN49" s="151"/>
      <c r="YO49" s="151"/>
      <c r="YP49" s="151"/>
      <c r="YQ49" s="151"/>
      <c r="YR49" s="151"/>
      <c r="YS49" s="151"/>
      <c r="YT49" s="151"/>
      <c r="YU49" s="151"/>
      <c r="YV49" s="151"/>
      <c r="YW49" s="151"/>
      <c r="YX49" s="151"/>
      <c r="YY49" s="151"/>
      <c r="YZ49" s="151"/>
      <c r="ZA49" s="151"/>
      <c r="ZB49" s="151"/>
      <c r="ZC49" s="151"/>
      <c r="ZD49" s="151"/>
      <c r="ZE49" s="151"/>
      <c r="ZF49" s="151"/>
      <c r="ZG49" s="151"/>
      <c r="ZH49" s="151"/>
      <c r="ZI49" s="151"/>
      <c r="ZJ49" s="151"/>
      <c r="ZK49" s="151"/>
      <c r="ZL49" s="151"/>
      <c r="ZM49" s="151"/>
      <c r="ZN49" s="151"/>
      <c r="ZO49" s="151"/>
      <c r="ZP49" s="151"/>
      <c r="ZQ49" s="151"/>
      <c r="ZR49" s="151"/>
      <c r="ZS49" s="151"/>
      <c r="ZT49" s="151"/>
      <c r="ZU49" s="151"/>
      <c r="ZV49" s="151"/>
      <c r="ZW49" s="151"/>
      <c r="ZX49" s="151"/>
      <c r="ZY49" s="151"/>
      <c r="ZZ49" s="151"/>
      <c r="AAA49" s="151"/>
      <c r="AAB49" s="151"/>
      <c r="AAC49" s="151"/>
      <c r="AAD49" s="151"/>
      <c r="AAE49" s="151"/>
      <c r="AAF49" s="151"/>
      <c r="AAG49" s="151"/>
      <c r="AAH49" s="151"/>
      <c r="AAI49" s="151"/>
      <c r="AAJ49" s="151"/>
      <c r="AAK49" s="151"/>
      <c r="AAL49" s="151"/>
      <c r="AAM49" s="151"/>
      <c r="AAN49" s="151"/>
      <c r="AAO49" s="151"/>
      <c r="AAP49" s="151"/>
      <c r="AAQ49" s="151"/>
      <c r="AAR49" s="151"/>
      <c r="AAS49" s="151"/>
      <c r="AAT49" s="151"/>
      <c r="AAU49" s="151"/>
      <c r="AAV49" s="151"/>
      <c r="AAW49" s="151"/>
      <c r="AAX49" s="151"/>
      <c r="AAY49" s="151"/>
      <c r="AAZ49" s="151"/>
      <c r="ABA49" s="151"/>
      <c r="ABB49" s="151"/>
      <c r="ABC49" s="151"/>
      <c r="ABD49" s="151"/>
      <c r="ABE49" s="151"/>
      <c r="ABF49" s="151"/>
      <c r="ABG49" s="151"/>
      <c r="ABH49" s="151"/>
      <c r="ABI49" s="151"/>
      <c r="ABJ49" s="151"/>
      <c r="ABK49" s="151"/>
      <c r="ABL49" s="151"/>
      <c r="ABM49" s="151"/>
      <c r="ABN49" s="151"/>
      <c r="ABO49" s="151"/>
      <c r="ABP49" s="151"/>
      <c r="ABQ49" s="151"/>
      <c r="ABR49" s="151"/>
      <c r="ABS49" s="151"/>
      <c r="ABT49" s="151"/>
      <c r="ABU49" s="151"/>
      <c r="ABV49" s="151"/>
      <c r="ABW49" s="151"/>
      <c r="ABX49" s="151"/>
      <c r="ABY49" s="151"/>
      <c r="ABZ49" s="151"/>
      <c r="ACA49" s="151"/>
      <c r="ACB49" s="151"/>
      <c r="ACC49" s="151"/>
      <c r="ACD49" s="151"/>
      <c r="ACE49" s="151"/>
      <c r="ACF49" s="151"/>
      <c r="ACG49" s="151"/>
      <c r="ACH49" s="151"/>
      <c r="ACI49" s="151"/>
      <c r="ACJ49" s="151"/>
      <c r="ACK49" s="151"/>
      <c r="ACL49" s="151"/>
      <c r="ACM49" s="151"/>
      <c r="ACN49" s="151"/>
      <c r="ACO49" s="151"/>
      <c r="ACP49" s="151"/>
      <c r="ACQ49" s="151"/>
      <c r="ACR49" s="151"/>
      <c r="ACS49" s="151"/>
      <c r="ACT49" s="151"/>
      <c r="ACU49" s="151"/>
      <c r="ACV49" s="151"/>
      <c r="ACW49" s="151"/>
      <c r="ACX49" s="151"/>
      <c r="ACY49" s="151"/>
      <c r="ACZ49" s="151"/>
      <c r="ADA49" s="151"/>
      <c r="ADB49" s="151"/>
      <c r="ADC49" s="151"/>
      <c r="ADD49" s="151"/>
      <c r="ADE49" s="151"/>
      <c r="ADF49" s="151"/>
      <c r="ADG49" s="151"/>
      <c r="ADH49" s="151"/>
      <c r="ADI49" s="151"/>
      <c r="ADJ49" s="151"/>
      <c r="ADK49" s="151"/>
      <c r="ADL49" s="151"/>
      <c r="ADM49" s="151"/>
      <c r="ADN49" s="151"/>
      <c r="ADO49" s="151"/>
      <c r="ADP49" s="151"/>
      <c r="ADQ49" s="151"/>
      <c r="ADR49" s="151"/>
      <c r="ADS49" s="151"/>
      <c r="ADT49" s="151"/>
      <c r="ADU49" s="151"/>
      <c r="ADV49" s="151"/>
      <c r="ADW49" s="151"/>
      <c r="ADX49" s="151"/>
      <c r="ADY49" s="151"/>
      <c r="ADZ49" s="151"/>
      <c r="AEA49" s="151"/>
      <c r="AEB49" s="151"/>
      <c r="AEC49" s="151"/>
      <c r="AED49" s="151"/>
      <c r="AEE49" s="151"/>
      <c r="AEF49" s="151"/>
      <c r="AEG49" s="151"/>
      <c r="AEH49" s="151"/>
      <c r="AEI49" s="151"/>
      <c r="AEJ49" s="151"/>
      <c r="AEK49" s="151"/>
      <c r="AEL49" s="151"/>
      <c r="AEM49" s="151"/>
      <c r="AEN49" s="151"/>
      <c r="AEO49" s="151"/>
      <c r="AEP49" s="151"/>
      <c r="AEQ49" s="151"/>
      <c r="AER49" s="151"/>
      <c r="AES49" s="151"/>
      <c r="AET49" s="151"/>
      <c r="AEU49" s="151"/>
      <c r="AEV49" s="151"/>
      <c r="AEW49" s="151"/>
      <c r="AEX49" s="151"/>
      <c r="AEY49" s="151"/>
      <c r="AEZ49" s="151"/>
      <c r="AFA49" s="151"/>
      <c r="AFB49" s="151"/>
      <c r="AFC49" s="151"/>
      <c r="AFD49" s="151"/>
      <c r="AFE49" s="151"/>
      <c r="AFF49" s="151"/>
      <c r="AFG49" s="151"/>
      <c r="AFH49" s="151"/>
      <c r="AFI49" s="151"/>
      <c r="AFJ49" s="151"/>
      <c r="AFK49" s="151"/>
      <c r="AFL49" s="151"/>
      <c r="AFM49" s="151"/>
      <c r="AFN49" s="151"/>
      <c r="AFO49" s="151"/>
      <c r="AFP49" s="151"/>
      <c r="AFQ49" s="151"/>
      <c r="AFR49" s="151"/>
      <c r="AFS49" s="151"/>
      <c r="AFT49" s="151"/>
      <c r="AFU49" s="151"/>
      <c r="AFV49" s="151"/>
      <c r="AFW49" s="151"/>
      <c r="AFX49" s="151"/>
      <c r="AFY49" s="151"/>
      <c r="AFZ49" s="151"/>
      <c r="AGA49" s="151"/>
      <c r="AGB49" s="151"/>
      <c r="AGC49" s="151"/>
      <c r="AGD49" s="151"/>
      <c r="AGE49" s="151"/>
      <c r="AGF49" s="151"/>
      <c r="AGG49" s="151"/>
      <c r="AGH49" s="151"/>
      <c r="AGI49" s="151"/>
      <c r="AGJ49" s="151"/>
      <c r="AGK49" s="151"/>
      <c r="AGL49" s="151"/>
      <c r="AGM49" s="151"/>
      <c r="AGN49" s="151"/>
      <c r="AGO49" s="151"/>
      <c r="AGP49" s="151"/>
      <c r="AGQ49" s="151"/>
      <c r="AGR49" s="151"/>
      <c r="AGS49" s="151"/>
      <c r="AGT49" s="151"/>
      <c r="AGU49" s="151"/>
      <c r="AGV49" s="151"/>
      <c r="AGW49" s="151"/>
      <c r="AGX49" s="151"/>
      <c r="AGY49" s="151"/>
      <c r="AGZ49" s="151"/>
      <c r="AHA49" s="151"/>
      <c r="AHB49" s="151"/>
      <c r="AHC49" s="151"/>
      <c r="AHD49" s="151"/>
      <c r="AHE49" s="151"/>
      <c r="AHF49" s="151"/>
      <c r="AHG49" s="151"/>
      <c r="AHH49" s="151"/>
      <c r="AHI49" s="151"/>
      <c r="AHJ49" s="151"/>
      <c r="AHK49" s="151"/>
      <c r="AHL49" s="151"/>
      <c r="AHM49" s="151"/>
      <c r="AHN49" s="151"/>
      <c r="AHO49" s="151"/>
      <c r="AHP49" s="151"/>
      <c r="AHQ49" s="151"/>
      <c r="AHR49" s="151"/>
      <c r="AHS49" s="151"/>
      <c r="AHT49" s="151"/>
      <c r="AHU49" s="151"/>
      <c r="AHV49" s="151"/>
      <c r="AHW49" s="151"/>
      <c r="AHX49" s="151"/>
      <c r="AHY49" s="151"/>
      <c r="AHZ49" s="151"/>
      <c r="AIA49" s="151"/>
      <c r="AIB49" s="151"/>
      <c r="AIC49" s="151"/>
      <c r="AID49" s="151"/>
      <c r="AIE49" s="151"/>
      <c r="AIF49" s="151"/>
      <c r="AIG49" s="151"/>
      <c r="AIH49" s="151"/>
      <c r="AII49" s="151"/>
      <c r="AIJ49" s="151"/>
      <c r="AIK49" s="151"/>
      <c r="AIL49" s="151"/>
      <c r="AIM49" s="151"/>
      <c r="AIN49" s="151"/>
      <c r="AIO49" s="151"/>
      <c r="AIP49" s="151"/>
      <c r="AIQ49" s="151"/>
      <c r="AIR49" s="151"/>
      <c r="AIS49" s="151"/>
      <c r="AIT49" s="151"/>
      <c r="AIU49" s="151"/>
      <c r="AIV49" s="151"/>
      <c r="AIW49" s="151"/>
      <c r="AIX49" s="151"/>
      <c r="AIY49" s="151"/>
      <c r="AIZ49" s="151"/>
      <c r="AJA49" s="151"/>
      <c r="AJB49" s="151"/>
      <c r="AJC49" s="151"/>
      <c r="AJD49" s="151"/>
      <c r="AJE49" s="151"/>
      <c r="AJF49" s="151"/>
      <c r="AJG49" s="151"/>
      <c r="AJH49" s="151"/>
      <c r="AJI49" s="151"/>
      <c r="AJJ49" s="151"/>
      <c r="AJK49" s="151"/>
      <c r="AJL49" s="151"/>
      <c r="AJM49" s="151"/>
      <c r="AJN49" s="151"/>
      <c r="AJO49" s="151"/>
      <c r="AJP49" s="151"/>
      <c r="AJQ49" s="151"/>
      <c r="AJR49" s="151"/>
      <c r="AJS49" s="151"/>
      <c r="AJT49" s="151"/>
      <c r="AJU49" s="151"/>
      <c r="AJV49" s="151"/>
      <c r="AJW49" s="151"/>
      <c r="AJX49" s="151"/>
      <c r="AJY49" s="151"/>
      <c r="AJZ49" s="151"/>
      <c r="AKA49" s="151"/>
      <c r="AKB49" s="151"/>
      <c r="AKC49" s="151"/>
      <c r="AKD49" s="151"/>
      <c r="AKE49" s="151"/>
      <c r="AKF49" s="151"/>
      <c r="AKG49" s="151"/>
      <c r="AKH49" s="151"/>
      <c r="AKI49" s="151"/>
      <c r="AKJ49" s="151"/>
      <c r="AKK49" s="151"/>
      <c r="AKL49" s="151"/>
      <c r="AKM49" s="151"/>
      <c r="AKN49" s="151"/>
      <c r="AKO49" s="151"/>
      <c r="AKP49" s="151"/>
      <c r="AKQ49" s="151"/>
      <c r="AKR49" s="151"/>
      <c r="AKS49" s="151"/>
      <c r="AKT49" s="151"/>
      <c r="AKU49" s="151"/>
      <c r="AKV49" s="151"/>
      <c r="AKW49" s="151"/>
      <c r="AKX49" s="151"/>
      <c r="AKY49" s="151"/>
      <c r="AKZ49" s="151"/>
      <c r="ALA49" s="151"/>
      <c r="ALB49" s="151"/>
      <c r="ALC49" s="151"/>
      <c r="ALD49" s="151"/>
      <c r="ALE49" s="151"/>
      <c r="ALF49" s="151"/>
      <c r="ALG49" s="151"/>
      <c r="ALH49" s="151"/>
      <c r="ALI49" s="151"/>
      <c r="ALJ49" s="151"/>
      <c r="ALK49" s="151"/>
      <c r="ALL49" s="151"/>
      <c r="ALM49" s="151"/>
      <c r="ALN49" s="151"/>
      <c r="ALO49" s="151"/>
      <c r="ALP49" s="151"/>
      <c r="ALQ49" s="151"/>
      <c r="ALR49" s="151"/>
      <c r="ALS49" s="151"/>
      <c r="ALT49" s="151"/>
      <c r="ALU49" s="151"/>
      <c r="ALV49" s="151"/>
      <c r="ALW49" s="151"/>
      <c r="ALX49" s="151"/>
      <c r="ALY49" s="151"/>
      <c r="ALZ49" s="151"/>
      <c r="AMA49" s="151"/>
      <c r="AMB49" s="151"/>
      <c r="AMC49" s="151"/>
      <c r="AMD49" s="151"/>
      <c r="AME49" s="151"/>
      <c r="AMF49" s="151"/>
      <c r="AMG49" s="151"/>
      <c r="AMH49" s="151"/>
      <c r="AMI49" s="151"/>
      <c r="AMJ49" s="151"/>
      <c r="AMK49" s="151"/>
      <c r="AML49" s="151"/>
      <c r="AMM49" s="151"/>
      <c r="AMN49" s="151"/>
      <c r="AMO49" s="151"/>
      <c r="AMP49" s="151"/>
      <c r="AMQ49" s="151"/>
      <c r="AMR49" s="151"/>
      <c r="AMS49" s="151"/>
      <c r="AMT49" s="151"/>
      <c r="AMU49" s="151"/>
      <c r="AMV49" s="151"/>
      <c r="AMW49" s="151"/>
      <c r="AMX49" s="151"/>
      <c r="AMY49" s="151"/>
      <c r="AMZ49" s="151"/>
      <c r="ANA49" s="151"/>
      <c r="ANB49" s="151"/>
      <c r="ANC49" s="151"/>
      <c r="AND49" s="151"/>
      <c r="ANE49" s="151"/>
      <c r="ANF49" s="151"/>
      <c r="ANG49" s="151"/>
      <c r="ANH49" s="151"/>
      <c r="ANI49" s="151"/>
      <c r="ANJ49" s="151"/>
      <c r="ANK49" s="151"/>
      <c r="ANL49" s="151"/>
      <c r="ANM49" s="151"/>
      <c r="ANN49" s="151"/>
      <c r="ANO49" s="151"/>
      <c r="ANP49" s="151"/>
      <c r="ANQ49" s="151"/>
      <c r="ANR49" s="151"/>
      <c r="ANS49" s="151"/>
      <c r="ANT49" s="151"/>
      <c r="ANU49" s="151"/>
      <c r="ANV49" s="151"/>
      <c r="ANW49" s="151"/>
      <c r="ANX49" s="151"/>
      <c r="ANY49" s="151"/>
      <c r="ANZ49" s="151"/>
      <c r="AOA49" s="151"/>
      <c r="AOB49" s="151"/>
      <c r="AOC49" s="151"/>
      <c r="AOD49" s="151"/>
      <c r="AOE49" s="151"/>
      <c r="AOF49" s="151"/>
      <c r="AOG49" s="151"/>
      <c r="AOH49" s="151"/>
      <c r="AOI49" s="151"/>
      <c r="AOJ49" s="151"/>
      <c r="AOK49" s="151"/>
      <c r="AOL49" s="151"/>
      <c r="AOM49" s="151"/>
      <c r="AON49" s="151"/>
      <c r="AOO49" s="151"/>
      <c r="AOP49" s="151"/>
      <c r="AOQ49" s="151"/>
      <c r="AOR49" s="151"/>
      <c r="AOS49" s="151"/>
      <c r="AOT49" s="151"/>
      <c r="AOU49" s="151"/>
      <c r="AOV49" s="151"/>
      <c r="AOW49" s="151"/>
      <c r="AOX49" s="151"/>
      <c r="AOY49" s="151"/>
      <c r="AOZ49" s="151"/>
      <c r="APA49" s="151"/>
      <c r="APB49" s="151"/>
      <c r="APC49" s="151"/>
      <c r="APD49" s="151"/>
      <c r="APE49" s="151"/>
      <c r="APF49" s="151"/>
      <c r="APG49" s="151"/>
      <c r="APH49" s="151"/>
      <c r="API49" s="151"/>
      <c r="APJ49" s="151"/>
      <c r="APK49" s="151"/>
      <c r="APL49" s="151"/>
      <c r="APM49" s="151"/>
      <c r="APN49" s="151"/>
      <c r="APO49" s="151"/>
      <c r="APP49" s="151"/>
      <c r="APQ49" s="151"/>
      <c r="APR49" s="151"/>
      <c r="APS49" s="151"/>
      <c r="APT49" s="151"/>
      <c r="APU49" s="151"/>
      <c r="APV49" s="151"/>
      <c r="APW49" s="151"/>
      <c r="APX49" s="151"/>
      <c r="APY49" s="151"/>
      <c r="APZ49" s="151"/>
      <c r="AQA49" s="151"/>
      <c r="AQB49" s="151"/>
      <c r="AQC49" s="151"/>
      <c r="AQD49" s="151"/>
      <c r="AQE49" s="151"/>
      <c r="AQF49" s="151"/>
      <c r="AQG49" s="151"/>
      <c r="AQH49" s="151"/>
      <c r="AQI49" s="151"/>
      <c r="AQJ49" s="151"/>
      <c r="AQK49" s="151"/>
      <c r="AQL49" s="151"/>
      <c r="AQM49" s="151"/>
      <c r="AQN49" s="151"/>
      <c r="AQO49" s="151"/>
      <c r="AQP49" s="151"/>
      <c r="AQQ49" s="151"/>
      <c r="AQR49" s="151"/>
      <c r="AQS49" s="151"/>
      <c r="AQT49" s="151"/>
      <c r="AQU49" s="151"/>
      <c r="AQV49" s="151"/>
      <c r="AQW49" s="151"/>
      <c r="AQX49" s="151"/>
      <c r="AQY49" s="151"/>
      <c r="AQZ49" s="151"/>
      <c r="ARA49" s="151"/>
      <c r="ARB49" s="151"/>
      <c r="ARC49" s="151"/>
      <c r="ARD49" s="151"/>
      <c r="ARE49" s="151"/>
      <c r="ARF49" s="151"/>
      <c r="ARG49" s="151"/>
      <c r="ARH49" s="151"/>
      <c r="ARI49" s="151"/>
      <c r="ARJ49" s="151"/>
      <c r="ARK49" s="151"/>
      <c r="ARL49" s="151"/>
      <c r="ARM49" s="151"/>
      <c r="ARN49" s="151"/>
      <c r="ARO49" s="151"/>
      <c r="ARP49" s="151"/>
      <c r="ARQ49" s="151"/>
      <c r="ARR49" s="151"/>
      <c r="ARS49" s="151"/>
      <c r="ART49" s="151"/>
      <c r="ARU49" s="151"/>
      <c r="ARV49" s="151"/>
      <c r="ARW49" s="151"/>
      <c r="ARX49" s="151"/>
      <c r="ARY49" s="151"/>
      <c r="ARZ49" s="151"/>
      <c r="ASA49" s="151"/>
      <c r="ASB49" s="151"/>
      <c r="ASC49" s="151"/>
      <c r="ASD49" s="151"/>
      <c r="ASE49" s="151"/>
      <c r="ASF49" s="151"/>
      <c r="ASG49" s="151"/>
      <c r="ASH49" s="151"/>
      <c r="ASI49" s="151"/>
      <c r="ASJ49" s="151"/>
      <c r="ASK49" s="151"/>
      <c r="ASL49" s="151"/>
      <c r="ASM49" s="151"/>
      <c r="ASN49" s="151"/>
      <c r="ASO49" s="151"/>
      <c r="ASP49" s="151"/>
      <c r="ASQ49" s="151"/>
      <c r="ASR49" s="151"/>
      <c r="ASS49" s="151"/>
      <c r="AST49" s="151"/>
      <c r="ASU49" s="151"/>
      <c r="ASV49" s="151"/>
      <c r="ASW49" s="151"/>
      <c r="ASX49" s="151"/>
      <c r="ASY49" s="151"/>
      <c r="ASZ49" s="151"/>
      <c r="ATA49" s="151"/>
      <c r="ATB49" s="151"/>
      <c r="ATC49" s="151"/>
      <c r="ATD49" s="151"/>
      <c r="ATE49" s="151"/>
      <c r="ATF49" s="151"/>
      <c r="ATG49" s="151"/>
      <c r="ATH49" s="151"/>
      <c r="ATI49" s="151"/>
      <c r="ATJ49" s="151"/>
      <c r="ATK49" s="151"/>
      <c r="ATL49" s="151"/>
      <c r="ATM49" s="151"/>
      <c r="ATN49" s="151"/>
      <c r="ATO49" s="151"/>
      <c r="ATP49" s="151"/>
      <c r="ATQ49" s="151"/>
      <c r="ATR49" s="151"/>
      <c r="ATS49" s="151"/>
      <c r="ATT49" s="151"/>
      <c r="ATU49" s="151"/>
      <c r="ATV49" s="151"/>
      <c r="ATW49" s="151"/>
      <c r="ATX49" s="151"/>
      <c r="ATY49" s="151"/>
      <c r="ATZ49" s="151"/>
      <c r="AUA49" s="151"/>
      <c r="AUB49" s="151"/>
      <c r="AUC49" s="151"/>
      <c r="AUD49" s="151"/>
      <c r="AUE49" s="151"/>
      <c r="AUF49" s="151"/>
      <c r="AUG49" s="151"/>
      <c r="AUH49" s="151"/>
      <c r="AUI49" s="151"/>
      <c r="AUJ49" s="151"/>
      <c r="AUK49" s="151"/>
      <c r="AUL49" s="151"/>
      <c r="AUM49" s="151"/>
      <c r="AUN49" s="151"/>
      <c r="AUO49" s="151"/>
      <c r="AUP49" s="151"/>
      <c r="AUQ49" s="151"/>
      <c r="AUR49" s="151"/>
      <c r="AUS49" s="151"/>
      <c r="AUT49" s="151"/>
      <c r="AUU49" s="151"/>
      <c r="AUV49" s="151"/>
      <c r="AUW49" s="151"/>
      <c r="AUX49" s="151"/>
      <c r="AUY49" s="151"/>
      <c r="AUZ49" s="151"/>
      <c r="AVA49" s="151"/>
      <c r="AVB49" s="151"/>
      <c r="AVC49" s="151"/>
      <c r="AVD49" s="151"/>
      <c r="AVE49" s="151"/>
      <c r="AVF49" s="151"/>
      <c r="AVG49" s="151"/>
      <c r="AVH49" s="151"/>
      <c r="AVI49" s="151"/>
      <c r="AVJ49" s="151"/>
      <c r="AVK49" s="151"/>
      <c r="AVL49" s="151"/>
      <c r="AVM49" s="151"/>
      <c r="AVN49" s="151"/>
      <c r="AVO49" s="151"/>
      <c r="AVP49" s="151"/>
      <c r="AVQ49" s="151"/>
      <c r="AVR49" s="151"/>
      <c r="AVS49" s="151"/>
      <c r="AVT49" s="151"/>
      <c r="AVU49" s="151"/>
      <c r="AVV49" s="151"/>
      <c r="AVW49" s="151"/>
      <c r="AVX49" s="151"/>
      <c r="AVY49" s="151"/>
      <c r="AVZ49" s="151"/>
      <c r="AWA49" s="151"/>
      <c r="AWB49" s="151"/>
      <c r="AWC49" s="151"/>
      <c r="AWD49" s="151"/>
      <c r="AWE49" s="151"/>
      <c r="AWF49" s="151"/>
      <c r="AWG49" s="151"/>
      <c r="AWH49" s="151"/>
      <c r="AWI49" s="151"/>
      <c r="AWJ49" s="151"/>
      <c r="AWK49" s="151"/>
      <c r="AWL49" s="151"/>
      <c r="AWM49" s="151"/>
      <c r="AWN49" s="151"/>
      <c r="AWO49" s="151"/>
      <c r="AWP49" s="151"/>
      <c r="AWQ49" s="151"/>
      <c r="AWR49" s="151"/>
      <c r="AWS49" s="151"/>
      <c r="AWT49" s="151"/>
      <c r="AWU49" s="151"/>
      <c r="AWV49" s="151"/>
      <c r="AWW49" s="151"/>
      <c r="AWX49" s="151"/>
      <c r="AWY49" s="151"/>
      <c r="AWZ49" s="151"/>
      <c r="AXA49" s="151"/>
      <c r="AXB49" s="151"/>
      <c r="AXC49" s="151"/>
      <c r="AXD49" s="151"/>
      <c r="AXE49" s="151"/>
      <c r="AXF49" s="151"/>
      <c r="AXG49" s="151"/>
      <c r="AXH49" s="151"/>
      <c r="AXI49" s="151"/>
      <c r="AXJ49" s="151"/>
      <c r="AXK49" s="151"/>
      <c r="AXL49" s="151"/>
      <c r="AXM49" s="151"/>
      <c r="AXN49" s="151"/>
      <c r="AXO49" s="151"/>
      <c r="AXP49" s="151"/>
      <c r="AXQ49" s="151"/>
      <c r="AXR49" s="151"/>
      <c r="AXS49" s="151"/>
      <c r="AXT49" s="151"/>
      <c r="AXU49" s="151"/>
      <c r="AXV49" s="151"/>
      <c r="AXW49" s="151"/>
      <c r="AXX49" s="151"/>
      <c r="AXY49" s="151"/>
      <c r="AXZ49" s="151"/>
      <c r="AYA49" s="151"/>
      <c r="AYB49" s="151"/>
      <c r="AYC49" s="151"/>
      <c r="AYD49" s="151"/>
      <c r="AYE49" s="151"/>
      <c r="AYF49" s="151"/>
      <c r="AYG49" s="151"/>
      <c r="AYH49" s="151"/>
      <c r="AYI49" s="151"/>
      <c r="AYJ49" s="151"/>
      <c r="AYK49" s="151"/>
      <c r="AYL49" s="151"/>
      <c r="AYM49" s="151"/>
      <c r="AYN49" s="151"/>
      <c r="AYO49" s="151"/>
      <c r="AYP49" s="151"/>
      <c r="AYQ49" s="151"/>
      <c r="AYR49" s="151"/>
      <c r="AYS49" s="151"/>
      <c r="AYT49" s="151"/>
      <c r="AYU49" s="151"/>
      <c r="AYV49" s="151"/>
      <c r="AYW49" s="151"/>
      <c r="AYX49" s="151"/>
      <c r="AYY49" s="151"/>
      <c r="AYZ49" s="151"/>
      <c r="AZA49" s="151"/>
      <c r="AZB49" s="151"/>
      <c r="AZC49" s="151"/>
      <c r="AZD49" s="151"/>
      <c r="AZE49" s="151"/>
      <c r="AZF49" s="151"/>
      <c r="AZG49" s="151"/>
      <c r="AZH49" s="151"/>
      <c r="AZI49" s="151"/>
      <c r="AZJ49" s="151"/>
      <c r="AZK49" s="151"/>
      <c r="AZL49" s="151"/>
      <c r="AZM49" s="151"/>
      <c r="AZN49" s="151"/>
      <c r="AZO49" s="151"/>
      <c r="AZP49" s="151"/>
      <c r="AZQ49" s="151"/>
      <c r="AZR49" s="151"/>
      <c r="AZS49" s="151"/>
      <c r="AZT49" s="151"/>
      <c r="AZU49" s="151"/>
      <c r="AZV49" s="151"/>
      <c r="AZW49" s="151"/>
      <c r="AZX49" s="151"/>
      <c r="AZY49" s="151"/>
      <c r="AZZ49" s="151"/>
      <c r="BAA49" s="151"/>
      <c r="BAB49" s="151"/>
      <c r="BAC49" s="151"/>
      <c r="BAD49" s="151"/>
      <c r="BAE49" s="151"/>
      <c r="BAF49" s="151"/>
      <c r="BAG49" s="151"/>
      <c r="BAH49" s="151"/>
      <c r="BAI49" s="151"/>
      <c r="BAJ49" s="151"/>
      <c r="BAK49" s="151"/>
      <c r="BAL49" s="151"/>
      <c r="BAM49" s="151"/>
      <c r="BAN49" s="151"/>
      <c r="BAO49" s="151"/>
      <c r="BAP49" s="151"/>
      <c r="BAQ49" s="151"/>
      <c r="BAR49" s="151"/>
      <c r="BAS49" s="151"/>
      <c r="BAT49" s="151"/>
      <c r="BAU49" s="151"/>
      <c r="BAV49" s="151"/>
      <c r="BAW49" s="151"/>
      <c r="BAX49" s="151"/>
      <c r="BAY49" s="151"/>
      <c r="BAZ49" s="151"/>
      <c r="BBA49" s="151"/>
      <c r="BBB49" s="151"/>
      <c r="BBC49" s="151"/>
      <c r="BBD49" s="151"/>
      <c r="BBE49" s="151"/>
      <c r="BBF49" s="151"/>
      <c r="BBG49" s="151"/>
      <c r="BBH49" s="151"/>
      <c r="BBI49" s="151"/>
      <c r="BBJ49" s="151"/>
      <c r="BBK49" s="151"/>
      <c r="BBL49" s="151"/>
      <c r="BBM49" s="151"/>
      <c r="BBN49" s="151"/>
      <c r="BBO49" s="151"/>
      <c r="BBP49" s="151"/>
      <c r="BBQ49" s="151"/>
      <c r="BBR49" s="151"/>
      <c r="BBS49" s="151"/>
      <c r="BBT49" s="151"/>
      <c r="BBU49" s="151"/>
      <c r="BBV49" s="151"/>
      <c r="BBW49" s="151"/>
      <c r="BBX49" s="151"/>
      <c r="BBY49" s="151"/>
      <c r="BBZ49" s="151"/>
      <c r="BCA49" s="151"/>
      <c r="BCB49" s="151"/>
      <c r="BCC49" s="151"/>
      <c r="BCD49" s="151"/>
      <c r="BCE49" s="151"/>
      <c r="BCF49" s="151"/>
      <c r="BCG49" s="151"/>
      <c r="BCH49" s="151"/>
      <c r="BCI49" s="151"/>
      <c r="BCJ49" s="151"/>
      <c r="BCK49" s="151"/>
      <c r="BCL49" s="151"/>
      <c r="BCM49" s="151"/>
      <c r="BCN49" s="151"/>
      <c r="BCO49" s="151"/>
      <c r="BCP49" s="151"/>
      <c r="BCQ49" s="151"/>
      <c r="BCR49" s="151"/>
      <c r="BCS49" s="151"/>
      <c r="BCT49" s="151"/>
      <c r="BCU49" s="151"/>
      <c r="BCV49" s="151"/>
      <c r="BCW49" s="151"/>
      <c r="BCX49" s="151"/>
      <c r="BCY49" s="151"/>
      <c r="BCZ49" s="151"/>
      <c r="BDA49" s="151"/>
      <c r="BDB49" s="151"/>
      <c r="BDC49" s="151"/>
      <c r="BDD49" s="151"/>
      <c r="BDE49" s="151"/>
      <c r="BDF49" s="151"/>
      <c r="BDG49" s="151"/>
      <c r="BDH49" s="151"/>
      <c r="BDI49" s="151"/>
      <c r="BDJ49" s="151"/>
      <c r="BDK49" s="151"/>
      <c r="BDL49" s="151"/>
      <c r="BDM49" s="151"/>
      <c r="BDN49" s="151"/>
      <c r="BDO49" s="151"/>
      <c r="BDP49" s="151"/>
      <c r="BDQ49" s="151"/>
      <c r="BDR49" s="151"/>
      <c r="BDS49" s="151"/>
      <c r="BDT49" s="151"/>
      <c r="BDU49" s="151"/>
      <c r="BDV49" s="151"/>
      <c r="BDW49" s="151"/>
      <c r="BDX49" s="151"/>
      <c r="BDY49" s="151"/>
      <c r="BDZ49" s="151"/>
      <c r="BEA49" s="151"/>
      <c r="BEB49" s="151"/>
      <c r="BEC49" s="151"/>
      <c r="BED49" s="151"/>
      <c r="BEE49" s="151"/>
      <c r="BEF49" s="151"/>
      <c r="BEG49" s="151"/>
      <c r="BEH49" s="151"/>
      <c r="BEI49" s="151"/>
      <c r="BEJ49" s="151"/>
      <c r="BEK49" s="151"/>
      <c r="BEL49" s="151"/>
      <c r="BEM49" s="151"/>
      <c r="BEN49" s="151"/>
      <c r="BEO49" s="151"/>
      <c r="BEP49" s="151"/>
      <c r="BEQ49" s="151"/>
      <c r="BER49" s="151"/>
      <c r="BES49" s="151"/>
      <c r="BET49" s="151"/>
      <c r="BEU49" s="151"/>
      <c r="BEV49" s="151"/>
      <c r="BEW49" s="151"/>
      <c r="BEX49" s="151"/>
      <c r="BEY49" s="151"/>
      <c r="BEZ49" s="151"/>
      <c r="BFA49" s="151"/>
      <c r="BFB49" s="151"/>
      <c r="BFC49" s="151"/>
      <c r="BFD49" s="151"/>
      <c r="BFE49" s="151"/>
      <c r="BFF49" s="151"/>
      <c r="BFG49" s="151"/>
      <c r="BFH49" s="151"/>
      <c r="BFI49" s="151"/>
      <c r="BFJ49" s="151"/>
      <c r="BFK49" s="151"/>
      <c r="BFL49" s="151"/>
      <c r="BFM49" s="151"/>
      <c r="BFN49" s="151"/>
      <c r="BFO49" s="151"/>
      <c r="BFP49" s="151"/>
      <c r="BFQ49" s="151"/>
      <c r="BFR49" s="151"/>
      <c r="BFS49" s="151"/>
      <c r="BFT49" s="151"/>
      <c r="BFU49" s="151"/>
      <c r="BFV49" s="151"/>
      <c r="BFW49" s="151"/>
      <c r="BFX49" s="151"/>
      <c r="BFY49" s="151"/>
      <c r="BFZ49" s="151"/>
      <c r="BGA49" s="151"/>
      <c r="BGB49" s="151"/>
      <c r="BGC49" s="151"/>
      <c r="BGD49" s="151"/>
      <c r="BGE49" s="151"/>
      <c r="BGF49" s="151"/>
      <c r="BGG49" s="151"/>
      <c r="BGH49" s="151"/>
      <c r="BGI49" s="151"/>
      <c r="BGJ49" s="151"/>
      <c r="BGK49" s="151"/>
      <c r="BGL49" s="151"/>
      <c r="BGM49" s="151"/>
      <c r="BGN49" s="151"/>
      <c r="BGO49" s="151"/>
      <c r="BGP49" s="151"/>
      <c r="BGQ49" s="151"/>
      <c r="BGR49" s="151"/>
      <c r="BGS49" s="151"/>
      <c r="BGT49" s="151"/>
      <c r="BGU49" s="151"/>
      <c r="BGV49" s="151"/>
      <c r="BGW49" s="151"/>
      <c r="BGX49" s="151"/>
      <c r="BGY49" s="151"/>
      <c r="BGZ49" s="151"/>
      <c r="BHA49" s="151"/>
      <c r="BHB49" s="151"/>
      <c r="BHC49" s="151"/>
      <c r="BHD49" s="151"/>
      <c r="BHE49" s="151"/>
      <c r="BHF49" s="151"/>
      <c r="BHG49" s="151"/>
      <c r="BHH49" s="151"/>
      <c r="BHI49" s="151"/>
      <c r="BHJ49" s="151"/>
      <c r="BHK49" s="151"/>
      <c r="BHL49" s="151"/>
      <c r="BHM49" s="151"/>
      <c r="BHN49" s="151"/>
      <c r="BHO49" s="151"/>
      <c r="BHP49" s="151"/>
      <c r="BHQ49" s="151"/>
      <c r="BHR49" s="151"/>
      <c r="BHS49" s="151"/>
      <c r="BHT49" s="151"/>
      <c r="BHU49" s="151"/>
      <c r="BHV49" s="151"/>
      <c r="BHW49" s="151"/>
      <c r="BHX49" s="151"/>
      <c r="BHY49" s="151"/>
      <c r="BHZ49" s="151"/>
      <c r="BIA49" s="151"/>
      <c r="BIB49" s="151"/>
      <c r="BIC49" s="151"/>
      <c r="BID49" s="151"/>
      <c r="BIE49" s="151"/>
      <c r="BIF49" s="151"/>
      <c r="BIG49" s="151"/>
      <c r="BIH49" s="151"/>
      <c r="BII49" s="151"/>
      <c r="BIJ49" s="151"/>
      <c r="BIK49" s="151"/>
      <c r="BIL49" s="151"/>
      <c r="BIM49" s="151"/>
      <c r="BIN49" s="151"/>
      <c r="BIO49" s="151"/>
      <c r="BIP49" s="151"/>
      <c r="BIQ49" s="151"/>
      <c r="BIR49" s="151"/>
      <c r="BIS49" s="151"/>
      <c r="BIT49" s="151"/>
      <c r="BIU49" s="151"/>
      <c r="BIV49" s="151"/>
      <c r="BIW49" s="151"/>
      <c r="BIX49" s="151"/>
      <c r="BIY49" s="151"/>
      <c r="BIZ49" s="151"/>
      <c r="BJA49" s="151"/>
      <c r="BJB49" s="151"/>
      <c r="BJC49" s="151"/>
      <c r="BJD49" s="151"/>
      <c r="BJE49" s="151"/>
      <c r="BJF49" s="151"/>
      <c r="BJG49" s="151"/>
      <c r="BJH49" s="151"/>
      <c r="BJI49" s="151"/>
      <c r="BJJ49" s="151"/>
      <c r="BJK49" s="151"/>
      <c r="BJL49" s="151"/>
      <c r="BJM49" s="151"/>
      <c r="BJN49" s="151"/>
      <c r="BJO49" s="151"/>
      <c r="BJP49" s="151"/>
      <c r="BJQ49" s="151"/>
      <c r="BJR49" s="151"/>
      <c r="BJS49" s="151"/>
      <c r="BJT49" s="151"/>
      <c r="BJU49" s="151"/>
      <c r="BJV49" s="151"/>
      <c r="BJW49" s="151"/>
      <c r="BJX49" s="151"/>
      <c r="BJY49" s="151"/>
      <c r="BJZ49" s="151"/>
      <c r="BKA49" s="151"/>
      <c r="BKB49" s="151"/>
      <c r="BKC49" s="151"/>
      <c r="BKD49" s="151"/>
      <c r="BKE49" s="151"/>
      <c r="BKF49" s="151"/>
      <c r="BKG49" s="151"/>
      <c r="BKH49" s="151"/>
      <c r="BKI49" s="151"/>
      <c r="BKJ49" s="151"/>
      <c r="BKK49" s="151"/>
      <c r="BKL49" s="151"/>
      <c r="BKM49" s="151"/>
      <c r="BKN49" s="151"/>
      <c r="BKO49" s="151"/>
      <c r="BKP49" s="151"/>
      <c r="BKQ49" s="151"/>
      <c r="BKR49" s="151"/>
      <c r="BKS49" s="151"/>
      <c r="BKT49" s="151"/>
      <c r="BKU49" s="151"/>
      <c r="BKV49" s="151"/>
      <c r="BKW49" s="151"/>
      <c r="BKX49" s="151"/>
      <c r="BKY49" s="151"/>
      <c r="BKZ49" s="151"/>
      <c r="BLA49" s="151"/>
      <c r="BLB49" s="151"/>
      <c r="BLC49" s="151"/>
      <c r="BLD49" s="151"/>
      <c r="BLE49" s="151"/>
      <c r="BLF49" s="151"/>
      <c r="BLG49" s="151"/>
      <c r="BLH49" s="151"/>
      <c r="BLI49" s="151"/>
      <c r="BLJ49" s="151"/>
      <c r="BLK49" s="151"/>
      <c r="BLL49" s="151"/>
      <c r="BLM49" s="151"/>
      <c r="BLN49" s="151"/>
      <c r="BLO49" s="151"/>
      <c r="BLP49" s="151"/>
      <c r="BLQ49" s="151"/>
      <c r="BLR49" s="151"/>
      <c r="BLS49" s="151"/>
      <c r="BLT49" s="151"/>
      <c r="BLU49" s="151"/>
      <c r="BLV49" s="151"/>
      <c r="BLW49" s="151"/>
      <c r="BLX49" s="151"/>
      <c r="BLY49" s="151"/>
      <c r="BLZ49" s="151"/>
      <c r="BMA49" s="151"/>
      <c r="BMB49" s="151"/>
      <c r="BMC49" s="151"/>
      <c r="BMD49" s="151"/>
      <c r="BME49" s="151"/>
      <c r="BMF49" s="151"/>
      <c r="BMG49" s="151"/>
      <c r="BMH49" s="151"/>
      <c r="BMI49" s="151"/>
      <c r="BMJ49" s="151"/>
      <c r="BMK49" s="151"/>
      <c r="BML49" s="151"/>
      <c r="BMM49" s="151"/>
      <c r="BMN49" s="151"/>
      <c r="BMO49" s="151"/>
      <c r="BMP49" s="151"/>
      <c r="BMQ49" s="151"/>
      <c r="BMR49" s="151"/>
      <c r="BMS49" s="151"/>
      <c r="BMT49" s="151"/>
      <c r="BMU49" s="151"/>
      <c r="BMV49" s="151"/>
      <c r="BMW49" s="151"/>
      <c r="BMX49" s="151"/>
      <c r="BMY49" s="151"/>
      <c r="BMZ49" s="151"/>
      <c r="BNA49" s="151"/>
      <c r="BNB49" s="151"/>
      <c r="BNC49" s="151"/>
      <c r="BND49" s="151"/>
      <c r="BNE49" s="151"/>
      <c r="BNF49" s="151"/>
      <c r="BNG49" s="151"/>
      <c r="BNH49" s="151"/>
      <c r="BNI49" s="151"/>
      <c r="BNJ49" s="151"/>
      <c r="BNK49" s="151"/>
      <c r="BNL49" s="151"/>
      <c r="BNM49" s="151"/>
      <c r="BNN49" s="151"/>
      <c r="BNO49" s="151"/>
      <c r="BNP49" s="151"/>
      <c r="BNQ49" s="151"/>
      <c r="BNR49" s="151"/>
      <c r="BNS49" s="151"/>
      <c r="BNT49" s="151"/>
      <c r="BNU49" s="151"/>
      <c r="BNV49" s="151"/>
      <c r="BNW49" s="151"/>
      <c r="BNX49" s="151"/>
      <c r="BNY49" s="151"/>
      <c r="BNZ49" s="151"/>
      <c r="BOA49" s="151"/>
      <c r="BOB49" s="151"/>
      <c r="BOC49" s="151"/>
      <c r="BOD49" s="151"/>
      <c r="BOE49" s="151"/>
      <c r="BOF49" s="151"/>
      <c r="BOG49" s="151"/>
      <c r="BOH49" s="151"/>
      <c r="BOI49" s="151"/>
      <c r="BOJ49" s="151"/>
      <c r="BOK49" s="151"/>
      <c r="BOL49" s="151"/>
      <c r="BOM49" s="151"/>
      <c r="BON49" s="151"/>
      <c r="BOO49" s="151"/>
      <c r="BOP49" s="151"/>
      <c r="BOQ49" s="151"/>
      <c r="BOR49" s="151"/>
      <c r="BOS49" s="151"/>
      <c r="BOT49" s="151"/>
      <c r="BOU49" s="151"/>
      <c r="BOV49" s="151"/>
      <c r="BOW49" s="151"/>
      <c r="BOX49" s="151"/>
      <c r="BOY49" s="151"/>
      <c r="BOZ49" s="151"/>
      <c r="BPA49" s="151"/>
      <c r="BPB49" s="151"/>
      <c r="BPC49" s="151"/>
      <c r="BPD49" s="151"/>
      <c r="BPE49" s="151"/>
      <c r="BPF49" s="151"/>
      <c r="BPG49" s="151"/>
      <c r="BPH49" s="151"/>
      <c r="BPI49" s="151"/>
      <c r="BPJ49" s="151"/>
      <c r="BPK49" s="151"/>
      <c r="BPL49" s="151"/>
      <c r="BPM49" s="151"/>
      <c r="BPN49" s="151"/>
      <c r="BPO49" s="151"/>
      <c r="BPP49" s="151"/>
      <c r="BPQ49" s="151"/>
      <c r="BPR49" s="151"/>
      <c r="BPS49" s="151"/>
      <c r="BPT49" s="151"/>
      <c r="BPU49" s="151"/>
      <c r="BPV49" s="151"/>
      <c r="BPW49" s="151"/>
      <c r="BPX49" s="151"/>
      <c r="BPY49" s="151"/>
      <c r="BPZ49" s="151"/>
      <c r="BQA49" s="151"/>
      <c r="BQB49" s="151"/>
      <c r="BQC49" s="151"/>
      <c r="BQD49" s="151"/>
      <c r="BQE49" s="151"/>
      <c r="BQF49" s="151"/>
      <c r="BQG49" s="151"/>
      <c r="BQH49" s="151"/>
      <c r="BQI49" s="151"/>
      <c r="BQJ49" s="151"/>
      <c r="BQK49" s="151"/>
      <c r="BQL49" s="151"/>
      <c r="BQM49" s="151"/>
      <c r="BQN49" s="151"/>
      <c r="BQO49" s="151"/>
      <c r="BQP49" s="151"/>
      <c r="BQQ49" s="151"/>
      <c r="BQR49" s="151"/>
      <c r="BQS49" s="151"/>
      <c r="BQT49" s="151"/>
      <c r="BQU49" s="151"/>
      <c r="BQV49" s="151"/>
      <c r="BQW49" s="151"/>
      <c r="BQX49" s="151"/>
      <c r="BQY49" s="151"/>
      <c r="BQZ49" s="151"/>
      <c r="BRA49" s="151"/>
      <c r="BRB49" s="151"/>
      <c r="BRC49" s="151"/>
      <c r="BRD49" s="151"/>
      <c r="BRE49" s="151"/>
      <c r="BRF49" s="151"/>
      <c r="BRG49" s="151"/>
      <c r="BRH49" s="151"/>
      <c r="BRI49" s="151"/>
      <c r="BRJ49" s="151"/>
      <c r="BRK49" s="151"/>
      <c r="BRL49" s="151"/>
      <c r="BRM49" s="151"/>
      <c r="BRN49" s="151"/>
      <c r="BRO49" s="151"/>
      <c r="BRP49" s="151"/>
      <c r="BRQ49" s="151"/>
      <c r="BRR49" s="151"/>
      <c r="BRS49" s="151"/>
      <c r="BRT49" s="151"/>
      <c r="BRU49" s="151"/>
      <c r="BRV49" s="151"/>
      <c r="BRW49" s="151"/>
      <c r="BRX49" s="151"/>
      <c r="BRY49" s="151"/>
      <c r="BRZ49" s="151"/>
      <c r="BSA49" s="151"/>
      <c r="BSB49" s="151"/>
      <c r="BSC49" s="151"/>
      <c r="BSD49" s="151"/>
      <c r="BSE49" s="151"/>
      <c r="BSF49" s="151"/>
      <c r="BSG49" s="151"/>
      <c r="BSH49" s="151"/>
      <c r="BSI49" s="151"/>
      <c r="BSJ49" s="151"/>
      <c r="BSK49" s="151"/>
      <c r="BSL49" s="151"/>
      <c r="BSM49" s="151"/>
      <c r="BSN49" s="151"/>
      <c r="BSO49" s="151"/>
      <c r="BSP49" s="151"/>
      <c r="BSQ49" s="151"/>
      <c r="BSR49" s="151"/>
      <c r="BSS49" s="151"/>
      <c r="BST49" s="151"/>
      <c r="BSU49" s="151"/>
      <c r="BSV49" s="151"/>
      <c r="BSW49" s="151"/>
      <c r="BSX49" s="151"/>
      <c r="BSY49" s="151"/>
      <c r="BSZ49" s="151"/>
      <c r="BTA49" s="151"/>
      <c r="BTB49" s="151"/>
      <c r="BTC49" s="151"/>
      <c r="BTD49" s="151"/>
      <c r="BTE49" s="151"/>
      <c r="BTF49" s="151"/>
      <c r="BTG49" s="151"/>
      <c r="BTH49" s="151"/>
      <c r="BTI49" s="151"/>
      <c r="BTJ49" s="151"/>
      <c r="BTK49" s="151"/>
      <c r="BTL49" s="151"/>
      <c r="BTM49" s="151"/>
      <c r="BTN49" s="151"/>
      <c r="BTO49" s="151"/>
      <c r="BTP49" s="151"/>
      <c r="BTQ49" s="151"/>
      <c r="BTR49" s="151"/>
      <c r="BTS49" s="151"/>
      <c r="BTT49" s="151"/>
      <c r="BTU49" s="151"/>
      <c r="BTV49" s="151"/>
      <c r="BTW49" s="151"/>
      <c r="BTX49" s="151"/>
      <c r="BTY49" s="151"/>
      <c r="BTZ49" s="151"/>
      <c r="BUA49" s="151"/>
      <c r="BUB49" s="151"/>
      <c r="BUC49" s="151"/>
      <c r="BUD49" s="151"/>
      <c r="BUE49" s="151"/>
      <c r="BUF49" s="151"/>
      <c r="BUG49" s="151"/>
      <c r="BUH49" s="151"/>
      <c r="BUI49" s="151"/>
      <c r="BUJ49" s="151"/>
      <c r="BUK49" s="151"/>
      <c r="BUL49" s="151"/>
      <c r="BUM49" s="151"/>
      <c r="BUN49" s="151"/>
      <c r="BUO49" s="151"/>
      <c r="BUP49" s="151"/>
      <c r="BUQ49" s="151"/>
      <c r="BUR49" s="151"/>
      <c r="BUS49" s="151"/>
      <c r="BUT49" s="151"/>
      <c r="BUU49" s="151"/>
      <c r="BUV49" s="151"/>
      <c r="BUW49" s="151"/>
      <c r="BUX49" s="151"/>
      <c r="BUY49" s="151"/>
      <c r="BUZ49" s="151"/>
      <c r="BVA49" s="151"/>
      <c r="BVB49" s="151"/>
      <c r="BVC49" s="151"/>
      <c r="BVD49" s="151"/>
      <c r="BVE49" s="151"/>
      <c r="BVF49" s="151"/>
      <c r="BVG49" s="151"/>
      <c r="BVH49" s="151"/>
      <c r="BVI49" s="151"/>
      <c r="BVJ49" s="151"/>
      <c r="BVK49" s="151"/>
      <c r="BVL49" s="151"/>
      <c r="BVM49" s="151"/>
      <c r="BVN49" s="151"/>
      <c r="BVO49" s="151"/>
      <c r="BVP49" s="151"/>
      <c r="BVQ49" s="151"/>
      <c r="BVR49" s="151"/>
      <c r="BVS49" s="151"/>
      <c r="BVT49" s="151"/>
      <c r="BVU49" s="151"/>
      <c r="BVV49" s="151"/>
      <c r="BVW49" s="151"/>
      <c r="BVX49" s="151"/>
      <c r="BVY49" s="151"/>
      <c r="BVZ49" s="151"/>
      <c r="BWA49" s="151"/>
      <c r="BWB49" s="151"/>
      <c r="BWC49" s="151"/>
      <c r="BWD49" s="151"/>
      <c r="BWE49" s="151"/>
      <c r="BWF49" s="151"/>
      <c r="BWG49" s="151"/>
      <c r="BWH49" s="151"/>
      <c r="BWI49" s="151"/>
      <c r="BWJ49" s="151"/>
      <c r="BWK49" s="151"/>
      <c r="BWL49" s="151"/>
      <c r="BWM49" s="151"/>
      <c r="BWN49" s="151"/>
      <c r="BWO49" s="151"/>
      <c r="BWP49" s="151"/>
      <c r="BWQ49" s="151"/>
      <c r="BWR49" s="151"/>
      <c r="BWS49" s="151"/>
      <c r="BWT49" s="151"/>
      <c r="BWU49" s="151"/>
      <c r="BWV49" s="151"/>
      <c r="BWW49" s="151"/>
      <c r="BWX49" s="151"/>
      <c r="BWY49" s="151"/>
      <c r="BWZ49" s="151"/>
      <c r="BXA49" s="151"/>
      <c r="BXB49" s="151"/>
      <c r="BXC49" s="151"/>
      <c r="BXD49" s="151"/>
      <c r="BXE49" s="151"/>
      <c r="BXF49" s="151"/>
      <c r="BXG49" s="151"/>
      <c r="BXH49" s="151"/>
      <c r="BXI49" s="151"/>
      <c r="BXJ49" s="151"/>
      <c r="BXK49" s="151"/>
      <c r="BXL49" s="151"/>
      <c r="BXM49" s="151"/>
      <c r="BXN49" s="151"/>
      <c r="BXO49" s="151"/>
      <c r="BXP49" s="151"/>
      <c r="BXQ49" s="151"/>
      <c r="BXR49" s="151"/>
      <c r="BXS49" s="151"/>
      <c r="BXT49" s="151"/>
      <c r="BXU49" s="151"/>
      <c r="BXV49" s="151"/>
      <c r="BXW49" s="151"/>
      <c r="BXX49" s="151"/>
      <c r="BXY49" s="151"/>
      <c r="BXZ49" s="151"/>
      <c r="BYA49" s="151"/>
      <c r="BYB49" s="151"/>
      <c r="BYC49" s="151"/>
      <c r="BYD49" s="151"/>
      <c r="BYE49" s="151"/>
      <c r="BYF49" s="151"/>
      <c r="BYG49" s="151"/>
    </row>
    <row r="50" spans="1:2009" ht="12.75" customHeight="1" x14ac:dyDescent="0.25">
      <c r="A50" s="81"/>
      <c r="B50" s="87"/>
      <c r="C50" s="132"/>
      <c r="D50" s="132"/>
      <c r="E50" s="132"/>
      <c r="F50" s="132"/>
      <c r="G50" s="502"/>
    </row>
    <row r="51" spans="1:2009" s="88" customFormat="1" ht="24.95" hidden="1" customHeight="1" x14ac:dyDescent="0.25">
      <c r="A51" s="273" t="s">
        <v>173</v>
      </c>
      <c r="B51" s="274"/>
      <c r="C51" s="275"/>
      <c r="D51" s="284"/>
      <c r="E51" s="284"/>
      <c r="F51" s="284"/>
      <c r="G51" s="505"/>
      <c r="H51" s="744"/>
      <c r="I51" s="2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row>
    <row r="52" spans="1:2009" s="88" customFormat="1" ht="24.95" hidden="1" customHeight="1" x14ac:dyDescent="0.25">
      <c r="A52" s="276"/>
      <c r="B52" s="279" t="s">
        <v>208</v>
      </c>
      <c r="C52" s="353"/>
      <c r="D52" s="353"/>
      <c r="E52" s="353"/>
      <c r="F52" s="353"/>
      <c r="G52" s="506">
        <f>SUM(C52:F52)</f>
        <v>0</v>
      </c>
      <c r="H52" s="744"/>
      <c r="I52" s="21"/>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row>
    <row r="53" spans="1:2009" s="88" customFormat="1" ht="24.95" hidden="1" customHeight="1" x14ac:dyDescent="0.25">
      <c r="A53" s="277"/>
      <c r="B53" s="280" t="s">
        <v>209</v>
      </c>
      <c r="C53" s="354"/>
      <c r="D53" s="354"/>
      <c r="E53" s="354"/>
      <c r="F53" s="354"/>
      <c r="G53" s="507">
        <f>SUM(C53:F53)</f>
        <v>0</v>
      </c>
      <c r="H53" s="744"/>
      <c r="I53" s="21"/>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row>
    <row r="54" spans="1:2009" s="88" customFormat="1" ht="24.75" hidden="1" customHeight="1" thickBot="1" x14ac:dyDescent="0.3">
      <c r="A54" s="861" t="s">
        <v>174</v>
      </c>
      <c r="B54" s="862"/>
      <c r="C54" s="278">
        <f t="shared" ref="C54" si="1">SUM(C51:C53)</f>
        <v>0</v>
      </c>
      <c r="D54" s="278"/>
      <c r="E54" s="278"/>
      <c r="F54" s="278"/>
      <c r="G54" s="508">
        <f t="shared" ref="G54" si="2">SUM(G51:G53)</f>
        <v>0</v>
      </c>
      <c r="H54" s="744"/>
      <c r="I54" s="21"/>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row>
    <row r="55" spans="1:2009" ht="12.75" hidden="1" customHeight="1" thickBot="1" x14ac:dyDescent="0.3">
      <c r="A55" s="81"/>
      <c r="B55" s="81"/>
      <c r="C55" s="137"/>
      <c r="D55" s="137"/>
      <c r="E55" s="137"/>
      <c r="F55" s="137"/>
      <c r="G55" s="494"/>
    </row>
    <row r="56" spans="1:2009" s="88" customFormat="1" ht="24.95" hidden="1" customHeight="1" thickBot="1" x14ac:dyDescent="0.3">
      <c r="A56" s="360" t="s">
        <v>613</v>
      </c>
      <c r="B56" s="357"/>
      <c r="C56" s="358"/>
      <c r="D56" s="359"/>
      <c r="E56" s="359"/>
      <c r="F56" s="359"/>
      <c r="G56" s="509">
        <f>SUM(C56:F56)</f>
        <v>0</v>
      </c>
      <c r="H56" s="744"/>
      <c r="I56" s="21"/>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row>
    <row r="57" spans="1:2009" ht="12.75" hidden="1" customHeight="1" thickBot="1" x14ac:dyDescent="0.3">
      <c r="A57" s="81"/>
      <c r="B57" s="81"/>
      <c r="C57" s="137"/>
      <c r="D57" s="137"/>
      <c r="E57" s="137"/>
      <c r="F57" s="137"/>
      <c r="G57" s="494"/>
    </row>
    <row r="58" spans="1:2009" s="88" customFormat="1" ht="24.95" hidden="1" customHeight="1" thickBot="1" x14ac:dyDescent="0.3">
      <c r="A58" s="387" t="s">
        <v>304</v>
      </c>
      <c r="B58" s="295"/>
      <c r="C58" s="296"/>
      <c r="D58" s="296"/>
      <c r="E58" s="296"/>
      <c r="F58" s="296"/>
      <c r="G58" s="609">
        <f>SUM(C58:F58)</f>
        <v>0</v>
      </c>
      <c r="H58" s="744"/>
      <c r="I58" s="21"/>
      <c r="J58" s="15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row>
    <row r="59" spans="1:2009" s="88" customFormat="1" ht="13.5" hidden="1" customHeight="1" thickBot="1" x14ac:dyDescent="0.3">
      <c r="A59" s="81"/>
      <c r="B59" s="81"/>
      <c r="C59" s="332"/>
      <c r="D59" s="137"/>
      <c r="E59" s="137"/>
      <c r="F59" s="137"/>
      <c r="G59" s="494"/>
      <c r="H59" s="744"/>
      <c r="I59" s="21"/>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c r="AVB59"/>
      <c r="AVC59"/>
      <c r="AVD59"/>
      <c r="AVE59"/>
      <c r="AVF59"/>
      <c r="AVG59"/>
      <c r="AVH59"/>
      <c r="AVI59"/>
      <c r="AVJ59"/>
      <c r="AVK59"/>
      <c r="AVL59"/>
      <c r="AVM59"/>
      <c r="AVN59"/>
      <c r="AVO59"/>
      <c r="AVP59"/>
      <c r="AVQ59"/>
      <c r="AVR59"/>
      <c r="AVS59"/>
      <c r="AVT59"/>
      <c r="AVU59"/>
      <c r="AVV59"/>
      <c r="AVW59"/>
      <c r="AVX59"/>
      <c r="AVY59"/>
      <c r="AVZ59"/>
      <c r="AWA59"/>
      <c r="AWB59"/>
      <c r="AWC59"/>
      <c r="AWD59"/>
      <c r="AWE59"/>
      <c r="AWF59"/>
      <c r="AWG59"/>
      <c r="AWH59"/>
      <c r="AWI59"/>
      <c r="AWJ59"/>
      <c r="AWK59"/>
      <c r="AWL59"/>
      <c r="AWM59"/>
      <c r="AWN59"/>
      <c r="AWO59"/>
      <c r="AWP59"/>
      <c r="AWQ59"/>
      <c r="AWR59"/>
      <c r="AWS59"/>
      <c r="AWT59"/>
      <c r="AWU59"/>
      <c r="AWV59"/>
      <c r="AWW59"/>
      <c r="AWX59"/>
      <c r="AWY59"/>
      <c r="AWZ59"/>
      <c r="AXA59"/>
      <c r="AXB59"/>
      <c r="AXC59"/>
      <c r="AXD59"/>
      <c r="AXE59"/>
      <c r="AXF59"/>
      <c r="AXG59"/>
      <c r="AXH59"/>
      <c r="AXI59"/>
      <c r="AXJ59"/>
      <c r="AXK59"/>
      <c r="AXL59"/>
      <c r="AXM59"/>
      <c r="AXN59"/>
      <c r="AXO59"/>
      <c r="AXP59"/>
      <c r="AXQ59"/>
      <c r="AXR59"/>
      <c r="AXS59"/>
      <c r="AXT59"/>
      <c r="AXU59"/>
      <c r="AXV59"/>
      <c r="AXW59"/>
      <c r="AXX59"/>
      <c r="AXY59"/>
      <c r="AXZ59"/>
      <c r="AYA59"/>
      <c r="AYB59"/>
      <c r="AYC59"/>
      <c r="AYD59"/>
      <c r="AYE59"/>
      <c r="AYF59"/>
      <c r="AYG59"/>
      <c r="AYH59"/>
      <c r="AYI59"/>
      <c r="AYJ59"/>
      <c r="AYK59"/>
      <c r="AYL59"/>
      <c r="AYM59"/>
      <c r="AYN59"/>
      <c r="AYO59"/>
      <c r="AYP59"/>
      <c r="AYQ59"/>
      <c r="AYR59"/>
      <c r="AYS59"/>
      <c r="AYT59"/>
      <c r="AYU59"/>
      <c r="AYV59"/>
      <c r="AYW59"/>
      <c r="AYX59"/>
      <c r="AYY59"/>
      <c r="AYZ59"/>
      <c r="AZA59"/>
      <c r="AZB59"/>
      <c r="AZC59"/>
      <c r="AZD59"/>
      <c r="AZE59"/>
      <c r="AZF59"/>
      <c r="AZG59"/>
      <c r="AZH59"/>
      <c r="AZI59"/>
      <c r="AZJ59"/>
      <c r="AZK59"/>
      <c r="AZL59"/>
      <c r="AZM59"/>
      <c r="AZN59"/>
      <c r="AZO59"/>
      <c r="AZP59"/>
      <c r="AZQ59"/>
      <c r="AZR59"/>
      <c r="AZS59"/>
      <c r="AZT59"/>
      <c r="AZU59"/>
      <c r="AZV59"/>
      <c r="AZW59"/>
      <c r="AZX59"/>
      <c r="AZY59"/>
      <c r="AZZ59"/>
      <c r="BAA59"/>
      <c r="BAB59"/>
      <c r="BAC59"/>
      <c r="BAD59"/>
      <c r="BAE59"/>
      <c r="BAF59"/>
      <c r="BAG59"/>
      <c r="BAH59"/>
      <c r="BAI59"/>
      <c r="BAJ59"/>
      <c r="BAK59"/>
      <c r="BAL59"/>
      <c r="BAM59"/>
      <c r="BAN59"/>
      <c r="BAO59"/>
      <c r="BAP59"/>
      <c r="BAQ59"/>
      <c r="BAR59"/>
      <c r="BAS59"/>
      <c r="BAT59"/>
      <c r="BAU59"/>
      <c r="BAV59"/>
      <c r="BAW59"/>
      <c r="BAX59"/>
      <c r="BAY59"/>
      <c r="BAZ59"/>
      <c r="BBA59"/>
      <c r="BBB59"/>
      <c r="BBC59"/>
      <c r="BBD59"/>
      <c r="BBE59"/>
      <c r="BBF59"/>
      <c r="BBG59"/>
      <c r="BBH59"/>
      <c r="BBI59"/>
      <c r="BBJ59"/>
      <c r="BBK59"/>
      <c r="BBL59"/>
      <c r="BBM59"/>
      <c r="BBN59"/>
      <c r="BBO59"/>
      <c r="BBP59"/>
      <c r="BBQ59"/>
      <c r="BBR59"/>
      <c r="BBS59"/>
      <c r="BBT59"/>
      <c r="BBU59"/>
      <c r="BBV59"/>
      <c r="BBW59"/>
      <c r="BBX59"/>
      <c r="BBY59"/>
      <c r="BBZ59"/>
      <c r="BCA59"/>
      <c r="BCB59"/>
      <c r="BCC59"/>
      <c r="BCD59"/>
      <c r="BCE59"/>
      <c r="BCF59"/>
      <c r="BCG59"/>
      <c r="BCH59"/>
      <c r="BCI59"/>
      <c r="BCJ59"/>
      <c r="BCK59"/>
      <c r="BCL59"/>
      <c r="BCM59"/>
      <c r="BCN59"/>
      <c r="BCO59"/>
      <c r="BCP59"/>
      <c r="BCQ59"/>
      <c r="BCR59"/>
      <c r="BCS59"/>
      <c r="BCT59"/>
      <c r="BCU59"/>
      <c r="BCV59"/>
      <c r="BCW59"/>
      <c r="BCX59"/>
      <c r="BCY59"/>
      <c r="BCZ59"/>
      <c r="BDA59"/>
      <c r="BDB59"/>
      <c r="BDC59"/>
      <c r="BDD59"/>
      <c r="BDE59"/>
      <c r="BDF59"/>
      <c r="BDG59"/>
      <c r="BDH59"/>
      <c r="BDI59"/>
      <c r="BDJ59"/>
      <c r="BDK59"/>
      <c r="BDL59"/>
      <c r="BDM59"/>
      <c r="BDN59"/>
      <c r="BDO59"/>
      <c r="BDP59"/>
      <c r="BDQ59"/>
      <c r="BDR59"/>
      <c r="BDS59"/>
      <c r="BDT59"/>
      <c r="BDU59"/>
      <c r="BDV59"/>
      <c r="BDW59"/>
      <c r="BDX59"/>
      <c r="BDY59"/>
      <c r="BDZ59"/>
      <c r="BEA59"/>
      <c r="BEB59"/>
      <c r="BEC59"/>
      <c r="BED59"/>
      <c r="BEE59"/>
      <c r="BEF59"/>
      <c r="BEG59"/>
      <c r="BEH59"/>
      <c r="BEI59"/>
      <c r="BEJ59"/>
      <c r="BEK59"/>
      <c r="BEL59"/>
      <c r="BEM59"/>
      <c r="BEN59"/>
      <c r="BEO59"/>
      <c r="BEP59"/>
      <c r="BEQ59"/>
      <c r="BER59"/>
      <c r="BES59"/>
      <c r="BET59"/>
      <c r="BEU59"/>
      <c r="BEV59"/>
      <c r="BEW59"/>
      <c r="BEX59"/>
      <c r="BEY59"/>
      <c r="BEZ59"/>
      <c r="BFA59"/>
      <c r="BFB59"/>
      <c r="BFC59"/>
      <c r="BFD59"/>
      <c r="BFE59"/>
      <c r="BFF59"/>
      <c r="BFG59"/>
      <c r="BFH59"/>
      <c r="BFI59"/>
      <c r="BFJ59"/>
      <c r="BFK59"/>
      <c r="BFL59"/>
      <c r="BFM59"/>
      <c r="BFN59"/>
      <c r="BFO59"/>
      <c r="BFP59"/>
      <c r="BFQ59"/>
      <c r="BFR59"/>
      <c r="BFS59"/>
      <c r="BFT59"/>
      <c r="BFU59"/>
      <c r="BFV59"/>
      <c r="BFW59"/>
      <c r="BFX59"/>
      <c r="BFY59"/>
      <c r="BFZ59"/>
      <c r="BGA59"/>
      <c r="BGB59"/>
      <c r="BGC59"/>
      <c r="BGD59"/>
      <c r="BGE59"/>
      <c r="BGF59"/>
      <c r="BGG59"/>
      <c r="BGH59"/>
      <c r="BGI59"/>
      <c r="BGJ59"/>
      <c r="BGK59"/>
      <c r="BGL59"/>
      <c r="BGM59"/>
      <c r="BGN59"/>
      <c r="BGO59"/>
      <c r="BGP59"/>
      <c r="BGQ59"/>
      <c r="BGR59"/>
      <c r="BGS59"/>
      <c r="BGT59"/>
      <c r="BGU59"/>
      <c r="BGV59"/>
      <c r="BGW59"/>
      <c r="BGX59"/>
      <c r="BGY59"/>
      <c r="BGZ59"/>
      <c r="BHA59"/>
      <c r="BHB59"/>
      <c r="BHC59"/>
      <c r="BHD59"/>
      <c r="BHE59"/>
      <c r="BHF59"/>
      <c r="BHG59"/>
      <c r="BHH59"/>
      <c r="BHI59"/>
      <c r="BHJ59"/>
      <c r="BHK59"/>
      <c r="BHL59"/>
      <c r="BHM59"/>
      <c r="BHN59"/>
      <c r="BHO59"/>
      <c r="BHP59"/>
      <c r="BHQ59"/>
      <c r="BHR59"/>
      <c r="BHS59"/>
      <c r="BHT59"/>
      <c r="BHU59"/>
      <c r="BHV59"/>
      <c r="BHW59"/>
      <c r="BHX59"/>
      <c r="BHY59"/>
      <c r="BHZ59"/>
      <c r="BIA59"/>
      <c r="BIB59"/>
      <c r="BIC59"/>
      <c r="BID59"/>
      <c r="BIE59"/>
      <c r="BIF59"/>
      <c r="BIG59"/>
      <c r="BIH59"/>
      <c r="BII59"/>
      <c r="BIJ59"/>
      <c r="BIK59"/>
      <c r="BIL59"/>
      <c r="BIM59"/>
      <c r="BIN59"/>
      <c r="BIO59"/>
      <c r="BIP59"/>
      <c r="BIQ59"/>
      <c r="BIR59"/>
      <c r="BIS59"/>
      <c r="BIT59"/>
      <c r="BIU59"/>
      <c r="BIV59"/>
      <c r="BIW59"/>
      <c r="BIX59"/>
      <c r="BIY59"/>
      <c r="BIZ59"/>
      <c r="BJA59"/>
      <c r="BJB59"/>
      <c r="BJC59"/>
      <c r="BJD59"/>
      <c r="BJE59"/>
      <c r="BJF59"/>
      <c r="BJG59"/>
      <c r="BJH59"/>
      <c r="BJI59"/>
      <c r="BJJ59"/>
      <c r="BJK59"/>
      <c r="BJL59"/>
      <c r="BJM59"/>
      <c r="BJN59"/>
      <c r="BJO59"/>
      <c r="BJP59"/>
      <c r="BJQ59"/>
      <c r="BJR59"/>
      <c r="BJS59"/>
      <c r="BJT59"/>
      <c r="BJU59"/>
      <c r="BJV59"/>
      <c r="BJW59"/>
      <c r="BJX59"/>
      <c r="BJY59"/>
      <c r="BJZ59"/>
      <c r="BKA59"/>
      <c r="BKB59"/>
      <c r="BKC59"/>
      <c r="BKD59"/>
      <c r="BKE59"/>
      <c r="BKF59"/>
      <c r="BKG59"/>
      <c r="BKH59"/>
      <c r="BKI59"/>
      <c r="BKJ59"/>
      <c r="BKK59"/>
      <c r="BKL59"/>
      <c r="BKM59"/>
      <c r="BKN59"/>
      <c r="BKO59"/>
      <c r="BKP59"/>
      <c r="BKQ59"/>
      <c r="BKR59"/>
      <c r="BKS59"/>
      <c r="BKT59"/>
      <c r="BKU59"/>
      <c r="BKV59"/>
      <c r="BKW59"/>
      <c r="BKX59"/>
      <c r="BKY59"/>
      <c r="BKZ59"/>
      <c r="BLA59"/>
      <c r="BLB59"/>
      <c r="BLC59"/>
      <c r="BLD59"/>
      <c r="BLE59"/>
      <c r="BLF59"/>
      <c r="BLG59"/>
      <c r="BLH59"/>
      <c r="BLI59"/>
      <c r="BLJ59"/>
      <c r="BLK59"/>
      <c r="BLL59"/>
      <c r="BLM59"/>
      <c r="BLN59"/>
      <c r="BLO59"/>
      <c r="BLP59"/>
      <c r="BLQ59"/>
      <c r="BLR59"/>
      <c r="BLS59"/>
      <c r="BLT59"/>
      <c r="BLU59"/>
      <c r="BLV59"/>
      <c r="BLW59"/>
      <c r="BLX59"/>
      <c r="BLY59"/>
      <c r="BLZ59"/>
      <c r="BMA59"/>
      <c r="BMB59"/>
      <c r="BMC59"/>
      <c r="BMD59"/>
      <c r="BME59"/>
      <c r="BMF59"/>
      <c r="BMG59"/>
      <c r="BMH59"/>
      <c r="BMI59"/>
      <c r="BMJ59"/>
      <c r="BMK59"/>
      <c r="BML59"/>
      <c r="BMM59"/>
      <c r="BMN59"/>
      <c r="BMO59"/>
      <c r="BMP59"/>
      <c r="BMQ59"/>
      <c r="BMR59"/>
      <c r="BMS59"/>
      <c r="BMT59"/>
      <c r="BMU59"/>
      <c r="BMV59"/>
      <c r="BMW59"/>
      <c r="BMX59"/>
      <c r="BMY59"/>
      <c r="BMZ59"/>
      <c r="BNA59"/>
      <c r="BNB59"/>
      <c r="BNC59"/>
      <c r="BND59"/>
      <c r="BNE59"/>
      <c r="BNF59"/>
      <c r="BNG59"/>
      <c r="BNH59"/>
      <c r="BNI59"/>
      <c r="BNJ59"/>
      <c r="BNK59"/>
      <c r="BNL59"/>
      <c r="BNM59"/>
      <c r="BNN59"/>
      <c r="BNO59"/>
      <c r="BNP59"/>
      <c r="BNQ59"/>
      <c r="BNR59"/>
      <c r="BNS59"/>
      <c r="BNT59"/>
      <c r="BNU59"/>
      <c r="BNV59"/>
      <c r="BNW59"/>
      <c r="BNX59"/>
      <c r="BNY59"/>
      <c r="BNZ59"/>
      <c r="BOA59"/>
      <c r="BOB59"/>
      <c r="BOC59"/>
      <c r="BOD59"/>
      <c r="BOE59"/>
      <c r="BOF59"/>
      <c r="BOG59"/>
      <c r="BOH59"/>
      <c r="BOI59"/>
      <c r="BOJ59"/>
      <c r="BOK59"/>
      <c r="BOL59"/>
      <c r="BOM59"/>
      <c r="BON59"/>
      <c r="BOO59"/>
      <c r="BOP59"/>
      <c r="BOQ59"/>
      <c r="BOR59"/>
      <c r="BOS59"/>
      <c r="BOT59"/>
      <c r="BOU59"/>
      <c r="BOV59"/>
      <c r="BOW59"/>
      <c r="BOX59"/>
      <c r="BOY59"/>
      <c r="BOZ59"/>
      <c r="BPA59"/>
      <c r="BPB59"/>
      <c r="BPC59"/>
      <c r="BPD59"/>
      <c r="BPE59"/>
      <c r="BPF59"/>
      <c r="BPG59"/>
      <c r="BPH59"/>
      <c r="BPI59"/>
      <c r="BPJ59"/>
      <c r="BPK59"/>
      <c r="BPL59"/>
      <c r="BPM59"/>
      <c r="BPN59"/>
      <c r="BPO59"/>
      <c r="BPP59"/>
      <c r="BPQ59"/>
      <c r="BPR59"/>
      <c r="BPS59"/>
      <c r="BPT59"/>
      <c r="BPU59"/>
      <c r="BPV59"/>
      <c r="BPW59"/>
      <c r="BPX59"/>
      <c r="BPY59"/>
      <c r="BPZ59"/>
      <c r="BQA59"/>
      <c r="BQB59"/>
      <c r="BQC59"/>
      <c r="BQD59"/>
      <c r="BQE59"/>
      <c r="BQF59"/>
      <c r="BQG59"/>
      <c r="BQH59"/>
      <c r="BQI59"/>
      <c r="BQJ59"/>
      <c r="BQK59"/>
      <c r="BQL59"/>
      <c r="BQM59"/>
      <c r="BQN59"/>
      <c r="BQO59"/>
      <c r="BQP59"/>
      <c r="BQQ59"/>
      <c r="BQR59"/>
      <c r="BQS59"/>
      <c r="BQT59"/>
      <c r="BQU59"/>
      <c r="BQV59"/>
      <c r="BQW59"/>
      <c r="BQX59"/>
      <c r="BQY59"/>
      <c r="BQZ59"/>
      <c r="BRA59"/>
      <c r="BRB59"/>
      <c r="BRC59"/>
      <c r="BRD59"/>
      <c r="BRE59"/>
      <c r="BRF59"/>
      <c r="BRG59"/>
      <c r="BRH59"/>
      <c r="BRI59"/>
      <c r="BRJ59"/>
      <c r="BRK59"/>
      <c r="BRL59"/>
      <c r="BRM59"/>
      <c r="BRN59"/>
      <c r="BRO59"/>
      <c r="BRP59"/>
      <c r="BRQ59"/>
      <c r="BRR59"/>
      <c r="BRS59"/>
      <c r="BRT59"/>
      <c r="BRU59"/>
      <c r="BRV59"/>
      <c r="BRW59"/>
      <c r="BRX59"/>
      <c r="BRY59"/>
      <c r="BRZ59"/>
      <c r="BSA59"/>
      <c r="BSB59"/>
      <c r="BSC59"/>
      <c r="BSD59"/>
      <c r="BSE59"/>
      <c r="BSF59"/>
      <c r="BSG59"/>
      <c r="BSH59"/>
      <c r="BSI59"/>
      <c r="BSJ59"/>
      <c r="BSK59"/>
      <c r="BSL59"/>
      <c r="BSM59"/>
      <c r="BSN59"/>
      <c r="BSO59"/>
      <c r="BSP59"/>
      <c r="BSQ59"/>
      <c r="BSR59"/>
      <c r="BSS59"/>
      <c r="BST59"/>
      <c r="BSU59"/>
      <c r="BSV59"/>
      <c r="BSW59"/>
      <c r="BSX59"/>
      <c r="BSY59"/>
      <c r="BSZ59"/>
      <c r="BTA59"/>
      <c r="BTB59"/>
      <c r="BTC59"/>
      <c r="BTD59"/>
      <c r="BTE59"/>
      <c r="BTF59"/>
      <c r="BTG59"/>
      <c r="BTH59"/>
      <c r="BTI59"/>
      <c r="BTJ59"/>
      <c r="BTK59"/>
      <c r="BTL59"/>
      <c r="BTM59"/>
      <c r="BTN59"/>
      <c r="BTO59"/>
      <c r="BTP59"/>
      <c r="BTQ59"/>
      <c r="BTR59"/>
      <c r="BTS59"/>
      <c r="BTT59"/>
      <c r="BTU59"/>
      <c r="BTV59"/>
      <c r="BTW59"/>
      <c r="BTX59"/>
      <c r="BTY59"/>
      <c r="BTZ59"/>
      <c r="BUA59"/>
      <c r="BUB59"/>
      <c r="BUC59"/>
      <c r="BUD59"/>
      <c r="BUE59"/>
      <c r="BUF59"/>
      <c r="BUG59"/>
      <c r="BUH59"/>
      <c r="BUI59"/>
      <c r="BUJ59"/>
      <c r="BUK59"/>
      <c r="BUL59"/>
      <c r="BUM59"/>
      <c r="BUN59"/>
      <c r="BUO59"/>
      <c r="BUP59"/>
      <c r="BUQ59"/>
      <c r="BUR59"/>
      <c r="BUS59"/>
      <c r="BUT59"/>
      <c r="BUU59"/>
      <c r="BUV59"/>
      <c r="BUW59"/>
      <c r="BUX59"/>
      <c r="BUY59"/>
      <c r="BUZ59"/>
      <c r="BVA59"/>
      <c r="BVB59"/>
      <c r="BVC59"/>
      <c r="BVD59"/>
      <c r="BVE59"/>
      <c r="BVF59"/>
      <c r="BVG59"/>
      <c r="BVH59"/>
      <c r="BVI59"/>
      <c r="BVJ59"/>
      <c r="BVK59"/>
      <c r="BVL59"/>
      <c r="BVM59"/>
      <c r="BVN59"/>
      <c r="BVO59"/>
      <c r="BVP59"/>
      <c r="BVQ59"/>
      <c r="BVR59"/>
      <c r="BVS59"/>
      <c r="BVT59"/>
      <c r="BVU59"/>
      <c r="BVV59"/>
      <c r="BVW59"/>
      <c r="BVX59"/>
      <c r="BVY59"/>
      <c r="BVZ59"/>
      <c r="BWA59"/>
      <c r="BWB59"/>
      <c r="BWC59"/>
      <c r="BWD59"/>
      <c r="BWE59"/>
      <c r="BWF59"/>
      <c r="BWG59"/>
      <c r="BWH59"/>
      <c r="BWI59"/>
      <c r="BWJ59"/>
      <c r="BWK59"/>
      <c r="BWL59"/>
      <c r="BWM59"/>
      <c r="BWN59"/>
      <c r="BWO59"/>
      <c r="BWP59"/>
      <c r="BWQ59"/>
      <c r="BWR59"/>
      <c r="BWS59"/>
      <c r="BWT59"/>
      <c r="BWU59"/>
      <c r="BWV59"/>
      <c r="BWW59"/>
      <c r="BWX59"/>
      <c r="BWY59"/>
      <c r="BWZ59"/>
      <c r="BXA59"/>
      <c r="BXB59"/>
      <c r="BXC59"/>
      <c r="BXD59"/>
      <c r="BXE59"/>
      <c r="BXF59"/>
      <c r="BXG59"/>
      <c r="BXH59"/>
      <c r="BXI59"/>
      <c r="BXJ59"/>
      <c r="BXK59"/>
      <c r="BXL59"/>
      <c r="BXM59"/>
      <c r="BXN59"/>
      <c r="BXO59"/>
      <c r="BXP59"/>
      <c r="BXQ59"/>
      <c r="BXR59"/>
      <c r="BXS59"/>
      <c r="BXT59"/>
      <c r="BXU59"/>
      <c r="BXV59"/>
      <c r="BXW59"/>
      <c r="BXX59"/>
      <c r="BXY59"/>
      <c r="BXZ59"/>
      <c r="BYA59"/>
      <c r="BYB59"/>
      <c r="BYC59"/>
      <c r="BYD59"/>
      <c r="BYE59"/>
      <c r="BYF59"/>
      <c r="BYG59"/>
    </row>
    <row r="60" spans="1:2009" s="88" customFormat="1" ht="24.95" hidden="1" customHeight="1" thickBot="1" x14ac:dyDescent="0.3">
      <c r="A60" s="356" t="s">
        <v>437</v>
      </c>
      <c r="B60" s="355"/>
      <c r="C60" s="333"/>
      <c r="D60" s="334"/>
      <c r="E60" s="334"/>
      <c r="F60" s="334"/>
      <c r="G60" s="510">
        <f>SUM(C60:F60)</f>
        <v>0</v>
      </c>
      <c r="H60" s="744"/>
      <c r="I60" s="21"/>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row>
    <row r="61" spans="1:2009" s="88" customFormat="1" ht="27" hidden="1" customHeight="1" x14ac:dyDescent="0.25">
      <c r="A61" s="751" t="s">
        <v>666</v>
      </c>
      <c r="B61" s="752"/>
      <c r="C61" s="800"/>
      <c r="D61" s="753"/>
      <c r="E61" s="753"/>
      <c r="F61" s="784"/>
      <c r="G61" s="798">
        <f>SUM(C61:F61)</f>
        <v>0</v>
      </c>
      <c r="H61" s="744"/>
      <c r="I61" s="21"/>
      <c r="J61" s="736"/>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c r="AOK61"/>
      <c r="AOL61"/>
      <c r="AOM61"/>
      <c r="AON61"/>
      <c r="AOO61"/>
      <c r="AOP61"/>
      <c r="AOQ61"/>
      <c r="AOR61"/>
      <c r="AOS61"/>
      <c r="AOT61"/>
      <c r="AOU61"/>
      <c r="AOV61"/>
      <c r="AOW61"/>
      <c r="AOX61"/>
      <c r="AOY61"/>
      <c r="AOZ61"/>
      <c r="APA61"/>
      <c r="APB61"/>
      <c r="APC61"/>
      <c r="APD61"/>
      <c r="APE61"/>
      <c r="APF61"/>
      <c r="APG61"/>
      <c r="APH61"/>
      <c r="API61"/>
      <c r="APJ61"/>
      <c r="APK61"/>
      <c r="APL61"/>
      <c r="APM61"/>
      <c r="APN61"/>
      <c r="APO61"/>
      <c r="APP61"/>
      <c r="APQ61"/>
      <c r="APR61"/>
      <c r="APS61"/>
      <c r="APT61"/>
      <c r="APU61"/>
      <c r="APV61"/>
      <c r="APW61"/>
      <c r="APX61"/>
      <c r="APY61"/>
      <c r="APZ61"/>
      <c r="AQA61"/>
      <c r="AQB61"/>
      <c r="AQC61"/>
      <c r="AQD61"/>
      <c r="AQE61"/>
      <c r="AQF61"/>
      <c r="AQG61"/>
      <c r="AQH61"/>
      <c r="AQI61"/>
      <c r="AQJ61"/>
      <c r="AQK61"/>
      <c r="AQL61"/>
      <c r="AQM61"/>
      <c r="AQN61"/>
      <c r="AQO61"/>
      <c r="AQP61"/>
      <c r="AQQ61"/>
      <c r="AQR61"/>
      <c r="AQS61"/>
      <c r="AQT61"/>
      <c r="AQU61"/>
      <c r="AQV61"/>
      <c r="AQW61"/>
      <c r="AQX61"/>
      <c r="AQY61"/>
      <c r="AQZ61"/>
      <c r="ARA61"/>
      <c r="ARB61"/>
      <c r="ARC61"/>
      <c r="ARD61"/>
      <c r="ARE61"/>
      <c r="ARF61"/>
      <c r="ARG61"/>
      <c r="ARH61"/>
      <c r="ARI61"/>
      <c r="ARJ61"/>
      <c r="ARK61"/>
      <c r="ARL61"/>
      <c r="ARM61"/>
      <c r="ARN61"/>
      <c r="ARO61"/>
      <c r="ARP61"/>
      <c r="ARQ61"/>
      <c r="ARR61"/>
      <c r="ARS61"/>
      <c r="ART61"/>
      <c r="ARU61"/>
      <c r="ARV61"/>
      <c r="ARW61"/>
      <c r="ARX61"/>
      <c r="ARY61"/>
      <c r="ARZ61"/>
      <c r="ASA61"/>
      <c r="ASB61"/>
      <c r="ASC61"/>
      <c r="ASD61"/>
      <c r="ASE61"/>
      <c r="ASF61"/>
      <c r="ASG61"/>
      <c r="ASH61"/>
      <c r="ASI61"/>
      <c r="ASJ61"/>
      <c r="ASK61"/>
      <c r="ASL61"/>
      <c r="ASM61"/>
      <c r="ASN61"/>
      <c r="ASO61"/>
      <c r="ASP61"/>
      <c r="ASQ61"/>
      <c r="ASR61"/>
      <c r="ASS61"/>
      <c r="AST61"/>
      <c r="ASU61"/>
      <c r="ASV61"/>
      <c r="ASW61"/>
      <c r="ASX61"/>
      <c r="ASY61"/>
      <c r="ASZ61"/>
      <c r="ATA61"/>
      <c r="ATB61"/>
      <c r="ATC61"/>
      <c r="ATD61"/>
      <c r="ATE61"/>
      <c r="ATF61"/>
      <c r="ATG61"/>
      <c r="ATH61"/>
      <c r="ATI61"/>
      <c r="ATJ61"/>
      <c r="ATK61"/>
      <c r="ATL61"/>
      <c r="ATM61"/>
      <c r="ATN61"/>
      <c r="ATO61"/>
      <c r="ATP61"/>
      <c r="ATQ61"/>
      <c r="ATR61"/>
      <c r="ATS61"/>
      <c r="ATT61"/>
      <c r="ATU61"/>
      <c r="ATV61"/>
      <c r="ATW61"/>
      <c r="ATX61"/>
      <c r="ATY61"/>
      <c r="ATZ61"/>
      <c r="AUA61"/>
      <c r="AUB61"/>
      <c r="AUC61"/>
      <c r="AUD61"/>
      <c r="AUE61"/>
      <c r="AUF61"/>
      <c r="AUG61"/>
      <c r="AUH61"/>
      <c r="AUI61"/>
      <c r="AUJ61"/>
      <c r="AUK61"/>
      <c r="AUL61"/>
      <c r="AUM61"/>
      <c r="AUN61"/>
      <c r="AUO61"/>
      <c r="AUP61"/>
      <c r="AUQ61"/>
      <c r="AUR61"/>
      <c r="AUS61"/>
      <c r="AUT61"/>
      <c r="AUU61"/>
      <c r="AUV61"/>
      <c r="AUW61"/>
      <c r="AUX61"/>
      <c r="AUY61"/>
      <c r="AUZ61"/>
      <c r="AVA61"/>
      <c r="AVB61"/>
      <c r="AVC61"/>
      <c r="AVD61"/>
      <c r="AVE61"/>
      <c r="AVF61"/>
      <c r="AVG61"/>
      <c r="AVH61"/>
      <c r="AVI61"/>
      <c r="AVJ61"/>
      <c r="AVK61"/>
      <c r="AVL61"/>
      <c r="AVM61"/>
      <c r="AVN61"/>
      <c r="AVO61"/>
      <c r="AVP61"/>
      <c r="AVQ61"/>
      <c r="AVR61"/>
      <c r="AVS61"/>
      <c r="AVT61"/>
      <c r="AVU61"/>
      <c r="AVV61"/>
      <c r="AVW61"/>
      <c r="AVX61"/>
      <c r="AVY61"/>
      <c r="AVZ61"/>
      <c r="AWA61"/>
      <c r="AWB61"/>
      <c r="AWC61"/>
      <c r="AWD61"/>
      <c r="AWE61"/>
      <c r="AWF61"/>
      <c r="AWG61"/>
      <c r="AWH61"/>
      <c r="AWI61"/>
      <c r="AWJ61"/>
      <c r="AWK61"/>
      <c r="AWL61"/>
      <c r="AWM61"/>
      <c r="AWN61"/>
      <c r="AWO61"/>
      <c r="AWP61"/>
      <c r="AWQ61"/>
      <c r="AWR61"/>
      <c r="AWS61"/>
      <c r="AWT61"/>
      <c r="AWU61"/>
      <c r="AWV61"/>
      <c r="AWW61"/>
      <c r="AWX61"/>
      <c r="AWY61"/>
      <c r="AWZ61"/>
      <c r="AXA61"/>
      <c r="AXB61"/>
      <c r="AXC61"/>
      <c r="AXD61"/>
      <c r="AXE61"/>
      <c r="AXF61"/>
      <c r="AXG61"/>
      <c r="AXH61"/>
      <c r="AXI61"/>
      <c r="AXJ61"/>
      <c r="AXK61"/>
      <c r="AXL61"/>
      <c r="AXM61"/>
      <c r="AXN61"/>
      <c r="AXO61"/>
      <c r="AXP61"/>
      <c r="AXQ61"/>
      <c r="AXR61"/>
      <c r="AXS61"/>
      <c r="AXT61"/>
      <c r="AXU61"/>
      <c r="AXV61"/>
      <c r="AXW61"/>
      <c r="AXX61"/>
      <c r="AXY61"/>
      <c r="AXZ61"/>
      <c r="AYA61"/>
      <c r="AYB61"/>
      <c r="AYC61"/>
      <c r="AYD61"/>
      <c r="AYE61"/>
      <c r="AYF61"/>
      <c r="AYG61"/>
      <c r="AYH61"/>
      <c r="AYI61"/>
      <c r="AYJ61"/>
      <c r="AYK61"/>
      <c r="AYL61"/>
      <c r="AYM61"/>
      <c r="AYN61"/>
      <c r="AYO61"/>
      <c r="AYP61"/>
      <c r="AYQ61"/>
      <c r="AYR61"/>
      <c r="AYS61"/>
      <c r="AYT61"/>
      <c r="AYU61"/>
      <c r="AYV61"/>
      <c r="AYW61"/>
      <c r="AYX61"/>
      <c r="AYY61"/>
      <c r="AYZ61"/>
      <c r="AZA61"/>
      <c r="AZB61"/>
      <c r="AZC61"/>
      <c r="AZD61"/>
      <c r="AZE61"/>
      <c r="AZF61"/>
      <c r="AZG61"/>
      <c r="AZH61"/>
      <c r="AZI61"/>
      <c r="AZJ61"/>
      <c r="AZK61"/>
      <c r="AZL61"/>
      <c r="AZM61"/>
      <c r="AZN61"/>
      <c r="AZO61"/>
      <c r="AZP61"/>
      <c r="AZQ61"/>
      <c r="AZR61"/>
      <c r="AZS61"/>
      <c r="AZT61"/>
      <c r="AZU61"/>
      <c r="AZV61"/>
      <c r="AZW61"/>
      <c r="AZX61"/>
      <c r="AZY61"/>
      <c r="AZZ61"/>
      <c r="BAA61"/>
      <c r="BAB61"/>
      <c r="BAC61"/>
      <c r="BAD61"/>
      <c r="BAE61"/>
      <c r="BAF61"/>
      <c r="BAG61"/>
      <c r="BAH61"/>
      <c r="BAI61"/>
      <c r="BAJ61"/>
      <c r="BAK61"/>
      <c r="BAL61"/>
      <c r="BAM61"/>
      <c r="BAN61"/>
      <c r="BAO61"/>
      <c r="BAP61"/>
      <c r="BAQ61"/>
      <c r="BAR61"/>
      <c r="BAS61"/>
      <c r="BAT61"/>
      <c r="BAU61"/>
      <c r="BAV61"/>
      <c r="BAW61"/>
      <c r="BAX61"/>
      <c r="BAY61"/>
      <c r="BAZ61"/>
      <c r="BBA61"/>
      <c r="BBB61"/>
      <c r="BBC61"/>
      <c r="BBD61"/>
      <c r="BBE61"/>
      <c r="BBF61"/>
      <c r="BBG61"/>
      <c r="BBH61"/>
      <c r="BBI61"/>
      <c r="BBJ61"/>
      <c r="BBK61"/>
      <c r="BBL61"/>
      <c r="BBM61"/>
      <c r="BBN61"/>
      <c r="BBO61"/>
      <c r="BBP61"/>
      <c r="BBQ61"/>
      <c r="BBR61"/>
      <c r="BBS61"/>
      <c r="BBT61"/>
      <c r="BBU61"/>
      <c r="BBV61"/>
      <c r="BBW61"/>
      <c r="BBX61"/>
      <c r="BBY61"/>
      <c r="BBZ61"/>
      <c r="BCA61"/>
      <c r="BCB61"/>
      <c r="BCC61"/>
      <c r="BCD61"/>
      <c r="BCE61"/>
      <c r="BCF61"/>
      <c r="BCG61"/>
      <c r="BCH61"/>
      <c r="BCI61"/>
      <c r="BCJ61"/>
      <c r="BCK61"/>
      <c r="BCL61"/>
      <c r="BCM61"/>
      <c r="BCN61"/>
      <c r="BCO61"/>
      <c r="BCP61"/>
      <c r="BCQ61"/>
      <c r="BCR61"/>
      <c r="BCS61"/>
      <c r="BCT61"/>
      <c r="BCU61"/>
      <c r="BCV61"/>
      <c r="BCW61"/>
      <c r="BCX61"/>
      <c r="BCY61"/>
      <c r="BCZ61"/>
      <c r="BDA61"/>
      <c r="BDB61"/>
      <c r="BDC61"/>
      <c r="BDD61"/>
      <c r="BDE61"/>
      <c r="BDF61"/>
      <c r="BDG61"/>
      <c r="BDH61"/>
      <c r="BDI61"/>
      <c r="BDJ61"/>
      <c r="BDK61"/>
      <c r="BDL61"/>
      <c r="BDM61"/>
      <c r="BDN61"/>
      <c r="BDO61"/>
      <c r="BDP61"/>
      <c r="BDQ61"/>
      <c r="BDR61"/>
      <c r="BDS61"/>
      <c r="BDT61"/>
      <c r="BDU61"/>
      <c r="BDV61"/>
      <c r="BDW61"/>
      <c r="BDX61"/>
      <c r="BDY61"/>
      <c r="BDZ61"/>
      <c r="BEA61"/>
      <c r="BEB61"/>
      <c r="BEC61"/>
      <c r="BED61"/>
      <c r="BEE61"/>
      <c r="BEF61"/>
      <c r="BEG61"/>
      <c r="BEH61"/>
      <c r="BEI61"/>
      <c r="BEJ61"/>
      <c r="BEK61"/>
      <c r="BEL61"/>
      <c r="BEM61"/>
      <c r="BEN61"/>
      <c r="BEO61"/>
      <c r="BEP61"/>
      <c r="BEQ61"/>
      <c r="BER61"/>
      <c r="BES61"/>
      <c r="BET61"/>
      <c r="BEU61"/>
      <c r="BEV61"/>
      <c r="BEW61"/>
      <c r="BEX61"/>
      <c r="BEY61"/>
      <c r="BEZ61"/>
      <c r="BFA61"/>
      <c r="BFB61"/>
      <c r="BFC61"/>
      <c r="BFD61"/>
      <c r="BFE61"/>
      <c r="BFF61"/>
      <c r="BFG61"/>
      <c r="BFH61"/>
      <c r="BFI61"/>
      <c r="BFJ61"/>
      <c r="BFK61"/>
      <c r="BFL61"/>
      <c r="BFM61"/>
      <c r="BFN61"/>
      <c r="BFO61"/>
      <c r="BFP61"/>
      <c r="BFQ61"/>
      <c r="BFR61"/>
      <c r="BFS61"/>
      <c r="BFT61"/>
      <c r="BFU61"/>
      <c r="BFV61"/>
      <c r="BFW61"/>
      <c r="BFX61"/>
      <c r="BFY61"/>
      <c r="BFZ61"/>
      <c r="BGA61"/>
      <c r="BGB61"/>
      <c r="BGC61"/>
      <c r="BGD61"/>
      <c r="BGE61"/>
      <c r="BGF61"/>
      <c r="BGG61"/>
      <c r="BGH61"/>
      <c r="BGI61"/>
      <c r="BGJ61"/>
      <c r="BGK61"/>
      <c r="BGL61"/>
      <c r="BGM61"/>
      <c r="BGN61"/>
      <c r="BGO61"/>
      <c r="BGP61"/>
      <c r="BGQ61"/>
      <c r="BGR61"/>
      <c r="BGS61"/>
      <c r="BGT61"/>
      <c r="BGU61"/>
      <c r="BGV61"/>
      <c r="BGW61"/>
      <c r="BGX61"/>
      <c r="BGY61"/>
      <c r="BGZ61"/>
      <c r="BHA61"/>
      <c r="BHB61"/>
      <c r="BHC61"/>
      <c r="BHD61"/>
      <c r="BHE61"/>
      <c r="BHF61"/>
      <c r="BHG61"/>
      <c r="BHH61"/>
      <c r="BHI61"/>
      <c r="BHJ61"/>
      <c r="BHK61"/>
      <c r="BHL61"/>
      <c r="BHM61"/>
      <c r="BHN61"/>
      <c r="BHO61"/>
      <c r="BHP61"/>
      <c r="BHQ61"/>
      <c r="BHR61"/>
      <c r="BHS61"/>
      <c r="BHT61"/>
      <c r="BHU61"/>
      <c r="BHV61"/>
      <c r="BHW61"/>
      <c r="BHX61"/>
      <c r="BHY61"/>
      <c r="BHZ61"/>
      <c r="BIA61"/>
      <c r="BIB61"/>
      <c r="BIC61"/>
      <c r="BID61"/>
      <c r="BIE61"/>
      <c r="BIF61"/>
      <c r="BIG61"/>
      <c r="BIH61"/>
      <c r="BII61"/>
      <c r="BIJ61"/>
      <c r="BIK61"/>
      <c r="BIL61"/>
      <c r="BIM61"/>
      <c r="BIN61"/>
      <c r="BIO61"/>
      <c r="BIP61"/>
      <c r="BIQ61"/>
      <c r="BIR61"/>
      <c r="BIS61"/>
      <c r="BIT61"/>
      <c r="BIU61"/>
      <c r="BIV61"/>
      <c r="BIW61"/>
      <c r="BIX61"/>
      <c r="BIY61"/>
      <c r="BIZ61"/>
      <c r="BJA61"/>
      <c r="BJB61"/>
      <c r="BJC61"/>
      <c r="BJD61"/>
      <c r="BJE61"/>
      <c r="BJF61"/>
      <c r="BJG61"/>
      <c r="BJH61"/>
      <c r="BJI61"/>
      <c r="BJJ61"/>
      <c r="BJK61"/>
      <c r="BJL61"/>
      <c r="BJM61"/>
      <c r="BJN61"/>
      <c r="BJO61"/>
      <c r="BJP61"/>
      <c r="BJQ61"/>
      <c r="BJR61"/>
      <c r="BJS61"/>
      <c r="BJT61"/>
      <c r="BJU61"/>
      <c r="BJV61"/>
      <c r="BJW61"/>
      <c r="BJX61"/>
      <c r="BJY61"/>
      <c r="BJZ61"/>
      <c r="BKA61"/>
      <c r="BKB61"/>
      <c r="BKC61"/>
      <c r="BKD61"/>
      <c r="BKE61"/>
      <c r="BKF61"/>
      <c r="BKG61"/>
      <c r="BKH61"/>
      <c r="BKI61"/>
      <c r="BKJ61"/>
      <c r="BKK61"/>
      <c r="BKL61"/>
      <c r="BKM61"/>
      <c r="BKN61"/>
      <c r="BKO61"/>
      <c r="BKP61"/>
      <c r="BKQ61"/>
      <c r="BKR61"/>
      <c r="BKS61"/>
      <c r="BKT61"/>
      <c r="BKU61"/>
      <c r="BKV61"/>
      <c r="BKW61"/>
      <c r="BKX61"/>
      <c r="BKY61"/>
      <c r="BKZ61"/>
      <c r="BLA61"/>
      <c r="BLB61"/>
      <c r="BLC61"/>
      <c r="BLD61"/>
      <c r="BLE61"/>
      <c r="BLF61"/>
      <c r="BLG61"/>
      <c r="BLH61"/>
      <c r="BLI61"/>
      <c r="BLJ61"/>
      <c r="BLK61"/>
      <c r="BLL61"/>
      <c r="BLM61"/>
      <c r="BLN61"/>
      <c r="BLO61"/>
      <c r="BLP61"/>
      <c r="BLQ61"/>
      <c r="BLR61"/>
      <c r="BLS61"/>
      <c r="BLT61"/>
      <c r="BLU61"/>
      <c r="BLV61"/>
      <c r="BLW61"/>
      <c r="BLX61"/>
      <c r="BLY61"/>
      <c r="BLZ61"/>
      <c r="BMA61"/>
      <c r="BMB61"/>
      <c r="BMC61"/>
      <c r="BMD61"/>
      <c r="BME61"/>
      <c r="BMF61"/>
      <c r="BMG61"/>
      <c r="BMH61"/>
      <c r="BMI61"/>
      <c r="BMJ61"/>
      <c r="BMK61"/>
      <c r="BML61"/>
      <c r="BMM61"/>
      <c r="BMN61"/>
      <c r="BMO61"/>
      <c r="BMP61"/>
      <c r="BMQ61"/>
      <c r="BMR61"/>
      <c r="BMS61"/>
      <c r="BMT61"/>
      <c r="BMU61"/>
      <c r="BMV61"/>
      <c r="BMW61"/>
      <c r="BMX61"/>
      <c r="BMY61"/>
      <c r="BMZ61"/>
      <c r="BNA61"/>
      <c r="BNB61"/>
      <c r="BNC61"/>
      <c r="BND61"/>
      <c r="BNE61"/>
      <c r="BNF61"/>
      <c r="BNG61"/>
      <c r="BNH61"/>
      <c r="BNI61"/>
      <c r="BNJ61"/>
      <c r="BNK61"/>
      <c r="BNL61"/>
      <c r="BNM61"/>
      <c r="BNN61"/>
      <c r="BNO61"/>
      <c r="BNP61"/>
      <c r="BNQ61"/>
      <c r="BNR61"/>
      <c r="BNS61"/>
      <c r="BNT61"/>
      <c r="BNU61"/>
      <c r="BNV61"/>
      <c r="BNW61"/>
      <c r="BNX61"/>
      <c r="BNY61"/>
      <c r="BNZ61"/>
      <c r="BOA61"/>
      <c r="BOB61"/>
      <c r="BOC61"/>
      <c r="BOD61"/>
      <c r="BOE61"/>
      <c r="BOF61"/>
      <c r="BOG61"/>
      <c r="BOH61"/>
      <c r="BOI61"/>
      <c r="BOJ61"/>
      <c r="BOK61"/>
      <c r="BOL61"/>
      <c r="BOM61"/>
      <c r="BON61"/>
      <c r="BOO61"/>
      <c r="BOP61"/>
      <c r="BOQ61"/>
      <c r="BOR61"/>
      <c r="BOS61"/>
      <c r="BOT61"/>
      <c r="BOU61"/>
      <c r="BOV61"/>
      <c r="BOW61"/>
      <c r="BOX61"/>
      <c r="BOY61"/>
      <c r="BOZ61"/>
      <c r="BPA61"/>
      <c r="BPB61"/>
      <c r="BPC61"/>
      <c r="BPD61"/>
      <c r="BPE61"/>
      <c r="BPF61"/>
      <c r="BPG61"/>
      <c r="BPH61"/>
      <c r="BPI61"/>
      <c r="BPJ61"/>
      <c r="BPK61"/>
      <c r="BPL61"/>
      <c r="BPM61"/>
      <c r="BPN61"/>
      <c r="BPO61"/>
      <c r="BPP61"/>
      <c r="BPQ61"/>
      <c r="BPR61"/>
      <c r="BPS61"/>
      <c r="BPT61"/>
      <c r="BPU61"/>
      <c r="BPV61"/>
      <c r="BPW61"/>
      <c r="BPX61"/>
      <c r="BPY61"/>
      <c r="BPZ61"/>
      <c r="BQA61"/>
      <c r="BQB61"/>
      <c r="BQC61"/>
      <c r="BQD61"/>
      <c r="BQE61"/>
      <c r="BQF61"/>
      <c r="BQG61"/>
      <c r="BQH61"/>
      <c r="BQI61"/>
      <c r="BQJ61"/>
      <c r="BQK61"/>
      <c r="BQL61"/>
      <c r="BQM61"/>
      <c r="BQN61"/>
      <c r="BQO61"/>
      <c r="BQP61"/>
      <c r="BQQ61"/>
      <c r="BQR61"/>
      <c r="BQS61"/>
      <c r="BQT61"/>
      <c r="BQU61"/>
      <c r="BQV61"/>
      <c r="BQW61"/>
      <c r="BQX61"/>
      <c r="BQY61"/>
      <c r="BQZ61"/>
      <c r="BRA61"/>
      <c r="BRB61"/>
      <c r="BRC61"/>
      <c r="BRD61"/>
      <c r="BRE61"/>
      <c r="BRF61"/>
      <c r="BRG61"/>
      <c r="BRH61"/>
      <c r="BRI61"/>
      <c r="BRJ61"/>
      <c r="BRK61"/>
      <c r="BRL61"/>
      <c r="BRM61"/>
      <c r="BRN61"/>
      <c r="BRO61"/>
      <c r="BRP61"/>
      <c r="BRQ61"/>
      <c r="BRR61"/>
      <c r="BRS61"/>
      <c r="BRT61"/>
      <c r="BRU61"/>
      <c r="BRV61"/>
      <c r="BRW61"/>
      <c r="BRX61"/>
      <c r="BRY61"/>
      <c r="BRZ61"/>
      <c r="BSA61"/>
      <c r="BSB61"/>
      <c r="BSC61"/>
      <c r="BSD61"/>
      <c r="BSE61"/>
      <c r="BSF61"/>
      <c r="BSG61"/>
      <c r="BSH61"/>
      <c r="BSI61"/>
      <c r="BSJ61"/>
      <c r="BSK61"/>
      <c r="BSL61"/>
      <c r="BSM61"/>
      <c r="BSN61"/>
      <c r="BSO61"/>
      <c r="BSP61"/>
      <c r="BSQ61"/>
      <c r="BSR61"/>
      <c r="BSS61"/>
      <c r="BST61"/>
      <c r="BSU61"/>
      <c r="BSV61"/>
      <c r="BSW61"/>
      <c r="BSX61"/>
      <c r="BSY61"/>
      <c r="BSZ61"/>
      <c r="BTA61"/>
      <c r="BTB61"/>
      <c r="BTC61"/>
      <c r="BTD61"/>
      <c r="BTE61"/>
      <c r="BTF61"/>
      <c r="BTG61"/>
      <c r="BTH61"/>
      <c r="BTI61"/>
      <c r="BTJ61"/>
      <c r="BTK61"/>
      <c r="BTL61"/>
      <c r="BTM61"/>
      <c r="BTN61"/>
      <c r="BTO61"/>
      <c r="BTP61"/>
      <c r="BTQ61"/>
      <c r="BTR61"/>
      <c r="BTS61"/>
      <c r="BTT61"/>
      <c r="BTU61"/>
      <c r="BTV61"/>
      <c r="BTW61"/>
      <c r="BTX61"/>
      <c r="BTY61"/>
      <c r="BTZ61"/>
      <c r="BUA61"/>
      <c r="BUB61"/>
      <c r="BUC61"/>
      <c r="BUD61"/>
      <c r="BUE61"/>
      <c r="BUF61"/>
      <c r="BUG61"/>
      <c r="BUH61"/>
      <c r="BUI61"/>
      <c r="BUJ61"/>
      <c r="BUK61"/>
      <c r="BUL61"/>
      <c r="BUM61"/>
      <c r="BUN61"/>
      <c r="BUO61"/>
      <c r="BUP61"/>
      <c r="BUQ61"/>
      <c r="BUR61"/>
      <c r="BUS61"/>
      <c r="BUT61"/>
      <c r="BUU61"/>
      <c r="BUV61"/>
      <c r="BUW61"/>
      <c r="BUX61"/>
      <c r="BUY61"/>
      <c r="BUZ61"/>
      <c r="BVA61"/>
      <c r="BVB61"/>
      <c r="BVC61"/>
      <c r="BVD61"/>
      <c r="BVE61"/>
      <c r="BVF61"/>
      <c r="BVG61"/>
      <c r="BVH61"/>
      <c r="BVI61"/>
      <c r="BVJ61"/>
      <c r="BVK61"/>
      <c r="BVL61"/>
      <c r="BVM61"/>
      <c r="BVN61"/>
      <c r="BVO61"/>
      <c r="BVP61"/>
      <c r="BVQ61"/>
      <c r="BVR61"/>
      <c r="BVS61"/>
      <c r="BVT61"/>
      <c r="BVU61"/>
      <c r="BVV61"/>
      <c r="BVW61"/>
      <c r="BVX61"/>
      <c r="BVY61"/>
      <c r="BVZ61"/>
      <c r="BWA61"/>
      <c r="BWB61"/>
      <c r="BWC61"/>
      <c r="BWD61"/>
      <c r="BWE61"/>
      <c r="BWF61"/>
      <c r="BWG61"/>
      <c r="BWH61"/>
      <c r="BWI61"/>
      <c r="BWJ61"/>
      <c r="BWK61"/>
      <c r="BWL61"/>
      <c r="BWM61"/>
      <c r="BWN61"/>
      <c r="BWO61"/>
      <c r="BWP61"/>
      <c r="BWQ61"/>
      <c r="BWR61"/>
      <c r="BWS61"/>
      <c r="BWT61"/>
      <c r="BWU61"/>
      <c r="BWV61"/>
      <c r="BWW61"/>
      <c r="BWX61"/>
      <c r="BWY61"/>
      <c r="BWZ61"/>
      <c r="BXA61"/>
      <c r="BXB61"/>
      <c r="BXC61"/>
      <c r="BXD61"/>
      <c r="BXE61"/>
      <c r="BXF61"/>
      <c r="BXG61"/>
      <c r="BXH61"/>
      <c r="BXI61"/>
      <c r="BXJ61"/>
      <c r="BXK61"/>
      <c r="BXL61"/>
      <c r="BXM61"/>
      <c r="BXN61"/>
      <c r="BXO61"/>
      <c r="BXP61"/>
      <c r="BXQ61"/>
      <c r="BXR61"/>
      <c r="BXS61"/>
      <c r="BXT61"/>
      <c r="BXU61"/>
      <c r="BXV61"/>
      <c r="BXW61"/>
      <c r="BXX61"/>
      <c r="BXY61"/>
      <c r="BXZ61"/>
      <c r="BYA61"/>
      <c r="BYB61"/>
      <c r="BYC61"/>
      <c r="BYD61"/>
      <c r="BYE61"/>
      <c r="BYF61"/>
      <c r="BYG61"/>
    </row>
    <row r="62" spans="1:2009" s="88" customFormat="1" ht="27" customHeight="1" x14ac:dyDescent="0.25">
      <c r="A62" s="793" t="s">
        <v>453</v>
      </c>
      <c r="B62" s="794"/>
      <c r="C62" s="795"/>
      <c r="D62" s="796"/>
      <c r="E62" s="796">
        <v>1250</v>
      </c>
      <c r="F62" s="797"/>
      <c r="G62" s="799">
        <f>SUM(C62:F62)</f>
        <v>1250</v>
      </c>
      <c r="H62" s="744"/>
      <c r="I62" s="21"/>
      <c r="J62" s="736"/>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c r="AOK62"/>
      <c r="AOL62"/>
      <c r="AOM62"/>
      <c r="AON62"/>
      <c r="AOO62"/>
      <c r="AOP62"/>
      <c r="AOQ62"/>
      <c r="AOR62"/>
      <c r="AOS62"/>
      <c r="AOT62"/>
      <c r="AOU62"/>
      <c r="AOV62"/>
      <c r="AOW62"/>
      <c r="AOX62"/>
      <c r="AOY62"/>
      <c r="AOZ62"/>
      <c r="APA62"/>
      <c r="APB62"/>
      <c r="APC62"/>
      <c r="APD62"/>
      <c r="APE62"/>
      <c r="APF62"/>
      <c r="APG62"/>
      <c r="APH62"/>
      <c r="API62"/>
      <c r="APJ62"/>
      <c r="APK62"/>
      <c r="APL62"/>
      <c r="APM62"/>
      <c r="APN62"/>
      <c r="APO62"/>
      <c r="APP62"/>
      <c r="APQ62"/>
      <c r="APR62"/>
      <c r="APS62"/>
      <c r="APT62"/>
      <c r="APU62"/>
      <c r="APV62"/>
      <c r="APW62"/>
      <c r="APX62"/>
      <c r="APY62"/>
      <c r="APZ62"/>
      <c r="AQA62"/>
      <c r="AQB62"/>
      <c r="AQC62"/>
      <c r="AQD62"/>
      <c r="AQE62"/>
      <c r="AQF62"/>
      <c r="AQG62"/>
      <c r="AQH62"/>
      <c r="AQI62"/>
      <c r="AQJ62"/>
      <c r="AQK62"/>
      <c r="AQL62"/>
      <c r="AQM62"/>
      <c r="AQN62"/>
      <c r="AQO62"/>
      <c r="AQP62"/>
      <c r="AQQ62"/>
      <c r="AQR62"/>
      <c r="AQS62"/>
      <c r="AQT62"/>
      <c r="AQU62"/>
      <c r="AQV62"/>
      <c r="AQW62"/>
      <c r="AQX62"/>
      <c r="AQY62"/>
      <c r="AQZ62"/>
      <c r="ARA62"/>
      <c r="ARB62"/>
      <c r="ARC62"/>
      <c r="ARD62"/>
      <c r="ARE62"/>
      <c r="ARF62"/>
      <c r="ARG62"/>
      <c r="ARH62"/>
      <c r="ARI62"/>
      <c r="ARJ62"/>
      <c r="ARK62"/>
      <c r="ARL62"/>
      <c r="ARM62"/>
      <c r="ARN62"/>
      <c r="ARO62"/>
      <c r="ARP62"/>
      <c r="ARQ62"/>
      <c r="ARR62"/>
      <c r="ARS62"/>
      <c r="ART62"/>
      <c r="ARU62"/>
      <c r="ARV62"/>
      <c r="ARW62"/>
      <c r="ARX62"/>
      <c r="ARY62"/>
      <c r="ARZ62"/>
      <c r="ASA62"/>
      <c r="ASB62"/>
      <c r="ASC62"/>
      <c r="ASD62"/>
      <c r="ASE62"/>
      <c r="ASF62"/>
      <c r="ASG62"/>
      <c r="ASH62"/>
      <c r="ASI62"/>
      <c r="ASJ62"/>
      <c r="ASK62"/>
      <c r="ASL62"/>
      <c r="ASM62"/>
      <c r="ASN62"/>
      <c r="ASO62"/>
      <c r="ASP62"/>
      <c r="ASQ62"/>
      <c r="ASR62"/>
      <c r="ASS62"/>
      <c r="AST62"/>
      <c r="ASU62"/>
      <c r="ASV62"/>
      <c r="ASW62"/>
      <c r="ASX62"/>
      <c r="ASY62"/>
      <c r="ASZ62"/>
      <c r="ATA62"/>
      <c r="ATB62"/>
      <c r="ATC62"/>
      <c r="ATD62"/>
      <c r="ATE62"/>
      <c r="ATF62"/>
      <c r="ATG62"/>
      <c r="ATH62"/>
      <c r="ATI62"/>
      <c r="ATJ62"/>
      <c r="ATK62"/>
      <c r="ATL62"/>
      <c r="ATM62"/>
      <c r="ATN62"/>
      <c r="ATO62"/>
      <c r="ATP62"/>
      <c r="ATQ62"/>
      <c r="ATR62"/>
      <c r="ATS62"/>
      <c r="ATT62"/>
      <c r="ATU62"/>
      <c r="ATV62"/>
      <c r="ATW62"/>
      <c r="ATX62"/>
      <c r="ATY62"/>
      <c r="ATZ62"/>
      <c r="AUA62"/>
      <c r="AUB62"/>
      <c r="AUC62"/>
      <c r="AUD62"/>
      <c r="AUE62"/>
      <c r="AUF62"/>
      <c r="AUG62"/>
      <c r="AUH62"/>
      <c r="AUI62"/>
      <c r="AUJ62"/>
      <c r="AUK62"/>
      <c r="AUL62"/>
      <c r="AUM62"/>
      <c r="AUN62"/>
      <c r="AUO62"/>
      <c r="AUP62"/>
      <c r="AUQ62"/>
      <c r="AUR62"/>
      <c r="AUS62"/>
      <c r="AUT62"/>
      <c r="AUU62"/>
      <c r="AUV62"/>
      <c r="AUW62"/>
      <c r="AUX62"/>
      <c r="AUY62"/>
      <c r="AUZ62"/>
      <c r="AVA62"/>
      <c r="AVB62"/>
      <c r="AVC62"/>
      <c r="AVD62"/>
      <c r="AVE62"/>
      <c r="AVF62"/>
      <c r="AVG62"/>
      <c r="AVH62"/>
      <c r="AVI62"/>
      <c r="AVJ62"/>
      <c r="AVK62"/>
      <c r="AVL62"/>
      <c r="AVM62"/>
      <c r="AVN62"/>
      <c r="AVO62"/>
      <c r="AVP62"/>
      <c r="AVQ62"/>
      <c r="AVR62"/>
      <c r="AVS62"/>
      <c r="AVT62"/>
      <c r="AVU62"/>
      <c r="AVV62"/>
      <c r="AVW62"/>
      <c r="AVX62"/>
      <c r="AVY62"/>
      <c r="AVZ62"/>
      <c r="AWA62"/>
      <c r="AWB62"/>
      <c r="AWC62"/>
      <c r="AWD62"/>
      <c r="AWE62"/>
      <c r="AWF62"/>
      <c r="AWG62"/>
      <c r="AWH62"/>
      <c r="AWI62"/>
      <c r="AWJ62"/>
      <c r="AWK62"/>
      <c r="AWL62"/>
      <c r="AWM62"/>
      <c r="AWN62"/>
      <c r="AWO62"/>
      <c r="AWP62"/>
      <c r="AWQ62"/>
      <c r="AWR62"/>
      <c r="AWS62"/>
      <c r="AWT62"/>
      <c r="AWU62"/>
      <c r="AWV62"/>
      <c r="AWW62"/>
      <c r="AWX62"/>
      <c r="AWY62"/>
      <c r="AWZ62"/>
      <c r="AXA62"/>
      <c r="AXB62"/>
      <c r="AXC62"/>
      <c r="AXD62"/>
      <c r="AXE62"/>
      <c r="AXF62"/>
      <c r="AXG62"/>
      <c r="AXH62"/>
      <c r="AXI62"/>
      <c r="AXJ62"/>
      <c r="AXK62"/>
      <c r="AXL62"/>
      <c r="AXM62"/>
      <c r="AXN62"/>
      <c r="AXO62"/>
      <c r="AXP62"/>
      <c r="AXQ62"/>
      <c r="AXR62"/>
      <c r="AXS62"/>
      <c r="AXT62"/>
      <c r="AXU62"/>
      <c r="AXV62"/>
      <c r="AXW62"/>
      <c r="AXX62"/>
      <c r="AXY62"/>
      <c r="AXZ62"/>
      <c r="AYA62"/>
      <c r="AYB62"/>
      <c r="AYC62"/>
      <c r="AYD62"/>
      <c r="AYE62"/>
      <c r="AYF62"/>
      <c r="AYG62"/>
      <c r="AYH62"/>
      <c r="AYI62"/>
      <c r="AYJ62"/>
      <c r="AYK62"/>
      <c r="AYL62"/>
      <c r="AYM62"/>
      <c r="AYN62"/>
      <c r="AYO62"/>
      <c r="AYP62"/>
      <c r="AYQ62"/>
      <c r="AYR62"/>
      <c r="AYS62"/>
      <c r="AYT62"/>
      <c r="AYU62"/>
      <c r="AYV62"/>
      <c r="AYW62"/>
      <c r="AYX62"/>
      <c r="AYY62"/>
      <c r="AYZ62"/>
      <c r="AZA62"/>
      <c r="AZB62"/>
      <c r="AZC62"/>
      <c r="AZD62"/>
      <c r="AZE62"/>
      <c r="AZF62"/>
      <c r="AZG62"/>
      <c r="AZH62"/>
      <c r="AZI62"/>
      <c r="AZJ62"/>
      <c r="AZK62"/>
      <c r="AZL62"/>
      <c r="AZM62"/>
      <c r="AZN62"/>
      <c r="AZO62"/>
      <c r="AZP62"/>
      <c r="AZQ62"/>
      <c r="AZR62"/>
      <c r="AZS62"/>
      <c r="AZT62"/>
      <c r="AZU62"/>
      <c r="AZV62"/>
      <c r="AZW62"/>
      <c r="AZX62"/>
      <c r="AZY62"/>
      <c r="AZZ62"/>
      <c r="BAA62"/>
      <c r="BAB62"/>
      <c r="BAC62"/>
      <c r="BAD62"/>
      <c r="BAE62"/>
      <c r="BAF62"/>
      <c r="BAG62"/>
      <c r="BAH62"/>
      <c r="BAI62"/>
      <c r="BAJ62"/>
      <c r="BAK62"/>
      <c r="BAL62"/>
      <c r="BAM62"/>
      <c r="BAN62"/>
      <c r="BAO62"/>
      <c r="BAP62"/>
      <c r="BAQ62"/>
      <c r="BAR62"/>
      <c r="BAS62"/>
      <c r="BAT62"/>
      <c r="BAU62"/>
      <c r="BAV62"/>
      <c r="BAW62"/>
      <c r="BAX62"/>
      <c r="BAY62"/>
      <c r="BAZ62"/>
      <c r="BBA62"/>
      <c r="BBB62"/>
      <c r="BBC62"/>
      <c r="BBD62"/>
      <c r="BBE62"/>
      <c r="BBF62"/>
      <c r="BBG62"/>
      <c r="BBH62"/>
      <c r="BBI62"/>
      <c r="BBJ62"/>
      <c r="BBK62"/>
      <c r="BBL62"/>
      <c r="BBM62"/>
      <c r="BBN62"/>
      <c r="BBO62"/>
      <c r="BBP62"/>
      <c r="BBQ62"/>
      <c r="BBR62"/>
      <c r="BBS62"/>
      <c r="BBT62"/>
      <c r="BBU62"/>
      <c r="BBV62"/>
      <c r="BBW62"/>
      <c r="BBX62"/>
      <c r="BBY62"/>
      <c r="BBZ62"/>
      <c r="BCA62"/>
      <c r="BCB62"/>
      <c r="BCC62"/>
      <c r="BCD62"/>
      <c r="BCE62"/>
      <c r="BCF62"/>
      <c r="BCG62"/>
      <c r="BCH62"/>
      <c r="BCI62"/>
      <c r="BCJ62"/>
      <c r="BCK62"/>
      <c r="BCL62"/>
      <c r="BCM62"/>
      <c r="BCN62"/>
      <c r="BCO62"/>
      <c r="BCP62"/>
      <c r="BCQ62"/>
      <c r="BCR62"/>
      <c r="BCS62"/>
      <c r="BCT62"/>
      <c r="BCU62"/>
      <c r="BCV62"/>
      <c r="BCW62"/>
      <c r="BCX62"/>
      <c r="BCY62"/>
      <c r="BCZ62"/>
      <c r="BDA62"/>
      <c r="BDB62"/>
      <c r="BDC62"/>
      <c r="BDD62"/>
      <c r="BDE62"/>
      <c r="BDF62"/>
      <c r="BDG62"/>
      <c r="BDH62"/>
      <c r="BDI62"/>
      <c r="BDJ62"/>
      <c r="BDK62"/>
      <c r="BDL62"/>
      <c r="BDM62"/>
      <c r="BDN62"/>
      <c r="BDO62"/>
      <c r="BDP62"/>
      <c r="BDQ62"/>
      <c r="BDR62"/>
      <c r="BDS62"/>
      <c r="BDT62"/>
      <c r="BDU62"/>
      <c r="BDV62"/>
      <c r="BDW62"/>
      <c r="BDX62"/>
      <c r="BDY62"/>
      <c r="BDZ62"/>
      <c r="BEA62"/>
      <c r="BEB62"/>
      <c r="BEC62"/>
      <c r="BED62"/>
      <c r="BEE62"/>
      <c r="BEF62"/>
      <c r="BEG62"/>
      <c r="BEH62"/>
      <c r="BEI62"/>
      <c r="BEJ62"/>
      <c r="BEK62"/>
      <c r="BEL62"/>
      <c r="BEM62"/>
      <c r="BEN62"/>
      <c r="BEO62"/>
      <c r="BEP62"/>
      <c r="BEQ62"/>
      <c r="BER62"/>
      <c r="BES62"/>
      <c r="BET62"/>
      <c r="BEU62"/>
      <c r="BEV62"/>
      <c r="BEW62"/>
      <c r="BEX62"/>
      <c r="BEY62"/>
      <c r="BEZ62"/>
      <c r="BFA62"/>
      <c r="BFB62"/>
      <c r="BFC62"/>
      <c r="BFD62"/>
      <c r="BFE62"/>
      <c r="BFF62"/>
      <c r="BFG62"/>
      <c r="BFH62"/>
      <c r="BFI62"/>
      <c r="BFJ62"/>
      <c r="BFK62"/>
      <c r="BFL62"/>
      <c r="BFM62"/>
      <c r="BFN62"/>
      <c r="BFO62"/>
      <c r="BFP62"/>
      <c r="BFQ62"/>
      <c r="BFR62"/>
      <c r="BFS62"/>
      <c r="BFT62"/>
      <c r="BFU62"/>
      <c r="BFV62"/>
      <c r="BFW62"/>
      <c r="BFX62"/>
      <c r="BFY62"/>
      <c r="BFZ62"/>
      <c r="BGA62"/>
      <c r="BGB62"/>
      <c r="BGC62"/>
      <c r="BGD62"/>
      <c r="BGE62"/>
      <c r="BGF62"/>
      <c r="BGG62"/>
      <c r="BGH62"/>
      <c r="BGI62"/>
      <c r="BGJ62"/>
      <c r="BGK62"/>
      <c r="BGL62"/>
      <c r="BGM62"/>
      <c r="BGN62"/>
      <c r="BGO62"/>
      <c r="BGP62"/>
      <c r="BGQ62"/>
      <c r="BGR62"/>
      <c r="BGS62"/>
      <c r="BGT62"/>
      <c r="BGU62"/>
      <c r="BGV62"/>
      <c r="BGW62"/>
      <c r="BGX62"/>
      <c r="BGY62"/>
      <c r="BGZ62"/>
      <c r="BHA62"/>
      <c r="BHB62"/>
      <c r="BHC62"/>
      <c r="BHD62"/>
      <c r="BHE62"/>
      <c r="BHF62"/>
      <c r="BHG62"/>
      <c r="BHH62"/>
      <c r="BHI62"/>
      <c r="BHJ62"/>
      <c r="BHK62"/>
      <c r="BHL62"/>
      <c r="BHM62"/>
      <c r="BHN62"/>
      <c r="BHO62"/>
      <c r="BHP62"/>
      <c r="BHQ62"/>
      <c r="BHR62"/>
      <c r="BHS62"/>
      <c r="BHT62"/>
      <c r="BHU62"/>
      <c r="BHV62"/>
      <c r="BHW62"/>
      <c r="BHX62"/>
      <c r="BHY62"/>
      <c r="BHZ62"/>
      <c r="BIA62"/>
      <c r="BIB62"/>
      <c r="BIC62"/>
      <c r="BID62"/>
      <c r="BIE62"/>
      <c r="BIF62"/>
      <c r="BIG62"/>
      <c r="BIH62"/>
      <c r="BII62"/>
      <c r="BIJ62"/>
      <c r="BIK62"/>
      <c r="BIL62"/>
      <c r="BIM62"/>
      <c r="BIN62"/>
      <c r="BIO62"/>
      <c r="BIP62"/>
      <c r="BIQ62"/>
      <c r="BIR62"/>
      <c r="BIS62"/>
      <c r="BIT62"/>
      <c r="BIU62"/>
      <c r="BIV62"/>
      <c r="BIW62"/>
      <c r="BIX62"/>
      <c r="BIY62"/>
      <c r="BIZ62"/>
      <c r="BJA62"/>
      <c r="BJB62"/>
      <c r="BJC62"/>
      <c r="BJD62"/>
      <c r="BJE62"/>
      <c r="BJF62"/>
      <c r="BJG62"/>
      <c r="BJH62"/>
      <c r="BJI62"/>
      <c r="BJJ62"/>
      <c r="BJK62"/>
      <c r="BJL62"/>
      <c r="BJM62"/>
      <c r="BJN62"/>
      <c r="BJO62"/>
      <c r="BJP62"/>
      <c r="BJQ62"/>
      <c r="BJR62"/>
      <c r="BJS62"/>
      <c r="BJT62"/>
      <c r="BJU62"/>
      <c r="BJV62"/>
      <c r="BJW62"/>
      <c r="BJX62"/>
      <c r="BJY62"/>
      <c r="BJZ62"/>
      <c r="BKA62"/>
      <c r="BKB62"/>
      <c r="BKC62"/>
      <c r="BKD62"/>
      <c r="BKE62"/>
      <c r="BKF62"/>
      <c r="BKG62"/>
      <c r="BKH62"/>
      <c r="BKI62"/>
      <c r="BKJ62"/>
      <c r="BKK62"/>
      <c r="BKL62"/>
      <c r="BKM62"/>
      <c r="BKN62"/>
      <c r="BKO62"/>
      <c r="BKP62"/>
      <c r="BKQ62"/>
      <c r="BKR62"/>
      <c r="BKS62"/>
      <c r="BKT62"/>
      <c r="BKU62"/>
      <c r="BKV62"/>
      <c r="BKW62"/>
      <c r="BKX62"/>
      <c r="BKY62"/>
      <c r="BKZ62"/>
      <c r="BLA62"/>
      <c r="BLB62"/>
      <c r="BLC62"/>
      <c r="BLD62"/>
      <c r="BLE62"/>
      <c r="BLF62"/>
      <c r="BLG62"/>
      <c r="BLH62"/>
      <c r="BLI62"/>
      <c r="BLJ62"/>
      <c r="BLK62"/>
      <c r="BLL62"/>
      <c r="BLM62"/>
      <c r="BLN62"/>
      <c r="BLO62"/>
      <c r="BLP62"/>
      <c r="BLQ62"/>
      <c r="BLR62"/>
      <c r="BLS62"/>
      <c r="BLT62"/>
      <c r="BLU62"/>
      <c r="BLV62"/>
      <c r="BLW62"/>
      <c r="BLX62"/>
      <c r="BLY62"/>
      <c r="BLZ62"/>
      <c r="BMA62"/>
      <c r="BMB62"/>
      <c r="BMC62"/>
      <c r="BMD62"/>
      <c r="BME62"/>
      <c r="BMF62"/>
      <c r="BMG62"/>
      <c r="BMH62"/>
      <c r="BMI62"/>
      <c r="BMJ62"/>
      <c r="BMK62"/>
      <c r="BML62"/>
      <c r="BMM62"/>
      <c r="BMN62"/>
      <c r="BMO62"/>
      <c r="BMP62"/>
      <c r="BMQ62"/>
      <c r="BMR62"/>
      <c r="BMS62"/>
      <c r="BMT62"/>
      <c r="BMU62"/>
      <c r="BMV62"/>
      <c r="BMW62"/>
      <c r="BMX62"/>
      <c r="BMY62"/>
      <c r="BMZ62"/>
      <c r="BNA62"/>
      <c r="BNB62"/>
      <c r="BNC62"/>
      <c r="BND62"/>
      <c r="BNE62"/>
      <c r="BNF62"/>
      <c r="BNG62"/>
      <c r="BNH62"/>
      <c r="BNI62"/>
      <c r="BNJ62"/>
      <c r="BNK62"/>
      <c r="BNL62"/>
      <c r="BNM62"/>
      <c r="BNN62"/>
      <c r="BNO62"/>
      <c r="BNP62"/>
      <c r="BNQ62"/>
      <c r="BNR62"/>
      <c r="BNS62"/>
      <c r="BNT62"/>
      <c r="BNU62"/>
      <c r="BNV62"/>
      <c r="BNW62"/>
      <c r="BNX62"/>
      <c r="BNY62"/>
      <c r="BNZ62"/>
      <c r="BOA62"/>
      <c r="BOB62"/>
      <c r="BOC62"/>
      <c r="BOD62"/>
      <c r="BOE62"/>
      <c r="BOF62"/>
      <c r="BOG62"/>
      <c r="BOH62"/>
      <c r="BOI62"/>
      <c r="BOJ62"/>
      <c r="BOK62"/>
      <c r="BOL62"/>
      <c r="BOM62"/>
      <c r="BON62"/>
      <c r="BOO62"/>
      <c r="BOP62"/>
      <c r="BOQ62"/>
      <c r="BOR62"/>
      <c r="BOS62"/>
      <c r="BOT62"/>
      <c r="BOU62"/>
      <c r="BOV62"/>
      <c r="BOW62"/>
      <c r="BOX62"/>
      <c r="BOY62"/>
      <c r="BOZ62"/>
      <c r="BPA62"/>
      <c r="BPB62"/>
      <c r="BPC62"/>
      <c r="BPD62"/>
      <c r="BPE62"/>
      <c r="BPF62"/>
      <c r="BPG62"/>
      <c r="BPH62"/>
      <c r="BPI62"/>
      <c r="BPJ62"/>
      <c r="BPK62"/>
      <c r="BPL62"/>
      <c r="BPM62"/>
      <c r="BPN62"/>
      <c r="BPO62"/>
      <c r="BPP62"/>
      <c r="BPQ62"/>
      <c r="BPR62"/>
      <c r="BPS62"/>
      <c r="BPT62"/>
      <c r="BPU62"/>
      <c r="BPV62"/>
      <c r="BPW62"/>
      <c r="BPX62"/>
      <c r="BPY62"/>
      <c r="BPZ62"/>
      <c r="BQA62"/>
      <c r="BQB62"/>
      <c r="BQC62"/>
      <c r="BQD62"/>
      <c r="BQE62"/>
      <c r="BQF62"/>
      <c r="BQG62"/>
      <c r="BQH62"/>
      <c r="BQI62"/>
      <c r="BQJ62"/>
      <c r="BQK62"/>
      <c r="BQL62"/>
      <c r="BQM62"/>
      <c r="BQN62"/>
      <c r="BQO62"/>
      <c r="BQP62"/>
      <c r="BQQ62"/>
      <c r="BQR62"/>
      <c r="BQS62"/>
      <c r="BQT62"/>
      <c r="BQU62"/>
      <c r="BQV62"/>
      <c r="BQW62"/>
      <c r="BQX62"/>
      <c r="BQY62"/>
      <c r="BQZ62"/>
      <c r="BRA62"/>
      <c r="BRB62"/>
      <c r="BRC62"/>
      <c r="BRD62"/>
      <c r="BRE62"/>
      <c r="BRF62"/>
      <c r="BRG62"/>
      <c r="BRH62"/>
      <c r="BRI62"/>
      <c r="BRJ62"/>
      <c r="BRK62"/>
      <c r="BRL62"/>
      <c r="BRM62"/>
      <c r="BRN62"/>
      <c r="BRO62"/>
      <c r="BRP62"/>
      <c r="BRQ62"/>
      <c r="BRR62"/>
      <c r="BRS62"/>
      <c r="BRT62"/>
      <c r="BRU62"/>
      <c r="BRV62"/>
      <c r="BRW62"/>
      <c r="BRX62"/>
      <c r="BRY62"/>
      <c r="BRZ62"/>
      <c r="BSA62"/>
      <c r="BSB62"/>
      <c r="BSC62"/>
      <c r="BSD62"/>
      <c r="BSE62"/>
      <c r="BSF62"/>
      <c r="BSG62"/>
      <c r="BSH62"/>
      <c r="BSI62"/>
      <c r="BSJ62"/>
      <c r="BSK62"/>
      <c r="BSL62"/>
      <c r="BSM62"/>
      <c r="BSN62"/>
      <c r="BSO62"/>
      <c r="BSP62"/>
      <c r="BSQ62"/>
      <c r="BSR62"/>
      <c r="BSS62"/>
      <c r="BST62"/>
      <c r="BSU62"/>
      <c r="BSV62"/>
      <c r="BSW62"/>
      <c r="BSX62"/>
      <c r="BSY62"/>
      <c r="BSZ62"/>
      <c r="BTA62"/>
      <c r="BTB62"/>
      <c r="BTC62"/>
      <c r="BTD62"/>
      <c r="BTE62"/>
      <c r="BTF62"/>
      <c r="BTG62"/>
      <c r="BTH62"/>
      <c r="BTI62"/>
      <c r="BTJ62"/>
      <c r="BTK62"/>
      <c r="BTL62"/>
      <c r="BTM62"/>
      <c r="BTN62"/>
      <c r="BTO62"/>
      <c r="BTP62"/>
      <c r="BTQ62"/>
      <c r="BTR62"/>
      <c r="BTS62"/>
      <c r="BTT62"/>
      <c r="BTU62"/>
      <c r="BTV62"/>
      <c r="BTW62"/>
      <c r="BTX62"/>
      <c r="BTY62"/>
      <c r="BTZ62"/>
      <c r="BUA62"/>
      <c r="BUB62"/>
      <c r="BUC62"/>
      <c r="BUD62"/>
      <c r="BUE62"/>
      <c r="BUF62"/>
      <c r="BUG62"/>
      <c r="BUH62"/>
      <c r="BUI62"/>
      <c r="BUJ62"/>
      <c r="BUK62"/>
      <c r="BUL62"/>
      <c r="BUM62"/>
      <c r="BUN62"/>
      <c r="BUO62"/>
      <c r="BUP62"/>
      <c r="BUQ62"/>
      <c r="BUR62"/>
      <c r="BUS62"/>
      <c r="BUT62"/>
      <c r="BUU62"/>
      <c r="BUV62"/>
      <c r="BUW62"/>
      <c r="BUX62"/>
      <c r="BUY62"/>
      <c r="BUZ62"/>
      <c r="BVA62"/>
      <c r="BVB62"/>
      <c r="BVC62"/>
      <c r="BVD62"/>
      <c r="BVE62"/>
      <c r="BVF62"/>
      <c r="BVG62"/>
      <c r="BVH62"/>
      <c r="BVI62"/>
      <c r="BVJ62"/>
      <c r="BVK62"/>
      <c r="BVL62"/>
      <c r="BVM62"/>
      <c r="BVN62"/>
      <c r="BVO62"/>
      <c r="BVP62"/>
      <c r="BVQ62"/>
      <c r="BVR62"/>
      <c r="BVS62"/>
      <c r="BVT62"/>
      <c r="BVU62"/>
      <c r="BVV62"/>
      <c r="BVW62"/>
      <c r="BVX62"/>
      <c r="BVY62"/>
      <c r="BVZ62"/>
      <c r="BWA62"/>
      <c r="BWB62"/>
      <c r="BWC62"/>
      <c r="BWD62"/>
      <c r="BWE62"/>
      <c r="BWF62"/>
      <c r="BWG62"/>
      <c r="BWH62"/>
      <c r="BWI62"/>
      <c r="BWJ62"/>
      <c r="BWK62"/>
      <c r="BWL62"/>
      <c r="BWM62"/>
      <c r="BWN62"/>
      <c r="BWO62"/>
      <c r="BWP62"/>
      <c r="BWQ62"/>
      <c r="BWR62"/>
      <c r="BWS62"/>
      <c r="BWT62"/>
      <c r="BWU62"/>
      <c r="BWV62"/>
      <c r="BWW62"/>
      <c r="BWX62"/>
      <c r="BWY62"/>
      <c r="BWZ62"/>
      <c r="BXA62"/>
      <c r="BXB62"/>
      <c r="BXC62"/>
      <c r="BXD62"/>
      <c r="BXE62"/>
      <c r="BXF62"/>
      <c r="BXG62"/>
      <c r="BXH62"/>
      <c r="BXI62"/>
      <c r="BXJ62"/>
      <c r="BXK62"/>
      <c r="BXL62"/>
      <c r="BXM62"/>
      <c r="BXN62"/>
      <c r="BXO62"/>
      <c r="BXP62"/>
      <c r="BXQ62"/>
      <c r="BXR62"/>
      <c r="BXS62"/>
      <c r="BXT62"/>
      <c r="BXU62"/>
      <c r="BXV62"/>
      <c r="BXW62"/>
      <c r="BXX62"/>
      <c r="BXY62"/>
      <c r="BXZ62"/>
      <c r="BYA62"/>
      <c r="BYB62"/>
      <c r="BYC62"/>
      <c r="BYD62"/>
      <c r="BYE62"/>
      <c r="BYF62"/>
      <c r="BYG62"/>
    </row>
    <row r="63" spans="1:2009" s="88" customFormat="1" ht="27" customHeight="1" x14ac:dyDescent="0.25">
      <c r="A63" s="863" t="s">
        <v>336</v>
      </c>
      <c r="B63" s="864"/>
      <c r="C63" s="788"/>
      <c r="D63" s="789"/>
      <c r="E63" s="789">
        <v>3250</v>
      </c>
      <c r="F63" s="790">
        <v>1625</v>
      </c>
      <c r="G63" s="791">
        <f>SUM(C63:F63)</f>
        <v>4875</v>
      </c>
      <c r="H63" s="744"/>
      <c r="I63" s="21"/>
      <c r="J63" s="736"/>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c r="AMK63"/>
      <c r="AML63"/>
      <c r="AMM63"/>
      <c r="AMN63"/>
      <c r="AMO63"/>
      <c r="AMP63"/>
      <c r="AMQ63"/>
      <c r="AMR63"/>
      <c r="AMS63"/>
      <c r="AMT63"/>
      <c r="AMU63"/>
      <c r="AMV63"/>
      <c r="AMW63"/>
      <c r="AMX63"/>
      <c r="AMY63"/>
      <c r="AMZ63"/>
      <c r="ANA63"/>
      <c r="ANB63"/>
      <c r="ANC63"/>
      <c r="AND63"/>
      <c r="ANE63"/>
      <c r="ANF63"/>
      <c r="ANG63"/>
      <c r="ANH63"/>
      <c r="ANI63"/>
      <c r="ANJ63"/>
      <c r="ANK63"/>
      <c r="ANL63"/>
      <c r="ANM63"/>
      <c r="ANN63"/>
      <c r="ANO63"/>
      <c r="ANP63"/>
      <c r="ANQ63"/>
      <c r="ANR63"/>
      <c r="ANS63"/>
      <c r="ANT63"/>
      <c r="ANU63"/>
      <c r="ANV63"/>
      <c r="ANW63"/>
      <c r="ANX63"/>
      <c r="ANY63"/>
      <c r="ANZ63"/>
      <c r="AOA63"/>
      <c r="AOB63"/>
      <c r="AOC63"/>
      <c r="AOD63"/>
      <c r="AOE63"/>
      <c r="AOF63"/>
      <c r="AOG63"/>
      <c r="AOH63"/>
      <c r="AOI63"/>
      <c r="AOJ63"/>
      <c r="AOK63"/>
      <c r="AOL63"/>
      <c r="AOM63"/>
      <c r="AON63"/>
      <c r="AOO63"/>
      <c r="AOP63"/>
      <c r="AOQ63"/>
      <c r="AOR63"/>
      <c r="AOS63"/>
      <c r="AOT63"/>
      <c r="AOU63"/>
      <c r="AOV63"/>
      <c r="AOW63"/>
      <c r="AOX63"/>
      <c r="AOY63"/>
      <c r="AOZ63"/>
      <c r="APA63"/>
      <c r="APB63"/>
      <c r="APC63"/>
      <c r="APD63"/>
      <c r="APE63"/>
      <c r="APF63"/>
      <c r="APG63"/>
      <c r="APH63"/>
      <c r="API63"/>
      <c r="APJ63"/>
      <c r="APK63"/>
      <c r="APL63"/>
      <c r="APM63"/>
      <c r="APN63"/>
      <c r="APO63"/>
      <c r="APP63"/>
      <c r="APQ63"/>
      <c r="APR63"/>
      <c r="APS63"/>
      <c r="APT63"/>
      <c r="APU63"/>
      <c r="APV63"/>
      <c r="APW63"/>
      <c r="APX63"/>
      <c r="APY63"/>
      <c r="APZ63"/>
      <c r="AQA63"/>
      <c r="AQB63"/>
      <c r="AQC63"/>
      <c r="AQD63"/>
      <c r="AQE63"/>
      <c r="AQF63"/>
      <c r="AQG63"/>
      <c r="AQH63"/>
      <c r="AQI63"/>
      <c r="AQJ63"/>
      <c r="AQK63"/>
      <c r="AQL63"/>
      <c r="AQM63"/>
      <c r="AQN63"/>
      <c r="AQO63"/>
      <c r="AQP63"/>
      <c r="AQQ63"/>
      <c r="AQR63"/>
      <c r="AQS63"/>
      <c r="AQT63"/>
      <c r="AQU63"/>
      <c r="AQV63"/>
      <c r="AQW63"/>
      <c r="AQX63"/>
      <c r="AQY63"/>
      <c r="AQZ63"/>
      <c r="ARA63"/>
      <c r="ARB63"/>
      <c r="ARC63"/>
      <c r="ARD63"/>
      <c r="ARE63"/>
      <c r="ARF63"/>
      <c r="ARG63"/>
      <c r="ARH63"/>
      <c r="ARI63"/>
      <c r="ARJ63"/>
      <c r="ARK63"/>
      <c r="ARL63"/>
      <c r="ARM63"/>
      <c r="ARN63"/>
      <c r="ARO63"/>
      <c r="ARP63"/>
      <c r="ARQ63"/>
      <c r="ARR63"/>
      <c r="ARS63"/>
      <c r="ART63"/>
      <c r="ARU63"/>
      <c r="ARV63"/>
      <c r="ARW63"/>
      <c r="ARX63"/>
      <c r="ARY63"/>
      <c r="ARZ63"/>
      <c r="ASA63"/>
      <c r="ASB63"/>
      <c r="ASC63"/>
      <c r="ASD63"/>
      <c r="ASE63"/>
      <c r="ASF63"/>
      <c r="ASG63"/>
      <c r="ASH63"/>
      <c r="ASI63"/>
      <c r="ASJ63"/>
      <c r="ASK63"/>
      <c r="ASL63"/>
      <c r="ASM63"/>
      <c r="ASN63"/>
      <c r="ASO63"/>
      <c r="ASP63"/>
      <c r="ASQ63"/>
      <c r="ASR63"/>
      <c r="ASS63"/>
      <c r="AST63"/>
      <c r="ASU63"/>
      <c r="ASV63"/>
      <c r="ASW63"/>
      <c r="ASX63"/>
      <c r="ASY63"/>
      <c r="ASZ63"/>
      <c r="ATA63"/>
      <c r="ATB63"/>
      <c r="ATC63"/>
      <c r="ATD63"/>
      <c r="ATE63"/>
      <c r="ATF63"/>
      <c r="ATG63"/>
      <c r="ATH63"/>
      <c r="ATI63"/>
      <c r="ATJ63"/>
      <c r="ATK63"/>
      <c r="ATL63"/>
      <c r="ATM63"/>
      <c r="ATN63"/>
      <c r="ATO63"/>
      <c r="ATP63"/>
      <c r="ATQ63"/>
      <c r="ATR63"/>
      <c r="ATS63"/>
      <c r="ATT63"/>
      <c r="ATU63"/>
      <c r="ATV63"/>
      <c r="ATW63"/>
      <c r="ATX63"/>
      <c r="ATY63"/>
      <c r="ATZ63"/>
      <c r="AUA63"/>
      <c r="AUB63"/>
      <c r="AUC63"/>
      <c r="AUD63"/>
      <c r="AUE63"/>
      <c r="AUF63"/>
      <c r="AUG63"/>
      <c r="AUH63"/>
      <c r="AUI63"/>
      <c r="AUJ63"/>
      <c r="AUK63"/>
      <c r="AUL63"/>
      <c r="AUM63"/>
      <c r="AUN63"/>
      <c r="AUO63"/>
      <c r="AUP63"/>
      <c r="AUQ63"/>
      <c r="AUR63"/>
      <c r="AUS63"/>
      <c r="AUT63"/>
      <c r="AUU63"/>
      <c r="AUV63"/>
      <c r="AUW63"/>
      <c r="AUX63"/>
      <c r="AUY63"/>
      <c r="AUZ63"/>
      <c r="AVA63"/>
      <c r="AVB63"/>
      <c r="AVC63"/>
      <c r="AVD63"/>
      <c r="AVE63"/>
      <c r="AVF63"/>
      <c r="AVG63"/>
      <c r="AVH63"/>
      <c r="AVI63"/>
      <c r="AVJ63"/>
      <c r="AVK63"/>
      <c r="AVL63"/>
      <c r="AVM63"/>
      <c r="AVN63"/>
      <c r="AVO63"/>
      <c r="AVP63"/>
      <c r="AVQ63"/>
      <c r="AVR63"/>
      <c r="AVS63"/>
      <c r="AVT63"/>
      <c r="AVU63"/>
      <c r="AVV63"/>
      <c r="AVW63"/>
      <c r="AVX63"/>
      <c r="AVY63"/>
      <c r="AVZ63"/>
      <c r="AWA63"/>
      <c r="AWB63"/>
      <c r="AWC63"/>
      <c r="AWD63"/>
      <c r="AWE63"/>
      <c r="AWF63"/>
      <c r="AWG63"/>
      <c r="AWH63"/>
      <c r="AWI63"/>
      <c r="AWJ63"/>
      <c r="AWK63"/>
      <c r="AWL63"/>
      <c r="AWM63"/>
      <c r="AWN63"/>
      <c r="AWO63"/>
      <c r="AWP63"/>
      <c r="AWQ63"/>
      <c r="AWR63"/>
      <c r="AWS63"/>
      <c r="AWT63"/>
      <c r="AWU63"/>
      <c r="AWV63"/>
      <c r="AWW63"/>
      <c r="AWX63"/>
      <c r="AWY63"/>
      <c r="AWZ63"/>
      <c r="AXA63"/>
      <c r="AXB63"/>
      <c r="AXC63"/>
      <c r="AXD63"/>
      <c r="AXE63"/>
      <c r="AXF63"/>
      <c r="AXG63"/>
      <c r="AXH63"/>
      <c r="AXI63"/>
      <c r="AXJ63"/>
      <c r="AXK63"/>
      <c r="AXL63"/>
      <c r="AXM63"/>
      <c r="AXN63"/>
      <c r="AXO63"/>
      <c r="AXP63"/>
      <c r="AXQ63"/>
      <c r="AXR63"/>
      <c r="AXS63"/>
      <c r="AXT63"/>
      <c r="AXU63"/>
      <c r="AXV63"/>
      <c r="AXW63"/>
      <c r="AXX63"/>
      <c r="AXY63"/>
      <c r="AXZ63"/>
      <c r="AYA63"/>
      <c r="AYB63"/>
      <c r="AYC63"/>
      <c r="AYD63"/>
      <c r="AYE63"/>
      <c r="AYF63"/>
      <c r="AYG63"/>
      <c r="AYH63"/>
      <c r="AYI63"/>
      <c r="AYJ63"/>
      <c r="AYK63"/>
      <c r="AYL63"/>
      <c r="AYM63"/>
      <c r="AYN63"/>
      <c r="AYO63"/>
      <c r="AYP63"/>
      <c r="AYQ63"/>
      <c r="AYR63"/>
      <c r="AYS63"/>
      <c r="AYT63"/>
      <c r="AYU63"/>
      <c r="AYV63"/>
      <c r="AYW63"/>
      <c r="AYX63"/>
      <c r="AYY63"/>
      <c r="AYZ63"/>
      <c r="AZA63"/>
      <c r="AZB63"/>
      <c r="AZC63"/>
      <c r="AZD63"/>
      <c r="AZE63"/>
      <c r="AZF63"/>
      <c r="AZG63"/>
      <c r="AZH63"/>
      <c r="AZI63"/>
      <c r="AZJ63"/>
      <c r="AZK63"/>
      <c r="AZL63"/>
      <c r="AZM63"/>
      <c r="AZN63"/>
      <c r="AZO63"/>
      <c r="AZP63"/>
      <c r="AZQ63"/>
      <c r="AZR63"/>
      <c r="AZS63"/>
      <c r="AZT63"/>
      <c r="AZU63"/>
      <c r="AZV63"/>
      <c r="AZW63"/>
      <c r="AZX63"/>
      <c r="AZY63"/>
      <c r="AZZ63"/>
      <c r="BAA63"/>
      <c r="BAB63"/>
      <c r="BAC63"/>
      <c r="BAD63"/>
      <c r="BAE63"/>
      <c r="BAF63"/>
      <c r="BAG63"/>
      <c r="BAH63"/>
      <c r="BAI63"/>
      <c r="BAJ63"/>
      <c r="BAK63"/>
      <c r="BAL63"/>
      <c r="BAM63"/>
      <c r="BAN63"/>
      <c r="BAO63"/>
      <c r="BAP63"/>
      <c r="BAQ63"/>
      <c r="BAR63"/>
      <c r="BAS63"/>
      <c r="BAT63"/>
      <c r="BAU63"/>
      <c r="BAV63"/>
      <c r="BAW63"/>
      <c r="BAX63"/>
      <c r="BAY63"/>
      <c r="BAZ63"/>
      <c r="BBA63"/>
      <c r="BBB63"/>
      <c r="BBC63"/>
      <c r="BBD63"/>
      <c r="BBE63"/>
      <c r="BBF63"/>
      <c r="BBG63"/>
      <c r="BBH63"/>
      <c r="BBI63"/>
      <c r="BBJ63"/>
      <c r="BBK63"/>
      <c r="BBL63"/>
      <c r="BBM63"/>
      <c r="BBN63"/>
      <c r="BBO63"/>
      <c r="BBP63"/>
      <c r="BBQ63"/>
      <c r="BBR63"/>
      <c r="BBS63"/>
      <c r="BBT63"/>
      <c r="BBU63"/>
      <c r="BBV63"/>
      <c r="BBW63"/>
      <c r="BBX63"/>
      <c r="BBY63"/>
      <c r="BBZ63"/>
      <c r="BCA63"/>
      <c r="BCB63"/>
      <c r="BCC63"/>
      <c r="BCD63"/>
      <c r="BCE63"/>
      <c r="BCF63"/>
      <c r="BCG63"/>
      <c r="BCH63"/>
      <c r="BCI63"/>
      <c r="BCJ63"/>
      <c r="BCK63"/>
      <c r="BCL63"/>
      <c r="BCM63"/>
      <c r="BCN63"/>
      <c r="BCO63"/>
      <c r="BCP63"/>
      <c r="BCQ63"/>
      <c r="BCR63"/>
      <c r="BCS63"/>
      <c r="BCT63"/>
      <c r="BCU63"/>
      <c r="BCV63"/>
      <c r="BCW63"/>
      <c r="BCX63"/>
      <c r="BCY63"/>
      <c r="BCZ63"/>
      <c r="BDA63"/>
      <c r="BDB63"/>
      <c r="BDC63"/>
      <c r="BDD63"/>
      <c r="BDE63"/>
      <c r="BDF63"/>
      <c r="BDG63"/>
      <c r="BDH63"/>
      <c r="BDI63"/>
      <c r="BDJ63"/>
      <c r="BDK63"/>
      <c r="BDL63"/>
      <c r="BDM63"/>
      <c r="BDN63"/>
      <c r="BDO63"/>
      <c r="BDP63"/>
      <c r="BDQ63"/>
      <c r="BDR63"/>
      <c r="BDS63"/>
      <c r="BDT63"/>
      <c r="BDU63"/>
      <c r="BDV63"/>
      <c r="BDW63"/>
      <c r="BDX63"/>
      <c r="BDY63"/>
      <c r="BDZ63"/>
      <c r="BEA63"/>
      <c r="BEB63"/>
      <c r="BEC63"/>
      <c r="BED63"/>
      <c r="BEE63"/>
      <c r="BEF63"/>
      <c r="BEG63"/>
      <c r="BEH63"/>
      <c r="BEI63"/>
      <c r="BEJ63"/>
      <c r="BEK63"/>
      <c r="BEL63"/>
      <c r="BEM63"/>
      <c r="BEN63"/>
      <c r="BEO63"/>
      <c r="BEP63"/>
      <c r="BEQ63"/>
      <c r="BER63"/>
      <c r="BES63"/>
      <c r="BET63"/>
      <c r="BEU63"/>
      <c r="BEV63"/>
      <c r="BEW63"/>
      <c r="BEX63"/>
      <c r="BEY63"/>
      <c r="BEZ63"/>
      <c r="BFA63"/>
      <c r="BFB63"/>
      <c r="BFC63"/>
      <c r="BFD63"/>
      <c r="BFE63"/>
      <c r="BFF63"/>
      <c r="BFG63"/>
      <c r="BFH63"/>
      <c r="BFI63"/>
      <c r="BFJ63"/>
      <c r="BFK63"/>
      <c r="BFL63"/>
      <c r="BFM63"/>
      <c r="BFN63"/>
      <c r="BFO63"/>
      <c r="BFP63"/>
      <c r="BFQ63"/>
      <c r="BFR63"/>
      <c r="BFS63"/>
      <c r="BFT63"/>
      <c r="BFU63"/>
      <c r="BFV63"/>
      <c r="BFW63"/>
      <c r="BFX63"/>
      <c r="BFY63"/>
      <c r="BFZ63"/>
      <c r="BGA63"/>
      <c r="BGB63"/>
      <c r="BGC63"/>
      <c r="BGD63"/>
      <c r="BGE63"/>
      <c r="BGF63"/>
      <c r="BGG63"/>
      <c r="BGH63"/>
      <c r="BGI63"/>
      <c r="BGJ63"/>
      <c r="BGK63"/>
      <c r="BGL63"/>
      <c r="BGM63"/>
      <c r="BGN63"/>
      <c r="BGO63"/>
      <c r="BGP63"/>
      <c r="BGQ63"/>
      <c r="BGR63"/>
      <c r="BGS63"/>
      <c r="BGT63"/>
      <c r="BGU63"/>
      <c r="BGV63"/>
      <c r="BGW63"/>
      <c r="BGX63"/>
      <c r="BGY63"/>
      <c r="BGZ63"/>
      <c r="BHA63"/>
      <c r="BHB63"/>
      <c r="BHC63"/>
      <c r="BHD63"/>
      <c r="BHE63"/>
      <c r="BHF63"/>
      <c r="BHG63"/>
      <c r="BHH63"/>
      <c r="BHI63"/>
      <c r="BHJ63"/>
      <c r="BHK63"/>
      <c r="BHL63"/>
      <c r="BHM63"/>
      <c r="BHN63"/>
      <c r="BHO63"/>
      <c r="BHP63"/>
      <c r="BHQ63"/>
      <c r="BHR63"/>
      <c r="BHS63"/>
      <c r="BHT63"/>
      <c r="BHU63"/>
      <c r="BHV63"/>
      <c r="BHW63"/>
      <c r="BHX63"/>
      <c r="BHY63"/>
      <c r="BHZ63"/>
      <c r="BIA63"/>
      <c r="BIB63"/>
      <c r="BIC63"/>
      <c r="BID63"/>
      <c r="BIE63"/>
      <c r="BIF63"/>
      <c r="BIG63"/>
      <c r="BIH63"/>
      <c r="BII63"/>
      <c r="BIJ63"/>
      <c r="BIK63"/>
      <c r="BIL63"/>
      <c r="BIM63"/>
      <c r="BIN63"/>
      <c r="BIO63"/>
      <c r="BIP63"/>
      <c r="BIQ63"/>
      <c r="BIR63"/>
      <c r="BIS63"/>
      <c r="BIT63"/>
      <c r="BIU63"/>
      <c r="BIV63"/>
      <c r="BIW63"/>
      <c r="BIX63"/>
      <c r="BIY63"/>
      <c r="BIZ63"/>
      <c r="BJA63"/>
      <c r="BJB63"/>
      <c r="BJC63"/>
      <c r="BJD63"/>
      <c r="BJE63"/>
      <c r="BJF63"/>
      <c r="BJG63"/>
      <c r="BJH63"/>
      <c r="BJI63"/>
      <c r="BJJ63"/>
      <c r="BJK63"/>
      <c r="BJL63"/>
      <c r="BJM63"/>
      <c r="BJN63"/>
      <c r="BJO63"/>
      <c r="BJP63"/>
      <c r="BJQ63"/>
      <c r="BJR63"/>
      <c r="BJS63"/>
      <c r="BJT63"/>
      <c r="BJU63"/>
      <c r="BJV63"/>
      <c r="BJW63"/>
      <c r="BJX63"/>
      <c r="BJY63"/>
      <c r="BJZ63"/>
      <c r="BKA63"/>
      <c r="BKB63"/>
      <c r="BKC63"/>
      <c r="BKD63"/>
      <c r="BKE63"/>
      <c r="BKF63"/>
      <c r="BKG63"/>
      <c r="BKH63"/>
      <c r="BKI63"/>
      <c r="BKJ63"/>
      <c r="BKK63"/>
      <c r="BKL63"/>
      <c r="BKM63"/>
      <c r="BKN63"/>
      <c r="BKO63"/>
      <c r="BKP63"/>
      <c r="BKQ63"/>
      <c r="BKR63"/>
      <c r="BKS63"/>
      <c r="BKT63"/>
      <c r="BKU63"/>
      <c r="BKV63"/>
      <c r="BKW63"/>
      <c r="BKX63"/>
      <c r="BKY63"/>
      <c r="BKZ63"/>
      <c r="BLA63"/>
      <c r="BLB63"/>
      <c r="BLC63"/>
      <c r="BLD63"/>
      <c r="BLE63"/>
      <c r="BLF63"/>
      <c r="BLG63"/>
      <c r="BLH63"/>
      <c r="BLI63"/>
      <c r="BLJ63"/>
      <c r="BLK63"/>
      <c r="BLL63"/>
      <c r="BLM63"/>
      <c r="BLN63"/>
      <c r="BLO63"/>
      <c r="BLP63"/>
      <c r="BLQ63"/>
      <c r="BLR63"/>
      <c r="BLS63"/>
      <c r="BLT63"/>
      <c r="BLU63"/>
      <c r="BLV63"/>
      <c r="BLW63"/>
      <c r="BLX63"/>
      <c r="BLY63"/>
      <c r="BLZ63"/>
      <c r="BMA63"/>
      <c r="BMB63"/>
      <c r="BMC63"/>
      <c r="BMD63"/>
      <c r="BME63"/>
      <c r="BMF63"/>
      <c r="BMG63"/>
      <c r="BMH63"/>
      <c r="BMI63"/>
      <c r="BMJ63"/>
      <c r="BMK63"/>
      <c r="BML63"/>
      <c r="BMM63"/>
      <c r="BMN63"/>
      <c r="BMO63"/>
      <c r="BMP63"/>
      <c r="BMQ63"/>
      <c r="BMR63"/>
      <c r="BMS63"/>
      <c r="BMT63"/>
      <c r="BMU63"/>
      <c r="BMV63"/>
      <c r="BMW63"/>
      <c r="BMX63"/>
      <c r="BMY63"/>
      <c r="BMZ63"/>
      <c r="BNA63"/>
      <c r="BNB63"/>
      <c r="BNC63"/>
      <c r="BND63"/>
      <c r="BNE63"/>
      <c r="BNF63"/>
      <c r="BNG63"/>
      <c r="BNH63"/>
      <c r="BNI63"/>
      <c r="BNJ63"/>
      <c r="BNK63"/>
      <c r="BNL63"/>
      <c r="BNM63"/>
      <c r="BNN63"/>
      <c r="BNO63"/>
      <c r="BNP63"/>
      <c r="BNQ63"/>
      <c r="BNR63"/>
      <c r="BNS63"/>
      <c r="BNT63"/>
      <c r="BNU63"/>
      <c r="BNV63"/>
      <c r="BNW63"/>
      <c r="BNX63"/>
      <c r="BNY63"/>
      <c r="BNZ63"/>
      <c r="BOA63"/>
      <c r="BOB63"/>
      <c r="BOC63"/>
      <c r="BOD63"/>
      <c r="BOE63"/>
      <c r="BOF63"/>
      <c r="BOG63"/>
      <c r="BOH63"/>
      <c r="BOI63"/>
      <c r="BOJ63"/>
      <c r="BOK63"/>
      <c r="BOL63"/>
      <c r="BOM63"/>
      <c r="BON63"/>
      <c r="BOO63"/>
      <c r="BOP63"/>
      <c r="BOQ63"/>
      <c r="BOR63"/>
      <c r="BOS63"/>
      <c r="BOT63"/>
      <c r="BOU63"/>
      <c r="BOV63"/>
      <c r="BOW63"/>
      <c r="BOX63"/>
      <c r="BOY63"/>
      <c r="BOZ63"/>
      <c r="BPA63"/>
      <c r="BPB63"/>
      <c r="BPC63"/>
      <c r="BPD63"/>
      <c r="BPE63"/>
      <c r="BPF63"/>
      <c r="BPG63"/>
      <c r="BPH63"/>
      <c r="BPI63"/>
      <c r="BPJ63"/>
      <c r="BPK63"/>
      <c r="BPL63"/>
      <c r="BPM63"/>
      <c r="BPN63"/>
      <c r="BPO63"/>
      <c r="BPP63"/>
      <c r="BPQ63"/>
      <c r="BPR63"/>
      <c r="BPS63"/>
      <c r="BPT63"/>
      <c r="BPU63"/>
      <c r="BPV63"/>
      <c r="BPW63"/>
      <c r="BPX63"/>
      <c r="BPY63"/>
      <c r="BPZ63"/>
      <c r="BQA63"/>
      <c r="BQB63"/>
      <c r="BQC63"/>
      <c r="BQD63"/>
      <c r="BQE63"/>
      <c r="BQF63"/>
      <c r="BQG63"/>
      <c r="BQH63"/>
      <c r="BQI63"/>
      <c r="BQJ63"/>
      <c r="BQK63"/>
      <c r="BQL63"/>
      <c r="BQM63"/>
      <c r="BQN63"/>
      <c r="BQO63"/>
      <c r="BQP63"/>
      <c r="BQQ63"/>
      <c r="BQR63"/>
      <c r="BQS63"/>
      <c r="BQT63"/>
      <c r="BQU63"/>
      <c r="BQV63"/>
      <c r="BQW63"/>
      <c r="BQX63"/>
      <c r="BQY63"/>
      <c r="BQZ63"/>
      <c r="BRA63"/>
      <c r="BRB63"/>
      <c r="BRC63"/>
      <c r="BRD63"/>
      <c r="BRE63"/>
      <c r="BRF63"/>
      <c r="BRG63"/>
      <c r="BRH63"/>
      <c r="BRI63"/>
      <c r="BRJ63"/>
      <c r="BRK63"/>
      <c r="BRL63"/>
      <c r="BRM63"/>
      <c r="BRN63"/>
      <c r="BRO63"/>
      <c r="BRP63"/>
      <c r="BRQ63"/>
      <c r="BRR63"/>
      <c r="BRS63"/>
      <c r="BRT63"/>
      <c r="BRU63"/>
      <c r="BRV63"/>
      <c r="BRW63"/>
      <c r="BRX63"/>
      <c r="BRY63"/>
      <c r="BRZ63"/>
      <c r="BSA63"/>
      <c r="BSB63"/>
      <c r="BSC63"/>
      <c r="BSD63"/>
      <c r="BSE63"/>
      <c r="BSF63"/>
      <c r="BSG63"/>
      <c r="BSH63"/>
      <c r="BSI63"/>
      <c r="BSJ63"/>
      <c r="BSK63"/>
      <c r="BSL63"/>
      <c r="BSM63"/>
      <c r="BSN63"/>
      <c r="BSO63"/>
      <c r="BSP63"/>
      <c r="BSQ63"/>
      <c r="BSR63"/>
      <c r="BSS63"/>
      <c r="BST63"/>
      <c r="BSU63"/>
      <c r="BSV63"/>
      <c r="BSW63"/>
      <c r="BSX63"/>
      <c r="BSY63"/>
      <c r="BSZ63"/>
      <c r="BTA63"/>
      <c r="BTB63"/>
      <c r="BTC63"/>
      <c r="BTD63"/>
      <c r="BTE63"/>
      <c r="BTF63"/>
      <c r="BTG63"/>
      <c r="BTH63"/>
      <c r="BTI63"/>
      <c r="BTJ63"/>
      <c r="BTK63"/>
      <c r="BTL63"/>
      <c r="BTM63"/>
      <c r="BTN63"/>
      <c r="BTO63"/>
      <c r="BTP63"/>
      <c r="BTQ63"/>
      <c r="BTR63"/>
      <c r="BTS63"/>
      <c r="BTT63"/>
      <c r="BTU63"/>
      <c r="BTV63"/>
      <c r="BTW63"/>
      <c r="BTX63"/>
      <c r="BTY63"/>
      <c r="BTZ63"/>
      <c r="BUA63"/>
      <c r="BUB63"/>
      <c r="BUC63"/>
      <c r="BUD63"/>
      <c r="BUE63"/>
      <c r="BUF63"/>
      <c r="BUG63"/>
      <c r="BUH63"/>
      <c r="BUI63"/>
      <c r="BUJ63"/>
      <c r="BUK63"/>
      <c r="BUL63"/>
      <c r="BUM63"/>
      <c r="BUN63"/>
      <c r="BUO63"/>
      <c r="BUP63"/>
      <c r="BUQ63"/>
      <c r="BUR63"/>
      <c r="BUS63"/>
      <c r="BUT63"/>
      <c r="BUU63"/>
      <c r="BUV63"/>
      <c r="BUW63"/>
      <c r="BUX63"/>
      <c r="BUY63"/>
      <c r="BUZ63"/>
      <c r="BVA63"/>
      <c r="BVB63"/>
      <c r="BVC63"/>
      <c r="BVD63"/>
      <c r="BVE63"/>
      <c r="BVF63"/>
      <c r="BVG63"/>
      <c r="BVH63"/>
      <c r="BVI63"/>
      <c r="BVJ63"/>
      <c r="BVK63"/>
      <c r="BVL63"/>
      <c r="BVM63"/>
      <c r="BVN63"/>
      <c r="BVO63"/>
      <c r="BVP63"/>
      <c r="BVQ63"/>
      <c r="BVR63"/>
      <c r="BVS63"/>
      <c r="BVT63"/>
      <c r="BVU63"/>
      <c r="BVV63"/>
      <c r="BVW63"/>
      <c r="BVX63"/>
      <c r="BVY63"/>
      <c r="BVZ63"/>
      <c r="BWA63"/>
      <c r="BWB63"/>
      <c r="BWC63"/>
      <c r="BWD63"/>
      <c r="BWE63"/>
      <c r="BWF63"/>
      <c r="BWG63"/>
      <c r="BWH63"/>
      <c r="BWI63"/>
      <c r="BWJ63"/>
      <c r="BWK63"/>
      <c r="BWL63"/>
      <c r="BWM63"/>
      <c r="BWN63"/>
      <c r="BWO63"/>
      <c r="BWP63"/>
      <c r="BWQ63"/>
      <c r="BWR63"/>
      <c r="BWS63"/>
      <c r="BWT63"/>
      <c r="BWU63"/>
      <c r="BWV63"/>
      <c r="BWW63"/>
      <c r="BWX63"/>
      <c r="BWY63"/>
      <c r="BWZ63"/>
      <c r="BXA63"/>
      <c r="BXB63"/>
      <c r="BXC63"/>
      <c r="BXD63"/>
      <c r="BXE63"/>
      <c r="BXF63"/>
      <c r="BXG63"/>
      <c r="BXH63"/>
      <c r="BXI63"/>
      <c r="BXJ63"/>
      <c r="BXK63"/>
      <c r="BXL63"/>
      <c r="BXM63"/>
      <c r="BXN63"/>
      <c r="BXO63"/>
      <c r="BXP63"/>
      <c r="BXQ63"/>
      <c r="BXR63"/>
      <c r="BXS63"/>
      <c r="BXT63"/>
      <c r="BXU63"/>
      <c r="BXV63"/>
      <c r="BXW63"/>
      <c r="BXX63"/>
      <c r="BXY63"/>
      <c r="BXZ63"/>
      <c r="BYA63"/>
      <c r="BYB63"/>
      <c r="BYC63"/>
      <c r="BYD63"/>
      <c r="BYE63"/>
      <c r="BYF63"/>
      <c r="BYG63"/>
    </row>
    <row r="64" spans="1:2009" s="88" customFormat="1" ht="24.95" customHeight="1" thickBot="1" x14ac:dyDescent="0.3">
      <c r="A64" s="754" t="s">
        <v>612</v>
      </c>
      <c r="B64" s="755"/>
      <c r="C64" s="756"/>
      <c r="D64" s="757"/>
      <c r="E64" s="757"/>
      <c r="F64" s="785">
        <v>50000</v>
      </c>
      <c r="G64" s="758">
        <f>SUM(C64:F64)</f>
        <v>50000</v>
      </c>
      <c r="H64" s="744"/>
      <c r="I64" s="21"/>
      <c r="J64" s="736"/>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row>
    <row r="65" spans="1:2009" s="88" customFormat="1" ht="12" customHeight="1" thickBot="1" x14ac:dyDescent="0.3">
      <c r="A65" s="511"/>
      <c r="B65" s="511"/>
      <c r="C65" s="332"/>
      <c r="D65" s="137"/>
      <c r="E65" s="137"/>
      <c r="F65" s="786"/>
      <c r="G65" s="494"/>
      <c r="H65" s="744"/>
      <c r="I65" s="21"/>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row>
    <row r="66" spans="1:2009" s="88" customFormat="1" ht="24.95" customHeight="1" thickBot="1" x14ac:dyDescent="0.3">
      <c r="A66" s="779" t="s">
        <v>671</v>
      </c>
      <c r="B66" s="780"/>
      <c r="C66" s="781">
        <v>85.37</v>
      </c>
      <c r="D66" s="782"/>
      <c r="E66" s="782"/>
      <c r="F66" s="787"/>
      <c r="G66" s="783">
        <f>SUM(C66:F66)</f>
        <v>85.37</v>
      </c>
      <c r="H66" s="744"/>
      <c r="I66" s="21"/>
      <c r="J66" s="73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c r="AML66"/>
      <c r="AMM66"/>
      <c r="AMN66"/>
      <c r="AMO66"/>
      <c r="AMP66"/>
      <c r="AMQ66"/>
      <c r="AMR66"/>
      <c r="AMS66"/>
      <c r="AMT66"/>
      <c r="AMU66"/>
      <c r="AMV66"/>
      <c r="AMW66"/>
      <c r="AMX66"/>
      <c r="AMY66"/>
      <c r="AMZ66"/>
      <c r="ANA66"/>
      <c r="ANB66"/>
      <c r="ANC66"/>
      <c r="AND66"/>
      <c r="ANE66"/>
      <c r="ANF66"/>
      <c r="ANG66"/>
      <c r="ANH66"/>
      <c r="ANI66"/>
      <c r="ANJ66"/>
      <c r="ANK66"/>
      <c r="ANL66"/>
      <c r="ANM66"/>
      <c r="ANN66"/>
      <c r="ANO66"/>
      <c r="ANP66"/>
      <c r="ANQ66"/>
      <c r="ANR66"/>
      <c r="ANS66"/>
      <c r="ANT66"/>
      <c r="ANU66"/>
      <c r="ANV66"/>
      <c r="ANW66"/>
      <c r="ANX66"/>
      <c r="ANY66"/>
      <c r="ANZ66"/>
      <c r="AOA66"/>
      <c r="AOB66"/>
      <c r="AOC66"/>
      <c r="AOD66"/>
      <c r="AOE66"/>
      <c r="AOF66"/>
      <c r="AOG66"/>
      <c r="AOH66"/>
      <c r="AOI66"/>
      <c r="AOJ66"/>
      <c r="AOK66"/>
      <c r="AOL66"/>
      <c r="AOM66"/>
      <c r="AON66"/>
      <c r="AOO66"/>
      <c r="AOP66"/>
      <c r="AOQ66"/>
      <c r="AOR66"/>
      <c r="AOS66"/>
      <c r="AOT66"/>
      <c r="AOU66"/>
      <c r="AOV66"/>
      <c r="AOW66"/>
      <c r="AOX66"/>
      <c r="AOY66"/>
      <c r="AOZ66"/>
      <c r="APA66"/>
      <c r="APB66"/>
      <c r="APC66"/>
      <c r="APD66"/>
      <c r="APE66"/>
      <c r="APF66"/>
      <c r="APG66"/>
      <c r="APH66"/>
      <c r="API66"/>
      <c r="APJ66"/>
      <c r="APK66"/>
      <c r="APL66"/>
      <c r="APM66"/>
      <c r="APN66"/>
      <c r="APO66"/>
      <c r="APP66"/>
      <c r="APQ66"/>
      <c r="APR66"/>
      <c r="APS66"/>
      <c r="APT66"/>
      <c r="APU66"/>
      <c r="APV66"/>
      <c r="APW66"/>
      <c r="APX66"/>
      <c r="APY66"/>
      <c r="APZ66"/>
      <c r="AQA66"/>
      <c r="AQB66"/>
      <c r="AQC66"/>
      <c r="AQD66"/>
      <c r="AQE66"/>
      <c r="AQF66"/>
      <c r="AQG66"/>
      <c r="AQH66"/>
      <c r="AQI66"/>
      <c r="AQJ66"/>
      <c r="AQK66"/>
      <c r="AQL66"/>
      <c r="AQM66"/>
      <c r="AQN66"/>
      <c r="AQO66"/>
      <c r="AQP66"/>
      <c r="AQQ66"/>
      <c r="AQR66"/>
      <c r="AQS66"/>
      <c r="AQT66"/>
      <c r="AQU66"/>
      <c r="AQV66"/>
      <c r="AQW66"/>
      <c r="AQX66"/>
      <c r="AQY66"/>
      <c r="AQZ66"/>
      <c r="ARA66"/>
      <c r="ARB66"/>
      <c r="ARC66"/>
      <c r="ARD66"/>
      <c r="ARE66"/>
      <c r="ARF66"/>
      <c r="ARG66"/>
      <c r="ARH66"/>
      <c r="ARI66"/>
      <c r="ARJ66"/>
      <c r="ARK66"/>
      <c r="ARL66"/>
      <c r="ARM66"/>
      <c r="ARN66"/>
      <c r="ARO66"/>
      <c r="ARP66"/>
      <c r="ARQ66"/>
      <c r="ARR66"/>
      <c r="ARS66"/>
      <c r="ART66"/>
      <c r="ARU66"/>
      <c r="ARV66"/>
      <c r="ARW66"/>
      <c r="ARX66"/>
      <c r="ARY66"/>
      <c r="ARZ66"/>
      <c r="ASA66"/>
      <c r="ASB66"/>
      <c r="ASC66"/>
      <c r="ASD66"/>
      <c r="ASE66"/>
      <c r="ASF66"/>
      <c r="ASG66"/>
      <c r="ASH66"/>
      <c r="ASI66"/>
      <c r="ASJ66"/>
      <c r="ASK66"/>
      <c r="ASL66"/>
      <c r="ASM66"/>
      <c r="ASN66"/>
      <c r="ASO66"/>
      <c r="ASP66"/>
      <c r="ASQ66"/>
      <c r="ASR66"/>
      <c r="ASS66"/>
      <c r="AST66"/>
      <c r="ASU66"/>
      <c r="ASV66"/>
      <c r="ASW66"/>
      <c r="ASX66"/>
      <c r="ASY66"/>
      <c r="ASZ66"/>
      <c r="ATA66"/>
      <c r="ATB66"/>
      <c r="ATC66"/>
      <c r="ATD66"/>
      <c r="ATE66"/>
      <c r="ATF66"/>
      <c r="ATG66"/>
      <c r="ATH66"/>
      <c r="ATI66"/>
      <c r="ATJ66"/>
      <c r="ATK66"/>
      <c r="ATL66"/>
      <c r="ATM66"/>
      <c r="ATN66"/>
      <c r="ATO66"/>
      <c r="ATP66"/>
      <c r="ATQ66"/>
      <c r="ATR66"/>
      <c r="ATS66"/>
      <c r="ATT66"/>
      <c r="ATU66"/>
      <c r="ATV66"/>
      <c r="ATW66"/>
      <c r="ATX66"/>
      <c r="ATY66"/>
      <c r="ATZ66"/>
      <c r="AUA66"/>
      <c r="AUB66"/>
      <c r="AUC66"/>
      <c r="AUD66"/>
      <c r="AUE66"/>
      <c r="AUF66"/>
      <c r="AUG66"/>
      <c r="AUH66"/>
      <c r="AUI66"/>
      <c r="AUJ66"/>
      <c r="AUK66"/>
      <c r="AUL66"/>
      <c r="AUM66"/>
      <c r="AUN66"/>
      <c r="AUO66"/>
      <c r="AUP66"/>
      <c r="AUQ66"/>
      <c r="AUR66"/>
      <c r="AUS66"/>
      <c r="AUT66"/>
      <c r="AUU66"/>
      <c r="AUV66"/>
      <c r="AUW66"/>
      <c r="AUX66"/>
      <c r="AUY66"/>
      <c r="AUZ66"/>
      <c r="AVA66"/>
      <c r="AVB66"/>
      <c r="AVC66"/>
      <c r="AVD66"/>
      <c r="AVE66"/>
      <c r="AVF66"/>
      <c r="AVG66"/>
      <c r="AVH66"/>
      <c r="AVI66"/>
      <c r="AVJ66"/>
      <c r="AVK66"/>
      <c r="AVL66"/>
      <c r="AVM66"/>
      <c r="AVN66"/>
      <c r="AVO66"/>
      <c r="AVP66"/>
      <c r="AVQ66"/>
      <c r="AVR66"/>
      <c r="AVS66"/>
      <c r="AVT66"/>
      <c r="AVU66"/>
      <c r="AVV66"/>
      <c r="AVW66"/>
      <c r="AVX66"/>
      <c r="AVY66"/>
      <c r="AVZ66"/>
      <c r="AWA66"/>
      <c r="AWB66"/>
      <c r="AWC66"/>
      <c r="AWD66"/>
      <c r="AWE66"/>
      <c r="AWF66"/>
      <c r="AWG66"/>
      <c r="AWH66"/>
      <c r="AWI66"/>
      <c r="AWJ66"/>
      <c r="AWK66"/>
      <c r="AWL66"/>
      <c r="AWM66"/>
      <c r="AWN66"/>
      <c r="AWO66"/>
      <c r="AWP66"/>
      <c r="AWQ66"/>
      <c r="AWR66"/>
      <c r="AWS66"/>
      <c r="AWT66"/>
      <c r="AWU66"/>
      <c r="AWV66"/>
      <c r="AWW66"/>
      <c r="AWX66"/>
      <c r="AWY66"/>
      <c r="AWZ66"/>
      <c r="AXA66"/>
      <c r="AXB66"/>
      <c r="AXC66"/>
      <c r="AXD66"/>
      <c r="AXE66"/>
      <c r="AXF66"/>
      <c r="AXG66"/>
      <c r="AXH66"/>
      <c r="AXI66"/>
      <c r="AXJ66"/>
      <c r="AXK66"/>
      <c r="AXL66"/>
      <c r="AXM66"/>
      <c r="AXN66"/>
      <c r="AXO66"/>
      <c r="AXP66"/>
      <c r="AXQ66"/>
      <c r="AXR66"/>
      <c r="AXS66"/>
      <c r="AXT66"/>
      <c r="AXU66"/>
      <c r="AXV66"/>
      <c r="AXW66"/>
      <c r="AXX66"/>
      <c r="AXY66"/>
      <c r="AXZ66"/>
      <c r="AYA66"/>
      <c r="AYB66"/>
      <c r="AYC66"/>
      <c r="AYD66"/>
      <c r="AYE66"/>
      <c r="AYF66"/>
      <c r="AYG66"/>
      <c r="AYH66"/>
      <c r="AYI66"/>
      <c r="AYJ66"/>
      <c r="AYK66"/>
      <c r="AYL66"/>
      <c r="AYM66"/>
      <c r="AYN66"/>
      <c r="AYO66"/>
      <c r="AYP66"/>
      <c r="AYQ66"/>
      <c r="AYR66"/>
      <c r="AYS66"/>
      <c r="AYT66"/>
      <c r="AYU66"/>
      <c r="AYV66"/>
      <c r="AYW66"/>
      <c r="AYX66"/>
      <c r="AYY66"/>
      <c r="AYZ66"/>
      <c r="AZA66"/>
      <c r="AZB66"/>
      <c r="AZC66"/>
      <c r="AZD66"/>
      <c r="AZE66"/>
      <c r="AZF66"/>
      <c r="AZG66"/>
      <c r="AZH66"/>
      <c r="AZI66"/>
      <c r="AZJ66"/>
      <c r="AZK66"/>
      <c r="AZL66"/>
      <c r="AZM66"/>
      <c r="AZN66"/>
      <c r="AZO66"/>
      <c r="AZP66"/>
      <c r="AZQ66"/>
      <c r="AZR66"/>
      <c r="AZS66"/>
      <c r="AZT66"/>
      <c r="AZU66"/>
      <c r="AZV66"/>
      <c r="AZW66"/>
      <c r="AZX66"/>
      <c r="AZY66"/>
      <c r="AZZ66"/>
      <c r="BAA66"/>
      <c r="BAB66"/>
      <c r="BAC66"/>
      <c r="BAD66"/>
      <c r="BAE66"/>
      <c r="BAF66"/>
      <c r="BAG66"/>
      <c r="BAH66"/>
      <c r="BAI66"/>
      <c r="BAJ66"/>
      <c r="BAK66"/>
      <c r="BAL66"/>
      <c r="BAM66"/>
      <c r="BAN66"/>
      <c r="BAO66"/>
      <c r="BAP66"/>
      <c r="BAQ66"/>
      <c r="BAR66"/>
      <c r="BAS66"/>
      <c r="BAT66"/>
      <c r="BAU66"/>
      <c r="BAV66"/>
      <c r="BAW66"/>
      <c r="BAX66"/>
      <c r="BAY66"/>
      <c r="BAZ66"/>
      <c r="BBA66"/>
      <c r="BBB66"/>
      <c r="BBC66"/>
      <c r="BBD66"/>
      <c r="BBE66"/>
      <c r="BBF66"/>
      <c r="BBG66"/>
      <c r="BBH66"/>
      <c r="BBI66"/>
      <c r="BBJ66"/>
      <c r="BBK66"/>
      <c r="BBL66"/>
      <c r="BBM66"/>
      <c r="BBN66"/>
      <c r="BBO66"/>
      <c r="BBP66"/>
      <c r="BBQ66"/>
      <c r="BBR66"/>
      <c r="BBS66"/>
      <c r="BBT66"/>
      <c r="BBU66"/>
      <c r="BBV66"/>
      <c r="BBW66"/>
      <c r="BBX66"/>
      <c r="BBY66"/>
      <c r="BBZ66"/>
      <c r="BCA66"/>
      <c r="BCB66"/>
      <c r="BCC66"/>
      <c r="BCD66"/>
      <c r="BCE66"/>
      <c r="BCF66"/>
      <c r="BCG66"/>
      <c r="BCH66"/>
      <c r="BCI66"/>
      <c r="BCJ66"/>
      <c r="BCK66"/>
      <c r="BCL66"/>
      <c r="BCM66"/>
      <c r="BCN66"/>
      <c r="BCO66"/>
      <c r="BCP66"/>
      <c r="BCQ66"/>
      <c r="BCR66"/>
      <c r="BCS66"/>
      <c r="BCT66"/>
      <c r="BCU66"/>
      <c r="BCV66"/>
      <c r="BCW66"/>
      <c r="BCX66"/>
      <c r="BCY66"/>
      <c r="BCZ66"/>
      <c r="BDA66"/>
      <c r="BDB66"/>
      <c r="BDC66"/>
      <c r="BDD66"/>
      <c r="BDE66"/>
      <c r="BDF66"/>
      <c r="BDG66"/>
      <c r="BDH66"/>
      <c r="BDI66"/>
      <c r="BDJ66"/>
      <c r="BDK66"/>
      <c r="BDL66"/>
      <c r="BDM66"/>
      <c r="BDN66"/>
      <c r="BDO66"/>
      <c r="BDP66"/>
      <c r="BDQ66"/>
      <c r="BDR66"/>
      <c r="BDS66"/>
      <c r="BDT66"/>
      <c r="BDU66"/>
      <c r="BDV66"/>
      <c r="BDW66"/>
      <c r="BDX66"/>
      <c r="BDY66"/>
      <c r="BDZ66"/>
      <c r="BEA66"/>
      <c r="BEB66"/>
      <c r="BEC66"/>
      <c r="BED66"/>
      <c r="BEE66"/>
      <c r="BEF66"/>
      <c r="BEG66"/>
      <c r="BEH66"/>
      <c r="BEI66"/>
      <c r="BEJ66"/>
      <c r="BEK66"/>
      <c r="BEL66"/>
      <c r="BEM66"/>
      <c r="BEN66"/>
      <c r="BEO66"/>
      <c r="BEP66"/>
      <c r="BEQ66"/>
      <c r="BER66"/>
      <c r="BES66"/>
      <c r="BET66"/>
      <c r="BEU66"/>
      <c r="BEV66"/>
      <c r="BEW66"/>
      <c r="BEX66"/>
      <c r="BEY66"/>
      <c r="BEZ66"/>
      <c r="BFA66"/>
      <c r="BFB66"/>
      <c r="BFC66"/>
      <c r="BFD66"/>
      <c r="BFE66"/>
      <c r="BFF66"/>
      <c r="BFG66"/>
      <c r="BFH66"/>
      <c r="BFI66"/>
      <c r="BFJ66"/>
      <c r="BFK66"/>
      <c r="BFL66"/>
      <c r="BFM66"/>
      <c r="BFN66"/>
      <c r="BFO66"/>
      <c r="BFP66"/>
      <c r="BFQ66"/>
      <c r="BFR66"/>
      <c r="BFS66"/>
      <c r="BFT66"/>
      <c r="BFU66"/>
      <c r="BFV66"/>
      <c r="BFW66"/>
      <c r="BFX66"/>
      <c r="BFY66"/>
      <c r="BFZ66"/>
      <c r="BGA66"/>
      <c r="BGB66"/>
      <c r="BGC66"/>
      <c r="BGD66"/>
      <c r="BGE66"/>
      <c r="BGF66"/>
      <c r="BGG66"/>
      <c r="BGH66"/>
      <c r="BGI66"/>
      <c r="BGJ66"/>
      <c r="BGK66"/>
      <c r="BGL66"/>
      <c r="BGM66"/>
      <c r="BGN66"/>
      <c r="BGO66"/>
      <c r="BGP66"/>
      <c r="BGQ66"/>
      <c r="BGR66"/>
      <c r="BGS66"/>
      <c r="BGT66"/>
      <c r="BGU66"/>
      <c r="BGV66"/>
      <c r="BGW66"/>
      <c r="BGX66"/>
      <c r="BGY66"/>
      <c r="BGZ66"/>
      <c r="BHA66"/>
      <c r="BHB66"/>
      <c r="BHC66"/>
      <c r="BHD66"/>
      <c r="BHE66"/>
      <c r="BHF66"/>
      <c r="BHG66"/>
      <c r="BHH66"/>
      <c r="BHI66"/>
      <c r="BHJ66"/>
      <c r="BHK66"/>
      <c r="BHL66"/>
      <c r="BHM66"/>
      <c r="BHN66"/>
      <c r="BHO66"/>
      <c r="BHP66"/>
      <c r="BHQ66"/>
      <c r="BHR66"/>
      <c r="BHS66"/>
      <c r="BHT66"/>
      <c r="BHU66"/>
      <c r="BHV66"/>
      <c r="BHW66"/>
      <c r="BHX66"/>
      <c r="BHY66"/>
      <c r="BHZ66"/>
      <c r="BIA66"/>
      <c r="BIB66"/>
      <c r="BIC66"/>
      <c r="BID66"/>
      <c r="BIE66"/>
      <c r="BIF66"/>
      <c r="BIG66"/>
      <c r="BIH66"/>
      <c r="BII66"/>
      <c r="BIJ66"/>
      <c r="BIK66"/>
      <c r="BIL66"/>
      <c r="BIM66"/>
      <c r="BIN66"/>
      <c r="BIO66"/>
      <c r="BIP66"/>
      <c r="BIQ66"/>
      <c r="BIR66"/>
      <c r="BIS66"/>
      <c r="BIT66"/>
      <c r="BIU66"/>
      <c r="BIV66"/>
      <c r="BIW66"/>
      <c r="BIX66"/>
      <c r="BIY66"/>
      <c r="BIZ66"/>
      <c r="BJA66"/>
      <c r="BJB66"/>
      <c r="BJC66"/>
      <c r="BJD66"/>
      <c r="BJE66"/>
      <c r="BJF66"/>
      <c r="BJG66"/>
      <c r="BJH66"/>
      <c r="BJI66"/>
      <c r="BJJ66"/>
      <c r="BJK66"/>
      <c r="BJL66"/>
      <c r="BJM66"/>
      <c r="BJN66"/>
      <c r="BJO66"/>
      <c r="BJP66"/>
      <c r="BJQ66"/>
      <c r="BJR66"/>
      <c r="BJS66"/>
      <c r="BJT66"/>
      <c r="BJU66"/>
      <c r="BJV66"/>
      <c r="BJW66"/>
      <c r="BJX66"/>
      <c r="BJY66"/>
      <c r="BJZ66"/>
      <c r="BKA66"/>
      <c r="BKB66"/>
      <c r="BKC66"/>
      <c r="BKD66"/>
      <c r="BKE66"/>
      <c r="BKF66"/>
      <c r="BKG66"/>
      <c r="BKH66"/>
      <c r="BKI66"/>
      <c r="BKJ66"/>
      <c r="BKK66"/>
      <c r="BKL66"/>
      <c r="BKM66"/>
      <c r="BKN66"/>
      <c r="BKO66"/>
      <c r="BKP66"/>
      <c r="BKQ66"/>
      <c r="BKR66"/>
      <c r="BKS66"/>
      <c r="BKT66"/>
      <c r="BKU66"/>
      <c r="BKV66"/>
      <c r="BKW66"/>
      <c r="BKX66"/>
      <c r="BKY66"/>
      <c r="BKZ66"/>
      <c r="BLA66"/>
      <c r="BLB66"/>
      <c r="BLC66"/>
      <c r="BLD66"/>
      <c r="BLE66"/>
      <c r="BLF66"/>
      <c r="BLG66"/>
      <c r="BLH66"/>
      <c r="BLI66"/>
      <c r="BLJ66"/>
      <c r="BLK66"/>
      <c r="BLL66"/>
      <c r="BLM66"/>
      <c r="BLN66"/>
      <c r="BLO66"/>
      <c r="BLP66"/>
      <c r="BLQ66"/>
      <c r="BLR66"/>
      <c r="BLS66"/>
      <c r="BLT66"/>
      <c r="BLU66"/>
      <c r="BLV66"/>
      <c r="BLW66"/>
      <c r="BLX66"/>
      <c r="BLY66"/>
      <c r="BLZ66"/>
      <c r="BMA66"/>
      <c r="BMB66"/>
      <c r="BMC66"/>
      <c r="BMD66"/>
      <c r="BME66"/>
      <c r="BMF66"/>
      <c r="BMG66"/>
      <c r="BMH66"/>
      <c r="BMI66"/>
      <c r="BMJ66"/>
      <c r="BMK66"/>
      <c r="BML66"/>
      <c r="BMM66"/>
      <c r="BMN66"/>
      <c r="BMO66"/>
      <c r="BMP66"/>
      <c r="BMQ66"/>
      <c r="BMR66"/>
      <c r="BMS66"/>
      <c r="BMT66"/>
      <c r="BMU66"/>
      <c r="BMV66"/>
      <c r="BMW66"/>
      <c r="BMX66"/>
      <c r="BMY66"/>
      <c r="BMZ66"/>
      <c r="BNA66"/>
      <c r="BNB66"/>
      <c r="BNC66"/>
      <c r="BND66"/>
      <c r="BNE66"/>
      <c r="BNF66"/>
      <c r="BNG66"/>
      <c r="BNH66"/>
      <c r="BNI66"/>
      <c r="BNJ66"/>
      <c r="BNK66"/>
      <c r="BNL66"/>
      <c r="BNM66"/>
      <c r="BNN66"/>
      <c r="BNO66"/>
      <c r="BNP66"/>
      <c r="BNQ66"/>
      <c r="BNR66"/>
      <c r="BNS66"/>
      <c r="BNT66"/>
      <c r="BNU66"/>
      <c r="BNV66"/>
      <c r="BNW66"/>
      <c r="BNX66"/>
      <c r="BNY66"/>
      <c r="BNZ66"/>
      <c r="BOA66"/>
      <c r="BOB66"/>
      <c r="BOC66"/>
      <c r="BOD66"/>
      <c r="BOE66"/>
      <c r="BOF66"/>
      <c r="BOG66"/>
      <c r="BOH66"/>
      <c r="BOI66"/>
      <c r="BOJ66"/>
      <c r="BOK66"/>
      <c r="BOL66"/>
      <c r="BOM66"/>
      <c r="BON66"/>
      <c r="BOO66"/>
      <c r="BOP66"/>
      <c r="BOQ66"/>
      <c r="BOR66"/>
      <c r="BOS66"/>
      <c r="BOT66"/>
      <c r="BOU66"/>
      <c r="BOV66"/>
      <c r="BOW66"/>
      <c r="BOX66"/>
      <c r="BOY66"/>
      <c r="BOZ66"/>
      <c r="BPA66"/>
      <c r="BPB66"/>
      <c r="BPC66"/>
      <c r="BPD66"/>
      <c r="BPE66"/>
      <c r="BPF66"/>
      <c r="BPG66"/>
      <c r="BPH66"/>
      <c r="BPI66"/>
      <c r="BPJ66"/>
      <c r="BPK66"/>
      <c r="BPL66"/>
      <c r="BPM66"/>
      <c r="BPN66"/>
      <c r="BPO66"/>
      <c r="BPP66"/>
      <c r="BPQ66"/>
      <c r="BPR66"/>
      <c r="BPS66"/>
      <c r="BPT66"/>
      <c r="BPU66"/>
      <c r="BPV66"/>
      <c r="BPW66"/>
      <c r="BPX66"/>
      <c r="BPY66"/>
      <c r="BPZ66"/>
      <c r="BQA66"/>
      <c r="BQB66"/>
      <c r="BQC66"/>
      <c r="BQD66"/>
      <c r="BQE66"/>
      <c r="BQF66"/>
      <c r="BQG66"/>
      <c r="BQH66"/>
      <c r="BQI66"/>
      <c r="BQJ66"/>
      <c r="BQK66"/>
      <c r="BQL66"/>
      <c r="BQM66"/>
      <c r="BQN66"/>
      <c r="BQO66"/>
      <c r="BQP66"/>
      <c r="BQQ66"/>
      <c r="BQR66"/>
      <c r="BQS66"/>
      <c r="BQT66"/>
      <c r="BQU66"/>
      <c r="BQV66"/>
      <c r="BQW66"/>
      <c r="BQX66"/>
      <c r="BQY66"/>
      <c r="BQZ66"/>
      <c r="BRA66"/>
      <c r="BRB66"/>
      <c r="BRC66"/>
      <c r="BRD66"/>
      <c r="BRE66"/>
      <c r="BRF66"/>
      <c r="BRG66"/>
      <c r="BRH66"/>
      <c r="BRI66"/>
      <c r="BRJ66"/>
      <c r="BRK66"/>
      <c r="BRL66"/>
      <c r="BRM66"/>
      <c r="BRN66"/>
      <c r="BRO66"/>
      <c r="BRP66"/>
      <c r="BRQ66"/>
      <c r="BRR66"/>
      <c r="BRS66"/>
      <c r="BRT66"/>
      <c r="BRU66"/>
      <c r="BRV66"/>
      <c r="BRW66"/>
      <c r="BRX66"/>
      <c r="BRY66"/>
      <c r="BRZ66"/>
      <c r="BSA66"/>
      <c r="BSB66"/>
      <c r="BSC66"/>
      <c r="BSD66"/>
      <c r="BSE66"/>
      <c r="BSF66"/>
      <c r="BSG66"/>
      <c r="BSH66"/>
      <c r="BSI66"/>
      <c r="BSJ66"/>
      <c r="BSK66"/>
      <c r="BSL66"/>
      <c r="BSM66"/>
      <c r="BSN66"/>
      <c r="BSO66"/>
      <c r="BSP66"/>
      <c r="BSQ66"/>
      <c r="BSR66"/>
      <c r="BSS66"/>
      <c r="BST66"/>
      <c r="BSU66"/>
      <c r="BSV66"/>
      <c r="BSW66"/>
      <c r="BSX66"/>
      <c r="BSY66"/>
      <c r="BSZ66"/>
      <c r="BTA66"/>
      <c r="BTB66"/>
      <c r="BTC66"/>
      <c r="BTD66"/>
      <c r="BTE66"/>
      <c r="BTF66"/>
      <c r="BTG66"/>
      <c r="BTH66"/>
      <c r="BTI66"/>
      <c r="BTJ66"/>
      <c r="BTK66"/>
      <c r="BTL66"/>
      <c r="BTM66"/>
      <c r="BTN66"/>
      <c r="BTO66"/>
      <c r="BTP66"/>
      <c r="BTQ66"/>
      <c r="BTR66"/>
      <c r="BTS66"/>
      <c r="BTT66"/>
      <c r="BTU66"/>
      <c r="BTV66"/>
      <c r="BTW66"/>
      <c r="BTX66"/>
      <c r="BTY66"/>
      <c r="BTZ66"/>
      <c r="BUA66"/>
      <c r="BUB66"/>
      <c r="BUC66"/>
      <c r="BUD66"/>
      <c r="BUE66"/>
      <c r="BUF66"/>
      <c r="BUG66"/>
      <c r="BUH66"/>
      <c r="BUI66"/>
      <c r="BUJ66"/>
      <c r="BUK66"/>
      <c r="BUL66"/>
      <c r="BUM66"/>
      <c r="BUN66"/>
      <c r="BUO66"/>
      <c r="BUP66"/>
      <c r="BUQ66"/>
      <c r="BUR66"/>
      <c r="BUS66"/>
      <c r="BUT66"/>
      <c r="BUU66"/>
      <c r="BUV66"/>
      <c r="BUW66"/>
      <c r="BUX66"/>
      <c r="BUY66"/>
      <c r="BUZ66"/>
      <c r="BVA66"/>
      <c r="BVB66"/>
      <c r="BVC66"/>
      <c r="BVD66"/>
      <c r="BVE66"/>
      <c r="BVF66"/>
      <c r="BVG66"/>
      <c r="BVH66"/>
      <c r="BVI66"/>
      <c r="BVJ66"/>
      <c r="BVK66"/>
      <c r="BVL66"/>
      <c r="BVM66"/>
      <c r="BVN66"/>
      <c r="BVO66"/>
      <c r="BVP66"/>
      <c r="BVQ66"/>
      <c r="BVR66"/>
      <c r="BVS66"/>
      <c r="BVT66"/>
      <c r="BVU66"/>
      <c r="BVV66"/>
      <c r="BVW66"/>
      <c r="BVX66"/>
      <c r="BVY66"/>
      <c r="BVZ66"/>
      <c r="BWA66"/>
      <c r="BWB66"/>
      <c r="BWC66"/>
      <c r="BWD66"/>
      <c r="BWE66"/>
      <c r="BWF66"/>
      <c r="BWG66"/>
      <c r="BWH66"/>
      <c r="BWI66"/>
      <c r="BWJ66"/>
      <c r="BWK66"/>
      <c r="BWL66"/>
      <c r="BWM66"/>
      <c r="BWN66"/>
      <c r="BWO66"/>
      <c r="BWP66"/>
      <c r="BWQ66"/>
      <c r="BWR66"/>
      <c r="BWS66"/>
      <c r="BWT66"/>
      <c r="BWU66"/>
      <c r="BWV66"/>
      <c r="BWW66"/>
      <c r="BWX66"/>
      <c r="BWY66"/>
      <c r="BWZ66"/>
      <c r="BXA66"/>
      <c r="BXB66"/>
      <c r="BXC66"/>
      <c r="BXD66"/>
      <c r="BXE66"/>
      <c r="BXF66"/>
      <c r="BXG66"/>
      <c r="BXH66"/>
      <c r="BXI66"/>
      <c r="BXJ66"/>
      <c r="BXK66"/>
      <c r="BXL66"/>
      <c r="BXM66"/>
      <c r="BXN66"/>
      <c r="BXO66"/>
      <c r="BXP66"/>
      <c r="BXQ66"/>
      <c r="BXR66"/>
      <c r="BXS66"/>
      <c r="BXT66"/>
      <c r="BXU66"/>
      <c r="BXV66"/>
      <c r="BXW66"/>
      <c r="BXX66"/>
      <c r="BXY66"/>
      <c r="BXZ66"/>
      <c r="BYA66"/>
      <c r="BYB66"/>
      <c r="BYC66"/>
      <c r="BYD66"/>
      <c r="BYE66"/>
      <c r="BYF66"/>
      <c r="BYG66"/>
    </row>
    <row r="67" spans="1:2009" ht="9" hidden="1" customHeight="1" thickBot="1" x14ac:dyDescent="0.3">
      <c r="A67" s="511"/>
      <c r="B67" s="511"/>
      <c r="C67" s="332"/>
      <c r="D67" s="137"/>
      <c r="E67" s="137"/>
      <c r="F67" s="137"/>
      <c r="G67" s="494"/>
    </row>
    <row r="68" spans="1:2009" ht="24.95" hidden="1" customHeight="1" x14ac:dyDescent="0.25">
      <c r="A68" s="602" t="s">
        <v>438</v>
      </c>
      <c r="B68" s="603"/>
      <c r="C68" s="604"/>
      <c r="D68" s="604"/>
      <c r="E68" s="611"/>
      <c r="F68" s="604"/>
      <c r="G68" s="610">
        <f>SUM(C68:F68)</f>
        <v>0</v>
      </c>
    </row>
    <row r="69" spans="1:2009" ht="24.95" hidden="1" customHeight="1" thickBot="1" x14ac:dyDescent="0.3">
      <c r="A69" s="725" t="s">
        <v>393</v>
      </c>
      <c r="B69" s="726"/>
      <c r="C69" s="727"/>
      <c r="D69" s="727"/>
      <c r="E69" s="727"/>
      <c r="F69" s="727"/>
      <c r="G69" s="728">
        <f>SUM(C69:F69)</f>
        <v>0</v>
      </c>
    </row>
    <row r="70" spans="1:2009" ht="24.95" hidden="1" customHeight="1" thickBot="1" x14ac:dyDescent="0.3">
      <c r="A70" s="729" t="s">
        <v>628</v>
      </c>
      <c r="B70" s="730"/>
      <c r="C70" s="731"/>
      <c r="D70" s="731"/>
      <c r="E70" s="731"/>
      <c r="F70" s="731"/>
      <c r="G70" s="732">
        <f>SUM(C70:F70)</f>
        <v>0</v>
      </c>
    </row>
    <row r="71" spans="1:2009" ht="12.75" customHeight="1" thickBot="1" x14ac:dyDescent="0.3">
      <c r="A71" s="87"/>
      <c r="B71" s="87"/>
      <c r="C71" s="132"/>
      <c r="D71" s="132"/>
      <c r="E71" s="132"/>
      <c r="F71" s="132"/>
      <c r="G71" s="502"/>
    </row>
    <row r="72" spans="1:2009" s="151" customFormat="1" ht="24.95" customHeight="1" thickBot="1" x14ac:dyDescent="0.3">
      <c r="A72" s="776"/>
      <c r="B72" s="777" t="s">
        <v>672</v>
      </c>
      <c r="C72" s="778">
        <f>SUM(C8+C12+C21+C25+C30+C42+C54)+C34+C49+C58+C60+C56+C66+C64+C70+C61+C63+C62</f>
        <v>81233.680000000008</v>
      </c>
      <c r="D72" s="778">
        <f>SUM(D8+D12+D21+D25+D30+D42+D54)+D34+D49+D58+D60+D56+D66+D64+D70+D61+D63+D62</f>
        <v>58826.51</v>
      </c>
      <c r="E72" s="778">
        <f>SUM(E8+E12+E21+E25+E30+E42+E54)+E34+E49+E58+E60+E56+E66+E64+E70+E61+E63+E62</f>
        <v>106830.55</v>
      </c>
      <c r="F72" s="778">
        <f>SUM(F8+F12+F21+F25+F30+F42+F54)+F34+F49+F58+F60+F56+F66+F64+F70+F61+F63+F62</f>
        <v>76780</v>
      </c>
      <c r="G72" s="778">
        <f>SUM(G8+G12+G21+G25+G30+G42+G54)+G34+G49+G58+G60+G56+G66+G64+G70+G61+G63+G62</f>
        <v>323670.74000000005</v>
      </c>
      <c r="H72" s="746"/>
      <c r="I72" s="21"/>
    </row>
    <row r="73" spans="1:2009" s="151" customFormat="1" ht="9" customHeight="1" x14ac:dyDescent="0.25">
      <c r="A73" s="522"/>
      <c r="B73" s="523"/>
      <c r="C73" s="524"/>
      <c r="D73" s="524"/>
      <c r="E73" s="524"/>
      <c r="F73" s="524"/>
      <c r="G73" s="525"/>
      <c r="H73" s="746"/>
      <c r="I73" s="21"/>
    </row>
    <row r="74" spans="1:2009" ht="22.5" customHeight="1" x14ac:dyDescent="0.25">
      <c r="A74" s="89"/>
      <c r="B74" s="520" t="s">
        <v>356</v>
      </c>
      <c r="C74" s="521">
        <f>C72/G$72</f>
        <v>0.25097628534479205</v>
      </c>
      <c r="D74" s="521">
        <f>D72/$G72</f>
        <v>0.18174800107047054</v>
      </c>
      <c r="E74" s="521">
        <f t="shared" ref="E74:G74" si="3">E72/$G72</f>
        <v>0.33005933746127308</v>
      </c>
      <c r="F74" s="521">
        <f t="shared" si="3"/>
        <v>0.23721637612346419</v>
      </c>
      <c r="G74" s="521">
        <f t="shared" si="3"/>
        <v>1</v>
      </c>
      <c r="J74" s="792"/>
    </row>
    <row r="75" spans="1:2009" ht="10.5" customHeight="1" x14ac:dyDescent="0.25">
      <c r="A75" s="89"/>
      <c r="B75" s="89"/>
      <c r="C75" s="148"/>
      <c r="D75" s="148"/>
      <c r="E75" s="148"/>
      <c r="F75" s="148"/>
    </row>
    <row r="76" spans="1:2009" ht="15" customHeight="1" x14ac:dyDescent="0.25">
      <c r="B76" s="247" t="s">
        <v>665</v>
      </c>
      <c r="C76" s="148"/>
      <c r="D76" s="148"/>
      <c r="E76" s="148"/>
      <c r="F76" s="148"/>
    </row>
    <row r="77" spans="1:2009" ht="8.25" customHeight="1" x14ac:dyDescent="0.25">
      <c r="B77" s="122"/>
      <c r="C77" s="148"/>
      <c r="D77" s="148"/>
      <c r="E77" s="148"/>
      <c r="F77" s="148"/>
    </row>
    <row r="78" spans="1:2009" ht="14.25" customHeight="1" x14ac:dyDescent="0.25">
      <c r="B78" s="421" t="s">
        <v>43</v>
      </c>
      <c r="C78" s="423">
        <f>D41</f>
        <v>20951.63</v>
      </c>
      <c r="D78" s="148"/>
      <c r="E78" s="148"/>
      <c r="F78" s="148"/>
    </row>
    <row r="79" spans="1:2009" ht="14.25" hidden="1" customHeight="1" x14ac:dyDescent="0.25">
      <c r="B79" s="421" t="s">
        <v>629</v>
      </c>
      <c r="C79" s="423"/>
      <c r="D79" s="148"/>
      <c r="E79" s="148"/>
      <c r="F79" s="148"/>
    </row>
    <row r="80" spans="1:2009" ht="14.25" hidden="1" customHeight="1" x14ac:dyDescent="0.25">
      <c r="B80" s="421" t="s">
        <v>644</v>
      </c>
      <c r="C80" s="423"/>
      <c r="D80" s="148"/>
      <c r="E80" s="148"/>
      <c r="F80" s="148"/>
    </row>
    <row r="81" spans="2:6" ht="14.25" hidden="1" customHeight="1" x14ac:dyDescent="0.25">
      <c r="B81" s="421" t="s">
        <v>639</v>
      </c>
      <c r="C81" s="423"/>
      <c r="D81" s="148"/>
      <c r="E81" s="148"/>
      <c r="F81" s="148"/>
    </row>
    <row r="82" spans="2:6" ht="14.25" hidden="1" customHeight="1" x14ac:dyDescent="0.25">
      <c r="B82" s="421" t="s">
        <v>650</v>
      </c>
      <c r="C82" s="423"/>
      <c r="D82" s="148"/>
      <c r="E82" s="148"/>
      <c r="F82" s="148"/>
    </row>
    <row r="83" spans="2:6" ht="14.25" hidden="1" customHeight="1" x14ac:dyDescent="0.25">
      <c r="B83" s="421" t="s">
        <v>640</v>
      </c>
      <c r="C83" s="423"/>
      <c r="D83" s="148"/>
      <c r="E83" s="148"/>
      <c r="F83" s="148"/>
    </row>
    <row r="84" spans="2:6" ht="14.25" customHeight="1" x14ac:dyDescent="0.25">
      <c r="B84" s="421" t="s">
        <v>667</v>
      </c>
      <c r="C84" s="423">
        <v>3435</v>
      </c>
      <c r="D84" s="148"/>
      <c r="E84" s="148"/>
      <c r="F84" s="148"/>
    </row>
    <row r="85" spans="2:6" ht="14.25" customHeight="1" x14ac:dyDescent="0.25">
      <c r="B85" s="421" t="s">
        <v>676</v>
      </c>
      <c r="C85" s="423">
        <v>4166.67</v>
      </c>
      <c r="D85" s="148"/>
      <c r="E85" s="148"/>
      <c r="F85" s="148"/>
    </row>
    <row r="86" spans="2:6" ht="14.25" customHeight="1" x14ac:dyDescent="0.25">
      <c r="B86" s="421" t="s">
        <v>677</v>
      </c>
      <c r="C86" s="423">
        <v>548.9</v>
      </c>
      <c r="D86" s="148"/>
      <c r="E86" s="148"/>
      <c r="F86" s="148"/>
    </row>
    <row r="87" spans="2:6" ht="14.25" customHeight="1" x14ac:dyDescent="0.25">
      <c r="B87" s="421" t="s">
        <v>678</v>
      </c>
      <c r="C87" s="423">
        <v>614.6</v>
      </c>
      <c r="D87" s="148"/>
      <c r="E87" s="148"/>
      <c r="F87" s="148"/>
    </row>
    <row r="88" spans="2:6" ht="14.25" customHeight="1" x14ac:dyDescent="0.25">
      <c r="B88" s="421" t="s">
        <v>632</v>
      </c>
      <c r="C88" s="423">
        <v>1250</v>
      </c>
      <c r="D88" s="148"/>
      <c r="E88" s="148"/>
      <c r="F88" s="148"/>
    </row>
    <row r="89" spans="2:6" ht="14.25" hidden="1" customHeight="1" x14ac:dyDescent="0.25">
      <c r="B89" s="421" t="s">
        <v>573</v>
      </c>
      <c r="C89" s="423"/>
      <c r="D89" s="148"/>
      <c r="E89" s="148"/>
      <c r="F89" s="148"/>
    </row>
    <row r="90" spans="2:6" ht="14.25" hidden="1" customHeight="1" x14ac:dyDescent="0.25">
      <c r="B90" s="421" t="s">
        <v>537</v>
      </c>
      <c r="C90" s="423"/>
      <c r="D90" s="148"/>
      <c r="E90" s="148"/>
      <c r="F90" s="148"/>
    </row>
    <row r="91" spans="2:6" ht="14.25" hidden="1" customHeight="1" x14ac:dyDescent="0.25">
      <c r="B91" s="421" t="s">
        <v>550</v>
      </c>
      <c r="C91" s="423"/>
      <c r="D91" s="148"/>
      <c r="E91" s="148"/>
      <c r="F91" s="148"/>
    </row>
    <row r="92" spans="2:6" ht="14.25" hidden="1" customHeight="1" x14ac:dyDescent="0.25">
      <c r="B92" s="421" t="s">
        <v>444</v>
      </c>
      <c r="C92" s="423"/>
      <c r="D92" s="148"/>
      <c r="E92" s="148"/>
      <c r="F92" s="148"/>
    </row>
    <row r="93" spans="2:6" ht="14.25" hidden="1" customHeight="1" x14ac:dyDescent="0.25">
      <c r="B93" s="421" t="s">
        <v>645</v>
      </c>
      <c r="C93" s="423"/>
      <c r="D93" s="148"/>
      <c r="E93" s="148"/>
      <c r="F93" s="148"/>
    </row>
    <row r="94" spans="2:6" ht="14.25" hidden="1" customHeight="1" x14ac:dyDescent="0.25">
      <c r="B94" s="421" t="s">
        <v>641</v>
      </c>
      <c r="C94" s="423"/>
      <c r="D94" s="148"/>
      <c r="E94" s="148"/>
      <c r="F94" s="148"/>
    </row>
    <row r="95" spans="2:6" ht="14.25" hidden="1" customHeight="1" x14ac:dyDescent="0.25">
      <c r="B95" s="421" t="s">
        <v>649</v>
      </c>
      <c r="C95" s="423"/>
      <c r="D95" s="148"/>
      <c r="E95" s="148"/>
      <c r="F95" s="148"/>
    </row>
    <row r="96" spans="2:6" ht="14.25" hidden="1" customHeight="1" x14ac:dyDescent="0.25">
      <c r="B96" s="421" t="s">
        <v>630</v>
      </c>
      <c r="C96" s="423"/>
      <c r="D96" s="148"/>
      <c r="E96" s="148"/>
      <c r="F96" s="148"/>
    </row>
    <row r="97" spans="2:6" ht="14.25" hidden="1" customHeight="1" x14ac:dyDescent="0.25">
      <c r="B97" s="421" t="s">
        <v>631</v>
      </c>
      <c r="C97" s="423"/>
      <c r="D97" s="148"/>
      <c r="E97" s="148"/>
      <c r="F97" s="148"/>
    </row>
    <row r="98" spans="2:6" ht="14.25" customHeight="1" x14ac:dyDescent="0.25">
      <c r="B98" s="421" t="s">
        <v>673</v>
      </c>
      <c r="C98" s="423">
        <v>50000</v>
      </c>
      <c r="D98" s="148"/>
      <c r="E98" s="148"/>
      <c r="F98" s="148"/>
    </row>
    <row r="99" spans="2:6" x14ac:dyDescent="0.25">
      <c r="B99" s="123" t="s">
        <v>674</v>
      </c>
      <c r="C99" s="281">
        <f>SUM(C77:C98)</f>
        <v>80966.8</v>
      </c>
      <c r="D99" s="148"/>
      <c r="E99" s="148"/>
      <c r="F99" s="148"/>
    </row>
    <row r="100" spans="2:6" ht="5.25" customHeight="1" x14ac:dyDescent="0.25">
      <c r="C100" s="148"/>
      <c r="D100" s="148"/>
      <c r="E100" s="148"/>
      <c r="F100" s="148"/>
    </row>
    <row r="101" spans="2:6" ht="15.75" thickBot="1" x14ac:dyDescent="0.3">
      <c r="B101" s="123" t="s">
        <v>675</v>
      </c>
      <c r="C101" s="306">
        <f>G72-C99</f>
        <v>242703.94000000006</v>
      </c>
      <c r="D101" s="148"/>
      <c r="E101" s="148"/>
      <c r="F101" s="148"/>
    </row>
    <row r="102" spans="2:6" ht="12" customHeight="1" thickTop="1" x14ac:dyDescent="0.25">
      <c r="C102" s="148"/>
      <c r="D102" s="148"/>
      <c r="E102" s="148"/>
      <c r="F102" s="148"/>
    </row>
    <row r="103" spans="2:6" ht="15.75" x14ac:dyDescent="0.25">
      <c r="B103" s="247" t="s">
        <v>172</v>
      </c>
      <c r="C103" s="148"/>
      <c r="D103" s="148"/>
      <c r="E103" s="148"/>
      <c r="F103" s="148"/>
    </row>
    <row r="104" spans="2:6" ht="16.5" customHeight="1" x14ac:dyDescent="0.25">
      <c r="B104" s="422" t="s">
        <v>679</v>
      </c>
      <c r="C104" s="423">
        <v>25000</v>
      </c>
      <c r="D104" s="148"/>
      <c r="E104" s="148"/>
      <c r="F104" s="148"/>
    </row>
    <row r="105" spans="2:6" ht="16.5" customHeight="1" x14ac:dyDescent="0.25">
      <c r="B105" s="422"/>
      <c r="C105" s="423"/>
      <c r="D105" s="148"/>
      <c r="E105" s="148"/>
      <c r="F105" s="148"/>
    </row>
    <row r="106" spans="2:6" ht="16.5" hidden="1" customHeight="1" x14ac:dyDescent="0.25">
      <c r="B106" s="422"/>
      <c r="C106" s="423"/>
      <c r="D106" s="148"/>
      <c r="E106" s="148"/>
      <c r="F106" s="148"/>
    </row>
    <row r="107" spans="2:6" ht="16.5" hidden="1" customHeight="1" x14ac:dyDescent="0.25">
      <c r="B107" s="422"/>
      <c r="C107" s="423"/>
      <c r="D107" s="148"/>
      <c r="E107" s="148"/>
      <c r="F107" s="148"/>
    </row>
    <row r="108" spans="2:6" ht="16.5" hidden="1" customHeight="1" x14ac:dyDescent="0.25">
      <c r="B108" s="422"/>
      <c r="C108" s="423"/>
      <c r="D108" s="148"/>
      <c r="E108" s="148"/>
      <c r="F108" s="148"/>
    </row>
    <row r="109" spans="2:6" ht="16.5" hidden="1" customHeight="1" x14ac:dyDescent="0.25">
      <c r="B109" s="422"/>
      <c r="C109" s="423"/>
      <c r="D109" s="148"/>
      <c r="E109" s="148"/>
      <c r="F109" s="148"/>
    </row>
    <row r="110" spans="2:6" ht="16.5" hidden="1" customHeight="1" x14ac:dyDescent="0.25">
      <c r="B110" s="422"/>
      <c r="C110" s="423"/>
      <c r="D110" s="148"/>
      <c r="E110" s="148"/>
      <c r="F110" s="148"/>
    </row>
    <row r="111" spans="2:6" ht="16.5" hidden="1" customHeight="1" x14ac:dyDescent="0.25">
      <c r="B111" s="422"/>
      <c r="C111" s="423"/>
      <c r="D111" s="148"/>
      <c r="E111" s="148"/>
      <c r="F111" s="148"/>
    </row>
    <row r="112" spans="2:6" ht="16.5" hidden="1" customHeight="1" x14ac:dyDescent="0.25">
      <c r="B112" s="422"/>
      <c r="C112" s="423"/>
      <c r="D112" s="148"/>
      <c r="E112" s="148"/>
      <c r="F112" s="148"/>
    </row>
    <row r="113" spans="2:6" ht="16.5" hidden="1" customHeight="1" x14ac:dyDescent="0.25">
      <c r="B113" s="422"/>
      <c r="C113" s="423"/>
      <c r="D113" s="148"/>
      <c r="E113" s="148"/>
      <c r="F113" s="148"/>
    </row>
    <row r="114" spans="2:6" ht="16.5" hidden="1" customHeight="1" x14ac:dyDescent="0.25">
      <c r="B114" s="422"/>
      <c r="C114" s="423"/>
      <c r="D114" s="148"/>
      <c r="E114" s="148"/>
      <c r="F114" s="148"/>
    </row>
    <row r="115" spans="2:6" ht="16.5" hidden="1" customHeight="1" x14ac:dyDescent="0.25">
      <c r="B115" s="422"/>
      <c r="C115" s="423"/>
      <c r="D115" s="148"/>
      <c r="E115" s="148"/>
      <c r="F115" s="148"/>
    </row>
    <row r="116" spans="2:6" ht="16.5" hidden="1" customHeight="1" x14ac:dyDescent="0.25">
      <c r="B116" s="422"/>
      <c r="C116" s="423"/>
      <c r="D116" s="148"/>
      <c r="E116" s="148"/>
      <c r="F116" s="148"/>
    </row>
    <row r="117" spans="2:6" ht="16.5" hidden="1" customHeight="1" x14ac:dyDescent="0.25">
      <c r="B117" s="422"/>
      <c r="C117" s="423"/>
      <c r="D117" s="148"/>
      <c r="E117" s="148"/>
      <c r="F117" s="148"/>
    </row>
    <row r="118" spans="2:6" ht="16.5" hidden="1" customHeight="1" x14ac:dyDescent="0.25">
      <c r="B118" s="422"/>
      <c r="C118" s="423"/>
      <c r="D118" s="148"/>
      <c r="E118" s="148"/>
      <c r="F118" s="148"/>
    </row>
    <row r="119" spans="2:6" ht="16.5" hidden="1" customHeight="1" x14ac:dyDescent="0.25">
      <c r="B119" s="422"/>
      <c r="C119" s="423"/>
      <c r="D119" s="148"/>
      <c r="E119" s="148"/>
      <c r="F119" s="148"/>
    </row>
    <row r="120" spans="2:6" ht="16.5" hidden="1" customHeight="1" x14ac:dyDescent="0.25">
      <c r="B120" s="422"/>
      <c r="C120" s="423"/>
      <c r="D120" s="148"/>
      <c r="E120" s="148"/>
      <c r="F120" s="148"/>
    </row>
    <row r="121" spans="2:6" ht="16.5" hidden="1" customHeight="1" x14ac:dyDescent="0.25">
      <c r="B121" s="422"/>
      <c r="C121" s="423"/>
      <c r="D121" s="148"/>
      <c r="E121" s="148"/>
      <c r="F121" s="148"/>
    </row>
    <row r="122" spans="2:6" ht="16.5" hidden="1" customHeight="1" x14ac:dyDescent="0.25">
      <c r="B122" s="422"/>
      <c r="C122" s="423"/>
      <c r="D122" s="148"/>
      <c r="E122" s="148"/>
      <c r="F122" s="148"/>
    </row>
    <row r="123" spans="2:6" ht="16.5" hidden="1" customHeight="1" x14ac:dyDescent="0.25">
      <c r="B123" s="422"/>
      <c r="C123" s="423"/>
      <c r="D123" s="148"/>
      <c r="E123" s="148"/>
      <c r="F123" s="148"/>
    </row>
    <row r="124" spans="2:6" ht="16.5" hidden="1" customHeight="1" x14ac:dyDescent="0.25">
      <c r="B124" s="422"/>
      <c r="C124" s="423"/>
      <c r="D124" s="148"/>
      <c r="E124" s="148"/>
      <c r="F124" s="148"/>
    </row>
    <row r="125" spans="2:6" ht="16.5" hidden="1" customHeight="1" x14ac:dyDescent="0.25">
      <c r="B125" s="422"/>
      <c r="C125" s="423"/>
      <c r="D125" s="148"/>
      <c r="E125" s="148"/>
      <c r="F125" s="148"/>
    </row>
    <row r="126" spans="2:6" ht="16.5" hidden="1" customHeight="1" x14ac:dyDescent="0.25">
      <c r="B126" s="422"/>
      <c r="C126" s="423"/>
      <c r="D126" s="148"/>
      <c r="E126" s="148"/>
      <c r="F126" s="148"/>
    </row>
    <row r="127" spans="2:6" ht="16.5" hidden="1" customHeight="1" x14ac:dyDescent="0.25">
      <c r="B127" s="422"/>
      <c r="C127" s="423"/>
      <c r="D127" s="148"/>
      <c r="E127" s="148"/>
      <c r="F127" s="148"/>
    </row>
    <row r="128" spans="2:6" ht="16.5" hidden="1" customHeight="1" x14ac:dyDescent="0.25">
      <c r="B128" s="422"/>
      <c r="C128" s="423"/>
      <c r="D128" s="148"/>
      <c r="E128" s="148"/>
      <c r="F128" s="148"/>
    </row>
    <row r="129" spans="2:6" ht="15.75" hidden="1" x14ac:dyDescent="0.25">
      <c r="B129" s="404"/>
      <c r="C129" s="148"/>
      <c r="D129" s="148"/>
      <c r="E129" s="148"/>
      <c r="F129" s="148"/>
    </row>
    <row r="130" spans="2:6" hidden="1" x14ac:dyDescent="0.25">
      <c r="B130" s="215"/>
      <c r="C130" s="148"/>
      <c r="D130" s="148"/>
      <c r="E130" s="148"/>
      <c r="F130" s="148"/>
    </row>
    <row r="131" spans="2:6" hidden="1" x14ac:dyDescent="0.25">
      <c r="B131" s="215"/>
      <c r="C131" s="148"/>
      <c r="D131" s="148"/>
      <c r="E131" s="148"/>
      <c r="F131" s="148"/>
    </row>
    <row r="132" spans="2:6" hidden="1" x14ac:dyDescent="0.25">
      <c r="B132" s="215"/>
      <c r="C132" s="148"/>
      <c r="D132" s="148"/>
      <c r="E132" s="148"/>
      <c r="F132" s="148"/>
    </row>
    <row r="133" spans="2:6" hidden="1" x14ac:dyDescent="0.25">
      <c r="B133" s="215"/>
      <c r="C133" s="148"/>
      <c r="D133" s="148"/>
      <c r="E133" s="148"/>
      <c r="F133" s="148"/>
    </row>
    <row r="134" spans="2:6" hidden="1" x14ac:dyDescent="0.25">
      <c r="B134" s="215"/>
      <c r="C134" s="148"/>
      <c r="D134" s="148"/>
      <c r="E134" s="148"/>
      <c r="F134" s="148"/>
    </row>
    <row r="135" spans="2:6" hidden="1" x14ac:dyDescent="0.25">
      <c r="B135" s="215"/>
      <c r="C135" s="286"/>
      <c r="D135" s="148"/>
      <c r="E135" s="148"/>
      <c r="F135" s="148"/>
    </row>
    <row r="136" spans="2:6" hidden="1" x14ac:dyDescent="0.25">
      <c r="B136" s="215"/>
      <c r="C136" s="286"/>
      <c r="D136" s="148"/>
      <c r="E136" s="148"/>
      <c r="F136" s="148"/>
    </row>
    <row r="137" spans="2:6" hidden="1" x14ac:dyDescent="0.25">
      <c r="B137" s="215"/>
      <c r="C137" s="286"/>
      <c r="D137" s="148"/>
      <c r="E137" s="148"/>
      <c r="F137" s="148"/>
    </row>
    <row r="138" spans="2:6" hidden="1" x14ac:dyDescent="0.25">
      <c r="B138" s="215"/>
      <c r="C138" s="286"/>
      <c r="D138" s="148"/>
      <c r="E138" s="148"/>
      <c r="F138" s="148"/>
    </row>
    <row r="139" spans="2:6" hidden="1" x14ac:dyDescent="0.25">
      <c r="B139" s="215"/>
      <c r="C139" s="286"/>
      <c r="D139" s="148"/>
      <c r="E139" s="148"/>
      <c r="F139" s="148"/>
    </row>
    <row r="140" spans="2:6" hidden="1" x14ac:dyDescent="0.25">
      <c r="B140" s="215"/>
      <c r="C140" s="286"/>
      <c r="D140" s="148"/>
      <c r="E140" s="148"/>
      <c r="F140" s="148"/>
    </row>
    <row r="141" spans="2:6" hidden="1" x14ac:dyDescent="0.25">
      <c r="B141" s="215"/>
      <c r="C141" s="286"/>
      <c r="D141" s="148"/>
      <c r="E141" s="148"/>
      <c r="F141" s="148"/>
    </row>
    <row r="142" spans="2:6" hidden="1" x14ac:dyDescent="0.25">
      <c r="B142" s="215"/>
      <c r="C142" s="286"/>
      <c r="D142" s="148"/>
      <c r="E142" s="148"/>
      <c r="F142" s="148"/>
    </row>
    <row r="143" spans="2:6" hidden="1" x14ac:dyDescent="0.25">
      <c r="B143" s="215"/>
      <c r="C143" s="286"/>
      <c r="D143" s="148"/>
      <c r="E143" s="148"/>
      <c r="F143" s="148"/>
    </row>
    <row r="144" spans="2:6" hidden="1" x14ac:dyDescent="0.25">
      <c r="B144" s="215"/>
      <c r="C144" s="286"/>
      <c r="D144" s="148"/>
      <c r="E144" s="148"/>
      <c r="F144" s="148"/>
    </row>
    <row r="145" spans="2:6" hidden="1" x14ac:dyDescent="0.25">
      <c r="B145" s="215"/>
      <c r="C145" s="286"/>
      <c r="D145" s="148"/>
      <c r="E145" s="148"/>
      <c r="F145" s="148"/>
    </row>
    <row r="146" spans="2:6" x14ac:dyDescent="0.25">
      <c r="B146" s="215"/>
      <c r="C146" s="286"/>
      <c r="D146" s="148"/>
      <c r="E146" s="148"/>
      <c r="F146" s="148"/>
    </row>
    <row r="147" spans="2:6" ht="16.5" customHeight="1" x14ac:dyDescent="0.25">
      <c r="B147" s="247" t="s">
        <v>274</v>
      </c>
      <c r="C147" s="286"/>
      <c r="D147" s="148"/>
      <c r="E147" s="148"/>
      <c r="F147" s="148"/>
    </row>
    <row r="148" spans="2:6" ht="16.5" customHeight="1" x14ac:dyDescent="0.25">
      <c r="B148" s="421" t="s">
        <v>680</v>
      </c>
      <c r="C148" s="423">
        <v>33605.39</v>
      </c>
      <c r="D148" s="148"/>
      <c r="E148" s="148"/>
      <c r="F148" s="148"/>
    </row>
    <row r="149" spans="2:6" ht="16.5" hidden="1" customHeight="1" x14ac:dyDescent="0.25">
      <c r="B149" s="421"/>
      <c r="C149" s="423"/>
      <c r="D149" s="148"/>
      <c r="E149" s="148"/>
      <c r="F149" s="148"/>
    </row>
    <row r="150" spans="2:6" ht="16.5" hidden="1" customHeight="1" x14ac:dyDescent="0.25">
      <c r="B150" s="421" t="s">
        <v>646</v>
      </c>
      <c r="C150" s="423"/>
      <c r="D150" s="148"/>
      <c r="E150" s="148"/>
      <c r="F150" s="148"/>
    </row>
    <row r="151" spans="2:6" ht="16.5" hidden="1" customHeight="1" x14ac:dyDescent="0.25">
      <c r="B151" s="421" t="s">
        <v>642</v>
      </c>
      <c r="C151" s="423"/>
      <c r="D151" s="148"/>
      <c r="E151" s="148"/>
      <c r="F151" s="148"/>
    </row>
    <row r="152" spans="2:6" ht="16.5" hidden="1" customHeight="1" x14ac:dyDescent="0.25">
      <c r="B152" s="421" t="s">
        <v>647</v>
      </c>
      <c r="C152" s="148"/>
      <c r="D152" s="148"/>
      <c r="E152" s="148"/>
      <c r="F152" s="148"/>
    </row>
    <row r="153" spans="2:6" ht="16.5" hidden="1" customHeight="1" x14ac:dyDescent="0.25">
      <c r="B153" s="421" t="s">
        <v>643</v>
      </c>
      <c r="C153" s="148"/>
      <c r="D153" s="148"/>
      <c r="E153" s="148"/>
      <c r="F153" s="148"/>
    </row>
    <row r="154" spans="2:6" ht="16.5" hidden="1" customHeight="1" x14ac:dyDescent="0.25">
      <c r="B154" s="421" t="s">
        <v>648</v>
      </c>
      <c r="C154" s="148"/>
      <c r="D154" s="148"/>
      <c r="E154" s="148"/>
      <c r="F154" s="148"/>
    </row>
    <row r="155" spans="2:6" ht="18.75" customHeight="1" x14ac:dyDescent="0.25">
      <c r="B155" s="421" t="s">
        <v>681</v>
      </c>
      <c r="C155" s="148">
        <v>20995.67</v>
      </c>
      <c r="D155" s="148"/>
      <c r="E155" s="148"/>
      <c r="F155" s="148"/>
    </row>
    <row r="156" spans="2:6" ht="17.25" customHeight="1" thickBot="1" x14ac:dyDescent="0.3">
      <c r="B156" s="421" t="s">
        <v>457</v>
      </c>
      <c r="C156" s="473">
        <f>SUM(C148:C155)</f>
        <v>54601.06</v>
      </c>
      <c r="D156" s="148"/>
      <c r="E156" s="148"/>
      <c r="F156" s="148"/>
    </row>
    <row r="157" spans="2:6" ht="12" customHeight="1" thickTop="1" x14ac:dyDescent="0.25">
      <c r="C157" s="148"/>
      <c r="D157" s="148"/>
      <c r="E157" s="148"/>
      <c r="F157" s="148"/>
    </row>
    <row r="158" spans="2:6" ht="12" customHeight="1" x14ac:dyDescent="0.25">
      <c r="C158" s="148"/>
      <c r="D158" s="148"/>
      <c r="E158" s="148"/>
      <c r="F158" s="148"/>
    </row>
    <row r="159" spans="2:6" ht="12" customHeight="1" x14ac:dyDescent="0.25">
      <c r="C159" s="148"/>
      <c r="D159" s="148"/>
      <c r="E159" s="148"/>
      <c r="F159" s="148"/>
    </row>
    <row r="160" spans="2:6" ht="12" customHeight="1" x14ac:dyDescent="0.25">
      <c r="C160" s="148"/>
      <c r="D160" s="148"/>
      <c r="E160" s="148"/>
      <c r="F160" s="148"/>
    </row>
    <row r="161" spans="3:6" ht="12" customHeight="1" x14ac:dyDescent="0.25">
      <c r="C161" s="148"/>
      <c r="D161" s="148"/>
      <c r="E161" s="148"/>
      <c r="F161" s="148"/>
    </row>
    <row r="162" spans="3:6" ht="12" customHeight="1" x14ac:dyDescent="0.25">
      <c r="C162" s="148"/>
      <c r="D162" s="148"/>
      <c r="E162" s="148"/>
      <c r="F162" s="148"/>
    </row>
    <row r="163" spans="3:6" ht="12" customHeight="1" x14ac:dyDescent="0.25">
      <c r="C163" s="148"/>
      <c r="D163" s="148"/>
      <c r="E163" s="148"/>
      <c r="F163" s="148"/>
    </row>
    <row r="164" spans="3:6" ht="12" customHeight="1" x14ac:dyDescent="0.25">
      <c r="C164" s="148"/>
      <c r="D164" s="148"/>
      <c r="E164" s="148"/>
      <c r="F164" s="148"/>
    </row>
    <row r="165" spans="3:6" ht="12" customHeight="1" x14ac:dyDescent="0.25">
      <c r="C165" s="148"/>
      <c r="D165" s="148"/>
      <c r="E165" s="148"/>
      <c r="F165" s="148"/>
    </row>
    <row r="166" spans="3:6" ht="12" customHeight="1" x14ac:dyDescent="0.25">
      <c r="C166" s="148"/>
      <c r="D166" s="148"/>
      <c r="E166" s="148"/>
      <c r="F166" s="148"/>
    </row>
    <row r="167" spans="3:6" ht="12" customHeight="1" x14ac:dyDescent="0.25">
      <c r="C167" s="148"/>
      <c r="D167" s="148"/>
      <c r="E167" s="148"/>
      <c r="F167" s="148"/>
    </row>
    <row r="168" spans="3:6" ht="12" customHeight="1" x14ac:dyDescent="0.25">
      <c r="C168" s="148"/>
      <c r="D168" s="148"/>
      <c r="E168" s="148"/>
      <c r="F168" s="148"/>
    </row>
    <row r="169" spans="3:6" ht="12" customHeight="1" x14ac:dyDescent="0.25">
      <c r="C169" s="148"/>
      <c r="D169" s="148"/>
      <c r="E169" s="148"/>
      <c r="F169" s="148"/>
    </row>
    <row r="170" spans="3:6" ht="12" customHeight="1" x14ac:dyDescent="0.25">
      <c r="C170" s="148"/>
      <c r="D170" s="148"/>
      <c r="E170" s="148"/>
      <c r="F170" s="148"/>
    </row>
    <row r="171" spans="3:6" ht="12" customHeight="1" x14ac:dyDescent="0.25">
      <c r="C171" s="148"/>
      <c r="D171" s="148"/>
      <c r="E171" s="148"/>
      <c r="F171" s="148"/>
    </row>
    <row r="172" spans="3:6" ht="12" customHeight="1" x14ac:dyDescent="0.25">
      <c r="C172" s="148"/>
      <c r="D172" s="148"/>
      <c r="E172" s="148"/>
      <c r="F172" s="148"/>
    </row>
    <row r="173" spans="3:6" ht="12" customHeight="1" x14ac:dyDescent="0.25">
      <c r="C173" s="148"/>
      <c r="D173" s="148"/>
      <c r="E173" s="148"/>
      <c r="F173" s="148"/>
    </row>
    <row r="174" spans="3:6" ht="12" customHeight="1" x14ac:dyDescent="0.25">
      <c r="C174" s="148"/>
      <c r="D174" s="148"/>
      <c r="E174" s="148"/>
      <c r="F174" s="148"/>
    </row>
    <row r="175" spans="3:6" ht="12" customHeight="1" x14ac:dyDescent="0.25">
      <c r="C175" s="148"/>
      <c r="D175" s="148"/>
      <c r="E175" s="148"/>
      <c r="F175" s="148"/>
    </row>
    <row r="176" spans="3:6" ht="12" customHeight="1" x14ac:dyDescent="0.25">
      <c r="C176" s="148"/>
      <c r="D176" s="148"/>
      <c r="E176" s="148"/>
      <c r="F176" s="148"/>
    </row>
    <row r="177" spans="3:6" ht="12" customHeight="1" x14ac:dyDescent="0.25">
      <c r="C177" s="148"/>
      <c r="D177" s="148"/>
      <c r="E177" s="148"/>
      <c r="F177" s="148"/>
    </row>
    <row r="178" spans="3:6" ht="12" customHeight="1" x14ac:dyDescent="0.25">
      <c r="C178" s="148"/>
      <c r="D178" s="148"/>
      <c r="E178" s="148"/>
      <c r="F178" s="148"/>
    </row>
    <row r="179" spans="3:6" ht="12" customHeight="1" x14ac:dyDescent="0.25">
      <c r="C179" s="148"/>
      <c r="D179" s="148"/>
      <c r="E179" s="148"/>
      <c r="F179" s="148"/>
    </row>
    <row r="180" spans="3:6" ht="12" customHeight="1" x14ac:dyDescent="0.25">
      <c r="C180" s="148"/>
      <c r="D180" s="148"/>
      <c r="E180" s="148"/>
      <c r="F180" s="148"/>
    </row>
    <row r="181" spans="3:6" ht="12" customHeight="1" x14ac:dyDescent="0.25">
      <c r="C181" s="148"/>
      <c r="D181" s="148"/>
      <c r="E181" s="148"/>
      <c r="F181" s="148"/>
    </row>
    <row r="182" spans="3:6" ht="12" customHeight="1" x14ac:dyDescent="0.25">
      <c r="C182" s="148"/>
      <c r="D182" s="148"/>
      <c r="E182" s="148"/>
      <c r="F182" s="148"/>
    </row>
    <row r="183" spans="3:6" ht="12" customHeight="1" x14ac:dyDescent="0.25">
      <c r="C183" s="148"/>
      <c r="D183" s="148"/>
      <c r="E183" s="148"/>
      <c r="F183" s="148"/>
    </row>
    <row r="184" spans="3:6" ht="12" customHeight="1" x14ac:dyDescent="0.25">
      <c r="C184" s="148"/>
      <c r="D184" s="148"/>
      <c r="E184" s="148"/>
      <c r="F184" s="148"/>
    </row>
    <row r="185" spans="3:6" ht="12" customHeight="1" x14ac:dyDescent="0.25">
      <c r="C185" s="148"/>
      <c r="D185" s="148"/>
      <c r="E185" s="148"/>
      <c r="F185" s="148"/>
    </row>
    <row r="186" spans="3:6" ht="12" customHeight="1" x14ac:dyDescent="0.25">
      <c r="C186" s="148"/>
      <c r="D186" s="148"/>
      <c r="E186" s="148"/>
      <c r="F186" s="148"/>
    </row>
    <row r="187" spans="3:6" ht="12" customHeight="1" x14ac:dyDescent="0.25">
      <c r="C187" s="148"/>
      <c r="D187" s="148"/>
      <c r="E187" s="148"/>
      <c r="F187" s="148"/>
    </row>
    <row r="188" spans="3:6" ht="12" customHeight="1" x14ac:dyDescent="0.25">
      <c r="C188" s="148"/>
      <c r="D188" s="148"/>
      <c r="E188" s="148"/>
      <c r="F188" s="148"/>
    </row>
    <row r="189" spans="3:6" ht="12" customHeight="1" x14ac:dyDescent="0.25">
      <c r="C189" s="148"/>
      <c r="D189" s="148"/>
      <c r="E189" s="148"/>
      <c r="F189" s="148"/>
    </row>
    <row r="190" spans="3:6" ht="12" customHeight="1" x14ac:dyDescent="0.25">
      <c r="C190" s="148"/>
      <c r="D190" s="148"/>
      <c r="E190" s="148"/>
      <c r="F190" s="148"/>
    </row>
    <row r="191" spans="3:6" ht="12" customHeight="1" x14ac:dyDescent="0.25">
      <c r="C191" s="148"/>
      <c r="D191" s="148"/>
      <c r="E191" s="148"/>
      <c r="F191" s="148"/>
    </row>
    <row r="192" spans="3:6" ht="12" customHeight="1" x14ac:dyDescent="0.25">
      <c r="C192" s="148"/>
      <c r="D192" s="148"/>
      <c r="E192" s="148"/>
      <c r="F192" s="148"/>
    </row>
    <row r="193" spans="3:6" ht="12" customHeight="1" x14ac:dyDescent="0.25">
      <c r="C193" s="148"/>
      <c r="D193" s="148"/>
      <c r="E193" s="148"/>
      <c r="F193" s="148"/>
    </row>
    <row r="194" spans="3:6" ht="12" customHeight="1" x14ac:dyDescent="0.25">
      <c r="C194" s="148"/>
      <c r="D194" s="148"/>
      <c r="E194" s="148"/>
      <c r="F194" s="148"/>
    </row>
    <row r="195" spans="3:6" ht="12" customHeight="1" x14ac:dyDescent="0.25">
      <c r="C195" s="148"/>
      <c r="D195" s="148"/>
      <c r="E195" s="148"/>
      <c r="F195" s="148"/>
    </row>
    <row r="196" spans="3:6" ht="12" customHeight="1" x14ac:dyDescent="0.25">
      <c r="C196" s="148"/>
      <c r="D196" s="148"/>
      <c r="E196" s="148"/>
      <c r="F196" s="148"/>
    </row>
    <row r="197" spans="3:6" ht="12" customHeight="1" x14ac:dyDescent="0.25">
      <c r="C197" s="148"/>
      <c r="D197" s="148"/>
      <c r="E197" s="148"/>
      <c r="F197" s="148"/>
    </row>
    <row r="198" spans="3:6" ht="12" customHeight="1" x14ac:dyDescent="0.25">
      <c r="C198" s="148"/>
      <c r="D198" s="148"/>
      <c r="E198" s="148"/>
      <c r="F198" s="148"/>
    </row>
    <row r="199" spans="3:6" ht="12" customHeight="1" x14ac:dyDescent="0.25">
      <c r="C199" s="148"/>
      <c r="D199" s="148"/>
      <c r="E199" s="148"/>
      <c r="F199" s="148"/>
    </row>
    <row r="200" spans="3:6" ht="12" customHeight="1" x14ac:dyDescent="0.25">
      <c r="C200" s="148"/>
      <c r="D200" s="148"/>
      <c r="E200" s="148"/>
      <c r="F200" s="148"/>
    </row>
    <row r="201" spans="3:6" ht="12" customHeight="1" x14ac:dyDescent="0.25">
      <c r="C201" s="148"/>
      <c r="D201" s="148"/>
      <c r="E201" s="148"/>
      <c r="F201" s="148"/>
    </row>
    <row r="202" spans="3:6" ht="12" customHeight="1" x14ac:dyDescent="0.25">
      <c r="C202" s="148"/>
      <c r="D202" s="148"/>
      <c r="E202" s="148"/>
      <c r="F202" s="148"/>
    </row>
    <row r="203" spans="3:6" ht="12" customHeight="1" x14ac:dyDescent="0.25">
      <c r="C203" s="148"/>
      <c r="D203" s="148"/>
      <c r="E203" s="148"/>
      <c r="F203" s="148"/>
    </row>
    <row r="204" spans="3:6" ht="12" customHeight="1" x14ac:dyDescent="0.25">
      <c r="C204" s="148"/>
      <c r="D204" s="148"/>
      <c r="E204" s="148"/>
      <c r="F204" s="148"/>
    </row>
    <row r="205" spans="3:6" ht="12" customHeight="1" x14ac:dyDescent="0.25">
      <c r="C205" s="148"/>
      <c r="D205" s="148"/>
      <c r="E205" s="148"/>
      <c r="F205" s="148"/>
    </row>
    <row r="206" spans="3:6" ht="12" customHeight="1" x14ac:dyDescent="0.25">
      <c r="C206" s="148"/>
      <c r="D206" s="148"/>
      <c r="E206" s="148"/>
      <c r="F206" s="148"/>
    </row>
    <row r="207" spans="3:6" ht="12" customHeight="1" x14ac:dyDescent="0.25">
      <c r="C207" s="148"/>
      <c r="D207" s="148"/>
      <c r="E207" s="148"/>
      <c r="F207" s="148"/>
    </row>
    <row r="208" spans="3:6" ht="12" customHeight="1" x14ac:dyDescent="0.25">
      <c r="C208" s="148"/>
      <c r="D208" s="148"/>
      <c r="E208" s="148"/>
      <c r="F208" s="148"/>
    </row>
    <row r="209" spans="2:6" ht="12" customHeight="1" x14ac:dyDescent="0.25">
      <c r="C209" s="148"/>
      <c r="D209" s="148"/>
      <c r="E209" s="148"/>
      <c r="F209" s="148"/>
    </row>
    <row r="210" spans="2:6" ht="12" customHeight="1" x14ac:dyDescent="0.25">
      <c r="C210" s="148"/>
      <c r="D210" s="148"/>
      <c r="E210" s="148"/>
      <c r="F210" s="148"/>
    </row>
    <row r="211" spans="2:6" ht="12" customHeight="1" x14ac:dyDescent="0.25">
      <c r="C211" s="148"/>
      <c r="D211" s="148"/>
      <c r="E211" s="148"/>
      <c r="F211" s="148"/>
    </row>
    <row r="212" spans="2:6" ht="12" customHeight="1" x14ac:dyDescent="0.25">
      <c r="C212" s="148"/>
      <c r="D212" s="148"/>
      <c r="E212" s="148"/>
      <c r="F212" s="148"/>
    </row>
    <row r="213" spans="2:6" ht="12" customHeight="1" x14ac:dyDescent="0.25">
      <c r="C213" s="148"/>
      <c r="D213" s="148"/>
      <c r="E213" s="148"/>
      <c r="F213" s="148"/>
    </row>
    <row r="214" spans="2:6" ht="12" customHeight="1" x14ac:dyDescent="0.25">
      <c r="C214" s="148"/>
      <c r="D214" s="148"/>
      <c r="E214" s="148"/>
      <c r="F214" s="148"/>
    </row>
    <row r="215" spans="2:6" ht="12" customHeight="1" x14ac:dyDescent="0.25">
      <c r="C215" s="148"/>
      <c r="D215" s="148"/>
      <c r="E215" s="148"/>
      <c r="F215" s="148"/>
    </row>
    <row r="216" spans="2:6" ht="12" customHeight="1" x14ac:dyDescent="0.25">
      <c r="C216" s="148"/>
      <c r="D216" s="148"/>
      <c r="E216" s="148"/>
      <c r="F216" s="148"/>
    </row>
    <row r="217" spans="2:6" ht="12" customHeight="1" x14ac:dyDescent="0.25">
      <c r="C217" s="148"/>
      <c r="D217" s="148"/>
      <c r="E217" s="148"/>
      <c r="F217" s="148"/>
    </row>
    <row r="218" spans="2:6" ht="12" customHeight="1" x14ac:dyDescent="0.25">
      <c r="C218" s="148"/>
      <c r="D218" s="148"/>
      <c r="E218" s="148"/>
      <c r="F218" s="148"/>
    </row>
    <row r="219" spans="2:6" ht="14.25" customHeight="1" x14ac:dyDescent="0.25"/>
    <row r="220" spans="2:6" ht="15.75" hidden="1" x14ac:dyDescent="0.25">
      <c r="B220" s="247"/>
      <c r="C220" s="176"/>
    </row>
    <row r="221" spans="2:6" hidden="1" x14ac:dyDescent="0.25">
      <c r="B221" s="248"/>
      <c r="C221" s="282"/>
    </row>
    <row r="222" spans="2:6" hidden="1" x14ac:dyDescent="0.25">
      <c r="B222" s="248"/>
      <c r="C222" s="286"/>
    </row>
    <row r="223" spans="2:6" hidden="1" x14ac:dyDescent="0.25">
      <c r="B223" s="248"/>
      <c r="C223" s="148"/>
    </row>
    <row r="224" spans="2:6" hidden="1" x14ac:dyDescent="0.25">
      <c r="B224" s="215"/>
    </row>
    <row r="225" spans="2:14" hidden="1" x14ac:dyDescent="0.25">
      <c r="B225" s="215"/>
    </row>
    <row r="226" spans="2:14" hidden="1" x14ac:dyDescent="0.25">
      <c r="B226" s="215"/>
    </row>
    <row r="227" spans="2:14" hidden="1" x14ac:dyDescent="0.25"/>
    <row r="228" spans="2:14" hidden="1" x14ac:dyDescent="0.25"/>
    <row r="229" spans="2:14" hidden="1" x14ac:dyDescent="0.25">
      <c r="C229" s="245">
        <v>41698</v>
      </c>
      <c r="D229" s="245">
        <v>41609</v>
      </c>
      <c r="E229" s="245">
        <v>41548</v>
      </c>
      <c r="F229" s="245">
        <v>41487</v>
      </c>
      <c r="G229" s="483">
        <v>41426</v>
      </c>
      <c r="H229" s="747"/>
      <c r="I229" s="551">
        <v>41306</v>
      </c>
      <c r="J229" s="245">
        <v>41274</v>
      </c>
      <c r="K229" s="245">
        <v>41213</v>
      </c>
      <c r="L229" s="245">
        <v>41152</v>
      </c>
      <c r="M229" s="246">
        <v>41090</v>
      </c>
      <c r="N229" s="245">
        <v>41029</v>
      </c>
    </row>
    <row r="230" spans="2:14" hidden="1" x14ac:dyDescent="0.25">
      <c r="B230" s="45" t="s">
        <v>129</v>
      </c>
      <c r="C230" s="176">
        <f>C72</f>
        <v>81233.680000000008</v>
      </c>
      <c r="D230" s="176">
        <f>105452.64+311868.06-305987</f>
        <v>111333.70000000001</v>
      </c>
      <c r="E230" s="176">
        <v>85798.300000000017</v>
      </c>
      <c r="F230" s="148">
        <f>53253.08+18642.89</f>
        <v>71895.97</v>
      </c>
      <c r="G230" s="483">
        <v>126315</v>
      </c>
      <c r="H230" s="748"/>
      <c r="I230" s="551">
        <v>75744</v>
      </c>
      <c r="J230" s="148">
        <v>119840.47</v>
      </c>
      <c r="K230" s="148">
        <v>120024</v>
      </c>
      <c r="L230" s="148">
        <v>109142</v>
      </c>
      <c r="M230" s="244">
        <v>142216.66</v>
      </c>
      <c r="N230" s="148">
        <v>104785.62</v>
      </c>
    </row>
    <row r="231" spans="2:14" hidden="1" x14ac:dyDescent="0.25">
      <c r="B231" s="45" t="s">
        <v>130</v>
      </c>
      <c r="C231" s="176">
        <f>D72</f>
        <v>58826.51</v>
      </c>
      <c r="D231" s="176">
        <f>74767.18-13600.56</f>
        <v>61166.619999999995</v>
      </c>
      <c r="E231" s="176">
        <v>86248.31</v>
      </c>
      <c r="F231" s="148">
        <v>43187.16</v>
      </c>
      <c r="G231" s="483">
        <v>60049</v>
      </c>
      <c r="H231" s="748"/>
      <c r="I231" s="551">
        <v>43152</v>
      </c>
      <c r="J231" s="148">
        <v>58938.2</v>
      </c>
      <c r="K231" s="148">
        <v>85767</v>
      </c>
      <c r="L231" s="148">
        <v>119436</v>
      </c>
      <c r="M231" s="244">
        <v>73223.850000000006</v>
      </c>
      <c r="N231" s="148">
        <v>86907.23</v>
      </c>
    </row>
    <row r="232" spans="2:14" hidden="1" x14ac:dyDescent="0.25">
      <c r="B232" s="45" t="s">
        <v>131</v>
      </c>
      <c r="C232" s="176">
        <f>E72</f>
        <v>106830.55</v>
      </c>
      <c r="D232" s="176">
        <f>66720.93-13675.33</f>
        <v>53045.599999999991</v>
      </c>
      <c r="E232" s="176">
        <v>32950.589999999997</v>
      </c>
      <c r="F232" s="148">
        <v>65970.55</v>
      </c>
      <c r="G232" s="483">
        <v>18719</v>
      </c>
      <c r="H232" s="748"/>
      <c r="I232" s="551">
        <v>50430</v>
      </c>
      <c r="J232" s="148">
        <v>88408.17</v>
      </c>
      <c r="K232" s="148">
        <v>26680</v>
      </c>
      <c r="L232" s="148">
        <v>51922</v>
      </c>
      <c r="M232" s="244">
        <v>77261.37</v>
      </c>
      <c r="N232" s="148">
        <v>11021.67</v>
      </c>
    </row>
    <row r="233" spans="2:14" hidden="1" x14ac:dyDescent="0.25">
      <c r="B233" s="45" t="s">
        <v>132</v>
      </c>
      <c r="C233" s="176">
        <f>F72</f>
        <v>76780</v>
      </c>
      <c r="D233" s="176">
        <v>86322.43</v>
      </c>
      <c r="E233" s="176">
        <v>66109.450000000012</v>
      </c>
      <c r="F233" s="148">
        <v>56011.13</v>
      </c>
      <c r="G233" s="483">
        <v>1250</v>
      </c>
      <c r="H233" s="748"/>
      <c r="I233" s="551">
        <v>9959</v>
      </c>
      <c r="J233" s="148">
        <v>18374.45</v>
      </c>
      <c r="K233" s="148">
        <v>22103</v>
      </c>
      <c r="L233" s="148">
        <v>71168</v>
      </c>
      <c r="M233" s="244">
        <v>55167.87</v>
      </c>
      <c r="N233" s="148"/>
    </row>
    <row r="234" spans="2:14" hidden="1" x14ac:dyDescent="0.25">
      <c r="C234" s="176">
        <f>SUM(C230:C233)</f>
        <v>323670.74</v>
      </c>
      <c r="D234" s="176">
        <f>SUM(D230:D233)</f>
        <v>311868.34999999998</v>
      </c>
      <c r="E234" s="176">
        <v>271106.65000000002</v>
      </c>
      <c r="F234" s="148">
        <f>SUM(F230:F233)</f>
        <v>237064.81</v>
      </c>
      <c r="G234" s="483">
        <f t="shared" ref="G234:N234" si="4">SUM(G230:G233)</f>
        <v>206333</v>
      </c>
      <c r="H234" s="748"/>
      <c r="I234" s="551">
        <f t="shared" si="4"/>
        <v>179285</v>
      </c>
      <c r="J234" s="148">
        <f t="shared" si="4"/>
        <v>285561.28999999998</v>
      </c>
      <c r="K234" s="148">
        <f t="shared" si="4"/>
        <v>254574</v>
      </c>
      <c r="L234" s="148">
        <f t="shared" si="4"/>
        <v>351668</v>
      </c>
      <c r="M234" s="148">
        <f t="shared" si="4"/>
        <v>347869.75</v>
      </c>
      <c r="N234" s="148">
        <f t="shared" si="4"/>
        <v>202714.52</v>
      </c>
    </row>
    <row r="235" spans="2:14" hidden="1" x14ac:dyDescent="0.25">
      <c r="D235" s="148"/>
      <c r="E235" s="148"/>
      <c r="F235" s="148"/>
      <c r="H235" s="748"/>
      <c r="I235" s="551"/>
      <c r="J235" s="148"/>
      <c r="K235" s="148"/>
      <c r="L235" s="244"/>
    </row>
    <row r="236" spans="2:14" hidden="1" x14ac:dyDescent="0.25">
      <c r="C236" s="148"/>
      <c r="D236" s="148"/>
      <c r="E236" s="148"/>
      <c r="F236" s="148"/>
      <c r="H236" s="748"/>
      <c r="J236" s="244"/>
      <c r="K236" s="244"/>
    </row>
    <row r="237" spans="2:14" hidden="1" x14ac:dyDescent="0.25">
      <c r="C237" s="148"/>
      <c r="D237" s="148"/>
      <c r="E237" s="148"/>
      <c r="F237" s="148"/>
      <c r="H237" s="748"/>
      <c r="J237" s="244"/>
      <c r="K237" s="244"/>
    </row>
    <row r="238" spans="2:14" hidden="1" x14ac:dyDescent="0.25"/>
    <row r="239" spans="2:14" hidden="1" x14ac:dyDescent="0.25"/>
    <row r="240" spans="2:14"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sheetData>
  <sortState xmlns:xlrd2="http://schemas.microsoft.com/office/spreadsheetml/2017/richdata2" ref="A81:J85">
    <sortCondition ref="A81:A85"/>
  </sortState>
  <mergeCells count="3">
    <mergeCell ref="A5:B5"/>
    <mergeCell ref="A54:B54"/>
    <mergeCell ref="A63:B63"/>
  </mergeCells>
  <pageMargins left="0.45" right="0.25" top="0.25" bottom="0" header="0.3" footer="0.3"/>
  <pageSetup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I78"/>
  <sheetViews>
    <sheetView zoomScale="70" zoomScaleNormal="70" workbookViewId="0">
      <selection activeCell="H43" sqref="H43:H44"/>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7" width="1.5" customWidth="1"/>
    <col min="8" max="8" width="23.875" customWidth="1"/>
    <col min="9" max="9" width="1.25" customWidth="1"/>
    <col min="10" max="10" width="25.25" customWidth="1"/>
    <col min="11" max="11" width="1.25" customWidth="1"/>
    <col min="12" max="12" width="24" customWidth="1"/>
    <col min="15" max="15" width="20.375" customWidth="1"/>
    <col min="16" max="16" width="22.87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92</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166</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11.25" hidden="1" customHeight="1" x14ac:dyDescent="0.4">
      <c r="A3" s="46"/>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35.1" hidden="1" customHeight="1" x14ac:dyDescent="0.4">
      <c r="A4" s="46" t="s">
        <v>46</v>
      </c>
      <c r="B4" s="47"/>
      <c r="C4" s="48"/>
      <c r="D4" s="48"/>
      <c r="E4" s="48"/>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row>
    <row r="6" spans="1:61" s="53" customFormat="1" ht="27.75" thickTop="1" thickBot="1" x14ac:dyDescent="0.25">
      <c r="A6" s="51" t="s">
        <v>47</v>
      </c>
      <c r="B6" s="51"/>
      <c r="C6" s="51"/>
      <c r="D6" s="51"/>
      <c r="E6" s="51"/>
      <c r="F6" s="51"/>
      <c r="G6" s="186"/>
      <c r="H6" s="801" t="s">
        <v>48</v>
      </c>
      <c r="I6" s="801"/>
      <c r="J6" s="801"/>
      <c r="K6" s="186"/>
      <c r="L6" s="186"/>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row>
    <row r="8" spans="1:61" ht="21" thickBot="1" x14ac:dyDescent="0.35">
      <c r="A8" s="56"/>
      <c r="B8" s="115" t="s">
        <v>49</v>
      </c>
      <c r="C8" s="115"/>
      <c r="D8" s="115"/>
      <c r="E8" s="115"/>
      <c r="F8" s="115"/>
      <c r="G8" s="257"/>
      <c r="H8" s="217">
        <v>45535</v>
      </c>
      <c r="I8" s="217"/>
      <c r="J8" s="217">
        <v>45291</v>
      </c>
      <c r="L8" s="217">
        <f>H8-366</f>
        <v>45169</v>
      </c>
    </row>
    <row r="9" spans="1:61" s="55" customFormat="1" ht="6.75" customHeight="1" x14ac:dyDescent="0.2">
      <c r="A9" s="54"/>
      <c r="B9" s="54"/>
      <c r="C9" s="54"/>
      <c r="D9" s="54"/>
      <c r="E9" s="54"/>
      <c r="F9" s="54"/>
    </row>
    <row r="10" spans="1:61" s="55" customFormat="1" ht="20.25" x14ac:dyDescent="0.2">
      <c r="A10" s="54"/>
      <c r="B10" s="54"/>
      <c r="C10" s="54" t="s">
        <v>50</v>
      </c>
      <c r="D10" s="54"/>
      <c r="E10" s="54"/>
      <c r="F10" s="54"/>
    </row>
    <row r="11" spans="1:61" s="55" customFormat="1" ht="20.25" hidden="1" x14ac:dyDescent="0.2">
      <c r="A11" s="58"/>
      <c r="B11" s="58"/>
      <c r="C11" s="58"/>
      <c r="D11" s="58" t="s">
        <v>74</v>
      </c>
      <c r="E11" s="58"/>
      <c r="F11" s="58"/>
      <c r="G11" s="204"/>
      <c r="H11" s="204" t="s">
        <v>97</v>
      </c>
      <c r="I11" s="204"/>
      <c r="J11" s="204" t="s">
        <v>97</v>
      </c>
      <c r="L11" s="204" t="s">
        <v>97</v>
      </c>
    </row>
    <row r="12" spans="1:61" s="55" customFormat="1" ht="20.25" hidden="1" x14ac:dyDescent="0.2">
      <c r="A12" s="58"/>
      <c r="B12" s="58"/>
      <c r="C12" s="58"/>
      <c r="D12" s="58" t="s">
        <v>75</v>
      </c>
      <c r="E12" s="58"/>
      <c r="F12" s="58"/>
      <c r="G12" s="204"/>
      <c r="H12" s="204" t="s">
        <v>97</v>
      </c>
      <c r="I12" s="204"/>
      <c r="J12" s="204" t="s">
        <v>97</v>
      </c>
      <c r="L12" s="204" t="s">
        <v>97</v>
      </c>
    </row>
    <row r="13" spans="1:61" s="55" customFormat="1" ht="20.25" x14ac:dyDescent="0.2">
      <c r="A13" s="58"/>
      <c r="B13" s="58"/>
      <c r="C13" s="58"/>
      <c r="D13" s="58" t="s">
        <v>175</v>
      </c>
      <c r="E13" s="58"/>
      <c r="F13" s="58"/>
      <c r="G13" s="189"/>
      <c r="H13" s="189">
        <v>178921.1</v>
      </c>
      <c r="I13" s="189"/>
      <c r="J13" s="189">
        <v>661674.81999999995</v>
      </c>
      <c r="L13" s="189">
        <v>518929</v>
      </c>
    </row>
    <row r="14" spans="1:61" s="55" customFormat="1" ht="20.25" x14ac:dyDescent="0.2">
      <c r="A14" s="58"/>
      <c r="B14" s="58"/>
      <c r="C14" s="58"/>
      <c r="D14" s="58" t="s">
        <v>686</v>
      </c>
      <c r="E14" s="58"/>
      <c r="F14" s="58"/>
      <c r="G14" s="189"/>
      <c r="H14" s="180">
        <v>252348.09</v>
      </c>
      <c r="I14" s="189"/>
      <c r="J14" s="189"/>
      <c r="L14" s="189"/>
    </row>
    <row r="15" spans="1:61" s="55" customFormat="1" ht="20.25" x14ac:dyDescent="0.2">
      <c r="A15" s="58"/>
      <c r="B15" s="58"/>
      <c r="C15" s="58"/>
      <c r="D15" s="58" t="s">
        <v>176</v>
      </c>
      <c r="E15" s="58"/>
      <c r="F15" s="58"/>
      <c r="G15" s="180"/>
      <c r="H15" s="180">
        <v>200.01</v>
      </c>
      <c r="I15" s="180"/>
      <c r="J15" s="180">
        <v>200.01</v>
      </c>
      <c r="L15" s="180">
        <v>200</v>
      </c>
    </row>
    <row r="16" spans="1:61" s="55" customFormat="1" ht="20.25" x14ac:dyDescent="0.2">
      <c r="A16" s="58"/>
      <c r="B16" s="58"/>
      <c r="C16" s="59"/>
      <c r="D16" s="59" t="s">
        <v>76</v>
      </c>
      <c r="E16" s="59"/>
      <c r="F16" s="59"/>
      <c r="G16" s="180"/>
      <c r="H16" s="182">
        <v>200</v>
      </c>
      <c r="I16" s="180"/>
      <c r="J16" s="182">
        <v>200</v>
      </c>
      <c r="L16" s="182">
        <v>200</v>
      </c>
    </row>
    <row r="17" spans="1:16" s="55" customFormat="1" ht="20.25" x14ac:dyDescent="0.2">
      <c r="A17" s="54"/>
      <c r="B17" s="54"/>
      <c r="C17" s="54" t="s">
        <v>51</v>
      </c>
      <c r="D17" s="54"/>
      <c r="E17" s="54"/>
      <c r="F17" s="54"/>
      <c r="G17" s="183"/>
      <c r="H17" s="183">
        <f>SUM(H13:H16)</f>
        <v>431669.2</v>
      </c>
      <c r="I17" s="183"/>
      <c r="J17" s="183">
        <f>SUM(J13:J16)</f>
        <v>662074.82999999996</v>
      </c>
      <c r="L17" s="183">
        <f>ROUND(SUM(L10:L16),5)</f>
        <v>519329</v>
      </c>
    </row>
    <row r="18" spans="1:16" s="55" customFormat="1" ht="14.25" customHeight="1" x14ac:dyDescent="0.2">
      <c r="A18" s="54"/>
      <c r="B18" s="54"/>
      <c r="C18" s="54"/>
      <c r="D18" s="54"/>
      <c r="E18" s="54"/>
      <c r="F18" s="54"/>
      <c r="G18" s="180"/>
      <c r="H18" s="180"/>
      <c r="I18" s="180"/>
      <c r="J18" s="180"/>
      <c r="L18" s="180"/>
    </row>
    <row r="19" spans="1:16" s="55" customFormat="1" ht="20.25" x14ac:dyDescent="0.2">
      <c r="A19" s="54"/>
      <c r="B19" s="54"/>
      <c r="C19" s="54" t="s">
        <v>53</v>
      </c>
      <c r="D19" s="54"/>
      <c r="E19" s="54"/>
      <c r="F19" s="54"/>
      <c r="G19" s="180"/>
      <c r="H19" s="180"/>
      <c r="I19" s="180"/>
      <c r="J19" s="180"/>
      <c r="L19" s="180"/>
    </row>
    <row r="20" spans="1:16" s="55" customFormat="1" ht="20.25" x14ac:dyDescent="0.2">
      <c r="A20" s="58"/>
      <c r="B20" s="58"/>
      <c r="C20" s="58"/>
      <c r="D20" s="58" t="s">
        <v>146</v>
      </c>
      <c r="E20" s="58"/>
      <c r="F20" s="58"/>
      <c r="G20" s="216"/>
      <c r="H20" s="216">
        <f>'August''24 AR Aging '!G72</f>
        <v>323670.74000000005</v>
      </c>
      <c r="I20" s="216"/>
      <c r="J20" s="216">
        <v>266721.7</v>
      </c>
      <c r="K20" s="191"/>
      <c r="L20" s="216">
        <v>235427.62</v>
      </c>
    </row>
    <row r="21" spans="1:16" s="55" customFormat="1" ht="20.25" x14ac:dyDescent="0.2">
      <c r="A21" s="58"/>
      <c r="B21" s="58"/>
      <c r="C21" s="58"/>
      <c r="D21" s="58" t="s">
        <v>158</v>
      </c>
      <c r="E21" s="58"/>
      <c r="F21" s="58"/>
      <c r="G21" s="216"/>
      <c r="H21" s="180">
        <v>0</v>
      </c>
      <c r="I21" s="180"/>
      <c r="J21" s="180">
        <v>0</v>
      </c>
      <c r="K21" s="191"/>
      <c r="L21" s="180"/>
    </row>
    <row r="22" spans="1:16" s="55" customFormat="1" ht="20.25" x14ac:dyDescent="0.2">
      <c r="A22" s="58"/>
      <c r="B22" s="58"/>
      <c r="C22" s="58"/>
      <c r="D22" s="58" t="s">
        <v>210</v>
      </c>
      <c r="E22" s="58"/>
      <c r="F22" s="58"/>
      <c r="G22" s="180"/>
      <c r="H22" s="180">
        <v>493219.34</v>
      </c>
      <c r="I22" s="180"/>
      <c r="J22" s="180">
        <v>434275.6</v>
      </c>
      <c r="K22" s="191"/>
      <c r="L22" s="180">
        <v>410999.85</v>
      </c>
      <c r="P22" s="191"/>
    </row>
    <row r="23" spans="1:16" s="55" customFormat="1" ht="20.25" x14ac:dyDescent="0.2">
      <c r="A23" s="58"/>
      <c r="B23" s="58"/>
      <c r="C23" s="59"/>
      <c r="D23" s="59" t="s">
        <v>77</v>
      </c>
      <c r="E23" s="59"/>
      <c r="F23" s="59"/>
      <c r="G23" s="180"/>
      <c r="H23" s="182">
        <v>8630.39</v>
      </c>
      <c r="I23" s="180"/>
      <c r="J23" s="182">
        <v>7581.94</v>
      </c>
      <c r="K23" s="191"/>
      <c r="L23" s="182">
        <v>7274.52</v>
      </c>
    </row>
    <row r="24" spans="1:16" s="55" customFormat="1" ht="20.25" x14ac:dyDescent="0.2">
      <c r="A24" s="54"/>
      <c r="B24" s="54"/>
      <c r="C24" s="54" t="s">
        <v>54</v>
      </c>
      <c r="D24" s="54"/>
      <c r="E24" s="54"/>
      <c r="F24" s="54"/>
      <c r="G24" s="183"/>
      <c r="H24" s="183">
        <f>SUM(H20:H23)</f>
        <v>825520.47000000009</v>
      </c>
      <c r="I24" s="183"/>
      <c r="J24" s="183">
        <f>SUM(J20:J23)</f>
        <v>708579.24</v>
      </c>
      <c r="K24" s="191"/>
      <c r="L24" s="183">
        <f>SUM(L20:L23)</f>
        <v>653701.99</v>
      </c>
    </row>
    <row r="25" spans="1:16" s="55" customFormat="1" ht="20.25" x14ac:dyDescent="0.2">
      <c r="A25" s="54"/>
      <c r="B25" s="54"/>
      <c r="C25" s="54"/>
      <c r="D25" s="54"/>
      <c r="E25" s="54"/>
      <c r="F25" s="54"/>
      <c r="G25" s="180"/>
      <c r="H25" s="180"/>
      <c r="I25" s="180"/>
      <c r="J25" s="180"/>
      <c r="L25" s="180"/>
    </row>
    <row r="26" spans="1:16" s="55" customFormat="1" ht="20.25" x14ac:dyDescent="0.2">
      <c r="A26" s="54"/>
      <c r="B26" s="60" t="s">
        <v>55</v>
      </c>
      <c r="C26" s="60"/>
      <c r="D26" s="60"/>
      <c r="E26" s="60"/>
      <c r="F26" s="60"/>
      <c r="G26" s="183"/>
      <c r="H26" s="552">
        <f>H17+H24</f>
        <v>1257189.6700000002</v>
      </c>
      <c r="I26" s="183"/>
      <c r="J26" s="552">
        <f>J17+J24</f>
        <v>1370654.0699999998</v>
      </c>
      <c r="L26" s="552">
        <f>L17+L24</f>
        <v>1173030.99</v>
      </c>
    </row>
    <row r="27" spans="1:16" s="55" customFormat="1" ht="20.25" x14ac:dyDescent="0.2">
      <c r="A27" s="54"/>
      <c r="B27" s="54"/>
      <c r="C27" s="54"/>
      <c r="D27" s="54"/>
      <c r="E27" s="54"/>
      <c r="F27" s="54"/>
      <c r="G27" s="183"/>
      <c r="H27" s="183"/>
      <c r="I27" s="183"/>
      <c r="J27" s="183"/>
      <c r="L27" s="183"/>
    </row>
    <row r="28" spans="1:16" ht="20.25" x14ac:dyDescent="0.3">
      <c r="A28" s="56"/>
      <c r="B28" s="57" t="s">
        <v>56</v>
      </c>
      <c r="C28" s="57"/>
      <c r="D28" s="57"/>
      <c r="E28" s="57"/>
      <c r="F28" s="57"/>
      <c r="G28" s="205"/>
      <c r="H28" s="184"/>
      <c r="I28" s="205"/>
      <c r="J28" s="184"/>
      <c r="L28" s="184"/>
      <c r="P28" s="528"/>
    </row>
    <row r="29" spans="1:16" s="55" customFormat="1" ht="20.25" hidden="1" x14ac:dyDescent="0.2">
      <c r="A29" s="58"/>
      <c r="B29" s="58"/>
      <c r="C29" s="58"/>
      <c r="D29" s="58" t="s">
        <v>78</v>
      </c>
      <c r="E29" s="58"/>
      <c r="F29" s="58"/>
      <c r="G29" s="180"/>
      <c r="H29" s="180">
        <v>221731.4</v>
      </c>
      <c r="I29" s="180"/>
      <c r="J29" s="180">
        <v>221731.4</v>
      </c>
      <c r="K29" s="191"/>
      <c r="L29" s="180">
        <v>192474.47</v>
      </c>
      <c r="P29" s="191"/>
    </row>
    <row r="30" spans="1:16" s="55" customFormat="1" ht="20.25" hidden="1" x14ac:dyDescent="0.2">
      <c r="A30" s="58"/>
      <c r="B30" s="58"/>
      <c r="C30" s="58"/>
      <c r="D30" s="58" t="s">
        <v>79</v>
      </c>
      <c r="E30" s="58"/>
      <c r="F30" s="58"/>
      <c r="G30" s="180"/>
      <c r="H30" s="180">
        <v>49562</v>
      </c>
      <c r="I30" s="180"/>
      <c r="J30" s="180">
        <v>49562</v>
      </c>
      <c r="K30" s="191"/>
      <c r="L30" s="180">
        <v>49562</v>
      </c>
    </row>
    <row r="31" spans="1:16" s="55" customFormat="1" ht="20.25" hidden="1" x14ac:dyDescent="0.2">
      <c r="A31" s="58"/>
      <c r="B31" s="58"/>
      <c r="C31" s="58"/>
      <c r="D31" s="58" t="s">
        <v>80</v>
      </c>
      <c r="E31" s="58"/>
      <c r="F31" s="58"/>
      <c r="G31" s="180"/>
      <c r="H31" s="180">
        <v>207734.77</v>
      </c>
      <c r="I31" s="180"/>
      <c r="J31" s="180">
        <v>207734.77</v>
      </c>
      <c r="K31" s="191"/>
      <c r="L31" s="180">
        <v>158464.06</v>
      </c>
    </row>
    <row r="32" spans="1:16" s="55" customFormat="1" ht="20.25" hidden="1" x14ac:dyDescent="0.2">
      <c r="A32" s="58"/>
      <c r="B32" s="58"/>
      <c r="C32" s="58"/>
      <c r="D32" s="58" t="s">
        <v>81</v>
      </c>
      <c r="E32" s="58"/>
      <c r="F32" s="58"/>
      <c r="G32" s="180"/>
      <c r="H32" s="180">
        <v>-324036.03999999998</v>
      </c>
      <c r="I32" s="180"/>
      <c r="J32" s="180">
        <v>-324036.03999999998</v>
      </c>
      <c r="K32" s="191"/>
      <c r="L32" s="180">
        <f>-279077.04</f>
        <v>-279077.03999999998</v>
      </c>
    </row>
    <row r="33" spans="1:61" s="55" customFormat="1" ht="20.25" x14ac:dyDescent="0.2">
      <c r="A33" s="54"/>
      <c r="B33" s="60" t="s">
        <v>323</v>
      </c>
      <c r="C33" s="60"/>
      <c r="D33" s="60"/>
      <c r="E33" s="60"/>
      <c r="F33" s="60"/>
      <c r="G33" s="183"/>
      <c r="H33" s="185">
        <v>170839.83</v>
      </c>
      <c r="I33" s="183"/>
      <c r="J33" s="185">
        <v>184752.58</v>
      </c>
      <c r="L33" s="185">
        <f>113429.58-11869+98000</f>
        <v>199560.58000000002</v>
      </c>
      <c r="P33" s="183"/>
    </row>
    <row r="34" spans="1:61" s="55" customFormat="1" ht="7.5" customHeight="1" x14ac:dyDescent="0.2">
      <c r="A34" s="54"/>
      <c r="B34" s="54"/>
      <c r="C34" s="54"/>
      <c r="D34" s="54"/>
      <c r="E34" s="54"/>
      <c r="F34" s="54"/>
      <c r="G34" s="183"/>
      <c r="H34" s="183" t="s">
        <v>533</v>
      </c>
      <c r="I34" s="183"/>
      <c r="J34" s="183" t="s">
        <v>533</v>
      </c>
      <c r="L34" s="183"/>
    </row>
    <row r="35" spans="1:61" s="55" customFormat="1" ht="12.75" customHeight="1" thickBot="1" x14ac:dyDescent="0.25">
      <c r="A35" s="54"/>
      <c r="B35" s="54"/>
      <c r="C35" s="54"/>
      <c r="D35" s="54"/>
      <c r="E35" s="54"/>
      <c r="F35" s="54"/>
      <c r="G35" s="180"/>
      <c r="H35" s="180"/>
      <c r="I35" s="180"/>
      <c r="J35" s="180"/>
      <c r="L35" s="180"/>
    </row>
    <row r="36" spans="1:61" s="63" customFormat="1" ht="27.75" thickTop="1" thickBot="1" x14ac:dyDescent="0.25">
      <c r="A36" s="61" t="s">
        <v>57</v>
      </c>
      <c r="B36" s="61"/>
      <c r="C36" s="61"/>
      <c r="D36" s="61"/>
      <c r="E36" s="61"/>
      <c r="F36" s="61"/>
      <c r="G36" s="207"/>
      <c r="H36" s="190">
        <f>H26+H33</f>
        <v>1428029.5000000002</v>
      </c>
      <c r="I36" s="207"/>
      <c r="J36" s="190">
        <f>J26+J33</f>
        <v>1555406.65</v>
      </c>
      <c r="K36" s="62"/>
      <c r="L36" s="190">
        <f>L26+L33</f>
        <v>1372591.57</v>
      </c>
      <c r="M36" s="62"/>
      <c r="N36" s="62"/>
      <c r="O36" s="62"/>
      <c r="P36" s="479"/>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row>
    <row r="37" spans="1:61" s="64" customFormat="1" ht="33" customHeight="1" thickTop="1" thickBot="1" x14ac:dyDescent="0.25">
      <c r="A37" s="54"/>
      <c r="B37" s="54"/>
      <c r="C37" s="54"/>
      <c r="D37" s="54"/>
      <c r="E37" s="54"/>
      <c r="F37" s="54"/>
      <c r="G37" s="259"/>
      <c r="H37" s="183"/>
      <c r="I37" s="183"/>
      <c r="J37" s="183"/>
      <c r="L37" s="183"/>
      <c r="P37" s="308"/>
    </row>
    <row r="38" spans="1:61" s="53" customFormat="1" ht="27.75" thickTop="1" thickBot="1" x14ac:dyDescent="0.25">
      <c r="A38" s="51" t="s">
        <v>58</v>
      </c>
      <c r="B38" s="51"/>
      <c r="C38" s="51"/>
      <c r="D38" s="51"/>
      <c r="E38" s="51"/>
      <c r="F38" s="51"/>
      <c r="G38" s="258"/>
      <c r="H38" s="186"/>
      <c r="I38" s="186"/>
      <c r="J38" s="186"/>
      <c r="K38" s="52"/>
      <c r="L38" s="186"/>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row>
    <row r="39" spans="1:61" s="55" customFormat="1" ht="12.75" customHeight="1" thickTop="1" x14ac:dyDescent="0.2">
      <c r="A39" s="54"/>
      <c r="B39" s="54"/>
      <c r="C39" s="54"/>
      <c r="D39" s="54"/>
      <c r="E39" s="54"/>
      <c r="F39" s="54"/>
      <c r="G39" s="180"/>
      <c r="H39" s="180"/>
      <c r="I39" s="180"/>
      <c r="J39" s="180"/>
      <c r="L39" s="180"/>
    </row>
    <row r="40" spans="1:61" s="55" customFormat="1" ht="19.5" customHeight="1" thickBot="1" x14ac:dyDescent="0.25">
      <c r="A40" s="54"/>
      <c r="B40" s="65" t="s">
        <v>59</v>
      </c>
      <c r="C40" s="66"/>
      <c r="D40" s="66"/>
      <c r="E40" s="66"/>
      <c r="F40" s="66"/>
      <c r="G40" s="187"/>
      <c r="H40" s="187"/>
      <c r="I40" s="187"/>
      <c r="J40" s="187"/>
      <c r="L40" s="187"/>
      <c r="P40" s="307"/>
    </row>
    <row r="41" spans="1:61" s="55" customFormat="1" ht="9" customHeight="1" x14ac:dyDescent="0.2">
      <c r="A41" s="54"/>
      <c r="B41" s="54"/>
      <c r="C41" s="54"/>
      <c r="D41" s="54"/>
      <c r="E41" s="54"/>
      <c r="F41" s="54"/>
      <c r="G41" s="180"/>
      <c r="H41" s="180"/>
      <c r="I41" s="180"/>
      <c r="J41" s="180"/>
      <c r="L41" s="180"/>
    </row>
    <row r="42" spans="1:61" ht="21" thickBot="1" x14ac:dyDescent="0.35">
      <c r="A42" s="56"/>
      <c r="B42" s="115" t="s">
        <v>60</v>
      </c>
      <c r="C42" s="116"/>
      <c r="D42" s="115"/>
      <c r="E42" s="115"/>
      <c r="F42" s="115"/>
      <c r="G42" s="205"/>
      <c r="H42" s="181"/>
      <c r="I42" s="205"/>
      <c r="J42" s="181"/>
      <c r="L42" s="181"/>
    </row>
    <row r="43" spans="1:61" s="55" customFormat="1" ht="20.25" x14ac:dyDescent="0.2">
      <c r="A43" s="58"/>
      <c r="B43" s="58"/>
      <c r="C43" s="58"/>
      <c r="D43" s="58" t="s">
        <v>147</v>
      </c>
      <c r="F43" s="58"/>
      <c r="G43" s="189"/>
      <c r="H43" s="189">
        <v>8569.5400000000009</v>
      </c>
      <c r="I43" s="189"/>
      <c r="J43" s="189">
        <v>11252.39</v>
      </c>
      <c r="K43" s="303"/>
      <c r="L43" s="189">
        <v>28304.74</v>
      </c>
      <c r="N43" s="303"/>
      <c r="P43" s="307"/>
    </row>
    <row r="44" spans="1:61" s="55" customFormat="1" ht="20.25" x14ac:dyDescent="0.2">
      <c r="A44" s="58"/>
      <c r="B44" s="58"/>
      <c r="C44" s="58"/>
      <c r="D44" s="58" t="s">
        <v>94</v>
      </c>
      <c r="F44" s="58"/>
      <c r="G44" s="180"/>
      <c r="H44" s="180">
        <v>125</v>
      </c>
      <c r="I44" s="180"/>
      <c r="J44" s="180">
        <v>1663.45</v>
      </c>
      <c r="L44" s="180">
        <v>1097.07</v>
      </c>
    </row>
    <row r="45" spans="1:61" s="55" customFormat="1" ht="20.25" hidden="1" x14ac:dyDescent="0.2">
      <c r="A45" s="58"/>
      <c r="B45" s="58"/>
      <c r="C45" s="58"/>
      <c r="D45" s="58" t="s">
        <v>401</v>
      </c>
      <c r="F45" s="58"/>
      <c r="G45" s="180"/>
      <c r="H45" s="180">
        <v>0</v>
      </c>
      <c r="I45" s="180"/>
      <c r="J45" s="180">
        <v>0</v>
      </c>
      <c r="L45" s="180"/>
    </row>
    <row r="46" spans="1:61" s="55" customFormat="1" ht="20.25" x14ac:dyDescent="0.2">
      <c r="A46" s="58"/>
      <c r="B46" s="58"/>
      <c r="C46" s="58"/>
      <c r="D46" s="803" t="s">
        <v>458</v>
      </c>
      <c r="E46" s="803"/>
      <c r="F46" s="803"/>
      <c r="G46" s="180"/>
      <c r="H46" s="180">
        <f>70967.52+8669</f>
        <v>79636.52</v>
      </c>
      <c r="I46" s="180"/>
      <c r="J46" s="180">
        <f>89314.72+8669</f>
        <v>97983.72</v>
      </c>
      <c r="L46" s="180">
        <f>-6086.72+8669+98000+4658</f>
        <v>105240.28</v>
      </c>
      <c r="P46" s="180"/>
    </row>
    <row r="47" spans="1:61" s="55" customFormat="1" ht="20.25" x14ac:dyDescent="0.2">
      <c r="A47" s="58"/>
      <c r="B47" s="58"/>
      <c r="C47" s="58"/>
      <c r="D47" s="58" t="s">
        <v>82</v>
      </c>
      <c r="F47" s="58"/>
      <c r="G47" s="180"/>
      <c r="H47" s="180">
        <v>7968.97</v>
      </c>
      <c r="I47" s="180"/>
      <c r="J47" s="180">
        <v>26916.5</v>
      </c>
      <c r="L47" s="180">
        <v>0</v>
      </c>
    </row>
    <row r="48" spans="1:61" s="55" customFormat="1" ht="20.25" hidden="1" x14ac:dyDescent="0.2">
      <c r="A48" s="58"/>
      <c r="B48" s="58"/>
      <c r="C48" s="58"/>
      <c r="D48" s="58" t="s">
        <v>154</v>
      </c>
      <c r="F48" s="58"/>
      <c r="G48" s="180"/>
      <c r="H48" s="180">
        <v>0</v>
      </c>
      <c r="I48" s="180"/>
      <c r="J48" s="180">
        <v>0</v>
      </c>
      <c r="L48" s="180">
        <v>0</v>
      </c>
    </row>
    <row r="49" spans="1:19" s="55" customFormat="1" ht="20.25" x14ac:dyDescent="0.2">
      <c r="A49" s="58"/>
      <c r="B49" s="58"/>
      <c r="C49" s="58"/>
      <c r="D49" s="59" t="s">
        <v>93</v>
      </c>
      <c r="E49" s="114"/>
      <c r="F49" s="59"/>
      <c r="G49" s="180"/>
      <c r="H49" s="180">
        <f>'August''24 Revenues &amp; Expenses'!L62</f>
        <v>139441.88999999998</v>
      </c>
      <c r="I49" s="180"/>
      <c r="J49" s="180">
        <v>322217.98</v>
      </c>
      <c r="K49" s="191"/>
      <c r="L49" s="180">
        <v>213941.22</v>
      </c>
      <c r="P49" s="191"/>
    </row>
    <row r="50" spans="1:19" s="55" customFormat="1" ht="20.25" x14ac:dyDescent="0.2">
      <c r="A50" s="58"/>
      <c r="B50" s="58"/>
      <c r="C50" s="60" t="s">
        <v>70</v>
      </c>
      <c r="D50" s="58"/>
      <c r="F50" s="58"/>
      <c r="G50" s="180"/>
      <c r="H50" s="188">
        <f>SUM(H43:H49)</f>
        <v>235741.91999999998</v>
      </c>
      <c r="I50" s="180"/>
      <c r="J50" s="188">
        <f>SUM(J43:J49)</f>
        <v>460034.04</v>
      </c>
      <c r="L50" s="188">
        <f>SUM(L43:L49)</f>
        <v>348583.31</v>
      </c>
      <c r="P50" s="307"/>
    </row>
    <row r="51" spans="1:19" s="55" customFormat="1" ht="9.75" customHeight="1" x14ac:dyDescent="0.2">
      <c r="A51" s="58"/>
      <c r="B51" s="58"/>
      <c r="C51" s="58"/>
      <c r="D51" s="58"/>
      <c r="E51" s="58"/>
      <c r="F51" s="58"/>
      <c r="G51" s="180"/>
      <c r="H51" s="180"/>
      <c r="I51" s="180"/>
      <c r="J51" s="180"/>
      <c r="L51" s="180"/>
    </row>
    <row r="52" spans="1:19" s="55" customFormat="1" ht="20.25" x14ac:dyDescent="0.2">
      <c r="A52" s="58"/>
      <c r="B52" s="58"/>
      <c r="C52" s="67" t="s">
        <v>72</v>
      </c>
      <c r="D52" s="67"/>
      <c r="E52" s="114"/>
      <c r="F52" s="114"/>
      <c r="G52" s="180"/>
      <c r="H52" s="182"/>
      <c r="I52" s="180"/>
      <c r="J52" s="182"/>
      <c r="L52" s="182"/>
    </row>
    <row r="53" spans="1:19" s="55" customFormat="1" ht="20.25" x14ac:dyDescent="0.2">
      <c r="A53" s="58"/>
      <c r="B53" s="58"/>
      <c r="C53" s="58"/>
      <c r="D53" s="58" t="s">
        <v>85</v>
      </c>
      <c r="E53" s="58"/>
      <c r="F53" s="58"/>
      <c r="G53" s="180"/>
      <c r="H53" s="180">
        <f>18090.49</f>
        <v>18090.490000000002</v>
      </c>
      <c r="I53" s="180"/>
      <c r="J53" s="180">
        <f>36843.86+1930.12-J55-J56</f>
        <v>37749.699999999997</v>
      </c>
      <c r="L53" s="180">
        <f>13940.52+8099.51-L55-L56</f>
        <v>20227.07</v>
      </c>
    </row>
    <row r="54" spans="1:19" s="55" customFormat="1" ht="20.25" x14ac:dyDescent="0.2">
      <c r="A54" s="58"/>
      <c r="B54" s="58"/>
      <c r="C54" s="58"/>
      <c r="D54" s="58" t="s">
        <v>86</v>
      </c>
      <c r="E54" s="58"/>
      <c r="F54" s="58"/>
      <c r="G54" s="180"/>
      <c r="H54" s="180">
        <f>27013.15+2862.58-H55-H56</f>
        <v>28817.430000000004</v>
      </c>
      <c r="I54" s="180"/>
      <c r="J54" s="180">
        <v>19374.5</v>
      </c>
      <c r="L54" s="180">
        <v>26693.63</v>
      </c>
      <c r="Q54" s="191"/>
    </row>
    <row r="55" spans="1:19" s="55" customFormat="1" ht="20.25" x14ac:dyDescent="0.2">
      <c r="A55" s="58"/>
      <c r="B55" s="58"/>
      <c r="C55" s="58"/>
      <c r="D55" s="58" t="s">
        <v>87</v>
      </c>
      <c r="E55" s="58"/>
      <c r="F55" s="58"/>
      <c r="G55" s="180"/>
      <c r="H55" s="180">
        <v>868.04</v>
      </c>
      <c r="I55" s="180"/>
      <c r="J55" s="180">
        <v>880.16</v>
      </c>
      <c r="L55" s="180">
        <v>1675.7</v>
      </c>
    </row>
    <row r="56" spans="1:19" s="55" customFormat="1" ht="20.25" x14ac:dyDescent="0.2">
      <c r="A56" s="58"/>
      <c r="B56" s="58"/>
      <c r="C56" s="58"/>
      <c r="D56" s="58" t="s">
        <v>88</v>
      </c>
      <c r="E56" s="58"/>
      <c r="F56" s="58"/>
      <c r="G56" s="180"/>
      <c r="H56" s="182">
        <v>190.26</v>
      </c>
      <c r="I56" s="180"/>
      <c r="J56" s="182">
        <v>144.12</v>
      </c>
      <c r="L56" s="182">
        <v>137.26</v>
      </c>
      <c r="P56" s="191"/>
      <c r="Q56" s="191"/>
    </row>
    <row r="57" spans="1:19" s="55" customFormat="1" ht="20.25" x14ac:dyDescent="0.2">
      <c r="A57" s="58"/>
      <c r="B57" s="58"/>
      <c r="C57" s="54" t="s">
        <v>71</v>
      </c>
      <c r="D57" s="58"/>
      <c r="F57" s="58"/>
      <c r="G57" s="180"/>
      <c r="H57" s="180">
        <f>ROUND(SUM(H52:H56),5)</f>
        <v>47966.22</v>
      </c>
      <c r="I57" s="180"/>
      <c r="J57" s="180">
        <f>ROUND(SUM(J52:J56),5)</f>
        <v>58148.480000000003</v>
      </c>
      <c r="L57" s="180">
        <f>ROUND(SUM(L52:L56),5)</f>
        <v>48733.66</v>
      </c>
    </row>
    <row r="58" spans="1:19" s="55" customFormat="1" ht="7.5" customHeight="1" x14ac:dyDescent="0.2">
      <c r="A58" s="58"/>
      <c r="B58" s="58"/>
      <c r="C58" s="59"/>
      <c r="D58" s="59"/>
      <c r="E58" s="59"/>
      <c r="F58" s="59"/>
      <c r="G58" s="180"/>
      <c r="H58" s="182"/>
      <c r="I58" s="180"/>
      <c r="J58" s="182"/>
      <c r="L58" s="182"/>
    </row>
    <row r="59" spans="1:19" s="55" customFormat="1" ht="20.25" x14ac:dyDescent="0.2">
      <c r="A59" s="54"/>
      <c r="B59" s="54"/>
      <c r="C59" s="54" t="s">
        <v>73</v>
      </c>
      <c r="D59" s="54"/>
      <c r="E59" s="54"/>
      <c r="F59" s="54"/>
      <c r="G59" s="183"/>
      <c r="H59" s="183">
        <f>H50+H57</f>
        <v>283708.14</v>
      </c>
      <c r="I59" s="183"/>
      <c r="J59" s="183">
        <f>J50+J57</f>
        <v>518182.51999999996</v>
      </c>
      <c r="K59" s="191"/>
      <c r="L59" s="183">
        <f>L50+L57</f>
        <v>397316.97</v>
      </c>
      <c r="N59" s="271"/>
      <c r="P59" s="271"/>
      <c r="S59" s="191"/>
    </row>
    <row r="60" spans="1:19" s="55" customFormat="1" ht="18.75" customHeight="1" x14ac:dyDescent="0.2">
      <c r="A60" s="54"/>
      <c r="B60" s="54"/>
      <c r="C60" s="54"/>
      <c r="D60" s="54"/>
      <c r="E60" s="54"/>
      <c r="F60" s="54"/>
      <c r="G60" s="183"/>
      <c r="H60" s="183"/>
      <c r="I60" s="183"/>
      <c r="J60" s="183"/>
      <c r="L60" s="271"/>
    </row>
    <row r="61" spans="1:19" s="55" customFormat="1" ht="24" thickBot="1" x14ac:dyDescent="0.25">
      <c r="A61" s="54"/>
      <c r="B61" s="65" t="s">
        <v>61</v>
      </c>
      <c r="C61" s="66"/>
      <c r="D61" s="66"/>
      <c r="E61" s="66"/>
      <c r="F61" s="66"/>
      <c r="G61" s="180"/>
      <c r="H61" s="187"/>
      <c r="I61" s="180"/>
      <c r="J61" s="187"/>
      <c r="L61" s="187"/>
    </row>
    <row r="62" spans="1:19" s="55" customFormat="1" ht="20.25" x14ac:dyDescent="0.2">
      <c r="A62" s="58"/>
      <c r="B62" s="58"/>
      <c r="D62" s="58" t="s">
        <v>326</v>
      </c>
      <c r="E62" s="58"/>
      <c r="F62" s="58"/>
      <c r="G62" s="180"/>
      <c r="H62" s="180">
        <f>957416.19+35972.48+12500</f>
        <v>1005888.6699999999</v>
      </c>
      <c r="I62" s="180"/>
      <c r="J62" s="180">
        <f>854583.12+35972.48+12500</f>
        <v>903055.6</v>
      </c>
      <c r="K62" s="191"/>
      <c r="L62" s="180">
        <f>854583.12+35972.48+12500</f>
        <v>903055.6</v>
      </c>
      <c r="P62" s="191"/>
    </row>
    <row r="63" spans="1:19" s="55" customFormat="1" ht="20.25" x14ac:dyDescent="0.2">
      <c r="A63" s="58"/>
      <c r="B63" s="58"/>
      <c r="D63" s="58" t="s">
        <v>327</v>
      </c>
      <c r="E63" s="58"/>
      <c r="F63" s="58"/>
      <c r="G63" s="180"/>
      <c r="H63" s="180">
        <f>'August''24 Revenues &amp; Expenses'!L83-0.5</f>
        <v>64781.18</v>
      </c>
      <c r="I63" s="180"/>
      <c r="J63" s="180">
        <v>31335.46</v>
      </c>
      <c r="K63" s="191"/>
      <c r="L63" s="180">
        <v>93887.49</v>
      </c>
      <c r="O63" s="191"/>
      <c r="P63" s="191"/>
    </row>
    <row r="64" spans="1:19" s="55" customFormat="1" ht="21" thickBot="1" x14ac:dyDescent="0.25">
      <c r="A64" s="54"/>
      <c r="B64" s="54"/>
      <c r="D64" s="58" t="s">
        <v>127</v>
      </c>
      <c r="E64" s="54"/>
      <c r="F64" s="66"/>
      <c r="G64" s="180"/>
      <c r="H64" s="187">
        <f>'August''24 State of Activities'!G58</f>
        <v>73651.889999999781</v>
      </c>
      <c r="I64" s="180"/>
      <c r="J64" s="187">
        <f>'August''24 State of Activities'!H58</f>
        <v>102833.0700000003</v>
      </c>
      <c r="L64" s="187">
        <f>'August''24 State of Activities'!J58</f>
        <v>-21668.320000000065</v>
      </c>
      <c r="P64" s="307"/>
    </row>
    <row r="65" spans="1:16" s="55" customFormat="1" ht="23.25" x14ac:dyDescent="0.2">
      <c r="A65" s="54"/>
      <c r="B65" s="68" t="s">
        <v>62</v>
      </c>
      <c r="C65" s="69"/>
      <c r="D65" s="69"/>
      <c r="E65" s="69"/>
      <c r="F65" s="54"/>
      <c r="G65" s="183"/>
      <c r="H65" s="183">
        <f>ROUND(SUM(H61:H64),5)</f>
        <v>1144321.74</v>
      </c>
      <c r="I65" s="183"/>
      <c r="J65" s="183">
        <f>ROUND(SUM(J61:J64),5)</f>
        <v>1037224.13</v>
      </c>
      <c r="L65" s="183">
        <f>ROUND(SUM(L61:L64),5)</f>
        <v>975274.77</v>
      </c>
      <c r="P65" s="307"/>
    </row>
    <row r="66" spans="1:16" s="55" customFormat="1" ht="12.75" customHeight="1" x14ac:dyDescent="0.2">
      <c r="A66" s="54"/>
      <c r="B66" s="54"/>
      <c r="C66" s="54"/>
      <c r="D66" s="54"/>
      <c r="E66" s="54"/>
      <c r="F66" s="54"/>
      <c r="G66" s="180"/>
      <c r="H66" s="182"/>
      <c r="I66" s="180"/>
      <c r="J66" s="182"/>
      <c r="L66" s="182"/>
    </row>
    <row r="67" spans="1:16" s="62" customFormat="1" ht="27" thickBot="1" x14ac:dyDescent="0.25">
      <c r="A67" s="61" t="s">
        <v>63</v>
      </c>
      <c r="B67" s="61"/>
      <c r="C67" s="61"/>
      <c r="D67" s="61"/>
      <c r="E67" s="61"/>
      <c r="F67" s="61"/>
      <c r="G67" s="207"/>
      <c r="H67" s="283">
        <f>SUM(H59+H65)</f>
        <v>1428029.88</v>
      </c>
      <c r="I67" s="207"/>
      <c r="J67" s="283">
        <f>SUM(J59+J65)</f>
        <v>1555406.65</v>
      </c>
      <c r="L67" s="283">
        <f>SUM(L59+L65)</f>
        <v>1372591.74</v>
      </c>
    </row>
    <row r="68" spans="1:16" ht="15" thickTop="1" x14ac:dyDescent="0.2">
      <c r="D68" s="272"/>
    </row>
    <row r="69" spans="1:16" hidden="1" x14ac:dyDescent="0.2">
      <c r="G69" s="193"/>
      <c r="H69" s="193"/>
      <c r="I69" s="193"/>
      <c r="J69" s="193"/>
      <c r="L69" s="193"/>
    </row>
    <row r="70" spans="1:16" ht="14.25" customHeight="1" x14ac:dyDescent="0.2">
      <c r="C70" s="865" t="s">
        <v>196</v>
      </c>
      <c r="D70" s="865"/>
      <c r="E70" s="865"/>
      <c r="F70" s="865"/>
      <c r="H70" s="336">
        <f>(H20+H17)/H59</f>
        <v>2.6623837440829159</v>
      </c>
      <c r="J70" s="336">
        <f>(J20+J17)/J59</f>
        <v>1.7924119285227917</v>
      </c>
      <c r="K70" s="191"/>
      <c r="L70" s="336">
        <f>(L20+L17)/L59</f>
        <v>1.89963348406689</v>
      </c>
    </row>
    <row r="72" spans="1:16" x14ac:dyDescent="0.2">
      <c r="L72" s="193"/>
    </row>
    <row r="73" spans="1:16" x14ac:dyDescent="0.2">
      <c r="G73" s="177"/>
      <c r="H73" s="193"/>
      <c r="I73" s="177"/>
      <c r="J73" s="193"/>
      <c r="L73" s="193"/>
    </row>
    <row r="74" spans="1:16" x14ac:dyDescent="0.2">
      <c r="L74" s="467"/>
    </row>
    <row r="75" spans="1:16" x14ac:dyDescent="0.2">
      <c r="H75" s="193"/>
      <c r="L75" s="177"/>
    </row>
    <row r="77" spans="1:16" x14ac:dyDescent="0.2">
      <c r="J77" s="177"/>
    </row>
    <row r="78" spans="1:16" x14ac:dyDescent="0.2">
      <c r="H78" s="177"/>
      <c r="J78" s="177"/>
    </row>
  </sheetData>
  <mergeCells count="3">
    <mergeCell ref="C70:F70"/>
    <mergeCell ref="H6:J6"/>
    <mergeCell ref="D46:F46"/>
  </mergeCells>
  <pageMargins left="0.7" right="0.45" top="0.25" bottom="0" header="0.3" footer="0"/>
  <pageSetup scale="62"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104"/>
  <sheetViews>
    <sheetView topLeftCell="D1" zoomScale="70" zoomScaleNormal="70" workbookViewId="0">
      <selection activeCell="N54" sqref="N54"/>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 style="177" bestFit="1" customWidth="1"/>
    <col min="8" max="8" width="24.25" customWidth="1"/>
    <col min="9" max="9" width="1.625" customWidth="1"/>
    <col min="10" max="10" width="23" customWidth="1"/>
    <col min="11" max="11" width="1.875" style="291" customWidth="1"/>
    <col min="12" max="12" width="17.25" customWidth="1"/>
    <col min="13" max="13" width="10.75" bestFit="1" customWidth="1"/>
    <col min="14" max="14" width="72.625" style="10" bestFit="1" customWidth="1"/>
    <col min="15" max="15" width="12.625" style="21" bestFit="1" customWidth="1"/>
    <col min="16" max="16" width="9.75" customWidth="1"/>
    <col min="17" max="17" width="13" bestFit="1" customWidth="1"/>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46" ht="22.5" customHeight="1" x14ac:dyDescent="0.4">
      <c r="A1" s="46" t="s">
        <v>92</v>
      </c>
      <c r="B1" s="47"/>
      <c r="C1" s="48"/>
      <c r="D1" s="48"/>
      <c r="E1" s="48"/>
      <c r="F1" s="47"/>
      <c r="G1" s="178"/>
      <c r="H1" s="47"/>
      <c r="I1" s="47"/>
      <c r="J1" s="47"/>
      <c r="K1" s="287"/>
      <c r="L1" s="47"/>
      <c r="M1" s="47"/>
      <c r="N1" s="405"/>
      <c r="O1" s="737"/>
      <c r="P1" s="47"/>
      <c r="Q1" s="47"/>
      <c r="R1" s="47"/>
      <c r="S1" s="47"/>
      <c r="T1" s="47"/>
      <c r="U1" s="47"/>
      <c r="V1" s="47"/>
      <c r="W1" s="47"/>
      <c r="X1" s="47"/>
    </row>
    <row r="2" spans="1:46" ht="22.5" customHeight="1" x14ac:dyDescent="0.4">
      <c r="A2" s="46" t="s">
        <v>329</v>
      </c>
      <c r="B2" s="47"/>
      <c r="C2" s="48"/>
      <c r="D2" s="48"/>
      <c r="E2" s="48"/>
      <c r="F2" s="47"/>
      <c r="G2" s="178"/>
      <c r="H2" s="47"/>
      <c r="I2" s="47"/>
      <c r="J2" s="178"/>
      <c r="K2" s="287"/>
      <c r="L2" s="47"/>
      <c r="M2" s="47"/>
      <c r="N2" s="405"/>
      <c r="O2" s="737"/>
      <c r="P2" s="47"/>
      <c r="Q2" s="47"/>
      <c r="R2" s="47"/>
      <c r="S2" s="47"/>
      <c r="T2" s="47"/>
      <c r="U2" s="47"/>
      <c r="V2" s="47"/>
      <c r="W2" s="47"/>
      <c r="X2" s="47"/>
    </row>
    <row r="3" spans="1:46" ht="22.5" customHeight="1" x14ac:dyDescent="0.4">
      <c r="A3" s="46" t="s">
        <v>668</v>
      </c>
      <c r="B3" s="47"/>
      <c r="C3" s="48"/>
      <c r="D3" s="48"/>
      <c r="E3" s="48"/>
      <c r="F3" s="47"/>
      <c r="G3" s="178"/>
      <c r="H3" s="47"/>
      <c r="I3" s="47"/>
      <c r="J3" s="47"/>
      <c r="K3" s="287"/>
      <c r="L3" s="47"/>
      <c r="M3" s="47"/>
      <c r="N3" s="405"/>
      <c r="O3" s="737"/>
      <c r="P3" s="47"/>
      <c r="Q3" s="47"/>
      <c r="R3" s="47"/>
      <c r="S3" s="47"/>
      <c r="T3" s="47"/>
      <c r="U3" s="47"/>
      <c r="V3" s="47"/>
      <c r="W3" s="47"/>
      <c r="X3" s="47"/>
    </row>
    <row r="4" spans="1:46" ht="22.5" customHeight="1" x14ac:dyDescent="0.4">
      <c r="A4" s="46" t="s">
        <v>622</v>
      </c>
      <c r="B4" s="47"/>
      <c r="C4" s="48"/>
      <c r="D4" s="48"/>
      <c r="E4" s="48"/>
      <c r="F4" s="47"/>
      <c r="G4" s="178"/>
      <c r="H4" s="47"/>
      <c r="I4" s="47"/>
      <c r="J4" s="47"/>
      <c r="K4" s="287"/>
      <c r="L4" s="47"/>
      <c r="M4" s="47"/>
      <c r="N4" s="405"/>
      <c r="O4" s="737"/>
      <c r="P4" s="47"/>
      <c r="Q4" s="47"/>
      <c r="R4" s="47"/>
      <c r="S4" s="47"/>
      <c r="T4" s="47"/>
      <c r="U4" s="47"/>
      <c r="V4" s="47"/>
      <c r="W4" s="47"/>
      <c r="X4" s="47"/>
    </row>
    <row r="5" spans="1:46" s="50" customFormat="1" ht="5.25" customHeight="1" thickBot="1" x14ac:dyDescent="0.25">
      <c r="A5" s="49"/>
      <c r="B5" s="49"/>
      <c r="C5" s="49"/>
      <c r="D5" s="49"/>
      <c r="E5" s="49"/>
      <c r="F5" s="49"/>
      <c r="G5" s="179"/>
      <c r="K5" s="288"/>
      <c r="N5" s="406"/>
      <c r="O5" s="632"/>
    </row>
    <row r="6" spans="1:46" s="53" customFormat="1" ht="24.75" customHeight="1" thickTop="1" thickBot="1" x14ac:dyDescent="0.25">
      <c r="A6" s="51" t="s">
        <v>106</v>
      </c>
      <c r="B6" s="51"/>
      <c r="C6" s="51"/>
      <c r="D6" s="51"/>
      <c r="E6" s="51"/>
      <c r="F6" s="51"/>
      <c r="G6" s="801" t="s">
        <v>48</v>
      </c>
      <c r="H6" s="801"/>
      <c r="I6" s="801"/>
      <c r="J6" s="801"/>
      <c r="K6" s="470"/>
      <c r="L6" s="318" t="s">
        <v>179</v>
      </c>
      <c r="M6" s="318" t="s">
        <v>191</v>
      </c>
      <c r="N6" s="470" t="s">
        <v>178</v>
      </c>
      <c r="O6" s="635"/>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1:46" s="55" customFormat="1" ht="8.25" customHeight="1" thickTop="1" x14ac:dyDescent="0.2">
      <c r="A7" s="54"/>
      <c r="B7" s="54"/>
      <c r="C7" s="54"/>
      <c r="D7" s="54"/>
      <c r="E7" s="54"/>
      <c r="F7" s="54"/>
      <c r="G7" s="180"/>
      <c r="K7" s="290"/>
      <c r="N7" s="407"/>
      <c r="O7" s="547"/>
    </row>
    <row r="8" spans="1:46" ht="21" thickBot="1" x14ac:dyDescent="0.35">
      <c r="A8" s="56"/>
      <c r="B8" s="115" t="s">
        <v>98</v>
      </c>
      <c r="C8" s="115"/>
      <c r="D8" s="115"/>
      <c r="E8" s="115"/>
      <c r="F8" s="115"/>
      <c r="G8" s="217">
        <f>'August''24 Financial Position'!H8</f>
        <v>45535</v>
      </c>
      <c r="H8" s="217">
        <v>45291</v>
      </c>
      <c r="I8" s="257"/>
      <c r="J8" s="217">
        <f>G8-365-1</f>
        <v>45169</v>
      </c>
      <c r="L8" s="866" t="s">
        <v>688</v>
      </c>
      <c r="M8" s="866"/>
      <c r="N8" s="605"/>
    </row>
    <row r="9" spans="1:46" s="55" customFormat="1" ht="20.25" x14ac:dyDescent="0.2">
      <c r="A9" s="54"/>
      <c r="B9" s="54"/>
      <c r="C9" s="58" t="s">
        <v>99</v>
      </c>
      <c r="D9" s="58"/>
      <c r="E9" s="58"/>
      <c r="F9" s="54"/>
      <c r="G9" s="189">
        <v>358926.62</v>
      </c>
      <c r="H9" s="189">
        <v>692550.7</v>
      </c>
      <c r="I9" s="189"/>
      <c r="J9" s="189">
        <f>462770.15+0.4</f>
        <v>462770.55000000005</v>
      </c>
      <c r="K9" s="290"/>
      <c r="L9" s="302">
        <f>G9-J9</f>
        <v>-103843.93000000005</v>
      </c>
      <c r="M9" s="337">
        <f>L9/J9</f>
        <v>-0.22439615053291537</v>
      </c>
      <c r="N9" s="408" t="s">
        <v>653</v>
      </c>
      <c r="O9" s="547"/>
    </row>
    <row r="10" spans="1:46" s="55" customFormat="1" ht="20.25" x14ac:dyDescent="0.2">
      <c r="A10" s="54"/>
      <c r="B10" s="54"/>
      <c r="C10" s="58" t="s">
        <v>148</v>
      </c>
      <c r="D10" s="58"/>
      <c r="E10" s="58"/>
      <c r="F10" s="54"/>
      <c r="G10" s="180">
        <v>119371.07</v>
      </c>
      <c r="H10" s="180">
        <v>131259.47</v>
      </c>
      <c r="I10" s="180"/>
      <c r="J10" s="180">
        <v>86766.6</v>
      </c>
      <c r="K10" s="290"/>
      <c r="L10" s="212">
        <f>G10-J10</f>
        <v>32604.47</v>
      </c>
      <c r="M10" s="337">
        <f>L10/J10</f>
        <v>0.37577212890674522</v>
      </c>
      <c r="N10" s="407" t="s">
        <v>697</v>
      </c>
      <c r="O10" s="547"/>
    </row>
    <row r="11" spans="1:46" s="55" customFormat="1" ht="20.25" hidden="1" x14ac:dyDescent="0.2">
      <c r="A11" s="54"/>
      <c r="B11" s="54"/>
      <c r="C11" s="58" t="s">
        <v>456</v>
      </c>
      <c r="D11" s="58"/>
      <c r="E11" s="58"/>
      <c r="F11" s="54"/>
      <c r="G11" s="180">
        <v>0</v>
      </c>
      <c r="H11" s="180">
        <v>0</v>
      </c>
      <c r="I11" s="180"/>
      <c r="J11" s="180">
        <v>0</v>
      </c>
      <c r="K11" s="290"/>
      <c r="L11" s="212">
        <f>G11-J11</f>
        <v>0</v>
      </c>
      <c r="M11" s="337"/>
      <c r="N11" s="407"/>
      <c r="O11" s="547"/>
    </row>
    <row r="12" spans="1:46" s="55" customFormat="1" ht="20.25" x14ac:dyDescent="0.2">
      <c r="A12" s="54"/>
      <c r="B12" s="54"/>
      <c r="C12" s="58" t="s">
        <v>177</v>
      </c>
      <c r="D12" s="58"/>
      <c r="E12" s="58"/>
      <c r="F12" s="54"/>
      <c r="G12" s="180">
        <v>13647.4</v>
      </c>
      <c r="H12" s="180">
        <f>43656.35+939.66</f>
        <v>44596.01</v>
      </c>
      <c r="I12" s="180"/>
      <c r="J12" s="180">
        <f>28945.22+529.58</f>
        <v>29474.800000000003</v>
      </c>
      <c r="K12" s="290"/>
      <c r="L12" s="212">
        <f>G12-J12</f>
        <v>-15827.400000000003</v>
      </c>
      <c r="M12" s="337">
        <f>L12/J12</f>
        <v>-0.53698074287187703</v>
      </c>
      <c r="N12" s="407" t="s">
        <v>636</v>
      </c>
      <c r="O12" s="547"/>
    </row>
    <row r="13" spans="1:46" s="55" customFormat="1" ht="20.25" x14ac:dyDescent="0.2">
      <c r="A13" s="54"/>
      <c r="B13" s="54"/>
      <c r="C13" s="58" t="s">
        <v>534</v>
      </c>
      <c r="D13" s="58"/>
      <c r="E13" s="58"/>
      <c r="F13" s="54"/>
      <c r="G13" s="180">
        <f>1250*2</f>
        <v>2500</v>
      </c>
      <c r="H13" s="180">
        <v>5000</v>
      </c>
      <c r="I13" s="180"/>
      <c r="J13" s="180"/>
      <c r="K13" s="290"/>
      <c r="L13" s="212">
        <f>G13-J13</f>
        <v>2500</v>
      </c>
      <c r="M13" s="337"/>
      <c r="N13" s="407"/>
      <c r="O13" s="547"/>
    </row>
    <row r="14" spans="1:46" s="55" customFormat="1" ht="20.25" x14ac:dyDescent="0.2">
      <c r="A14" s="54"/>
      <c r="B14" s="54"/>
      <c r="C14" s="58" t="s">
        <v>100</v>
      </c>
      <c r="D14" s="58"/>
      <c r="E14" s="58"/>
      <c r="F14" s="54"/>
      <c r="G14" s="180"/>
      <c r="H14" s="180"/>
      <c r="I14" s="180"/>
      <c r="J14" s="180"/>
      <c r="K14" s="290"/>
      <c r="L14" s="212"/>
      <c r="M14" s="337"/>
      <c r="N14" s="407"/>
      <c r="O14" s="547"/>
    </row>
    <row r="15" spans="1:46" s="55" customFormat="1" ht="20.25" x14ac:dyDescent="0.2">
      <c r="A15" s="54"/>
      <c r="B15" s="54"/>
      <c r="D15" s="58" t="s">
        <v>137</v>
      </c>
      <c r="E15" s="58"/>
      <c r="F15" s="54"/>
      <c r="G15" s="180">
        <v>143360.79</v>
      </c>
      <c r="H15" s="180">
        <v>217853.38</v>
      </c>
      <c r="I15" s="180"/>
      <c r="J15" s="180">
        <v>137593.06</v>
      </c>
      <c r="K15" s="290"/>
      <c r="L15" s="212">
        <f t="shared" ref="L15:L28" si="0">G15-J15</f>
        <v>5767.7300000000105</v>
      </c>
      <c r="M15" s="337">
        <f>L15/J15</f>
        <v>4.1918756658221062E-2</v>
      </c>
      <c r="N15" s="407"/>
      <c r="O15" s="547"/>
    </row>
    <row r="16" spans="1:46" s="55" customFormat="1" ht="20.25" x14ac:dyDescent="0.2">
      <c r="A16" s="54"/>
      <c r="B16" s="54"/>
      <c r="D16" s="58" t="s">
        <v>157</v>
      </c>
      <c r="E16" s="58"/>
      <c r="F16" s="54"/>
      <c r="G16" s="180">
        <f>1500*8</f>
        <v>12000</v>
      </c>
      <c r="H16" s="180">
        <v>18000</v>
      </c>
      <c r="I16" s="180"/>
      <c r="J16" s="180">
        <f>G16</f>
        <v>12000</v>
      </c>
      <c r="K16" s="290"/>
      <c r="L16" s="212">
        <f t="shared" si="0"/>
        <v>0</v>
      </c>
      <c r="M16" s="337">
        <f>L16/J16</f>
        <v>0</v>
      </c>
      <c r="N16" s="407"/>
      <c r="O16" s="547"/>
    </row>
    <row r="17" spans="1:17" s="55" customFormat="1" ht="20.25" x14ac:dyDescent="0.2">
      <c r="A17" s="54"/>
      <c r="B17" s="54"/>
      <c r="D17" s="58" t="s">
        <v>398</v>
      </c>
      <c r="E17" s="58"/>
      <c r="F17" s="54"/>
      <c r="G17" s="180">
        <f>1250*2</f>
        <v>2500</v>
      </c>
      <c r="H17" s="180">
        <v>29597.8</v>
      </c>
      <c r="I17" s="180"/>
      <c r="J17" s="180">
        <v>29597.8</v>
      </c>
      <c r="K17" s="290"/>
      <c r="L17" s="212">
        <f t="shared" si="0"/>
        <v>-27097.8</v>
      </c>
      <c r="M17" s="337">
        <f>L17/J17</f>
        <v>-0.91553426268168581</v>
      </c>
      <c r="N17" s="407" t="s">
        <v>548</v>
      </c>
      <c r="O17" s="547"/>
    </row>
    <row r="18" spans="1:17" s="55" customFormat="1" ht="20.25" x14ac:dyDescent="0.2">
      <c r="A18" s="54"/>
      <c r="B18" s="54"/>
      <c r="C18" s="58" t="s">
        <v>101</v>
      </c>
      <c r="D18" s="58"/>
      <c r="E18" s="58"/>
      <c r="F18" s="54"/>
      <c r="G18" s="180">
        <f>'August''24 Revenues &amp; Expenses'!J73</f>
        <v>11786.48</v>
      </c>
      <c r="H18" s="180">
        <v>23822.38</v>
      </c>
      <c r="I18" s="180"/>
      <c r="J18" s="180">
        <v>17136.07</v>
      </c>
      <c r="K18" s="290"/>
      <c r="L18" s="212">
        <f t="shared" si="0"/>
        <v>-5349.59</v>
      </c>
      <c r="M18" s="337">
        <f>L18/J18</f>
        <v>-0.31218301512540508</v>
      </c>
      <c r="N18" s="408" t="s">
        <v>637</v>
      </c>
      <c r="O18" s="547"/>
      <c r="Q18" s="191"/>
    </row>
    <row r="19" spans="1:17" s="55" customFormat="1" ht="20.25" x14ac:dyDescent="0.2">
      <c r="A19" s="54"/>
      <c r="B19" s="54"/>
      <c r="C19" s="58" t="s">
        <v>687</v>
      </c>
      <c r="D19" s="58"/>
      <c r="E19" s="58"/>
      <c r="F19" s="54"/>
      <c r="G19" s="180">
        <v>25027.119999999999</v>
      </c>
      <c r="H19" s="180">
        <f>20562.6+10000</f>
        <v>30562.6</v>
      </c>
      <c r="I19" s="180"/>
      <c r="J19" s="180">
        <v>11285</v>
      </c>
      <c r="K19" s="290"/>
      <c r="L19" s="212">
        <f t="shared" si="0"/>
        <v>13742.119999999999</v>
      </c>
      <c r="M19" s="337">
        <f>L19/J19</f>
        <v>1.2177332742578644</v>
      </c>
      <c r="N19" s="408"/>
      <c r="O19" s="547"/>
      <c r="Q19" s="191"/>
    </row>
    <row r="20" spans="1:17" s="55" customFormat="1" ht="20.25" x14ac:dyDescent="0.2">
      <c r="A20" s="54"/>
      <c r="B20" s="54"/>
      <c r="C20" s="58" t="s">
        <v>159</v>
      </c>
      <c r="D20" s="58"/>
      <c r="E20" s="58"/>
      <c r="F20" s="54"/>
      <c r="G20" s="180">
        <v>355</v>
      </c>
      <c r="H20" s="180">
        <v>522.52</v>
      </c>
      <c r="I20" s="180"/>
      <c r="J20" s="180">
        <v>322.52</v>
      </c>
      <c r="K20" s="290"/>
      <c r="L20" s="212">
        <f t="shared" si="0"/>
        <v>32.480000000000018</v>
      </c>
      <c r="M20" s="337">
        <f t="shared" ref="M20:M29" si="1">L20/J20</f>
        <v>0.10070693290338589</v>
      </c>
      <c r="N20" s="408"/>
      <c r="O20" s="547"/>
      <c r="Q20" s="191"/>
    </row>
    <row r="21" spans="1:17" s="55" customFormat="1" ht="20.25" x14ac:dyDescent="0.2">
      <c r="A21" s="54"/>
      <c r="B21" s="54"/>
      <c r="C21" s="58" t="s">
        <v>108</v>
      </c>
      <c r="D21" s="58"/>
      <c r="E21" s="58"/>
      <c r="F21" s="54"/>
      <c r="G21" s="180">
        <v>3150.31</v>
      </c>
      <c r="H21" s="180">
        <v>499.51</v>
      </c>
      <c r="I21" s="180"/>
      <c r="J21" s="180">
        <v>316</v>
      </c>
      <c r="K21" s="290"/>
      <c r="L21" s="212">
        <f t="shared" si="0"/>
        <v>2834.31</v>
      </c>
      <c r="M21" s="337">
        <f t="shared" si="1"/>
        <v>8.9693354430379753</v>
      </c>
      <c r="N21" s="407" t="s">
        <v>699</v>
      </c>
      <c r="O21" s="547"/>
    </row>
    <row r="22" spans="1:17" s="55" customFormat="1" ht="20.25" x14ac:dyDescent="0.2">
      <c r="A22" s="54"/>
      <c r="B22" s="54"/>
      <c r="C22" s="58" t="s">
        <v>235</v>
      </c>
      <c r="D22" s="58"/>
      <c r="E22" s="58"/>
      <c r="F22" s="54"/>
      <c r="G22" s="180">
        <v>3951.06</v>
      </c>
      <c r="H22" s="180">
        <v>15382.11</v>
      </c>
      <c r="I22" s="180"/>
      <c r="J22" s="180">
        <v>1851.8</v>
      </c>
      <c r="K22" s="290"/>
      <c r="L22" s="212">
        <f t="shared" si="0"/>
        <v>2099.2600000000002</v>
      </c>
      <c r="M22" s="337">
        <f t="shared" si="1"/>
        <v>1.1336321416999677</v>
      </c>
      <c r="N22" s="407"/>
      <c r="O22" s="547"/>
      <c r="Q22" s="191"/>
    </row>
    <row r="23" spans="1:17" s="55" customFormat="1" ht="20.25" x14ac:dyDescent="0.2">
      <c r="A23" s="54"/>
      <c r="B23" s="54"/>
      <c r="C23" s="58" t="s">
        <v>300</v>
      </c>
      <c r="D23" s="58"/>
      <c r="E23" s="58"/>
      <c r="F23" s="54"/>
      <c r="G23" s="180">
        <v>54580.160000000003</v>
      </c>
      <c r="H23" s="180">
        <v>33158.35</v>
      </c>
      <c r="I23" s="180"/>
      <c r="J23" s="180">
        <v>23412.639999999999</v>
      </c>
      <c r="K23" s="290"/>
      <c r="L23" s="212">
        <f t="shared" si="0"/>
        <v>31167.520000000004</v>
      </c>
      <c r="M23" s="337">
        <f t="shared" si="1"/>
        <v>1.3312262094321701</v>
      </c>
      <c r="N23" s="407"/>
      <c r="O23" s="547"/>
    </row>
    <row r="24" spans="1:17" s="55" customFormat="1" ht="20.25" x14ac:dyDescent="0.2">
      <c r="A24" s="54"/>
      <c r="B24" s="54"/>
      <c r="C24" s="58" t="s">
        <v>442</v>
      </c>
      <c r="D24" s="58"/>
      <c r="E24" s="58"/>
      <c r="F24" s="54"/>
      <c r="G24" s="180">
        <v>216109.54</v>
      </c>
      <c r="H24" s="180">
        <f>245618.21-10000</f>
        <v>235618.21</v>
      </c>
      <c r="I24" s="180"/>
      <c r="J24" s="180">
        <v>92823.52</v>
      </c>
      <c r="K24" s="290"/>
      <c r="L24" s="212">
        <f t="shared" si="0"/>
        <v>123286.02</v>
      </c>
      <c r="M24" s="337">
        <f t="shared" si="1"/>
        <v>1.3281765225020554</v>
      </c>
      <c r="N24" s="407" t="s">
        <v>698</v>
      </c>
      <c r="O24" s="547"/>
      <c r="Q24" s="191"/>
    </row>
    <row r="25" spans="1:17" s="55" customFormat="1" ht="20.25" x14ac:dyDescent="0.2">
      <c r="A25" s="54"/>
      <c r="B25" s="54"/>
      <c r="C25" s="58" t="s">
        <v>143</v>
      </c>
      <c r="D25" s="58"/>
      <c r="E25" s="58"/>
      <c r="F25" s="54"/>
      <c r="G25" s="180">
        <v>5538.22</v>
      </c>
      <c r="H25" s="180">
        <v>11462.1</v>
      </c>
      <c r="I25" s="180"/>
      <c r="J25" s="180">
        <v>8659.23</v>
      </c>
      <c r="K25" s="290"/>
      <c r="L25" s="212">
        <f t="shared" si="0"/>
        <v>-3121.0099999999993</v>
      </c>
      <c r="M25" s="337">
        <f t="shared" si="1"/>
        <v>-0.36042581153289605</v>
      </c>
      <c r="N25" s="480"/>
      <c r="O25" s="547"/>
      <c r="Q25" s="191"/>
    </row>
    <row r="26" spans="1:17" s="55" customFormat="1" ht="21" thickBot="1" x14ac:dyDescent="0.25">
      <c r="A26" s="54"/>
      <c r="B26" s="54"/>
      <c r="C26" s="58" t="s">
        <v>107</v>
      </c>
      <c r="D26" s="58"/>
      <c r="E26" s="58"/>
      <c r="F26" s="54"/>
      <c r="G26" s="187">
        <f>36360-G34</f>
        <v>35160</v>
      </c>
      <c r="H26" s="187">
        <v>52740</v>
      </c>
      <c r="I26" s="180"/>
      <c r="J26" s="187">
        <f>G26</f>
        <v>35160</v>
      </c>
      <c r="K26" s="290"/>
      <c r="L26" s="301">
        <f t="shared" si="0"/>
        <v>0</v>
      </c>
      <c r="M26" s="361">
        <f t="shared" si="1"/>
        <v>0</v>
      </c>
      <c r="N26" s="407"/>
      <c r="O26" s="547"/>
    </row>
    <row r="27" spans="1:17" s="55" customFormat="1" ht="20.25" x14ac:dyDescent="0.2">
      <c r="A27" s="54"/>
      <c r="B27" s="54"/>
      <c r="C27" s="58"/>
      <c r="D27" s="54" t="s">
        <v>103</v>
      </c>
      <c r="E27" s="58"/>
      <c r="F27" s="54"/>
      <c r="G27" s="180">
        <f>SUM(G9:G26)</f>
        <v>1007963.7700000001</v>
      </c>
      <c r="H27" s="180">
        <f>SUM(H9:H26)</f>
        <v>1542625.1400000004</v>
      </c>
      <c r="I27" s="180"/>
      <c r="J27" s="180">
        <f>SUM(J9:J26)</f>
        <v>949169.59000000008</v>
      </c>
      <c r="K27" s="290"/>
      <c r="L27" s="180">
        <f t="shared" si="0"/>
        <v>58794.180000000051</v>
      </c>
      <c r="M27" s="337">
        <f t="shared" si="1"/>
        <v>6.194275566708795E-2</v>
      </c>
      <c r="N27" s="407"/>
      <c r="O27" s="547"/>
    </row>
    <row r="28" spans="1:17" s="55" customFormat="1" ht="21" thickBot="1" x14ac:dyDescent="0.25">
      <c r="A28" s="54"/>
      <c r="B28" s="54"/>
      <c r="C28" s="54" t="s">
        <v>104</v>
      </c>
      <c r="D28" s="58"/>
      <c r="E28" s="58"/>
      <c r="F28" s="54"/>
      <c r="G28" s="187">
        <v>54527.57</v>
      </c>
      <c r="H28" s="187">
        <v>134785.4</v>
      </c>
      <c r="I28" s="180"/>
      <c r="J28" s="187">
        <v>88611.18</v>
      </c>
      <c r="K28" s="290"/>
      <c r="L28" s="187">
        <f t="shared" si="0"/>
        <v>-34083.609999999993</v>
      </c>
      <c r="M28" s="361">
        <f t="shared" si="1"/>
        <v>-0.38464232165737999</v>
      </c>
      <c r="N28" s="408"/>
      <c r="O28" s="547"/>
      <c r="Q28" s="271"/>
    </row>
    <row r="29" spans="1:17" s="55" customFormat="1" ht="20.25" x14ac:dyDescent="0.2">
      <c r="A29" s="54"/>
      <c r="B29" s="54"/>
      <c r="C29" s="58"/>
      <c r="D29" s="54" t="s">
        <v>105</v>
      </c>
      <c r="E29" s="58"/>
      <c r="F29" s="54"/>
      <c r="G29" s="180">
        <f>SUM(G27:G28)</f>
        <v>1062491.3400000001</v>
      </c>
      <c r="H29" s="180">
        <f>SUM(H27:H28)</f>
        <v>1677410.5400000003</v>
      </c>
      <c r="I29" s="180"/>
      <c r="J29" s="180">
        <f>SUM(J27:J28)</f>
        <v>1037780.77</v>
      </c>
      <c r="K29" s="191"/>
      <c r="L29" s="180">
        <f>SUM(L27:L28)</f>
        <v>24710.570000000058</v>
      </c>
      <c r="M29" s="337">
        <f t="shared" si="1"/>
        <v>2.3810973101766046E-2</v>
      </c>
      <c r="N29" s="408"/>
      <c r="O29" s="547">
        <v>1062833.3400000001</v>
      </c>
      <c r="P29" s="271">
        <f>G29-O29</f>
        <v>-342</v>
      </c>
      <c r="Q29" s="271"/>
    </row>
    <row r="30" spans="1:17" s="55" customFormat="1" ht="6" customHeight="1" x14ac:dyDescent="0.2">
      <c r="A30" s="54"/>
      <c r="B30" s="54"/>
      <c r="C30" s="58"/>
      <c r="D30" s="54"/>
      <c r="E30" s="58"/>
      <c r="F30" s="54"/>
      <c r="G30" s="180"/>
      <c r="H30" s="180"/>
      <c r="I30" s="180"/>
      <c r="J30" s="180"/>
      <c r="K30" s="290"/>
      <c r="L30" s="309"/>
      <c r="M30" s="394"/>
      <c r="N30" s="407"/>
      <c r="O30" s="547"/>
    </row>
    <row r="31" spans="1:17" s="55" customFormat="1" ht="21" thickBot="1" x14ac:dyDescent="0.25">
      <c r="A31" s="54"/>
      <c r="B31" s="66" t="s">
        <v>109</v>
      </c>
      <c r="C31" s="66"/>
      <c r="D31" s="66"/>
      <c r="E31" s="66"/>
      <c r="F31" s="66"/>
      <c r="G31" s="187"/>
      <c r="H31" s="187"/>
      <c r="J31" s="187"/>
      <c r="K31" s="290"/>
      <c r="L31" s="309"/>
      <c r="M31" s="394"/>
      <c r="N31" s="408"/>
      <c r="O31" s="547"/>
    </row>
    <row r="32" spans="1:17" s="55" customFormat="1" ht="20.25" x14ac:dyDescent="0.2">
      <c r="A32" s="54"/>
      <c r="B32" s="54"/>
      <c r="C32" s="58" t="s">
        <v>110</v>
      </c>
      <c r="D32" s="58"/>
      <c r="E32" s="58"/>
      <c r="F32" s="58"/>
      <c r="G32" s="180">
        <v>576827.63</v>
      </c>
      <c r="H32" s="180">
        <v>934379.17</v>
      </c>
      <c r="I32" s="212"/>
      <c r="J32" s="180">
        <v>629605.36</v>
      </c>
      <c r="K32" s="290"/>
      <c r="L32" s="212">
        <f t="shared" ref="L32:L54" si="2">G32-J32</f>
        <v>-52777.729999999981</v>
      </c>
      <c r="M32" s="337">
        <f t="shared" ref="M32:M43" si="3">L32/J32</f>
        <v>-8.3826684702938331E-2</v>
      </c>
      <c r="N32" s="408" t="s">
        <v>654</v>
      </c>
      <c r="O32" s="547"/>
    </row>
    <row r="33" spans="1:16" s="55" customFormat="1" ht="20.25" x14ac:dyDescent="0.2">
      <c r="A33" s="54"/>
      <c r="B33" s="54"/>
      <c r="C33" s="58" t="s">
        <v>111</v>
      </c>
      <c r="D33" s="58"/>
      <c r="E33" s="58"/>
      <c r="F33" s="58"/>
      <c r="G33" s="180">
        <v>121442.18</v>
      </c>
      <c r="H33" s="180">
        <v>185846.07</v>
      </c>
      <c r="I33" s="212"/>
      <c r="J33" s="180">
        <v>118854.77</v>
      </c>
      <c r="K33" s="290"/>
      <c r="L33" s="212">
        <f t="shared" si="2"/>
        <v>2587.4099999999889</v>
      </c>
      <c r="M33" s="337">
        <f t="shared" si="3"/>
        <v>2.1769509124454904E-2</v>
      </c>
      <c r="N33" s="408"/>
      <c r="O33" s="547"/>
    </row>
    <row r="34" spans="1:16" s="55" customFormat="1" ht="20.25" x14ac:dyDescent="0.2">
      <c r="A34" s="54"/>
      <c r="B34" s="54"/>
      <c r="C34" s="58" t="s">
        <v>112</v>
      </c>
      <c r="D34" s="58"/>
      <c r="E34" s="58"/>
      <c r="F34" s="58"/>
      <c r="G34" s="180">
        <f>150*8</f>
        <v>1200</v>
      </c>
      <c r="H34" s="180">
        <f>150*12</f>
        <v>1800</v>
      </c>
      <c r="I34" s="212"/>
      <c r="J34" s="180">
        <f>G34</f>
        <v>1200</v>
      </c>
      <c r="K34" s="290"/>
      <c r="L34" s="212">
        <f t="shared" si="2"/>
        <v>0</v>
      </c>
      <c r="M34" s="337">
        <f t="shared" si="3"/>
        <v>0</v>
      </c>
      <c r="N34" s="407"/>
      <c r="O34" s="547"/>
    </row>
    <row r="35" spans="1:16" s="55" customFormat="1" ht="20.25" x14ac:dyDescent="0.2">
      <c r="A35" s="54"/>
      <c r="B35" s="54"/>
      <c r="C35" s="58" t="s">
        <v>102</v>
      </c>
      <c r="D35" s="58"/>
      <c r="E35" s="58"/>
      <c r="F35" s="58"/>
      <c r="G35" s="180">
        <f>G26</f>
        <v>35160</v>
      </c>
      <c r="H35" s="180">
        <f>H26</f>
        <v>52740</v>
      </c>
      <c r="I35" s="212"/>
      <c r="J35" s="180">
        <f>J26</f>
        <v>35160</v>
      </c>
      <c r="K35" s="290"/>
      <c r="L35" s="212">
        <f t="shared" si="2"/>
        <v>0</v>
      </c>
      <c r="M35" s="337">
        <f t="shared" si="3"/>
        <v>0</v>
      </c>
      <c r="N35" s="407"/>
      <c r="O35" s="547"/>
    </row>
    <row r="36" spans="1:16" s="55" customFormat="1" ht="20.25" x14ac:dyDescent="0.2">
      <c r="A36" s="54"/>
      <c r="B36" s="54"/>
      <c r="C36" s="58" t="s">
        <v>113</v>
      </c>
      <c r="D36" s="58"/>
      <c r="E36" s="58"/>
      <c r="F36" s="58"/>
      <c r="G36" s="180">
        <v>12953.81</v>
      </c>
      <c r="H36" s="180">
        <v>19611.759999999998</v>
      </c>
      <c r="I36" s="212"/>
      <c r="J36" s="180">
        <v>12994.3</v>
      </c>
      <c r="K36" s="290"/>
      <c r="L36" s="212">
        <f t="shared" si="2"/>
        <v>-40.489999999999782</v>
      </c>
      <c r="M36" s="337">
        <f t="shared" si="3"/>
        <v>-3.1159816227114799E-3</v>
      </c>
      <c r="N36" s="407"/>
      <c r="O36" s="547"/>
    </row>
    <row r="37" spans="1:16" s="55" customFormat="1" ht="20.25" x14ac:dyDescent="0.2">
      <c r="A37" s="54"/>
      <c r="B37" s="54"/>
      <c r="C37" s="58" t="s">
        <v>114</v>
      </c>
      <c r="D37" s="58"/>
      <c r="E37" s="58"/>
      <c r="F37" s="58"/>
      <c r="G37" s="180">
        <v>1873.58</v>
      </c>
      <c r="H37" s="180">
        <v>3399.22</v>
      </c>
      <c r="I37" s="212"/>
      <c r="J37" s="180">
        <v>2464.75</v>
      </c>
      <c r="K37" s="290"/>
      <c r="L37" s="212">
        <f t="shared" si="2"/>
        <v>-591.17000000000007</v>
      </c>
      <c r="M37" s="337">
        <f t="shared" si="3"/>
        <v>-0.23984988335530991</v>
      </c>
      <c r="N37" s="407"/>
      <c r="O37" s="547"/>
    </row>
    <row r="38" spans="1:16" s="55" customFormat="1" ht="20.25" x14ac:dyDescent="0.2">
      <c r="A38" s="54"/>
      <c r="B38" s="54"/>
      <c r="C38" s="58" t="s">
        <v>115</v>
      </c>
      <c r="D38" s="58"/>
      <c r="E38" s="58"/>
      <c r="F38" s="58"/>
      <c r="G38" s="180">
        <v>2233.77</v>
      </c>
      <c r="H38" s="180">
        <v>5676.69</v>
      </c>
      <c r="I38" s="212"/>
      <c r="J38" s="180">
        <v>4518.66</v>
      </c>
      <c r="K38" s="290"/>
      <c r="L38" s="212">
        <f t="shared" si="2"/>
        <v>-2284.89</v>
      </c>
      <c r="M38" s="337">
        <f t="shared" si="3"/>
        <v>-0.50565654419673089</v>
      </c>
      <c r="N38" s="407"/>
      <c r="O38" s="547"/>
    </row>
    <row r="39" spans="1:16" s="55" customFormat="1" ht="20.25" x14ac:dyDescent="0.2">
      <c r="A39" s="54"/>
      <c r="B39" s="54"/>
      <c r="C39" s="58" t="s">
        <v>116</v>
      </c>
      <c r="D39" s="58"/>
      <c r="E39" s="58"/>
      <c r="F39" s="58"/>
      <c r="G39" s="180">
        <v>1788.66</v>
      </c>
      <c r="H39" s="180">
        <v>7663.45</v>
      </c>
      <c r="I39" s="212"/>
      <c r="J39" s="180">
        <v>7087.97</v>
      </c>
      <c r="K39" s="290"/>
      <c r="L39" s="212">
        <f t="shared" si="2"/>
        <v>-5299.31</v>
      </c>
      <c r="M39" s="337">
        <f t="shared" si="3"/>
        <v>-0.74764848045350085</v>
      </c>
      <c r="N39" s="407" t="s">
        <v>700</v>
      </c>
      <c r="O39" s="547"/>
    </row>
    <row r="40" spans="1:16" s="55" customFormat="1" ht="20.25" x14ac:dyDescent="0.2">
      <c r="A40" s="54"/>
      <c r="B40" s="54"/>
      <c r="C40" s="58" t="s">
        <v>117</v>
      </c>
      <c r="D40" s="58"/>
      <c r="E40" s="58"/>
      <c r="F40" s="58"/>
      <c r="G40" s="390">
        <f>14010.51+4038.64</f>
        <v>18049.150000000001</v>
      </c>
      <c r="H40" s="180">
        <f>32706.83+20164.03</f>
        <v>52870.86</v>
      </c>
      <c r="I40" s="212"/>
      <c r="J40" s="180">
        <f>25463.2+10708.74</f>
        <v>36171.94</v>
      </c>
      <c r="K40" s="290"/>
      <c r="L40" s="212">
        <f t="shared" si="2"/>
        <v>-18122.79</v>
      </c>
      <c r="M40" s="337">
        <f t="shared" si="3"/>
        <v>-0.50101791609739488</v>
      </c>
      <c r="N40" s="407" t="s">
        <v>701</v>
      </c>
      <c r="O40" s="547"/>
    </row>
    <row r="41" spans="1:16" s="55" customFormat="1" ht="20.25" x14ac:dyDescent="0.2">
      <c r="A41" s="54"/>
      <c r="B41" s="54"/>
      <c r="C41" s="58" t="s">
        <v>118</v>
      </c>
      <c r="D41" s="58"/>
      <c r="E41" s="58"/>
      <c r="F41" s="58"/>
      <c r="G41" s="180">
        <v>2361.41</v>
      </c>
      <c r="H41" s="180">
        <v>5933.27</v>
      </c>
      <c r="I41" s="212"/>
      <c r="J41" s="180">
        <v>4054.39</v>
      </c>
      <c r="K41" s="290"/>
      <c r="L41" s="212">
        <f t="shared" si="2"/>
        <v>-1692.98</v>
      </c>
      <c r="M41" s="337">
        <f t="shared" si="3"/>
        <v>-0.41756713093708303</v>
      </c>
      <c r="N41" s="407"/>
      <c r="O41" s="547"/>
    </row>
    <row r="42" spans="1:16" s="55" customFormat="1" ht="20.25" x14ac:dyDescent="0.2">
      <c r="A42" s="54"/>
      <c r="B42" s="54"/>
      <c r="C42" s="58" t="s">
        <v>119</v>
      </c>
      <c r="D42" s="58"/>
      <c r="E42" s="58"/>
      <c r="F42" s="58"/>
      <c r="G42" s="180">
        <v>786.9</v>
      </c>
      <c r="H42" s="180">
        <v>1318.06</v>
      </c>
      <c r="I42" s="212"/>
      <c r="J42" s="180">
        <v>696.64</v>
      </c>
      <c r="K42" s="290"/>
      <c r="L42" s="212">
        <f t="shared" si="2"/>
        <v>90.259999999999991</v>
      </c>
      <c r="M42" s="337">
        <f t="shared" si="3"/>
        <v>0.12956476802939823</v>
      </c>
      <c r="N42" s="407"/>
      <c r="O42" s="547"/>
    </row>
    <row r="43" spans="1:16" s="55" customFormat="1" ht="20.25" x14ac:dyDescent="0.2">
      <c r="A43" s="54"/>
      <c r="B43" s="54"/>
      <c r="C43" s="58" t="s">
        <v>164</v>
      </c>
      <c r="D43" s="58"/>
      <c r="E43" s="58"/>
      <c r="F43" s="58"/>
      <c r="G43" s="180">
        <v>22500</v>
      </c>
      <c r="H43" s="180">
        <v>7675</v>
      </c>
      <c r="I43" s="212"/>
      <c r="J43" s="180">
        <v>7050</v>
      </c>
      <c r="K43" s="290"/>
      <c r="L43" s="212">
        <f t="shared" si="2"/>
        <v>15450</v>
      </c>
      <c r="M43" s="337">
        <f t="shared" si="3"/>
        <v>2.1914893617021276</v>
      </c>
      <c r="N43" s="407"/>
      <c r="O43" s="547"/>
    </row>
    <row r="44" spans="1:16" s="55" customFormat="1" ht="20.25" x14ac:dyDescent="0.2">
      <c r="A44" s="54"/>
      <c r="B44" s="54"/>
      <c r="C44" s="803" t="s">
        <v>321</v>
      </c>
      <c r="D44" s="803"/>
      <c r="E44" s="803"/>
      <c r="F44" s="803"/>
      <c r="G44" s="180">
        <f>318.5+273</f>
        <v>591.5</v>
      </c>
      <c r="H44" s="180">
        <v>409.5</v>
      </c>
      <c r="I44" s="212"/>
      <c r="J44" s="180">
        <v>0</v>
      </c>
      <c r="K44" s="290"/>
      <c r="L44" s="212">
        <f t="shared" si="2"/>
        <v>591.5</v>
      </c>
      <c r="M44" s="337">
        <v>1</v>
      </c>
      <c r="N44" s="407"/>
      <c r="O44" s="547"/>
    </row>
    <row r="45" spans="1:16" s="55" customFormat="1" ht="20.25" x14ac:dyDescent="0.2">
      <c r="A45" s="58"/>
      <c r="B45" s="58"/>
      <c r="C45" s="58" t="s">
        <v>120</v>
      </c>
      <c r="D45" s="58"/>
      <c r="E45" s="58"/>
      <c r="F45" s="58"/>
      <c r="G45" s="180">
        <v>19023.13</v>
      </c>
      <c r="H45" s="180">
        <f>31493.57</f>
        <v>31493.57</v>
      </c>
      <c r="I45" s="213"/>
      <c r="J45" s="180">
        <v>18815.759999999998</v>
      </c>
      <c r="K45" s="290"/>
      <c r="L45" s="212">
        <f t="shared" si="2"/>
        <v>207.37000000000262</v>
      </c>
      <c r="M45" s="337">
        <f t="shared" ref="M45:M54" si="4">L45/J45</f>
        <v>1.1021080200853042E-2</v>
      </c>
      <c r="N45" s="407"/>
      <c r="O45" s="547"/>
    </row>
    <row r="46" spans="1:16" s="55" customFormat="1" ht="20.25" x14ac:dyDescent="0.2">
      <c r="A46" s="58"/>
      <c r="B46" s="58"/>
      <c r="C46" s="58" t="s">
        <v>121</v>
      </c>
      <c r="D46" s="58"/>
      <c r="E46" s="58"/>
      <c r="F46" s="58"/>
      <c r="G46" s="180">
        <v>17935.599999999999</v>
      </c>
      <c r="H46" s="180">
        <f>23357.61</f>
        <v>23357.61</v>
      </c>
      <c r="I46" s="180"/>
      <c r="J46" s="180">
        <v>15447.92</v>
      </c>
      <c r="K46" s="290"/>
      <c r="L46" s="212">
        <f t="shared" si="2"/>
        <v>2487.6799999999985</v>
      </c>
      <c r="M46" s="337">
        <f t="shared" si="4"/>
        <v>0.16103656673519789</v>
      </c>
      <c r="N46" s="409"/>
      <c r="O46" s="547"/>
    </row>
    <row r="47" spans="1:16" s="55" customFormat="1" ht="20.25" x14ac:dyDescent="0.2">
      <c r="A47" s="58"/>
      <c r="B47" s="58"/>
      <c r="C47" s="58" t="s">
        <v>128</v>
      </c>
      <c r="D47" s="58"/>
      <c r="E47" s="58"/>
      <c r="F47" s="58"/>
      <c r="G47" s="180">
        <v>498.5</v>
      </c>
      <c r="H47" s="180">
        <f>210+92.65</f>
        <v>302.64999999999998</v>
      </c>
      <c r="I47" s="180"/>
      <c r="J47" s="180">
        <f>92.65+210</f>
        <v>302.64999999999998</v>
      </c>
      <c r="K47" s="290"/>
      <c r="L47" s="212">
        <f t="shared" si="2"/>
        <v>195.85000000000002</v>
      </c>
      <c r="M47" s="337">
        <f t="shared" si="4"/>
        <v>0.6471171320006609</v>
      </c>
      <c r="O47" s="547"/>
      <c r="P47" s="191"/>
    </row>
    <row r="48" spans="1:16" s="55" customFormat="1" ht="20.25" x14ac:dyDescent="0.2">
      <c r="A48" s="58"/>
      <c r="B48" s="58"/>
      <c r="C48" s="58" t="s">
        <v>122</v>
      </c>
      <c r="D48" s="58"/>
      <c r="E48" s="58"/>
      <c r="F48" s="58"/>
      <c r="G48" s="180">
        <v>347.29</v>
      </c>
      <c r="H48" s="180">
        <f>6568.01+3012.83</f>
        <v>9580.84</v>
      </c>
      <c r="I48" s="180"/>
      <c r="J48" s="180">
        <f>5442.91+1365.87</f>
        <v>6808.78</v>
      </c>
      <c r="K48" s="290"/>
      <c r="L48" s="212">
        <f t="shared" si="2"/>
        <v>-6461.49</v>
      </c>
      <c r="M48" s="337">
        <f t="shared" si="4"/>
        <v>-0.94899379918281979</v>
      </c>
      <c r="N48" s="407"/>
      <c r="O48" s="547"/>
      <c r="P48" s="191"/>
    </row>
    <row r="49" spans="1:19" s="55" customFormat="1" ht="20.25" x14ac:dyDescent="0.2">
      <c r="A49" s="54"/>
      <c r="B49" s="54"/>
      <c r="C49" s="58" t="s">
        <v>197</v>
      </c>
      <c r="D49" s="58"/>
      <c r="E49" s="58"/>
      <c r="F49" s="58"/>
      <c r="G49" s="180">
        <v>3165.22</v>
      </c>
      <c r="H49" s="180">
        <f>7427.13</f>
        <v>7427.13</v>
      </c>
      <c r="I49" s="180"/>
      <c r="J49" s="180">
        <v>4746.96</v>
      </c>
      <c r="K49" s="290"/>
      <c r="L49" s="212">
        <f t="shared" si="2"/>
        <v>-1581.7400000000002</v>
      </c>
      <c r="M49" s="337">
        <f t="shared" si="4"/>
        <v>-0.33321114987276074</v>
      </c>
      <c r="N49" s="407"/>
      <c r="O49" s="547"/>
    </row>
    <row r="50" spans="1:19" s="55" customFormat="1" ht="20.25" x14ac:dyDescent="0.2">
      <c r="A50" s="58"/>
      <c r="B50" s="58"/>
      <c r="C50" s="58" t="s">
        <v>459</v>
      </c>
      <c r="D50" s="58"/>
      <c r="E50" s="58"/>
      <c r="F50" s="58"/>
      <c r="G50" s="180">
        <v>32712</v>
      </c>
      <c r="H50" s="180">
        <v>51880</v>
      </c>
      <c r="I50" s="180"/>
      <c r="J50" s="180">
        <f>22718+11869</f>
        <v>34587</v>
      </c>
      <c r="K50" s="290"/>
      <c r="L50" s="212">
        <f t="shared" si="2"/>
        <v>-1875</v>
      </c>
      <c r="M50" s="337">
        <f t="shared" si="4"/>
        <v>-5.421111978489028E-2</v>
      </c>
      <c r="N50" s="409"/>
      <c r="O50" s="547"/>
    </row>
    <row r="51" spans="1:19" s="55" customFormat="1" ht="20.25" x14ac:dyDescent="0.2">
      <c r="A51" s="58"/>
      <c r="B51" s="58"/>
      <c r="C51" s="58" t="s">
        <v>124</v>
      </c>
      <c r="D51" s="58"/>
      <c r="E51" s="58"/>
      <c r="F51" s="58"/>
      <c r="G51" s="180">
        <f>17.65+41074.99</f>
        <v>41092.639999999999</v>
      </c>
      <c r="H51" s="180">
        <f>2150+33774.13</f>
        <v>35924.129999999997</v>
      </c>
      <c r="I51" s="180"/>
      <c r="J51" s="180">
        <v>15595.01</v>
      </c>
      <c r="K51" s="290"/>
      <c r="L51" s="212">
        <f t="shared" si="2"/>
        <v>25497.629999999997</v>
      </c>
      <c r="M51" s="337">
        <f t="shared" si="4"/>
        <v>1.6349864475880425</v>
      </c>
      <c r="N51" s="407" t="s">
        <v>702</v>
      </c>
      <c r="O51" s="547"/>
    </row>
    <row r="52" spans="1:19" s="55" customFormat="1" ht="20.25" x14ac:dyDescent="0.2">
      <c r="A52" s="58"/>
      <c r="B52" s="58"/>
      <c r="C52" s="58" t="s">
        <v>163</v>
      </c>
      <c r="D52" s="58"/>
      <c r="E52" s="58"/>
      <c r="F52" s="58"/>
      <c r="G52" s="180">
        <v>43834.91</v>
      </c>
      <c r="H52" s="180">
        <f>60609.96</f>
        <v>60609.96</v>
      </c>
      <c r="I52" s="180"/>
      <c r="J52" s="180">
        <v>43283.57</v>
      </c>
      <c r="K52" s="290"/>
      <c r="L52" s="212">
        <f t="shared" si="2"/>
        <v>551.34000000000378</v>
      </c>
      <c r="M52" s="337">
        <f t="shared" si="4"/>
        <v>1.2737858730229595E-2</v>
      </c>
      <c r="O52" s="547"/>
    </row>
    <row r="53" spans="1:19" s="55" customFormat="1" ht="20.25" x14ac:dyDescent="0.2">
      <c r="A53" s="58"/>
      <c r="B53" s="58"/>
      <c r="C53" s="58" t="s">
        <v>125</v>
      </c>
      <c r="D53" s="58"/>
      <c r="E53" s="58"/>
      <c r="F53" s="58"/>
      <c r="G53" s="180">
        <f>20230.5+7233.4</f>
        <v>27463.9</v>
      </c>
      <c r="H53" s="180">
        <f>52356.19+14824.15</f>
        <v>67180.34</v>
      </c>
      <c r="I53" s="180"/>
      <c r="J53" s="180">
        <f>10223.47+44780</f>
        <v>55003.47</v>
      </c>
      <c r="K53" s="290"/>
      <c r="L53" s="212">
        <f t="shared" si="2"/>
        <v>-27539.57</v>
      </c>
      <c r="M53" s="337">
        <f t="shared" si="4"/>
        <v>-0.50068786569283719</v>
      </c>
      <c r="N53" s="407" t="s">
        <v>703</v>
      </c>
      <c r="O53" s="547"/>
    </row>
    <row r="54" spans="1:19" s="55" customFormat="1" ht="21" thickBot="1" x14ac:dyDescent="0.25">
      <c r="A54" s="58"/>
      <c r="B54" s="58"/>
      <c r="C54" s="58" t="s">
        <v>460</v>
      </c>
      <c r="D54" s="58"/>
      <c r="E54" s="58"/>
      <c r="F54" s="58"/>
      <c r="G54" s="187">
        <f>4995.92+1.75</f>
        <v>4997.67</v>
      </c>
      <c r="H54" s="187">
        <f>7487+11.19</f>
        <v>7498.19</v>
      </c>
      <c r="I54" s="180"/>
      <c r="J54" s="187">
        <f>350-8.81+4658</f>
        <v>4999.1899999999996</v>
      </c>
      <c r="K54" s="290"/>
      <c r="L54" s="301">
        <f t="shared" si="2"/>
        <v>-1.5199999999995271</v>
      </c>
      <c r="M54" s="361">
        <f t="shared" si="4"/>
        <v>-3.0404925597937412E-4</v>
      </c>
      <c r="N54" s="410"/>
      <c r="O54" s="547"/>
    </row>
    <row r="55" spans="1:19" s="55" customFormat="1" ht="21" hidden="1" thickBot="1" x14ac:dyDescent="0.25">
      <c r="A55" s="58"/>
      <c r="B55" s="58"/>
      <c r="C55" s="58"/>
      <c r="D55" s="58"/>
      <c r="E55" s="58"/>
      <c r="F55" s="58"/>
      <c r="G55" s="187"/>
      <c r="H55" s="187"/>
      <c r="I55" s="180"/>
      <c r="J55" s="187"/>
      <c r="K55" s="290"/>
      <c r="L55" s="301"/>
      <c r="M55" s="361"/>
      <c r="N55" s="407"/>
      <c r="O55" s="547"/>
    </row>
    <row r="56" spans="1:19" s="55" customFormat="1" ht="20.25" x14ac:dyDescent="0.2">
      <c r="A56" s="54"/>
      <c r="B56" s="54"/>
      <c r="C56" s="54"/>
      <c r="D56" s="54" t="s">
        <v>126</v>
      </c>
      <c r="E56" s="54"/>
      <c r="F56" s="54"/>
      <c r="G56" s="183">
        <f>SUM(G32:G54)</f>
        <v>988839.4500000003</v>
      </c>
      <c r="H56" s="183">
        <f>SUM(H32:H54)</f>
        <v>1574577.47</v>
      </c>
      <c r="I56" s="180"/>
      <c r="J56" s="183">
        <f>SUM(J32:J54)</f>
        <v>1059449.0900000001</v>
      </c>
      <c r="K56" s="290"/>
      <c r="L56" s="180">
        <f>SUM(L32:L54)</f>
        <v>-70609.64</v>
      </c>
      <c r="M56" s="337">
        <f>L56/J56</f>
        <v>-6.6647506394101483E-2</v>
      </c>
      <c r="N56" s="410"/>
      <c r="O56" s="547"/>
      <c r="P56" s="271"/>
      <c r="S56" s="191"/>
    </row>
    <row r="57" spans="1:19" s="55" customFormat="1" ht="10.5" customHeight="1" thickBot="1" x14ac:dyDescent="0.25">
      <c r="A57" s="54"/>
      <c r="B57" s="54"/>
      <c r="C57" s="54"/>
      <c r="D57" s="54"/>
      <c r="E57" s="54"/>
      <c r="F57" s="54"/>
      <c r="G57" s="187"/>
      <c r="H57" s="187"/>
      <c r="I57" s="180"/>
      <c r="J57" s="187"/>
      <c r="K57" s="290"/>
      <c r="L57" s="311"/>
      <c r="M57" s="395"/>
      <c r="N57" s="410"/>
      <c r="O57" s="547"/>
    </row>
    <row r="58" spans="1:19" s="55" customFormat="1" ht="21" thickBot="1" x14ac:dyDescent="0.25">
      <c r="A58" s="54"/>
      <c r="B58" s="54"/>
      <c r="C58" s="54"/>
      <c r="D58" s="54" t="s">
        <v>127</v>
      </c>
      <c r="E58" s="54"/>
      <c r="F58" s="54"/>
      <c r="G58" s="187">
        <f>G29-G56</f>
        <v>73651.889999999781</v>
      </c>
      <c r="H58" s="187">
        <f>H29-H56</f>
        <v>102833.0700000003</v>
      </c>
      <c r="I58" s="180"/>
      <c r="J58" s="187">
        <f>J29-J56</f>
        <v>-21668.320000000065</v>
      </c>
      <c r="K58" s="290"/>
      <c r="L58" s="187">
        <f>L29-L56</f>
        <v>95320.21000000005</v>
      </c>
      <c r="M58" s="389">
        <f>L58/J58</f>
        <v>-4.3990586256802446</v>
      </c>
      <c r="N58" s="410"/>
      <c r="O58" s="547"/>
    </row>
    <row r="59" spans="1:19" s="55" customFormat="1" ht="11.25" customHeight="1" x14ac:dyDescent="0.2">
      <c r="A59" s="54"/>
      <c r="B59" s="54"/>
      <c r="C59" s="54"/>
      <c r="D59" s="54"/>
      <c r="E59" s="54"/>
      <c r="F59" s="54"/>
      <c r="G59" s="180"/>
      <c r="H59" s="180"/>
      <c r="I59" s="180"/>
      <c r="J59" s="180"/>
      <c r="K59" s="290"/>
      <c r="L59" s="309"/>
      <c r="M59" s="394"/>
      <c r="N59" s="407"/>
      <c r="O59" s="547"/>
    </row>
    <row r="60" spans="1:19" s="55" customFormat="1" ht="21" thickBot="1" x14ac:dyDescent="0.25">
      <c r="A60" s="58"/>
      <c r="B60" s="66" t="s">
        <v>331</v>
      </c>
      <c r="C60" s="66"/>
      <c r="D60" s="66"/>
      <c r="E60" s="66"/>
      <c r="F60" s="66"/>
      <c r="G60" s="513"/>
      <c r="H60" s="513"/>
      <c r="I60" s="180"/>
      <c r="J60" s="187"/>
      <c r="K60" s="290"/>
      <c r="L60" s="309"/>
      <c r="M60" s="394"/>
      <c r="N60" s="407"/>
      <c r="O60" s="547"/>
    </row>
    <row r="61" spans="1:19" s="55" customFormat="1" ht="20.25" x14ac:dyDescent="0.2">
      <c r="A61" s="58"/>
      <c r="B61" s="54"/>
      <c r="C61" s="54"/>
      <c r="D61" s="54" t="s">
        <v>139</v>
      </c>
      <c r="E61" s="54"/>
      <c r="F61" s="54"/>
      <c r="G61" s="180"/>
      <c r="H61" s="180"/>
      <c r="I61" s="180"/>
      <c r="J61" s="180"/>
      <c r="K61" s="290"/>
      <c r="L61" s="309"/>
      <c r="M61" s="394"/>
      <c r="N61" s="407"/>
      <c r="O61" s="547"/>
    </row>
    <row r="62" spans="1:19" s="55" customFormat="1" ht="20.25" x14ac:dyDescent="0.2">
      <c r="A62" s="58"/>
      <c r="B62" s="54"/>
      <c r="C62" s="54"/>
      <c r="D62" s="54"/>
      <c r="E62" s="58" t="s">
        <v>140</v>
      </c>
      <c r="F62" s="54"/>
      <c r="G62" s="180">
        <v>52000</v>
      </c>
      <c r="H62" s="180">
        <v>52000</v>
      </c>
      <c r="I62" s="180"/>
      <c r="J62" s="180">
        <v>52000</v>
      </c>
      <c r="K62" s="290"/>
      <c r="L62" s="212">
        <f t="shared" ref="L62:L65" si="5">G62-J62</f>
        <v>0</v>
      </c>
      <c r="M62" s="337">
        <f>L62/J62</f>
        <v>0</v>
      </c>
      <c r="N62" s="407"/>
      <c r="O62" s="547"/>
      <c r="R62" s="191"/>
    </row>
    <row r="63" spans="1:19" s="55" customFormat="1" ht="20.25" x14ac:dyDescent="0.2">
      <c r="A63" s="58"/>
      <c r="B63" s="54"/>
      <c r="C63" s="54"/>
      <c r="D63" s="54"/>
      <c r="E63" s="58" t="s">
        <v>167</v>
      </c>
      <c r="F63" s="54"/>
      <c r="G63" s="180">
        <v>21000</v>
      </c>
      <c r="H63" s="180">
        <v>21000</v>
      </c>
      <c r="I63" s="180"/>
      <c r="J63" s="180">
        <v>21000</v>
      </c>
      <c r="K63" s="290"/>
      <c r="L63" s="212">
        <f t="shared" si="5"/>
        <v>0</v>
      </c>
      <c r="M63" s="337">
        <f>L63/J63</f>
        <v>0</v>
      </c>
      <c r="N63" s="407"/>
      <c r="O63" s="547"/>
    </row>
    <row r="64" spans="1:19" s="55" customFormat="1" ht="20.25" x14ac:dyDescent="0.2">
      <c r="A64" s="58"/>
      <c r="B64" s="54"/>
      <c r="C64" s="54"/>
      <c r="D64" s="54"/>
      <c r="E64" s="58" t="s">
        <v>552</v>
      </c>
      <c r="F64" s="54"/>
      <c r="G64" s="180">
        <f>16306-8333</f>
        <v>7973</v>
      </c>
      <c r="H64" s="180">
        <f>14285.75+7500+1500-13092-1000</f>
        <v>9193.75</v>
      </c>
      <c r="I64" s="180"/>
      <c r="J64" s="180">
        <f>42891.5-33.81-9286</f>
        <v>33571.69</v>
      </c>
      <c r="K64" s="290"/>
      <c r="L64" s="212">
        <f>G64-J64</f>
        <v>-25598.690000000002</v>
      </c>
      <c r="M64" s="337"/>
      <c r="N64" s="407"/>
      <c r="O64" s="547"/>
    </row>
    <row r="65" spans="1:15" s="55" customFormat="1" ht="20.25" x14ac:dyDescent="0.2">
      <c r="A65" s="58"/>
      <c r="B65" s="54"/>
      <c r="C65" s="54"/>
      <c r="D65" s="54"/>
      <c r="E65" s="58" t="s">
        <v>138</v>
      </c>
      <c r="F65" s="54"/>
      <c r="G65" s="182">
        <v>7000</v>
      </c>
      <c r="H65" s="182">
        <f>33.81+5000+2000</f>
        <v>7033.81</v>
      </c>
      <c r="I65" s="182"/>
      <c r="J65" s="182">
        <v>33.81</v>
      </c>
      <c r="K65" s="477"/>
      <c r="L65" s="733">
        <f t="shared" si="5"/>
        <v>6966.19</v>
      </c>
      <c r="M65" s="392">
        <f>L65/J65</f>
        <v>206.03933747412006</v>
      </c>
      <c r="N65" s="407"/>
      <c r="O65" s="547"/>
    </row>
    <row r="66" spans="1:15" s="55" customFormat="1" ht="21" thickBot="1" x14ac:dyDescent="0.25">
      <c r="A66" s="58"/>
      <c r="B66" s="54"/>
      <c r="C66" s="54"/>
      <c r="D66" s="54" t="s">
        <v>104</v>
      </c>
      <c r="E66" s="54"/>
      <c r="F66" s="54"/>
      <c r="G66" s="187">
        <f>-G28</f>
        <v>-54527.57</v>
      </c>
      <c r="H66" s="187">
        <f>-H28</f>
        <v>-134785.4</v>
      </c>
      <c r="I66" s="180"/>
      <c r="J66" s="187">
        <f>-J28-1000</f>
        <v>-89611.18</v>
      </c>
      <c r="K66" s="290"/>
      <c r="L66" s="301">
        <f>G66-J66</f>
        <v>35083.609999999993</v>
      </c>
      <c r="M66" s="361">
        <f>L66/J66</f>
        <v>-0.39150929604989015</v>
      </c>
      <c r="N66" s="407"/>
      <c r="O66" s="547"/>
    </row>
    <row r="67" spans="1:15" s="55" customFormat="1" ht="21" thickBot="1" x14ac:dyDescent="0.25">
      <c r="A67" s="58"/>
      <c r="B67" s="54"/>
      <c r="C67" s="54"/>
      <c r="D67" s="54"/>
      <c r="E67" s="54" t="s">
        <v>330</v>
      </c>
      <c r="F67" s="54"/>
      <c r="G67" s="187">
        <f>SUM(G61:G66)</f>
        <v>33445.43</v>
      </c>
      <c r="H67" s="187">
        <f>SUM(H61:H66)</f>
        <v>-45557.84</v>
      </c>
      <c r="I67" s="180"/>
      <c r="J67" s="187">
        <f>SUM(J61:J66)</f>
        <v>16994.320000000007</v>
      </c>
      <c r="K67" s="290"/>
      <c r="L67" s="187">
        <f>SUM(L62:L66)</f>
        <v>16451.10999999999</v>
      </c>
      <c r="M67" s="361">
        <f>L67/J67</f>
        <v>0.96803579078186019</v>
      </c>
      <c r="N67" s="407"/>
      <c r="O67" s="547"/>
    </row>
    <row r="68" spans="1:15" s="55" customFormat="1" ht="7.5" customHeight="1" x14ac:dyDescent="0.2">
      <c r="A68" s="54"/>
      <c r="B68" s="54"/>
      <c r="C68" s="54"/>
      <c r="D68" s="54"/>
      <c r="E68" s="54"/>
      <c r="F68" s="54"/>
      <c r="G68" s="210"/>
      <c r="H68" s="210"/>
      <c r="I68" s="210"/>
      <c r="J68" s="210"/>
      <c r="K68" s="290"/>
      <c r="L68" s="309"/>
      <c r="M68" s="309"/>
      <c r="N68" s="407"/>
      <c r="O68" s="547"/>
    </row>
    <row r="69" spans="1:15" s="55" customFormat="1" ht="20.25" x14ac:dyDescent="0.2">
      <c r="A69" s="54"/>
      <c r="B69" s="54"/>
      <c r="C69" s="54"/>
      <c r="D69" s="54"/>
      <c r="E69" s="54" t="s">
        <v>84</v>
      </c>
      <c r="F69" s="54"/>
      <c r="G69" s="183">
        <f>G58+G67</f>
        <v>107097.31999999977</v>
      </c>
      <c r="H69" s="183">
        <f>H58+H67</f>
        <v>57275.230000000302</v>
      </c>
      <c r="I69" s="183"/>
      <c r="J69" s="183">
        <f>J58+J67</f>
        <v>-4674.0000000000582</v>
      </c>
      <c r="K69" s="290"/>
      <c r="L69" s="183">
        <f>L58+L67</f>
        <v>111771.32000000004</v>
      </c>
      <c r="M69" s="183"/>
      <c r="N69" s="407"/>
      <c r="O69" s="547"/>
    </row>
    <row r="70" spans="1:15" s="55" customFormat="1" ht="8.25" customHeight="1" x14ac:dyDescent="0.2">
      <c r="A70" s="54"/>
      <c r="B70" s="54"/>
      <c r="C70" s="54"/>
      <c r="D70" s="54"/>
      <c r="E70" s="54"/>
      <c r="F70" s="54"/>
      <c r="G70" s="180"/>
      <c r="H70" s="180"/>
      <c r="I70" s="180"/>
      <c r="J70" s="180"/>
      <c r="K70" s="290"/>
      <c r="L70" s="309"/>
      <c r="M70" s="309"/>
      <c r="N70" s="407"/>
      <c r="O70" s="547"/>
    </row>
    <row r="71" spans="1:15" s="62" customFormat="1" ht="26.25" x14ac:dyDescent="0.2">
      <c r="A71" s="206"/>
      <c r="B71" s="206"/>
      <c r="C71" s="54"/>
      <c r="D71" s="54" t="s">
        <v>142</v>
      </c>
      <c r="E71" s="54"/>
      <c r="F71" s="54"/>
      <c r="G71" s="183">
        <f>H72</f>
        <v>1037224.2400000003</v>
      </c>
      <c r="H71" s="183">
        <v>979949.01</v>
      </c>
      <c r="I71" s="183"/>
      <c r="J71" s="183">
        <f>H71-0.4</f>
        <v>979948.61</v>
      </c>
      <c r="K71" s="292"/>
      <c r="L71" s="310"/>
      <c r="M71" s="310"/>
      <c r="N71" s="411"/>
      <c r="O71" s="649"/>
    </row>
    <row r="72" spans="1:15" s="64" customFormat="1" ht="21" thickBot="1" x14ac:dyDescent="0.25">
      <c r="A72" s="54"/>
      <c r="B72" s="54"/>
      <c r="C72" s="54"/>
      <c r="E72" s="54" t="s">
        <v>141</v>
      </c>
      <c r="F72" s="54"/>
      <c r="G72" s="256">
        <f>G69+G71</f>
        <v>1144321.56</v>
      </c>
      <c r="H72" s="256">
        <f>H69+H71</f>
        <v>1037224.2400000003</v>
      </c>
      <c r="I72" s="210"/>
      <c r="J72" s="256">
        <f>J69+J71</f>
        <v>975274.60999999987</v>
      </c>
      <c r="K72" s="293"/>
      <c r="L72" s="210"/>
      <c r="M72" s="310"/>
      <c r="N72" s="411"/>
      <c r="O72" s="738"/>
    </row>
    <row r="73" spans="1:15" s="52" customFormat="1" ht="6.75" customHeight="1" thickTop="1" x14ac:dyDescent="0.2">
      <c r="A73" s="206"/>
      <c r="B73" s="206"/>
      <c r="C73" s="54"/>
      <c r="D73" s="206"/>
      <c r="E73" s="206"/>
      <c r="F73" s="206"/>
      <c r="G73" s="208"/>
      <c r="H73" s="208"/>
      <c r="I73" s="180"/>
      <c r="J73" s="180"/>
      <c r="K73" s="289"/>
      <c r="L73" s="309"/>
      <c r="M73" s="309"/>
      <c r="N73" s="407"/>
      <c r="O73" s="635"/>
    </row>
    <row r="74" spans="1:15" s="55" customFormat="1" ht="16.5" customHeight="1" x14ac:dyDescent="0.2">
      <c r="A74" s="54"/>
      <c r="B74" s="54"/>
      <c r="D74" s="272"/>
      <c r="E74" s="54"/>
      <c r="G74" s="180"/>
      <c r="H74" s="180"/>
      <c r="I74" s="180"/>
      <c r="J74" s="180"/>
      <c r="K74" s="290"/>
      <c r="L74" s="309"/>
      <c r="M74" s="309"/>
      <c r="N74" s="407"/>
      <c r="O74" s="547"/>
    </row>
    <row r="75" spans="1:15" s="55" customFormat="1" ht="23.25" x14ac:dyDescent="0.2">
      <c r="A75" s="54"/>
      <c r="B75" s="209"/>
      <c r="C75" s="54"/>
      <c r="D75" s="54"/>
      <c r="E75" s="54"/>
      <c r="F75" s="54"/>
      <c r="G75" s="180"/>
      <c r="H75" s="180"/>
      <c r="I75" s="180"/>
      <c r="J75" s="180"/>
      <c r="K75" s="290"/>
      <c r="L75" s="309"/>
      <c r="M75" s="309"/>
      <c r="N75" s="407"/>
      <c r="O75" s="547"/>
    </row>
    <row r="76" spans="1:15" s="55" customFormat="1" ht="20.25" x14ac:dyDescent="0.2">
      <c r="A76" s="54"/>
      <c r="B76" s="54"/>
      <c r="C76" s="54"/>
      <c r="D76" s="54"/>
      <c r="E76" s="54"/>
      <c r="F76" s="54"/>
      <c r="G76" s="180"/>
      <c r="H76" s="180"/>
      <c r="I76" s="180"/>
      <c r="J76" s="180"/>
      <c r="K76" s="290"/>
      <c r="L76" s="309"/>
      <c r="M76" s="309"/>
      <c r="N76" s="407"/>
      <c r="O76" s="547"/>
    </row>
    <row r="77" spans="1:15" s="55" customFormat="1" ht="20.25" x14ac:dyDescent="0.2">
      <c r="A77" s="58"/>
      <c r="B77" s="58"/>
      <c r="C77" s="58"/>
      <c r="D77" s="58"/>
      <c r="F77" s="58"/>
      <c r="G77" s="189"/>
      <c r="H77" s="180"/>
      <c r="I77" s="180"/>
      <c r="J77" s="180"/>
      <c r="K77" s="290"/>
      <c r="L77" s="309"/>
      <c r="M77" s="309"/>
      <c r="N77" s="407"/>
      <c r="O77" s="547"/>
    </row>
    <row r="78" spans="1:15" s="55" customFormat="1" ht="20.25" x14ac:dyDescent="0.2">
      <c r="A78" s="58"/>
      <c r="B78" s="58"/>
      <c r="C78" s="58"/>
      <c r="D78" s="58"/>
      <c r="F78" s="58"/>
      <c r="G78" s="180"/>
      <c r="H78" s="180"/>
      <c r="I78" s="180"/>
      <c r="J78" s="180"/>
      <c r="K78" s="290"/>
      <c r="L78" s="309"/>
      <c r="M78" s="309"/>
      <c r="N78" s="407"/>
      <c r="O78" s="547"/>
    </row>
    <row r="79" spans="1:15" s="55" customFormat="1" ht="20.25" x14ac:dyDescent="0.2">
      <c r="A79" s="58"/>
      <c r="B79" s="58"/>
      <c r="C79" s="58"/>
      <c r="D79" s="58"/>
      <c r="F79" s="58"/>
      <c r="G79" s="180"/>
      <c r="H79" s="180"/>
      <c r="I79" s="180"/>
      <c r="J79" s="180"/>
      <c r="K79" s="290"/>
      <c r="L79" s="309"/>
      <c r="M79" s="309"/>
      <c r="N79" s="407"/>
      <c r="O79" s="547"/>
    </row>
    <row r="80" spans="1:15" s="55" customFormat="1" ht="20.25" x14ac:dyDescent="0.2">
      <c r="A80" s="58"/>
      <c r="B80" s="58"/>
      <c r="C80" s="58"/>
      <c r="D80" s="58"/>
      <c r="F80" s="58"/>
      <c r="G80" s="180"/>
      <c r="H80" s="180"/>
      <c r="I80" s="180"/>
      <c r="J80" s="180"/>
      <c r="K80" s="290"/>
      <c r="L80" s="309"/>
      <c r="M80" s="309"/>
      <c r="N80" s="407"/>
      <c r="O80" s="547"/>
    </row>
    <row r="81" spans="1:15" s="55" customFormat="1" ht="20.25" x14ac:dyDescent="0.2">
      <c r="A81" s="58"/>
      <c r="B81" s="58"/>
      <c r="C81" s="58"/>
      <c r="D81" s="58"/>
      <c r="F81" s="58"/>
      <c r="G81" s="180"/>
      <c r="H81" s="180"/>
      <c r="I81" s="180"/>
      <c r="J81" s="180"/>
      <c r="K81" s="290"/>
      <c r="L81" s="309"/>
      <c r="M81" s="309"/>
      <c r="N81" s="407"/>
      <c r="O81" s="547"/>
    </row>
    <row r="82" spans="1:15" s="55" customFormat="1" ht="20.25" x14ac:dyDescent="0.2">
      <c r="A82" s="58"/>
      <c r="B82" s="58"/>
      <c r="C82" s="58"/>
      <c r="D82" s="58"/>
      <c r="F82" s="58"/>
      <c r="G82" s="180"/>
      <c r="H82" s="180"/>
      <c r="I82" s="180"/>
      <c r="J82" s="180"/>
      <c r="K82" s="290"/>
      <c r="L82" s="309"/>
      <c r="M82" s="309"/>
      <c r="N82" s="407"/>
      <c r="O82" s="547"/>
    </row>
    <row r="83" spans="1:15" s="55" customFormat="1" ht="20.25" x14ac:dyDescent="0.2">
      <c r="A83" s="58"/>
      <c r="B83" s="58"/>
      <c r="C83" s="54"/>
      <c r="D83" s="58"/>
      <c r="F83" s="58"/>
      <c r="G83" s="180"/>
      <c r="H83" s="180"/>
      <c r="I83" s="180"/>
      <c r="J83" s="180"/>
      <c r="K83" s="290"/>
      <c r="L83" s="309"/>
      <c r="M83" s="309"/>
      <c r="N83" s="407"/>
      <c r="O83" s="547"/>
    </row>
    <row r="84" spans="1:15" s="55" customFormat="1" ht="20.25" x14ac:dyDescent="0.2">
      <c r="A84" s="58"/>
      <c r="B84" s="58"/>
      <c r="C84" s="58"/>
      <c r="D84" s="58"/>
      <c r="E84" s="58"/>
      <c r="F84" s="58"/>
      <c r="G84" s="180"/>
      <c r="H84" s="180"/>
      <c r="I84" s="180"/>
      <c r="J84" s="180"/>
      <c r="K84" s="290"/>
      <c r="L84" s="309"/>
      <c r="M84" s="309"/>
      <c r="N84" s="407"/>
      <c r="O84" s="547"/>
    </row>
    <row r="85" spans="1:15" s="55" customFormat="1" ht="20.25" x14ac:dyDescent="0.2">
      <c r="A85" s="58"/>
      <c r="B85" s="58"/>
      <c r="C85" s="54"/>
      <c r="D85" s="54"/>
      <c r="G85" s="180"/>
      <c r="H85" s="180"/>
      <c r="I85" s="180"/>
      <c r="J85" s="180"/>
      <c r="K85" s="290"/>
      <c r="L85" s="309"/>
      <c r="M85" s="309"/>
      <c r="N85" s="407"/>
      <c r="O85" s="547"/>
    </row>
    <row r="86" spans="1:15" s="55" customFormat="1" ht="20.25" x14ac:dyDescent="0.2">
      <c r="A86" s="58"/>
      <c r="B86" s="58"/>
      <c r="C86" s="58"/>
      <c r="D86" s="58"/>
      <c r="E86" s="58"/>
      <c r="F86" s="58"/>
      <c r="G86" s="180"/>
      <c r="H86" s="180"/>
      <c r="I86" s="180"/>
      <c r="J86" s="180"/>
      <c r="K86" s="290"/>
      <c r="L86" s="309"/>
      <c r="M86" s="309"/>
      <c r="N86" s="407"/>
      <c r="O86" s="547"/>
    </row>
    <row r="87" spans="1:15" s="55" customFormat="1" ht="20.25" x14ac:dyDescent="0.2">
      <c r="A87" s="58"/>
      <c r="B87" s="58"/>
      <c r="C87" s="58"/>
      <c r="D87" s="58"/>
      <c r="E87" s="58"/>
      <c r="F87" s="58"/>
      <c r="G87" s="180"/>
      <c r="H87" s="180"/>
      <c r="I87" s="180"/>
      <c r="J87" s="180"/>
      <c r="K87" s="290"/>
      <c r="L87" s="309"/>
      <c r="M87" s="309"/>
      <c r="N87" s="407"/>
      <c r="O87" s="547"/>
    </row>
    <row r="88" spans="1:15" s="55" customFormat="1" ht="20.25" x14ac:dyDescent="0.2">
      <c r="A88" s="58"/>
      <c r="B88" s="58"/>
      <c r="C88" s="58"/>
      <c r="D88" s="58"/>
      <c r="E88" s="58"/>
      <c r="F88" s="58"/>
      <c r="G88" s="180"/>
      <c r="H88" s="180"/>
      <c r="I88" s="180"/>
      <c r="J88" s="180"/>
      <c r="K88" s="290"/>
      <c r="L88" s="309"/>
      <c r="M88" s="309"/>
      <c r="N88" s="407"/>
      <c r="O88" s="547"/>
    </row>
    <row r="89" spans="1:15" s="55" customFormat="1" ht="20.25" x14ac:dyDescent="0.2">
      <c r="A89" s="58"/>
      <c r="B89" s="58"/>
      <c r="C89" s="58"/>
      <c r="D89" s="58"/>
      <c r="E89" s="58"/>
      <c r="F89" s="58"/>
      <c r="G89" s="180"/>
      <c r="H89" s="180"/>
      <c r="I89" s="180"/>
      <c r="J89" s="180"/>
      <c r="K89" s="290"/>
      <c r="L89" s="309"/>
      <c r="M89" s="309"/>
      <c r="N89" s="407"/>
      <c r="O89" s="547"/>
    </row>
    <row r="90" spans="1:15" s="55" customFormat="1" ht="20.25" x14ac:dyDescent="0.2">
      <c r="A90" s="58"/>
      <c r="B90" s="58"/>
      <c r="C90" s="54"/>
      <c r="D90" s="58"/>
      <c r="F90" s="58"/>
      <c r="G90" s="180"/>
      <c r="H90" s="180"/>
      <c r="I90" s="180"/>
      <c r="J90" s="180"/>
      <c r="K90" s="290"/>
      <c r="L90" s="309"/>
      <c r="M90" s="309"/>
      <c r="N90" s="407"/>
      <c r="O90" s="547"/>
    </row>
    <row r="91" spans="1:15" s="55" customFormat="1" ht="20.25" x14ac:dyDescent="0.2">
      <c r="A91" s="58"/>
      <c r="B91" s="58"/>
      <c r="C91" s="58"/>
      <c r="D91" s="58"/>
      <c r="E91" s="58"/>
      <c r="F91" s="58"/>
      <c r="G91" s="180"/>
      <c r="H91" s="180"/>
      <c r="I91" s="180"/>
      <c r="J91" s="180"/>
      <c r="K91" s="290"/>
      <c r="L91" s="309"/>
      <c r="M91" s="309"/>
      <c r="N91" s="407"/>
      <c r="O91" s="547"/>
    </row>
    <row r="92" spans="1:15" s="55" customFormat="1" ht="20.25" x14ac:dyDescent="0.2">
      <c r="A92" s="54"/>
      <c r="B92" s="54"/>
      <c r="C92" s="54"/>
      <c r="D92" s="54"/>
      <c r="E92" s="54"/>
      <c r="F92" s="54"/>
      <c r="G92" s="183"/>
      <c r="H92" s="183"/>
      <c r="I92" s="183"/>
      <c r="J92" s="183"/>
      <c r="K92" s="290"/>
      <c r="N92" s="407"/>
      <c r="O92" s="547"/>
    </row>
    <row r="93" spans="1:15" s="55" customFormat="1" ht="20.25" x14ac:dyDescent="0.2">
      <c r="A93" s="54"/>
      <c r="B93" s="54"/>
      <c r="C93" s="54"/>
      <c r="D93" s="54"/>
      <c r="E93" s="54"/>
      <c r="F93" s="54"/>
      <c r="G93" s="183"/>
      <c r="H93" s="183"/>
      <c r="I93" s="183"/>
      <c r="J93" s="183"/>
      <c r="K93" s="290"/>
      <c r="N93" s="407"/>
      <c r="O93" s="547"/>
    </row>
    <row r="94" spans="1:15" s="55" customFormat="1" ht="23.25" x14ac:dyDescent="0.2">
      <c r="A94" s="54"/>
      <c r="B94" s="209"/>
      <c r="C94" s="54"/>
      <c r="D94" s="54"/>
      <c r="E94" s="54"/>
      <c r="F94" s="54"/>
      <c r="G94" s="180"/>
      <c r="H94" s="180"/>
      <c r="I94" s="180"/>
      <c r="J94" s="180"/>
      <c r="K94" s="290"/>
      <c r="N94" s="407"/>
      <c r="O94" s="547"/>
    </row>
    <row r="95" spans="1:15" s="55" customFormat="1" ht="20.25" x14ac:dyDescent="0.2">
      <c r="A95" s="58"/>
      <c r="B95" s="58"/>
      <c r="D95" s="58"/>
      <c r="E95" s="58"/>
      <c r="F95" s="58"/>
      <c r="G95" s="180"/>
      <c r="H95" s="180"/>
      <c r="I95" s="180"/>
      <c r="J95" s="180"/>
      <c r="K95" s="290"/>
      <c r="N95" s="407"/>
      <c r="O95" s="547"/>
    </row>
    <row r="96" spans="1:15" s="55" customFormat="1" ht="20.25" x14ac:dyDescent="0.2">
      <c r="A96" s="58"/>
      <c r="B96" s="58"/>
      <c r="D96" s="58"/>
      <c r="E96" s="58"/>
      <c r="F96" s="58"/>
      <c r="G96" s="180"/>
      <c r="H96" s="180"/>
      <c r="I96" s="180"/>
      <c r="J96" s="180"/>
      <c r="K96" s="290"/>
      <c r="N96" s="407"/>
      <c r="O96" s="547"/>
    </row>
    <row r="97" spans="1:15" s="55" customFormat="1" ht="20.25" x14ac:dyDescent="0.2">
      <c r="A97" s="54"/>
      <c r="B97" s="54"/>
      <c r="D97" s="58"/>
      <c r="E97" s="54"/>
      <c r="F97" s="54"/>
      <c r="G97" s="180"/>
      <c r="H97" s="180"/>
      <c r="I97" s="180"/>
      <c r="J97" s="180"/>
      <c r="K97" s="290"/>
      <c r="N97" s="407"/>
      <c r="O97" s="547"/>
    </row>
    <row r="98" spans="1:15" s="55" customFormat="1" ht="23.25" x14ac:dyDescent="0.2">
      <c r="A98" s="54"/>
      <c r="B98" s="209"/>
      <c r="C98" s="54"/>
      <c r="D98" s="54"/>
      <c r="E98" s="54"/>
      <c r="F98" s="54"/>
      <c r="G98" s="183"/>
      <c r="H98" s="183"/>
      <c r="I98" s="183"/>
      <c r="J98" s="183"/>
      <c r="K98" s="290"/>
      <c r="N98" s="407"/>
      <c r="O98" s="547"/>
    </row>
    <row r="99" spans="1:15" s="55" customFormat="1" ht="20.25" x14ac:dyDescent="0.2">
      <c r="A99" s="54"/>
      <c r="B99" s="54"/>
      <c r="C99" s="54"/>
      <c r="D99" s="54"/>
      <c r="E99" s="54"/>
      <c r="F99" s="54"/>
      <c r="G99" s="180"/>
      <c r="H99" s="180"/>
      <c r="I99" s="180"/>
      <c r="J99" s="180"/>
      <c r="K99" s="290"/>
      <c r="N99" s="407"/>
      <c r="O99" s="547"/>
    </row>
    <row r="100" spans="1:15" s="62" customFormat="1" ht="26.25" x14ac:dyDescent="0.2">
      <c r="A100" s="206"/>
      <c r="B100" s="206"/>
      <c r="C100" s="206"/>
      <c r="D100" s="206"/>
      <c r="E100" s="206"/>
      <c r="F100" s="206"/>
      <c r="G100" s="207"/>
      <c r="H100" s="183"/>
      <c r="I100" s="183"/>
      <c r="J100" s="183"/>
      <c r="K100" s="292"/>
      <c r="N100" s="411"/>
      <c r="O100" s="649"/>
    </row>
    <row r="101" spans="1:15" ht="20.25" x14ac:dyDescent="0.3">
      <c r="H101" s="214"/>
      <c r="I101" s="214"/>
      <c r="J101" s="214"/>
    </row>
    <row r="102" spans="1:15" ht="20.25" x14ac:dyDescent="0.3">
      <c r="H102" s="214"/>
      <c r="I102" s="214"/>
      <c r="J102" s="214"/>
    </row>
    <row r="103" spans="1:15" ht="20.25" x14ac:dyDescent="0.3">
      <c r="H103" s="214"/>
      <c r="I103" s="214"/>
      <c r="J103" s="214"/>
    </row>
    <row r="104" spans="1:15" ht="20.25" x14ac:dyDescent="0.3">
      <c r="H104" s="211"/>
      <c r="I104" s="211"/>
      <c r="J104" s="211"/>
    </row>
  </sheetData>
  <mergeCells count="3">
    <mergeCell ref="L8:M8"/>
    <mergeCell ref="G6:J6"/>
    <mergeCell ref="C44:F44"/>
  </mergeCells>
  <pageMargins left="0.65" right="0.15" top="0.25" bottom="0.25" header="0.3" footer="0.3"/>
  <pageSetup scale="4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56"/>
  <sheetViews>
    <sheetView zoomScale="75" zoomScaleNormal="75" workbookViewId="0">
      <selection activeCell="O10" sqref="O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25" customWidth="1"/>
    <col min="228" max="228" width="2.875" customWidth="1"/>
    <col min="229" max="229" width="8.125" customWidth="1"/>
    <col min="230" max="230" width="8.75" customWidth="1"/>
    <col min="231" max="231" width="11" customWidth="1"/>
    <col min="232" max="232" width="2.875" customWidth="1"/>
    <col min="233" max="233" width="77.625" customWidth="1"/>
    <col min="234" max="234" width="20.875" customWidth="1"/>
    <col min="484" max="484" width="2.875" customWidth="1"/>
    <col min="485" max="485" width="8.125" customWidth="1"/>
    <col min="486" max="486" width="8.75" customWidth="1"/>
    <col min="487" max="487" width="11" customWidth="1"/>
    <col min="488" max="488" width="2.875" customWidth="1"/>
    <col min="489" max="489" width="77.625" customWidth="1"/>
    <col min="490" max="490" width="20.875" customWidth="1"/>
    <col min="740" max="740" width="2.875" customWidth="1"/>
    <col min="741" max="741" width="8.125" customWidth="1"/>
    <col min="742" max="742" width="8.75" customWidth="1"/>
    <col min="743" max="743" width="11" customWidth="1"/>
    <col min="744" max="744" width="2.875" customWidth="1"/>
    <col min="745" max="745" width="77.625" customWidth="1"/>
    <col min="746" max="746" width="20.875" customWidth="1"/>
    <col min="996" max="996" width="2.875" customWidth="1"/>
    <col min="997" max="997" width="8.125" customWidth="1"/>
    <col min="998" max="998" width="8.75" customWidth="1"/>
    <col min="999" max="999" width="11" customWidth="1"/>
    <col min="1000" max="1000" width="2.875" customWidth="1"/>
    <col min="1001" max="1001" width="77.625" customWidth="1"/>
    <col min="1002" max="1002" width="20.875" customWidth="1"/>
    <col min="1252" max="1252" width="2.875" customWidth="1"/>
    <col min="1253" max="1253" width="8.125" customWidth="1"/>
    <col min="1254" max="1254" width="8.75" customWidth="1"/>
    <col min="1255" max="1255" width="11" customWidth="1"/>
    <col min="1256" max="1256" width="2.875" customWidth="1"/>
    <col min="1257" max="1257" width="77.625" customWidth="1"/>
    <col min="1258" max="1258" width="20.875" customWidth="1"/>
    <col min="1508" max="1508" width="2.875" customWidth="1"/>
    <col min="1509" max="1509" width="8.125" customWidth="1"/>
    <col min="1510" max="1510" width="8.75" customWidth="1"/>
    <col min="1511" max="1511" width="11" customWidth="1"/>
    <col min="1512" max="1512" width="2.875" customWidth="1"/>
    <col min="1513" max="1513" width="77.625" customWidth="1"/>
    <col min="1514" max="1514" width="20.875" customWidth="1"/>
    <col min="1764" max="1764" width="2.875" customWidth="1"/>
    <col min="1765" max="1765" width="8.125" customWidth="1"/>
    <col min="1766" max="1766" width="8.75" customWidth="1"/>
    <col min="1767" max="1767" width="11" customWidth="1"/>
    <col min="1768" max="1768" width="2.875" customWidth="1"/>
    <col min="1769" max="1769" width="77.625" customWidth="1"/>
    <col min="1770" max="1770" width="20.875" customWidth="1"/>
    <col min="2020" max="2020" width="2.875" customWidth="1"/>
    <col min="2021" max="2021" width="8.125" customWidth="1"/>
    <col min="2022" max="2022" width="8.75" customWidth="1"/>
    <col min="2023" max="2023" width="11" customWidth="1"/>
    <col min="2024" max="2024" width="2.875" customWidth="1"/>
    <col min="2025" max="2025" width="77.625" customWidth="1"/>
    <col min="2026" max="2026" width="20.875" customWidth="1"/>
    <col min="2276" max="2276" width="2.875" customWidth="1"/>
    <col min="2277" max="2277" width="8.125" customWidth="1"/>
    <col min="2278" max="2278" width="8.75" customWidth="1"/>
    <col min="2279" max="2279" width="11" customWidth="1"/>
    <col min="2280" max="2280" width="2.875" customWidth="1"/>
    <col min="2281" max="2281" width="77.625" customWidth="1"/>
    <col min="2282" max="2282" width="20.875" customWidth="1"/>
    <col min="2532" max="2532" width="2.875" customWidth="1"/>
    <col min="2533" max="2533" width="8.125" customWidth="1"/>
    <col min="2534" max="2534" width="8.75" customWidth="1"/>
    <col min="2535" max="2535" width="11" customWidth="1"/>
    <col min="2536" max="2536" width="2.875" customWidth="1"/>
    <col min="2537" max="2537" width="77.625" customWidth="1"/>
    <col min="2538" max="2538" width="20.875" customWidth="1"/>
    <col min="2788" max="2788" width="2.875" customWidth="1"/>
    <col min="2789" max="2789" width="8.125" customWidth="1"/>
    <col min="2790" max="2790" width="8.75" customWidth="1"/>
    <col min="2791" max="2791" width="11" customWidth="1"/>
    <col min="2792" max="2792" width="2.875" customWidth="1"/>
    <col min="2793" max="2793" width="77.625" customWidth="1"/>
    <col min="2794" max="2794" width="20.875" customWidth="1"/>
    <col min="3044" max="3044" width="2.875" customWidth="1"/>
    <col min="3045" max="3045" width="8.125" customWidth="1"/>
    <col min="3046" max="3046" width="8.75" customWidth="1"/>
    <col min="3047" max="3047" width="11" customWidth="1"/>
    <col min="3048" max="3048" width="2.875" customWidth="1"/>
    <col min="3049" max="3049" width="77.625" customWidth="1"/>
    <col min="3050" max="3050" width="20.875" customWidth="1"/>
    <col min="3300" max="3300" width="2.875" customWidth="1"/>
    <col min="3301" max="3301" width="8.125" customWidth="1"/>
    <col min="3302" max="3302" width="8.75" customWidth="1"/>
    <col min="3303" max="3303" width="11" customWidth="1"/>
    <col min="3304" max="3304" width="2.875" customWidth="1"/>
    <col min="3305" max="3305" width="77.625" customWidth="1"/>
    <col min="3306" max="3306" width="20.875" customWidth="1"/>
    <col min="3556" max="3556" width="2.875" customWidth="1"/>
    <col min="3557" max="3557" width="8.125" customWidth="1"/>
    <col min="3558" max="3558" width="8.75" customWidth="1"/>
    <col min="3559" max="3559" width="11" customWidth="1"/>
    <col min="3560" max="3560" width="2.875" customWidth="1"/>
    <col min="3561" max="3561" width="77.625" customWidth="1"/>
    <col min="3562" max="3562" width="20.875" customWidth="1"/>
    <col min="3812" max="3812" width="2.875" customWidth="1"/>
    <col min="3813" max="3813" width="8.125" customWidth="1"/>
    <col min="3814" max="3814" width="8.75" customWidth="1"/>
    <col min="3815" max="3815" width="11" customWidth="1"/>
    <col min="3816" max="3816" width="2.875" customWidth="1"/>
    <col min="3817" max="3817" width="77.625" customWidth="1"/>
    <col min="3818" max="3818" width="20.875" customWidth="1"/>
    <col min="4068" max="4068" width="2.875" customWidth="1"/>
    <col min="4069" max="4069" width="8.125" customWidth="1"/>
    <col min="4070" max="4070" width="8.75" customWidth="1"/>
    <col min="4071" max="4071" width="11" customWidth="1"/>
    <col min="4072" max="4072" width="2.875" customWidth="1"/>
    <col min="4073" max="4073" width="77.625" customWidth="1"/>
    <col min="4074" max="4074" width="20.875" customWidth="1"/>
    <col min="4324" max="4324" width="2.875" customWidth="1"/>
    <col min="4325" max="4325" width="8.125" customWidth="1"/>
    <col min="4326" max="4326" width="8.75" customWidth="1"/>
    <col min="4327" max="4327" width="11" customWidth="1"/>
    <col min="4328" max="4328" width="2.875" customWidth="1"/>
    <col min="4329" max="4329" width="77.625" customWidth="1"/>
    <col min="4330" max="4330" width="20.875" customWidth="1"/>
    <col min="4580" max="4580" width="2.875" customWidth="1"/>
    <col min="4581" max="4581" width="8.125" customWidth="1"/>
    <col min="4582" max="4582" width="8.75" customWidth="1"/>
    <col min="4583" max="4583" width="11" customWidth="1"/>
    <col min="4584" max="4584" width="2.875" customWidth="1"/>
    <col min="4585" max="4585" width="77.625" customWidth="1"/>
    <col min="4586" max="4586" width="20.875" customWidth="1"/>
    <col min="4836" max="4836" width="2.875" customWidth="1"/>
    <col min="4837" max="4837" width="8.125" customWidth="1"/>
    <col min="4838" max="4838" width="8.75" customWidth="1"/>
    <col min="4839" max="4839" width="11" customWidth="1"/>
    <col min="4840" max="4840" width="2.875" customWidth="1"/>
    <col min="4841" max="4841" width="77.625" customWidth="1"/>
    <col min="4842" max="4842" width="20.875" customWidth="1"/>
    <col min="5092" max="5092" width="2.875" customWidth="1"/>
    <col min="5093" max="5093" width="8.125" customWidth="1"/>
    <col min="5094" max="5094" width="8.75" customWidth="1"/>
    <col min="5095" max="5095" width="11" customWidth="1"/>
    <col min="5096" max="5096" width="2.875" customWidth="1"/>
    <col min="5097" max="5097" width="77.625" customWidth="1"/>
    <col min="5098" max="5098" width="20.875" customWidth="1"/>
    <col min="5348" max="5348" width="2.875" customWidth="1"/>
    <col min="5349" max="5349" width="8.125" customWidth="1"/>
    <col min="5350" max="5350" width="8.75" customWidth="1"/>
    <col min="5351" max="5351" width="11" customWidth="1"/>
    <col min="5352" max="5352" width="2.875" customWidth="1"/>
    <col min="5353" max="5353" width="77.625" customWidth="1"/>
    <col min="5354" max="5354" width="20.875" customWidth="1"/>
    <col min="5604" max="5604" width="2.875" customWidth="1"/>
    <col min="5605" max="5605" width="8.125" customWidth="1"/>
    <col min="5606" max="5606" width="8.75" customWidth="1"/>
    <col min="5607" max="5607" width="11" customWidth="1"/>
    <col min="5608" max="5608" width="2.875" customWidth="1"/>
    <col min="5609" max="5609" width="77.625" customWidth="1"/>
    <col min="5610" max="5610" width="20.875" customWidth="1"/>
    <col min="5860" max="5860" width="2.875" customWidth="1"/>
    <col min="5861" max="5861" width="8.125" customWidth="1"/>
    <col min="5862" max="5862" width="8.75" customWidth="1"/>
    <col min="5863" max="5863" width="11" customWidth="1"/>
    <col min="5864" max="5864" width="2.875" customWidth="1"/>
    <col min="5865" max="5865" width="77.625" customWidth="1"/>
    <col min="5866" max="5866" width="20.875" customWidth="1"/>
    <col min="6116" max="6116" width="2.875" customWidth="1"/>
    <col min="6117" max="6117" width="8.125" customWidth="1"/>
    <col min="6118" max="6118" width="8.75" customWidth="1"/>
    <col min="6119" max="6119" width="11" customWidth="1"/>
    <col min="6120" max="6120" width="2.875" customWidth="1"/>
    <col min="6121" max="6121" width="77.625" customWidth="1"/>
    <col min="6122" max="6122" width="20.875" customWidth="1"/>
    <col min="6372" max="6372" width="2.875" customWidth="1"/>
    <col min="6373" max="6373" width="8.125" customWidth="1"/>
    <col min="6374" max="6374" width="8.75" customWidth="1"/>
    <col min="6375" max="6375" width="11" customWidth="1"/>
    <col min="6376" max="6376" width="2.875" customWidth="1"/>
    <col min="6377" max="6377" width="77.625" customWidth="1"/>
    <col min="6378" max="6378" width="20.875" customWidth="1"/>
    <col min="6628" max="6628" width="2.875" customWidth="1"/>
    <col min="6629" max="6629" width="8.125" customWidth="1"/>
    <col min="6630" max="6630" width="8.75" customWidth="1"/>
    <col min="6631" max="6631" width="11" customWidth="1"/>
    <col min="6632" max="6632" width="2.875" customWidth="1"/>
    <col min="6633" max="6633" width="77.625" customWidth="1"/>
    <col min="6634" max="6634" width="20.875" customWidth="1"/>
    <col min="6884" max="6884" width="2.875" customWidth="1"/>
    <col min="6885" max="6885" width="8.125" customWidth="1"/>
    <col min="6886" max="6886" width="8.75" customWidth="1"/>
    <col min="6887" max="6887" width="11" customWidth="1"/>
    <col min="6888" max="6888" width="2.875" customWidth="1"/>
    <col min="6889" max="6889" width="77.625" customWidth="1"/>
    <col min="6890" max="6890" width="20.875" customWidth="1"/>
    <col min="7140" max="7140" width="2.875" customWidth="1"/>
    <col min="7141" max="7141" width="8.125" customWidth="1"/>
    <col min="7142" max="7142" width="8.75" customWidth="1"/>
    <col min="7143" max="7143" width="11" customWidth="1"/>
    <col min="7144" max="7144" width="2.875" customWidth="1"/>
    <col min="7145" max="7145" width="77.625" customWidth="1"/>
    <col min="7146" max="7146" width="20.875" customWidth="1"/>
    <col min="7396" max="7396" width="2.875" customWidth="1"/>
    <col min="7397" max="7397" width="8.125" customWidth="1"/>
    <col min="7398" max="7398" width="8.75" customWidth="1"/>
    <col min="7399" max="7399" width="11" customWidth="1"/>
    <col min="7400" max="7400" width="2.875" customWidth="1"/>
    <col min="7401" max="7401" width="77.625" customWidth="1"/>
    <col min="7402" max="7402" width="20.875" customWidth="1"/>
    <col min="7652" max="7652" width="2.875" customWidth="1"/>
    <col min="7653" max="7653" width="8.125" customWidth="1"/>
    <col min="7654" max="7654" width="8.75" customWidth="1"/>
    <col min="7655" max="7655" width="11" customWidth="1"/>
    <col min="7656" max="7656" width="2.875" customWidth="1"/>
    <col min="7657" max="7657" width="77.625" customWidth="1"/>
    <col min="7658" max="7658" width="20.875" customWidth="1"/>
    <col min="7908" max="7908" width="2.875" customWidth="1"/>
    <col min="7909" max="7909" width="8.125" customWidth="1"/>
    <col min="7910" max="7910" width="8.75" customWidth="1"/>
    <col min="7911" max="7911" width="11" customWidth="1"/>
    <col min="7912" max="7912" width="2.875" customWidth="1"/>
    <col min="7913" max="7913" width="77.625" customWidth="1"/>
    <col min="7914" max="7914" width="20.875" customWidth="1"/>
    <col min="8164" max="8164" width="2.875" customWidth="1"/>
    <col min="8165" max="8165" width="8.125" customWidth="1"/>
    <col min="8166" max="8166" width="8.75" customWidth="1"/>
    <col min="8167" max="8167" width="11" customWidth="1"/>
    <col min="8168" max="8168" width="2.875" customWidth="1"/>
    <col min="8169" max="8169" width="77.625" customWidth="1"/>
    <col min="8170" max="8170" width="20.875" customWidth="1"/>
    <col min="8420" max="8420" width="2.875" customWidth="1"/>
    <col min="8421" max="8421" width="8.125" customWidth="1"/>
    <col min="8422" max="8422" width="8.75" customWidth="1"/>
    <col min="8423" max="8423" width="11" customWidth="1"/>
    <col min="8424" max="8424" width="2.875" customWidth="1"/>
    <col min="8425" max="8425" width="77.625" customWidth="1"/>
    <col min="8426" max="8426" width="20.875" customWidth="1"/>
    <col min="8676" max="8676" width="2.875" customWidth="1"/>
    <col min="8677" max="8677" width="8.125" customWidth="1"/>
    <col min="8678" max="8678" width="8.75" customWidth="1"/>
    <col min="8679" max="8679" width="11" customWidth="1"/>
    <col min="8680" max="8680" width="2.875" customWidth="1"/>
    <col min="8681" max="8681" width="77.625" customWidth="1"/>
    <col min="8682" max="8682" width="20.875" customWidth="1"/>
    <col min="8932" max="8932" width="2.875" customWidth="1"/>
    <col min="8933" max="8933" width="8.125" customWidth="1"/>
    <col min="8934" max="8934" width="8.75" customWidth="1"/>
    <col min="8935" max="8935" width="11" customWidth="1"/>
    <col min="8936" max="8936" width="2.875" customWidth="1"/>
    <col min="8937" max="8937" width="77.625" customWidth="1"/>
    <col min="8938" max="8938" width="20.875" customWidth="1"/>
    <col min="9188" max="9188" width="2.875" customWidth="1"/>
    <col min="9189" max="9189" width="8.125" customWidth="1"/>
    <col min="9190" max="9190" width="8.75" customWidth="1"/>
    <col min="9191" max="9191" width="11" customWidth="1"/>
    <col min="9192" max="9192" width="2.875" customWidth="1"/>
    <col min="9193" max="9193" width="77.625" customWidth="1"/>
    <col min="9194" max="9194" width="20.875" customWidth="1"/>
    <col min="9444" max="9444" width="2.875" customWidth="1"/>
    <col min="9445" max="9445" width="8.125" customWidth="1"/>
    <col min="9446" max="9446" width="8.75" customWidth="1"/>
    <col min="9447" max="9447" width="11" customWidth="1"/>
    <col min="9448" max="9448" width="2.875" customWidth="1"/>
    <col min="9449" max="9449" width="77.625" customWidth="1"/>
    <col min="9450" max="9450" width="20.875" customWidth="1"/>
    <col min="9700" max="9700" width="2.875" customWidth="1"/>
    <col min="9701" max="9701" width="8.125" customWidth="1"/>
    <col min="9702" max="9702" width="8.75" customWidth="1"/>
    <col min="9703" max="9703" width="11" customWidth="1"/>
    <col min="9704" max="9704" width="2.875" customWidth="1"/>
    <col min="9705" max="9705" width="77.625" customWidth="1"/>
    <col min="9706" max="9706" width="20.875" customWidth="1"/>
    <col min="9956" max="9956" width="2.875" customWidth="1"/>
    <col min="9957" max="9957" width="8.125" customWidth="1"/>
    <col min="9958" max="9958" width="8.75" customWidth="1"/>
    <col min="9959" max="9959" width="11" customWidth="1"/>
    <col min="9960" max="9960" width="2.875" customWidth="1"/>
    <col min="9961" max="9961" width="77.625" customWidth="1"/>
    <col min="9962" max="9962" width="20.875" customWidth="1"/>
    <col min="10212" max="10212" width="2.875" customWidth="1"/>
    <col min="10213" max="10213" width="8.125" customWidth="1"/>
    <col min="10214" max="10214" width="8.75" customWidth="1"/>
    <col min="10215" max="10215" width="11" customWidth="1"/>
    <col min="10216" max="10216" width="2.875" customWidth="1"/>
    <col min="10217" max="10217" width="77.625" customWidth="1"/>
    <col min="10218" max="10218" width="20.875" customWidth="1"/>
    <col min="10468" max="10468" width="2.875" customWidth="1"/>
    <col min="10469" max="10469" width="8.125" customWidth="1"/>
    <col min="10470" max="10470" width="8.75" customWidth="1"/>
    <col min="10471" max="10471" width="11" customWidth="1"/>
    <col min="10472" max="10472" width="2.875" customWidth="1"/>
    <col min="10473" max="10473" width="77.625" customWidth="1"/>
    <col min="10474" max="10474" width="20.875" customWidth="1"/>
    <col min="10724" max="10724" width="2.875" customWidth="1"/>
    <col min="10725" max="10725" width="8.125" customWidth="1"/>
    <col min="10726" max="10726" width="8.75" customWidth="1"/>
    <col min="10727" max="10727" width="11" customWidth="1"/>
    <col min="10728" max="10728" width="2.875" customWidth="1"/>
    <col min="10729" max="10729" width="77.625" customWidth="1"/>
    <col min="10730" max="10730" width="20.875" customWidth="1"/>
    <col min="10980" max="10980" width="2.875" customWidth="1"/>
    <col min="10981" max="10981" width="8.125" customWidth="1"/>
    <col min="10982" max="10982" width="8.75" customWidth="1"/>
    <col min="10983" max="10983" width="11" customWidth="1"/>
    <col min="10984" max="10984" width="2.875" customWidth="1"/>
    <col min="10985" max="10985" width="77.625" customWidth="1"/>
    <col min="10986" max="10986" width="20.875" customWidth="1"/>
    <col min="11236" max="11236" width="2.875" customWidth="1"/>
    <col min="11237" max="11237" width="8.125" customWidth="1"/>
    <col min="11238" max="11238" width="8.75" customWidth="1"/>
    <col min="11239" max="11239" width="11" customWidth="1"/>
    <col min="11240" max="11240" width="2.875" customWidth="1"/>
    <col min="11241" max="11241" width="77.625" customWidth="1"/>
    <col min="11242" max="11242" width="20.875" customWidth="1"/>
    <col min="11492" max="11492" width="2.875" customWidth="1"/>
    <col min="11493" max="11493" width="8.125" customWidth="1"/>
    <col min="11494" max="11494" width="8.75" customWidth="1"/>
    <col min="11495" max="11495" width="11" customWidth="1"/>
    <col min="11496" max="11496" width="2.875" customWidth="1"/>
    <col min="11497" max="11497" width="77.625" customWidth="1"/>
    <col min="11498" max="11498" width="20.875" customWidth="1"/>
    <col min="11748" max="11748" width="2.875" customWidth="1"/>
    <col min="11749" max="11749" width="8.125" customWidth="1"/>
    <col min="11750" max="11750" width="8.75" customWidth="1"/>
    <col min="11751" max="11751" width="11" customWidth="1"/>
    <col min="11752" max="11752" width="2.875" customWidth="1"/>
    <col min="11753" max="11753" width="77.625" customWidth="1"/>
    <col min="11754" max="11754" width="20.875" customWidth="1"/>
    <col min="12004" max="12004" width="2.875" customWidth="1"/>
    <col min="12005" max="12005" width="8.125" customWidth="1"/>
    <col min="12006" max="12006" width="8.75" customWidth="1"/>
    <col min="12007" max="12007" width="11" customWidth="1"/>
    <col min="12008" max="12008" width="2.875" customWidth="1"/>
    <col min="12009" max="12009" width="77.625" customWidth="1"/>
    <col min="12010" max="12010" width="20.875" customWidth="1"/>
    <col min="12260" max="12260" width="2.875" customWidth="1"/>
    <col min="12261" max="12261" width="8.125" customWidth="1"/>
    <col min="12262" max="12262" width="8.75" customWidth="1"/>
    <col min="12263" max="12263" width="11" customWidth="1"/>
    <col min="12264" max="12264" width="2.875" customWidth="1"/>
    <col min="12265" max="12265" width="77.625" customWidth="1"/>
    <col min="12266" max="12266" width="20.875" customWidth="1"/>
    <col min="12516" max="12516" width="2.875" customWidth="1"/>
    <col min="12517" max="12517" width="8.125" customWidth="1"/>
    <col min="12518" max="12518" width="8.75" customWidth="1"/>
    <col min="12519" max="12519" width="11" customWidth="1"/>
    <col min="12520" max="12520" width="2.875" customWidth="1"/>
    <col min="12521" max="12521" width="77.625" customWidth="1"/>
    <col min="12522" max="12522" width="20.875" customWidth="1"/>
    <col min="12772" max="12772" width="2.875" customWidth="1"/>
    <col min="12773" max="12773" width="8.125" customWidth="1"/>
    <col min="12774" max="12774" width="8.75" customWidth="1"/>
    <col min="12775" max="12775" width="11" customWidth="1"/>
    <col min="12776" max="12776" width="2.875" customWidth="1"/>
    <col min="12777" max="12777" width="77.625" customWidth="1"/>
    <col min="12778" max="12778" width="20.875" customWidth="1"/>
    <col min="13028" max="13028" width="2.875" customWidth="1"/>
    <col min="13029" max="13029" width="8.125" customWidth="1"/>
    <col min="13030" max="13030" width="8.75" customWidth="1"/>
    <col min="13031" max="13031" width="11" customWidth="1"/>
    <col min="13032" max="13032" width="2.875" customWidth="1"/>
    <col min="13033" max="13033" width="77.625" customWidth="1"/>
    <col min="13034" max="13034" width="20.875" customWidth="1"/>
    <col min="13284" max="13284" width="2.875" customWidth="1"/>
    <col min="13285" max="13285" width="8.125" customWidth="1"/>
    <col min="13286" max="13286" width="8.75" customWidth="1"/>
    <col min="13287" max="13287" width="11" customWidth="1"/>
    <col min="13288" max="13288" width="2.875" customWidth="1"/>
    <col min="13289" max="13289" width="77.625" customWidth="1"/>
    <col min="13290" max="13290" width="20.875" customWidth="1"/>
    <col min="13540" max="13540" width="2.875" customWidth="1"/>
    <col min="13541" max="13541" width="8.125" customWidth="1"/>
    <col min="13542" max="13542" width="8.75" customWidth="1"/>
    <col min="13543" max="13543" width="11" customWidth="1"/>
    <col min="13544" max="13544" width="2.875" customWidth="1"/>
    <col min="13545" max="13545" width="77.625" customWidth="1"/>
    <col min="13546" max="13546" width="20.875" customWidth="1"/>
    <col min="13796" max="13796" width="2.875" customWidth="1"/>
    <col min="13797" max="13797" width="8.125" customWidth="1"/>
    <col min="13798" max="13798" width="8.75" customWidth="1"/>
    <col min="13799" max="13799" width="11" customWidth="1"/>
    <col min="13800" max="13800" width="2.875" customWidth="1"/>
    <col min="13801" max="13801" width="77.625" customWidth="1"/>
    <col min="13802" max="13802" width="20.875" customWidth="1"/>
    <col min="14052" max="14052" width="2.875" customWidth="1"/>
    <col min="14053" max="14053" width="8.125" customWidth="1"/>
    <col min="14054" max="14054" width="8.75" customWidth="1"/>
    <col min="14055" max="14055" width="11" customWidth="1"/>
    <col min="14056" max="14056" width="2.875" customWidth="1"/>
    <col min="14057" max="14057" width="77.625" customWidth="1"/>
    <col min="14058" max="14058" width="20.875" customWidth="1"/>
    <col min="14308" max="14308" width="2.875" customWidth="1"/>
    <col min="14309" max="14309" width="8.125" customWidth="1"/>
    <col min="14310" max="14310" width="8.75" customWidth="1"/>
    <col min="14311" max="14311" width="11" customWidth="1"/>
    <col min="14312" max="14312" width="2.875" customWidth="1"/>
    <col min="14313" max="14313" width="77.625" customWidth="1"/>
    <col min="14314" max="14314" width="20.875" customWidth="1"/>
    <col min="14564" max="14564" width="2.875" customWidth="1"/>
    <col min="14565" max="14565" width="8.125" customWidth="1"/>
    <col min="14566" max="14566" width="8.75" customWidth="1"/>
    <col min="14567" max="14567" width="11" customWidth="1"/>
    <col min="14568" max="14568" width="2.875" customWidth="1"/>
    <col min="14569" max="14569" width="77.625" customWidth="1"/>
    <col min="14570" max="14570" width="20.875" customWidth="1"/>
    <col min="14820" max="14820" width="2.875" customWidth="1"/>
    <col min="14821" max="14821" width="8.125" customWidth="1"/>
    <col min="14822" max="14822" width="8.75" customWidth="1"/>
    <col min="14823" max="14823" width="11" customWidth="1"/>
    <col min="14824" max="14824" width="2.875" customWidth="1"/>
    <col min="14825" max="14825" width="77.625" customWidth="1"/>
    <col min="14826" max="14826" width="20.875" customWidth="1"/>
    <col min="15076" max="15076" width="2.875" customWidth="1"/>
    <col min="15077" max="15077" width="8.125" customWidth="1"/>
    <col min="15078" max="15078" width="8.75" customWidth="1"/>
    <col min="15079" max="15079" width="11" customWidth="1"/>
    <col min="15080" max="15080" width="2.875" customWidth="1"/>
    <col min="15081" max="15081" width="77.625" customWidth="1"/>
    <col min="15082" max="15082" width="20.875" customWidth="1"/>
    <col min="15332" max="15332" width="2.875" customWidth="1"/>
    <col min="15333" max="15333" width="8.125" customWidth="1"/>
    <col min="15334" max="15334" width="8.75" customWidth="1"/>
    <col min="15335" max="15335" width="11" customWidth="1"/>
    <col min="15336" max="15336" width="2.875" customWidth="1"/>
    <col min="15337" max="15337" width="77.625" customWidth="1"/>
    <col min="15338" max="15338" width="20.875" customWidth="1"/>
    <col min="15588" max="15588" width="2.875" customWidth="1"/>
    <col min="15589" max="15589" width="8.125" customWidth="1"/>
    <col min="15590" max="15590" width="8.75" customWidth="1"/>
    <col min="15591" max="15591" width="11" customWidth="1"/>
    <col min="15592" max="15592" width="2.875" customWidth="1"/>
    <col min="15593" max="15593" width="77.625" customWidth="1"/>
    <col min="15594" max="15594" width="20.875" customWidth="1"/>
    <col min="15844" max="15844" width="2.875" customWidth="1"/>
    <col min="15845" max="15845" width="8.125" customWidth="1"/>
    <col min="15846" max="15846" width="8.75" customWidth="1"/>
    <col min="15847" max="15847" width="11" customWidth="1"/>
    <col min="15848" max="15848" width="2.875" customWidth="1"/>
    <col min="15849" max="15849" width="77.625" customWidth="1"/>
    <col min="15850" max="15850" width="20.875" customWidth="1"/>
    <col min="16100" max="16100" width="2.875" customWidth="1"/>
    <col min="16101" max="16101" width="8.125" customWidth="1"/>
    <col min="16102" max="16102" width="8.75" customWidth="1"/>
    <col min="16103" max="16103" width="11" customWidth="1"/>
    <col min="16104" max="16104" width="2.875" customWidth="1"/>
    <col min="16105" max="16105" width="77.625" customWidth="1"/>
    <col min="16106" max="16106" width="20.875" customWidth="1"/>
  </cols>
  <sheetData>
    <row r="1" spans="1:34" ht="22.5" customHeight="1" x14ac:dyDescent="0.4">
      <c r="A1" s="46" t="s">
        <v>92</v>
      </c>
      <c r="B1" s="47"/>
      <c r="C1" s="48"/>
      <c r="D1" s="48"/>
      <c r="E1" s="48"/>
      <c r="F1" s="47"/>
      <c r="G1" s="47"/>
      <c r="H1" s="47"/>
      <c r="I1" s="47"/>
      <c r="J1" s="47"/>
      <c r="K1" s="47"/>
      <c r="L1" s="47"/>
    </row>
    <row r="2" spans="1:34" ht="22.5" customHeight="1" x14ac:dyDescent="0.4">
      <c r="A2" s="46" t="s">
        <v>578</v>
      </c>
      <c r="B2" s="47"/>
      <c r="C2" s="48"/>
      <c r="D2" s="48"/>
      <c r="E2" s="48"/>
      <c r="F2" s="47"/>
      <c r="G2" s="47"/>
      <c r="H2" s="47"/>
      <c r="I2" s="47"/>
      <c r="J2" s="47"/>
      <c r="K2" s="47"/>
      <c r="L2" s="47"/>
    </row>
    <row r="3" spans="1:34" s="50" customFormat="1" ht="5.25" customHeight="1" thickBot="1" x14ac:dyDescent="0.25">
      <c r="A3" s="49"/>
      <c r="B3" s="49"/>
      <c r="C3" s="49"/>
      <c r="D3" s="49"/>
      <c r="E3" s="49"/>
      <c r="F3" s="49"/>
    </row>
    <row r="4" spans="1:34" s="53" customFormat="1" ht="24.75" customHeight="1" thickTop="1" thickBot="1" x14ac:dyDescent="0.25">
      <c r="A4" s="51" t="s">
        <v>106</v>
      </c>
      <c r="B4" s="51"/>
      <c r="C4" s="51"/>
      <c r="D4" s="51"/>
      <c r="E4" s="51"/>
      <c r="F4" s="51"/>
      <c r="G4" s="31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s="55" customFormat="1" ht="8.25" customHeight="1" thickTop="1" x14ac:dyDescent="0.2">
      <c r="A5" s="54"/>
      <c r="B5" s="54"/>
      <c r="C5" s="54"/>
      <c r="D5" s="54"/>
      <c r="E5" s="54"/>
      <c r="F5" s="54"/>
    </row>
    <row r="6" spans="1:34" ht="21" thickBot="1" x14ac:dyDescent="0.35">
      <c r="A6" s="56"/>
      <c r="B6" s="115" t="s">
        <v>581</v>
      </c>
      <c r="C6" s="115"/>
      <c r="D6" s="115"/>
      <c r="E6" s="115"/>
      <c r="F6" s="115"/>
      <c r="G6" s="217"/>
    </row>
    <row r="7" spans="1:34" ht="20.25" x14ac:dyDescent="0.3">
      <c r="A7" s="56"/>
      <c r="B7" s="56"/>
      <c r="C7" s="686" t="s">
        <v>586</v>
      </c>
      <c r="D7" s="56"/>
      <c r="E7" s="56"/>
      <c r="F7" s="56"/>
      <c r="G7" s="687">
        <v>28150</v>
      </c>
    </row>
    <row r="8" spans="1:34" ht="20.25" x14ac:dyDescent="0.3">
      <c r="A8" s="56"/>
      <c r="B8" s="56"/>
      <c r="C8" s="686" t="s">
        <v>20</v>
      </c>
      <c r="D8" s="56"/>
      <c r="E8" s="56"/>
      <c r="F8" s="56"/>
      <c r="G8" s="688">
        <v>700</v>
      </c>
    </row>
    <row r="9" spans="1:34" s="55" customFormat="1" ht="20.25" x14ac:dyDescent="0.2">
      <c r="A9" s="54"/>
      <c r="B9" s="54"/>
      <c r="C9" s="58" t="s">
        <v>579</v>
      </c>
      <c r="D9" s="58"/>
      <c r="E9" s="58"/>
      <c r="F9" s="54"/>
      <c r="G9" s="689">
        <v>350</v>
      </c>
    </row>
    <row r="10" spans="1:34" s="55" customFormat="1" ht="21" thickBot="1" x14ac:dyDescent="0.25">
      <c r="A10" s="54"/>
      <c r="B10" s="54"/>
      <c r="C10" s="58"/>
      <c r="D10" s="54" t="s">
        <v>580</v>
      </c>
      <c r="E10" s="58"/>
      <c r="F10" s="54"/>
      <c r="G10" s="690">
        <f>SUM(G7:G9)</f>
        <v>29200</v>
      </c>
    </row>
    <row r="11" spans="1:34" s="55" customFormat="1" ht="6" customHeight="1" x14ac:dyDescent="0.2">
      <c r="A11" s="54"/>
      <c r="B11" s="54"/>
      <c r="C11" s="58"/>
      <c r="D11" s="54"/>
      <c r="E11" s="58"/>
      <c r="F11" s="54"/>
      <c r="G11" s="691"/>
    </row>
    <row r="12" spans="1:34" s="55" customFormat="1" ht="21" thickBot="1" x14ac:dyDescent="0.25">
      <c r="A12" s="54"/>
      <c r="B12" s="66" t="s">
        <v>109</v>
      </c>
      <c r="C12" s="66"/>
      <c r="D12" s="66"/>
      <c r="E12" s="66"/>
      <c r="F12" s="66"/>
      <c r="G12" s="692"/>
    </row>
    <row r="13" spans="1:34" s="55" customFormat="1" ht="20.25" x14ac:dyDescent="0.2">
      <c r="A13" s="54"/>
      <c r="B13" s="54"/>
      <c r="C13" s="58" t="s">
        <v>114</v>
      </c>
      <c r="D13" s="58"/>
      <c r="E13" s="58"/>
      <c r="F13" s="58"/>
      <c r="G13" s="691">
        <v>358</v>
      </c>
    </row>
    <row r="14" spans="1:34" s="55" customFormat="1" ht="20.25" x14ac:dyDescent="0.2">
      <c r="A14" s="54"/>
      <c r="B14" s="54"/>
      <c r="C14" s="58" t="s">
        <v>570</v>
      </c>
      <c r="D14" s="58"/>
      <c r="E14" s="58"/>
      <c r="F14" s="58"/>
      <c r="G14" s="691">
        <f>138.88+23.62</f>
        <v>162.5</v>
      </c>
    </row>
    <row r="15" spans="1:34" s="55" customFormat="1" ht="20.25" x14ac:dyDescent="0.2">
      <c r="A15" s="54"/>
      <c r="B15" s="54"/>
      <c r="C15" s="58" t="s">
        <v>118</v>
      </c>
      <c r="D15" s="58"/>
      <c r="E15" s="58"/>
      <c r="F15" s="58"/>
      <c r="G15" s="691">
        <v>1038.6199999999999</v>
      </c>
    </row>
    <row r="16" spans="1:34" s="55" customFormat="1" ht="20.25" x14ac:dyDescent="0.2">
      <c r="A16" s="54"/>
      <c r="B16" s="54"/>
      <c r="C16" s="58" t="s">
        <v>582</v>
      </c>
      <c r="D16" s="58"/>
      <c r="E16" s="58"/>
      <c r="F16" s="58"/>
      <c r="G16" s="691">
        <v>50</v>
      </c>
    </row>
    <row r="17" spans="1:7" s="55" customFormat="1" ht="20.25" x14ac:dyDescent="0.2">
      <c r="A17" s="58"/>
      <c r="B17" s="58"/>
      <c r="C17" s="58" t="s">
        <v>583</v>
      </c>
      <c r="D17" s="58"/>
      <c r="E17" s="58"/>
      <c r="F17" s="58"/>
      <c r="G17" s="691">
        <f>2872.5</f>
        <v>2872.5</v>
      </c>
    </row>
    <row r="18" spans="1:7" s="55" customFormat="1" ht="20.25" x14ac:dyDescent="0.2">
      <c r="A18" s="58"/>
      <c r="B18" s="58"/>
      <c r="C18" s="58" t="s">
        <v>584</v>
      </c>
      <c r="D18" s="58"/>
      <c r="E18" s="58"/>
      <c r="F18" s="58"/>
      <c r="G18" s="691">
        <v>48</v>
      </c>
    </row>
    <row r="19" spans="1:7" s="55" customFormat="1" ht="20.25" x14ac:dyDescent="0.2">
      <c r="A19" s="58"/>
      <c r="B19" s="58"/>
      <c r="C19" s="58" t="s">
        <v>571</v>
      </c>
      <c r="D19" s="58"/>
      <c r="E19" s="58"/>
      <c r="F19" s="58"/>
      <c r="G19" s="691">
        <v>10125</v>
      </c>
    </row>
    <row r="20" spans="1:7" s="55" customFormat="1" ht="20.25" hidden="1" x14ac:dyDescent="0.2">
      <c r="A20" s="58"/>
      <c r="B20" s="58"/>
      <c r="C20" s="58"/>
      <c r="D20" s="58"/>
      <c r="E20" s="58"/>
      <c r="F20" s="58"/>
      <c r="G20" s="691"/>
    </row>
    <row r="21" spans="1:7" s="55" customFormat="1" ht="20.25" x14ac:dyDescent="0.2">
      <c r="A21" s="54"/>
      <c r="B21" s="54"/>
      <c r="C21" s="54"/>
      <c r="D21" s="54" t="s">
        <v>126</v>
      </c>
      <c r="E21" s="54"/>
      <c r="F21" s="54"/>
      <c r="G21" s="693">
        <f>SUM(G13:G19)</f>
        <v>14654.619999999999</v>
      </c>
    </row>
    <row r="22" spans="1:7" s="55" customFormat="1" ht="10.5" customHeight="1" x14ac:dyDescent="0.2">
      <c r="A22" s="54"/>
      <c r="B22" s="54"/>
      <c r="C22" s="54"/>
      <c r="D22" s="54"/>
      <c r="E22" s="54"/>
      <c r="F22" s="54"/>
      <c r="G22" s="180"/>
    </row>
    <row r="23" spans="1:7" s="55" customFormat="1" ht="20.25" x14ac:dyDescent="0.2">
      <c r="A23" s="54"/>
      <c r="B23" s="54"/>
      <c r="C23" s="54"/>
      <c r="D23" s="694" t="s">
        <v>585</v>
      </c>
      <c r="E23" s="694"/>
      <c r="F23" s="694"/>
      <c r="G23" s="188">
        <f>G10-G21</f>
        <v>14545.380000000001</v>
      </c>
    </row>
    <row r="24" spans="1:7" s="55" customFormat="1" ht="11.25" customHeight="1" x14ac:dyDescent="0.2">
      <c r="A24" s="54"/>
      <c r="B24" s="54"/>
      <c r="C24" s="54"/>
      <c r="D24" s="54"/>
      <c r="E24" s="54"/>
      <c r="F24" s="54"/>
      <c r="G24" s="180"/>
    </row>
    <row r="25" spans="1:7" s="52" customFormat="1" ht="6.75" customHeight="1" x14ac:dyDescent="0.2">
      <c r="A25" s="206"/>
      <c r="B25" s="206"/>
      <c r="C25" s="54"/>
      <c r="D25" s="206"/>
      <c r="E25" s="206"/>
      <c r="F25" s="206"/>
      <c r="G25" s="208"/>
    </row>
    <row r="26" spans="1:7" s="55" customFormat="1" ht="16.5" customHeight="1" x14ac:dyDescent="0.2">
      <c r="A26" s="54"/>
      <c r="B26" s="54"/>
      <c r="D26" s="272"/>
      <c r="E26" s="54"/>
      <c r="G26" s="180"/>
    </row>
    <row r="27" spans="1:7" s="55" customFormat="1" ht="23.25" x14ac:dyDescent="0.2">
      <c r="A27" s="54"/>
      <c r="B27" s="209"/>
      <c r="C27" s="54"/>
      <c r="D27" s="54"/>
      <c r="E27" s="54"/>
      <c r="F27" s="54"/>
      <c r="G27" s="180"/>
    </row>
    <row r="28" spans="1:7" s="55" customFormat="1" ht="20.25" x14ac:dyDescent="0.2">
      <c r="A28" s="54"/>
      <c r="B28" s="54"/>
      <c r="C28" s="54"/>
      <c r="D28" s="54"/>
      <c r="E28" s="54"/>
      <c r="F28" s="54"/>
      <c r="G28" s="180"/>
    </row>
    <row r="29" spans="1:7" s="55" customFormat="1" ht="20.25" x14ac:dyDescent="0.2">
      <c r="A29" s="58"/>
      <c r="B29" s="58"/>
      <c r="C29" s="58"/>
      <c r="D29" s="58"/>
      <c r="F29" s="58"/>
      <c r="G29" s="180"/>
    </row>
    <row r="30" spans="1:7" s="55" customFormat="1" ht="20.25" x14ac:dyDescent="0.2">
      <c r="A30" s="58"/>
      <c r="B30" s="58"/>
      <c r="C30" s="58"/>
      <c r="D30" s="58"/>
      <c r="F30" s="58"/>
      <c r="G30" s="180"/>
    </row>
    <row r="31" spans="1:7" s="55" customFormat="1" ht="20.25" x14ac:dyDescent="0.2">
      <c r="A31" s="58"/>
      <c r="B31" s="58"/>
      <c r="C31" s="58"/>
      <c r="D31" s="58"/>
      <c r="F31" s="58"/>
      <c r="G31" s="180"/>
    </row>
    <row r="32" spans="1:7" s="55" customFormat="1" ht="20.25" x14ac:dyDescent="0.2">
      <c r="A32" s="58"/>
      <c r="B32" s="58"/>
      <c r="C32" s="58"/>
      <c r="D32" s="58"/>
      <c r="F32" s="58"/>
      <c r="G32" s="180"/>
    </row>
    <row r="33" spans="1:7" s="55" customFormat="1" ht="20.25" x14ac:dyDescent="0.2">
      <c r="A33" s="58"/>
      <c r="B33" s="58"/>
      <c r="C33" s="58"/>
      <c r="D33" s="58"/>
      <c r="F33" s="58"/>
      <c r="G33" s="180"/>
    </row>
    <row r="34" spans="1:7" s="55" customFormat="1" ht="20.25" x14ac:dyDescent="0.2">
      <c r="A34" s="58"/>
      <c r="B34" s="58"/>
      <c r="C34" s="58"/>
      <c r="D34" s="58"/>
      <c r="F34" s="58"/>
      <c r="G34" s="180"/>
    </row>
    <row r="35" spans="1:7" s="55" customFormat="1" ht="20.25" x14ac:dyDescent="0.2">
      <c r="A35" s="58"/>
      <c r="B35" s="58"/>
      <c r="C35" s="54"/>
      <c r="D35" s="58"/>
      <c r="F35" s="58"/>
      <c r="G35" s="180"/>
    </row>
    <row r="36" spans="1:7" s="55" customFormat="1" ht="20.25" x14ac:dyDescent="0.2">
      <c r="A36" s="58"/>
      <c r="B36" s="58"/>
      <c r="C36" s="58"/>
      <c r="D36" s="58"/>
      <c r="E36" s="58"/>
      <c r="F36" s="58"/>
      <c r="G36" s="180"/>
    </row>
    <row r="37" spans="1:7" s="55" customFormat="1" ht="20.25" x14ac:dyDescent="0.2">
      <c r="A37" s="58"/>
      <c r="B37" s="58"/>
      <c r="C37" s="54"/>
      <c r="D37" s="54"/>
      <c r="G37" s="180"/>
    </row>
    <row r="38" spans="1:7" s="55" customFormat="1" ht="20.25" x14ac:dyDescent="0.2">
      <c r="A38" s="58"/>
      <c r="B38" s="58"/>
      <c r="C38" s="58"/>
      <c r="D38" s="58"/>
      <c r="E38" s="58"/>
      <c r="F38" s="58"/>
      <c r="G38" s="180"/>
    </row>
    <row r="39" spans="1:7" s="55" customFormat="1" ht="20.25" x14ac:dyDescent="0.2">
      <c r="A39" s="58"/>
      <c r="B39" s="58"/>
      <c r="C39" s="58"/>
      <c r="D39" s="58"/>
      <c r="E39" s="58"/>
      <c r="F39" s="58"/>
      <c r="G39" s="180"/>
    </row>
    <row r="40" spans="1:7" s="55" customFormat="1" ht="20.25" x14ac:dyDescent="0.2">
      <c r="A40" s="58"/>
      <c r="B40" s="58"/>
      <c r="C40" s="58"/>
      <c r="D40" s="58"/>
      <c r="E40" s="58"/>
      <c r="F40" s="58"/>
      <c r="G40" s="180"/>
    </row>
    <row r="41" spans="1:7" s="55" customFormat="1" ht="20.25" x14ac:dyDescent="0.2">
      <c r="A41" s="58"/>
      <c r="B41" s="58"/>
      <c r="C41" s="58"/>
      <c r="D41" s="58"/>
      <c r="E41" s="58"/>
      <c r="F41" s="58"/>
      <c r="G41" s="180"/>
    </row>
    <row r="42" spans="1:7" s="55" customFormat="1" ht="20.25" x14ac:dyDescent="0.2">
      <c r="A42" s="58"/>
      <c r="B42" s="58"/>
      <c r="C42" s="54"/>
      <c r="D42" s="58"/>
      <c r="F42" s="58"/>
      <c r="G42" s="180"/>
    </row>
    <row r="43" spans="1:7" s="55" customFormat="1" ht="20.25" x14ac:dyDescent="0.2">
      <c r="A43" s="58"/>
      <c r="B43" s="58"/>
      <c r="C43" s="58"/>
      <c r="D43" s="58"/>
      <c r="E43" s="58"/>
      <c r="F43" s="58"/>
      <c r="G43" s="180"/>
    </row>
    <row r="44" spans="1:7" s="55" customFormat="1" ht="20.25" x14ac:dyDescent="0.2">
      <c r="A44" s="54"/>
      <c r="B44" s="54"/>
      <c r="C44" s="54"/>
      <c r="D44" s="54"/>
      <c r="E44" s="54"/>
      <c r="F44" s="54"/>
      <c r="G44" s="183"/>
    </row>
    <row r="45" spans="1:7" s="55" customFormat="1" ht="20.25" x14ac:dyDescent="0.2">
      <c r="A45" s="54"/>
      <c r="B45" s="54"/>
      <c r="C45" s="54"/>
      <c r="D45" s="54"/>
      <c r="E45" s="54"/>
      <c r="F45" s="54"/>
      <c r="G45" s="183"/>
    </row>
    <row r="46" spans="1:7" s="55" customFormat="1" ht="23.25" x14ac:dyDescent="0.2">
      <c r="A46" s="54"/>
      <c r="B46" s="209"/>
      <c r="C46" s="54"/>
      <c r="D46" s="54"/>
      <c r="E46" s="54"/>
      <c r="F46" s="54"/>
      <c r="G46" s="180"/>
    </row>
    <row r="47" spans="1:7" s="55" customFormat="1" ht="20.25" x14ac:dyDescent="0.2">
      <c r="A47" s="58"/>
      <c r="B47" s="58"/>
      <c r="D47" s="58"/>
      <c r="E47" s="58"/>
      <c r="F47" s="58"/>
      <c r="G47" s="180"/>
    </row>
    <row r="48" spans="1:7" s="55" customFormat="1" ht="20.25" x14ac:dyDescent="0.2">
      <c r="A48" s="58"/>
      <c r="B48" s="58"/>
      <c r="D48" s="58"/>
      <c r="E48" s="58"/>
      <c r="F48" s="58"/>
      <c r="G48" s="180"/>
    </row>
    <row r="49" spans="1:7" s="55" customFormat="1" ht="20.25" x14ac:dyDescent="0.2">
      <c r="A49" s="54"/>
      <c r="B49" s="54"/>
      <c r="D49" s="58"/>
      <c r="E49" s="54"/>
      <c r="F49" s="54"/>
      <c r="G49" s="180"/>
    </row>
    <row r="50" spans="1:7" s="55" customFormat="1" ht="23.25" x14ac:dyDescent="0.2">
      <c r="A50" s="54"/>
      <c r="B50" s="209"/>
      <c r="C50" s="54"/>
      <c r="D50" s="54"/>
      <c r="E50" s="54"/>
      <c r="F50" s="54"/>
      <c r="G50" s="183"/>
    </row>
    <row r="51" spans="1:7" s="55" customFormat="1" ht="20.25" x14ac:dyDescent="0.2">
      <c r="A51" s="54"/>
      <c r="B51" s="54"/>
      <c r="C51" s="54"/>
      <c r="D51" s="54"/>
      <c r="E51" s="54"/>
      <c r="F51" s="54"/>
      <c r="G51" s="180"/>
    </row>
    <row r="52" spans="1:7" s="62" customFormat="1" ht="26.25" x14ac:dyDescent="0.2">
      <c r="A52" s="206"/>
      <c r="B52" s="206"/>
      <c r="C52" s="206"/>
      <c r="D52" s="206"/>
      <c r="E52" s="206"/>
      <c r="F52" s="206"/>
      <c r="G52" s="183"/>
    </row>
    <row r="53" spans="1:7" ht="20.25" x14ac:dyDescent="0.3">
      <c r="G53" s="214"/>
    </row>
    <row r="54" spans="1:7" ht="20.25" x14ac:dyDescent="0.3">
      <c r="G54" s="214"/>
    </row>
    <row r="55" spans="1:7" ht="20.25" x14ac:dyDescent="0.3">
      <c r="G55" s="214"/>
    </row>
    <row r="56" spans="1:7" ht="20.25" x14ac:dyDescent="0.3">
      <c r="G56" s="211"/>
    </row>
  </sheetData>
  <pageMargins left="0.7" right="0.7" top="0.75" bottom="0.75" header="0.3" footer="0.3"/>
  <pageSetup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I86"/>
  <sheetViews>
    <sheetView zoomScale="75" zoomScaleNormal="75" workbookViewId="0">
      <selection activeCell="J21" sqref="J21"/>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77"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5" customWidth="1"/>
    <col min="20" max="20" width="16.125"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92</v>
      </c>
      <c r="B1" s="47"/>
      <c r="C1" s="48"/>
      <c r="D1" s="48"/>
      <c r="E1" s="48"/>
      <c r="F1" s="47"/>
      <c r="G1" s="178"/>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211</v>
      </c>
      <c r="B2" s="47"/>
      <c r="C2" s="48"/>
      <c r="D2" s="48"/>
      <c r="E2" s="48"/>
      <c r="F2" s="47"/>
      <c r="G2" s="178"/>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'August''24 State of Activities'!A3</f>
        <v>Eight Months Ended August 31, 2024 and 2023</v>
      </c>
      <c r="B3" s="47"/>
      <c r="C3" s="48"/>
      <c r="D3" s="48"/>
      <c r="E3" s="48"/>
      <c r="F3" s="47"/>
      <c r="G3" s="178"/>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'August''24 State of Activities'!A4</f>
        <v xml:space="preserve">For the Years Ended December 31, 2023 </v>
      </c>
      <c r="B4" s="47"/>
      <c r="C4" s="48"/>
      <c r="D4" s="48"/>
      <c r="E4" s="48"/>
      <c r="F4" s="47"/>
      <c r="G4" s="178"/>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79"/>
    </row>
    <row r="6" spans="1:61" s="53" customFormat="1" ht="24.75" customHeight="1" thickTop="1" thickBot="1" x14ac:dyDescent="0.25">
      <c r="A6" s="51" t="s">
        <v>106</v>
      </c>
      <c r="B6" s="51"/>
      <c r="C6" s="51"/>
      <c r="D6" s="51"/>
      <c r="E6" s="51"/>
      <c r="F6" s="51"/>
      <c r="G6" s="312"/>
      <c r="H6" s="186" t="s">
        <v>48</v>
      </c>
      <c r="I6" s="186"/>
      <c r="J6" s="801" t="s">
        <v>48</v>
      </c>
      <c r="K6" s="801"/>
      <c r="L6" s="801"/>
      <c r="M6" s="801"/>
      <c r="N6" s="52"/>
      <c r="O6" s="321" t="s">
        <v>179</v>
      </c>
      <c r="P6" s="318" t="s">
        <v>191</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80"/>
    </row>
    <row r="8" spans="1:61" ht="21" thickBot="1" x14ac:dyDescent="0.35">
      <c r="A8" s="56"/>
      <c r="B8" s="115" t="s">
        <v>98</v>
      </c>
      <c r="C8" s="115"/>
      <c r="D8" s="115"/>
      <c r="E8" s="115"/>
      <c r="F8" s="115"/>
      <c r="G8" s="217">
        <v>41090</v>
      </c>
      <c r="H8" s="217">
        <v>41274</v>
      </c>
      <c r="I8" s="257"/>
      <c r="J8" s="217">
        <f>'August''24 State of Activities'!G8</f>
        <v>45535</v>
      </c>
      <c r="K8" s="517">
        <v>45291</v>
      </c>
      <c r="L8" s="257"/>
      <c r="M8" s="517">
        <f>'August''24 State of Activities'!J8</f>
        <v>45169</v>
      </c>
      <c r="O8" s="866" t="s">
        <v>688</v>
      </c>
      <c r="P8" s="866"/>
    </row>
    <row r="9" spans="1:61" s="55" customFormat="1" ht="20.25" x14ac:dyDescent="0.2">
      <c r="A9" s="54"/>
      <c r="B9" s="54"/>
      <c r="C9" s="58" t="s">
        <v>148</v>
      </c>
      <c r="D9" s="58"/>
      <c r="E9" s="58"/>
      <c r="F9" s="54"/>
      <c r="G9" s="180">
        <v>127719</v>
      </c>
      <c r="H9" s="180">
        <v>67566.5</v>
      </c>
      <c r="I9" s="180"/>
      <c r="J9" s="189">
        <f>'August''24 State of Activities'!G10</f>
        <v>119371.07</v>
      </c>
      <c r="K9" s="189">
        <f>'August''24 State of Activities'!H10</f>
        <v>131259.47</v>
      </c>
      <c r="L9" s="189"/>
      <c r="M9" s="189">
        <f>'August''24 State of Activities'!J10</f>
        <v>86766.6</v>
      </c>
      <c r="O9" s="302">
        <f>J9-M9</f>
        <v>32604.47</v>
      </c>
      <c r="P9" s="319">
        <f>O9/M9</f>
        <v>0.37577212890674522</v>
      </c>
      <c r="R9" s="307"/>
    </row>
    <row r="10" spans="1:61" s="55" customFormat="1" ht="20.25" x14ac:dyDescent="0.2">
      <c r="A10" s="54"/>
      <c r="B10" s="54"/>
      <c r="C10" s="58" t="s">
        <v>212</v>
      </c>
      <c r="D10" s="58"/>
      <c r="E10" s="58"/>
      <c r="F10" s="54"/>
      <c r="G10" s="189">
        <v>875436</v>
      </c>
      <c r="H10" s="189">
        <v>372424.1</v>
      </c>
      <c r="I10" s="189"/>
      <c r="J10" s="180">
        <f>342*8</f>
        <v>2736</v>
      </c>
      <c r="K10" s="180">
        <v>8019</v>
      </c>
      <c r="L10" s="189"/>
      <c r="M10" s="180">
        <v>2864</v>
      </c>
      <c r="O10" s="390">
        <f>J10-M10</f>
        <v>-128</v>
      </c>
      <c r="P10" s="319">
        <f>O10/M10</f>
        <v>-4.4692737430167599E-2</v>
      </c>
      <c r="R10" s="307"/>
    </row>
    <row r="11" spans="1:61" s="55" customFormat="1" ht="20.25" x14ac:dyDescent="0.2">
      <c r="A11" s="54"/>
      <c r="B11" s="54"/>
      <c r="C11" s="58" t="s">
        <v>386</v>
      </c>
      <c r="D11" s="58"/>
      <c r="E11" s="58"/>
      <c r="F11" s="54"/>
      <c r="G11" s="189"/>
      <c r="H11" s="189"/>
      <c r="I11" s="189"/>
      <c r="J11" s="180"/>
      <c r="K11" s="180">
        <v>15310</v>
      </c>
      <c r="L11" s="189"/>
      <c r="M11" s="180">
        <v>6984.37</v>
      </c>
      <c r="O11" s="390">
        <f>J11-M11</f>
        <v>-6984.37</v>
      </c>
      <c r="P11" s="319"/>
      <c r="R11" s="307"/>
    </row>
    <row r="12" spans="1:61" s="55" customFormat="1" ht="20.25" x14ac:dyDescent="0.2">
      <c r="A12" s="54"/>
      <c r="B12" s="54"/>
      <c r="C12" s="58" t="s">
        <v>100</v>
      </c>
      <c r="D12" s="58"/>
      <c r="E12" s="58"/>
      <c r="F12" s="54"/>
      <c r="G12" s="180"/>
      <c r="H12" s="180"/>
      <c r="I12" s="180"/>
      <c r="J12" s="180"/>
      <c r="K12" s="180"/>
      <c r="L12" s="180"/>
      <c r="M12" s="180"/>
      <c r="O12" s="390"/>
      <c r="P12" s="329"/>
    </row>
    <row r="13" spans="1:61" s="55" customFormat="1" ht="20.25" x14ac:dyDescent="0.2">
      <c r="A13" s="54"/>
      <c r="B13" s="54"/>
      <c r="D13" s="58" t="s">
        <v>213</v>
      </c>
      <c r="E13" s="58"/>
      <c r="F13" s="54"/>
      <c r="G13" s="180">
        <v>94235.25</v>
      </c>
      <c r="H13" s="180">
        <v>37190.379999999997</v>
      </c>
      <c r="I13" s="180"/>
      <c r="J13" s="180">
        <f>'August''24 Revenues &amp; Expenses'!I24</f>
        <v>33333.360000000001</v>
      </c>
      <c r="K13" s="180">
        <v>47500</v>
      </c>
      <c r="L13" s="180"/>
      <c r="M13" s="180">
        <v>31667</v>
      </c>
      <c r="O13" s="390">
        <f t="shared" ref="O13:O29" si="0">J13-M13</f>
        <v>1666.3600000000006</v>
      </c>
      <c r="P13" s="337">
        <f>O13/M13</f>
        <v>5.2621340827991303E-2</v>
      </c>
      <c r="R13" s="615"/>
      <c r="S13" s="367"/>
      <c r="T13" s="366"/>
      <c r="U13" s="366"/>
    </row>
    <row r="14" spans="1:61" s="55" customFormat="1" ht="20.25" x14ac:dyDescent="0.2">
      <c r="A14" s="54"/>
      <c r="B14" s="54"/>
      <c r="D14" s="58" t="s">
        <v>157</v>
      </c>
      <c r="E14" s="58"/>
      <c r="F14" s="54"/>
      <c r="G14" s="180"/>
      <c r="H14" s="180"/>
      <c r="I14" s="180"/>
      <c r="J14" s="180">
        <f>'August''24 Revenues &amp; Expenses'!I32</f>
        <v>12000</v>
      </c>
      <c r="K14" s="180">
        <v>18000</v>
      </c>
      <c r="L14" s="180"/>
      <c r="M14" s="180">
        <f>'August''24 State of Activities'!J16</f>
        <v>12000</v>
      </c>
      <c r="O14" s="390">
        <f t="shared" si="0"/>
        <v>0</v>
      </c>
      <c r="P14" s="337">
        <f>O14/M14</f>
        <v>0</v>
      </c>
      <c r="S14" s="303"/>
      <c r="T14" s="368"/>
      <c r="U14" s="58"/>
    </row>
    <row r="15" spans="1:61" s="55" customFormat="1" ht="20.25" x14ac:dyDescent="0.2">
      <c r="A15" s="54"/>
      <c r="B15" s="54"/>
      <c r="C15" s="58" t="s">
        <v>101</v>
      </c>
      <c r="D15" s="58"/>
      <c r="E15" s="58"/>
      <c r="F15" s="54"/>
      <c r="G15" s="180">
        <v>0</v>
      </c>
      <c r="H15" s="180">
        <v>3517</v>
      </c>
      <c r="I15" s="180"/>
      <c r="J15" s="180">
        <f>'August''24 State of Activities'!G18</f>
        <v>11786.48</v>
      </c>
      <c r="K15" s="180">
        <v>23822</v>
      </c>
      <c r="L15" s="180"/>
      <c r="M15" s="180">
        <f>'August''24 State of Activities'!J18</f>
        <v>17136.07</v>
      </c>
      <c r="O15" s="390">
        <f t="shared" si="0"/>
        <v>-5349.59</v>
      </c>
      <c r="P15" s="337">
        <f>O15/M15</f>
        <v>-0.31218301512540508</v>
      </c>
      <c r="S15" s="303"/>
      <c r="T15" s="368"/>
      <c r="U15" s="290"/>
    </row>
    <row r="16" spans="1:61" s="55" customFormat="1" ht="20.25" x14ac:dyDescent="0.2">
      <c r="A16" s="54"/>
      <c r="B16" s="54"/>
      <c r="C16" s="58" t="s">
        <v>575</v>
      </c>
      <c r="D16" s="58"/>
      <c r="E16" s="58"/>
      <c r="F16" s="54"/>
      <c r="G16" s="180"/>
      <c r="H16" s="180"/>
      <c r="I16" s="180"/>
      <c r="J16" s="180"/>
      <c r="K16" s="180">
        <v>25432</v>
      </c>
      <c r="L16" s="180"/>
      <c r="M16" s="180">
        <v>8863</v>
      </c>
      <c r="O16" s="390">
        <f t="shared" si="0"/>
        <v>-8863</v>
      </c>
      <c r="P16" s="337"/>
      <c r="S16" s="303"/>
      <c r="T16" s="368"/>
      <c r="U16" s="290"/>
    </row>
    <row r="17" spans="1:21" s="55" customFormat="1" ht="20.25" x14ac:dyDescent="0.2">
      <c r="A17" s="54"/>
      <c r="B17" s="54"/>
      <c r="C17" s="58" t="s">
        <v>214</v>
      </c>
      <c r="D17" s="58"/>
      <c r="E17" s="58"/>
      <c r="F17" s="54"/>
      <c r="G17" s="180">
        <v>31459</v>
      </c>
      <c r="H17" s="180">
        <v>13920.35</v>
      </c>
      <c r="I17" s="180"/>
      <c r="J17" s="180">
        <f>'August''24 Revenues &amp; Expenses'!H49</f>
        <v>16777</v>
      </c>
      <c r="K17" s="180">
        <v>27500</v>
      </c>
      <c r="L17" s="180"/>
      <c r="M17" s="180">
        <v>17759</v>
      </c>
      <c r="O17" s="390">
        <f t="shared" si="0"/>
        <v>-982</v>
      </c>
      <c r="P17" s="337">
        <f>O17/M17</f>
        <v>-5.5295906301030463E-2</v>
      </c>
      <c r="S17" s="303"/>
      <c r="T17" s="368"/>
      <c r="U17" s="290"/>
    </row>
    <row r="18" spans="1:21" s="55" customFormat="1" ht="20.25" x14ac:dyDescent="0.2">
      <c r="A18" s="54"/>
      <c r="B18" s="54"/>
      <c r="C18" s="58" t="s">
        <v>376</v>
      </c>
      <c r="D18" s="58"/>
      <c r="E18" s="58"/>
      <c r="F18" s="54"/>
      <c r="G18" s="180"/>
      <c r="H18" s="180"/>
      <c r="I18" s="180"/>
      <c r="J18" s="180">
        <v>31515.89</v>
      </c>
      <c r="K18" s="180">
        <v>23872</v>
      </c>
      <c r="L18" s="180"/>
      <c r="M18" s="180">
        <v>13180</v>
      </c>
      <c r="O18" s="390">
        <f t="shared" si="0"/>
        <v>18335.89</v>
      </c>
      <c r="P18" s="319">
        <f>O18/M18</f>
        <v>1.391190440060698</v>
      </c>
      <c r="S18" s="303"/>
      <c r="T18" s="368"/>
      <c r="U18" s="290"/>
    </row>
    <row r="19" spans="1:21" s="55" customFormat="1" ht="20.25" x14ac:dyDescent="0.2">
      <c r="A19" s="54"/>
      <c r="B19" s="54"/>
      <c r="C19" s="58" t="s">
        <v>388</v>
      </c>
      <c r="D19" s="58"/>
      <c r="E19" s="58"/>
      <c r="F19" s="54"/>
      <c r="G19" s="180"/>
      <c r="H19" s="180"/>
      <c r="I19" s="180"/>
      <c r="J19" s="180">
        <v>0</v>
      </c>
      <c r="K19" s="180">
        <v>50000</v>
      </c>
      <c r="L19" s="180"/>
      <c r="M19" s="180">
        <v>33333</v>
      </c>
      <c r="O19" s="390">
        <f t="shared" si="0"/>
        <v>-33333</v>
      </c>
      <c r="P19" s="319"/>
      <c r="S19" s="303"/>
      <c r="T19" s="368"/>
      <c r="U19" s="290"/>
    </row>
    <row r="20" spans="1:21" s="55" customFormat="1" ht="20.25" x14ac:dyDescent="0.2">
      <c r="A20" s="54"/>
      <c r="B20" s="54"/>
      <c r="C20" s="58" t="s">
        <v>553</v>
      </c>
      <c r="D20" s="58"/>
      <c r="E20" s="58"/>
      <c r="F20" s="54"/>
      <c r="G20" s="180"/>
      <c r="H20" s="180"/>
      <c r="I20" s="180"/>
      <c r="J20" s="180">
        <f>50000/12*8</f>
        <v>33333.333333333336</v>
      </c>
      <c r="K20" s="180">
        <v>50000</v>
      </c>
      <c r="L20" s="180"/>
      <c r="M20" s="180">
        <v>21429</v>
      </c>
      <c r="O20" s="390">
        <f t="shared" si="0"/>
        <v>11904.333333333336</v>
      </c>
      <c r="P20" s="319">
        <f>O20/M20</f>
        <v>0.55552444506665433</v>
      </c>
      <c r="S20" s="303"/>
      <c r="T20" s="368"/>
      <c r="U20" s="290"/>
    </row>
    <row r="21" spans="1:21" s="55" customFormat="1" ht="20.25" x14ac:dyDescent="0.2">
      <c r="A21" s="54"/>
      <c r="B21" s="54"/>
      <c r="C21" s="58" t="s">
        <v>623</v>
      </c>
      <c r="D21" s="58"/>
      <c r="E21" s="58"/>
      <c r="F21" s="54"/>
      <c r="G21" s="180"/>
      <c r="H21" s="180"/>
      <c r="I21" s="180"/>
      <c r="J21" s="180">
        <f>'August''24 Revenues &amp; Expenses'!H60</f>
        <v>83922.75</v>
      </c>
      <c r="K21" s="180">
        <v>0</v>
      </c>
      <c r="L21" s="180"/>
      <c r="M21" s="180">
        <v>0</v>
      </c>
      <c r="O21" s="390">
        <f t="shared" si="0"/>
        <v>83922.75</v>
      </c>
      <c r="P21" s="337"/>
      <c r="S21" s="303"/>
      <c r="T21" s="368"/>
      <c r="U21" s="290"/>
    </row>
    <row r="22" spans="1:21" s="55" customFormat="1" ht="20.25" x14ac:dyDescent="0.2">
      <c r="A22" s="54"/>
      <c r="B22" s="54"/>
      <c r="C22" s="58" t="s">
        <v>332</v>
      </c>
      <c r="D22" s="58"/>
      <c r="E22" s="58"/>
      <c r="F22" s="54"/>
      <c r="G22" s="180"/>
      <c r="H22" s="180"/>
      <c r="I22" s="180"/>
      <c r="J22" s="180">
        <v>30</v>
      </c>
      <c r="K22" s="180">
        <v>150</v>
      </c>
      <c r="L22" s="180"/>
      <c r="M22" s="180">
        <v>90</v>
      </c>
      <c r="O22" s="390">
        <f t="shared" si="0"/>
        <v>-60</v>
      </c>
      <c r="P22" s="319">
        <f>O22/M22</f>
        <v>-0.66666666666666663</v>
      </c>
      <c r="S22" s="303"/>
      <c r="T22" s="368"/>
      <c r="U22" s="290"/>
    </row>
    <row r="23" spans="1:21" s="55" customFormat="1" ht="20.25" customHeight="1" x14ac:dyDescent="0.2">
      <c r="A23" s="54"/>
      <c r="B23" s="54"/>
      <c r="C23" s="803" t="s">
        <v>554</v>
      </c>
      <c r="D23" s="803"/>
      <c r="E23" s="803"/>
      <c r="F23" s="803"/>
      <c r="G23" s="180"/>
      <c r="H23" s="180"/>
      <c r="I23" s="180"/>
      <c r="J23" s="180">
        <v>0</v>
      </c>
      <c r="K23" s="180">
        <v>940</v>
      </c>
      <c r="L23" s="180"/>
      <c r="M23" s="180">
        <v>529.58000000000004</v>
      </c>
      <c r="O23" s="390">
        <f t="shared" si="0"/>
        <v>-529.58000000000004</v>
      </c>
      <c r="P23" s="337"/>
      <c r="S23" s="303"/>
      <c r="T23" s="368"/>
      <c r="U23" s="290"/>
    </row>
    <row r="24" spans="1:21" s="55" customFormat="1" ht="20.25" x14ac:dyDescent="0.2">
      <c r="A24" s="54"/>
      <c r="B24" s="54"/>
      <c r="C24" s="58" t="s">
        <v>341</v>
      </c>
      <c r="D24" s="58"/>
      <c r="E24" s="58"/>
      <c r="F24" s="54"/>
      <c r="G24" s="180">
        <v>1125</v>
      </c>
      <c r="H24" s="180">
        <v>6050</v>
      </c>
      <c r="I24" s="180"/>
      <c r="J24" s="180">
        <v>0</v>
      </c>
      <c r="K24" s="180">
        <v>0</v>
      </c>
      <c r="L24" s="180"/>
      <c r="M24" s="180">
        <v>0</v>
      </c>
      <c r="O24" s="390">
        <f t="shared" si="0"/>
        <v>0</v>
      </c>
      <c r="P24" s="337"/>
    </row>
    <row r="25" spans="1:21" s="55" customFormat="1" ht="21" thickBot="1" x14ac:dyDescent="0.25">
      <c r="A25" s="54"/>
      <c r="B25" s="54"/>
      <c r="C25" s="58" t="s">
        <v>215</v>
      </c>
      <c r="D25" s="58"/>
      <c r="E25" s="58"/>
      <c r="F25" s="54"/>
      <c r="G25" s="187">
        <v>31250</v>
      </c>
      <c r="H25" s="187">
        <v>15624.98</v>
      </c>
      <c r="I25" s="180"/>
      <c r="J25" s="187">
        <f>'August''24 State of Activities'!G26*0.2</f>
        <v>7032</v>
      </c>
      <c r="K25" s="187">
        <f>'[3]December''21 State of Activities'!H26*0.2</f>
        <v>10548</v>
      </c>
      <c r="L25" s="180"/>
      <c r="M25" s="187">
        <f>'August''24 State of Activities'!J26*0.2</f>
        <v>7032</v>
      </c>
      <c r="O25" s="301">
        <f t="shared" si="0"/>
        <v>0</v>
      </c>
      <c r="P25" s="320">
        <v>0</v>
      </c>
    </row>
    <row r="26" spans="1:21" s="55" customFormat="1" ht="20.25" x14ac:dyDescent="0.2">
      <c r="A26" s="54"/>
      <c r="B26" s="54"/>
      <c r="C26" s="58"/>
      <c r="D26" s="54" t="s">
        <v>103</v>
      </c>
      <c r="E26" s="58"/>
      <c r="F26" s="54"/>
      <c r="G26" s="180">
        <v>1161224.25</v>
      </c>
      <c r="H26" s="180">
        <v>516293.30999999994</v>
      </c>
      <c r="I26" s="180"/>
      <c r="J26" s="180">
        <f>SUM(J9:J25)</f>
        <v>351837.8833333333</v>
      </c>
      <c r="K26" s="180">
        <f>SUM(K9:K25)</f>
        <v>432352.47</v>
      </c>
      <c r="L26" s="180"/>
      <c r="M26" s="180">
        <f>SUM(M9:M25)</f>
        <v>259633.62</v>
      </c>
      <c r="O26" s="212">
        <f t="shared" si="0"/>
        <v>92204.263333333307</v>
      </c>
      <c r="P26" s="337">
        <f>O26/M26</f>
        <v>0.35513221798214462</v>
      </c>
    </row>
    <row r="27" spans="1:21" s="55" customFormat="1" ht="21" thickBot="1" x14ac:dyDescent="0.25">
      <c r="A27" s="54"/>
      <c r="B27" s="54"/>
      <c r="C27" s="54" t="s">
        <v>216</v>
      </c>
      <c r="D27" s="58"/>
      <c r="E27" s="58"/>
      <c r="F27" s="54"/>
      <c r="G27" s="187">
        <v>150176</v>
      </c>
      <c r="H27" s="187">
        <v>47700.27</v>
      </c>
      <c r="I27" s="180"/>
      <c r="J27" s="180">
        <f>21000/12*8</f>
        <v>14000</v>
      </c>
      <c r="K27" s="180">
        <v>21000</v>
      </c>
      <c r="L27" s="180"/>
      <c r="M27" s="180">
        <f>J27</f>
        <v>14000</v>
      </c>
      <c r="O27" s="390">
        <f t="shared" si="0"/>
        <v>0</v>
      </c>
      <c r="P27" s="319">
        <f>O27/M27</f>
        <v>0</v>
      </c>
    </row>
    <row r="28" spans="1:21" s="55" customFormat="1" ht="21" thickBot="1" x14ac:dyDescent="0.25">
      <c r="A28" s="54"/>
      <c r="B28" s="54"/>
      <c r="C28" s="54" t="s">
        <v>217</v>
      </c>
      <c r="D28" s="58"/>
      <c r="E28" s="58"/>
      <c r="F28" s="54"/>
      <c r="G28" s="180"/>
      <c r="H28" s="180"/>
      <c r="I28" s="180"/>
      <c r="J28" s="187">
        <v>19046.59</v>
      </c>
      <c r="K28" s="187">
        <v>33956</v>
      </c>
      <c r="L28" s="180"/>
      <c r="M28" s="187">
        <v>20242</v>
      </c>
      <c r="O28" s="301">
        <f t="shared" si="0"/>
        <v>-1195.4099999999999</v>
      </c>
      <c r="P28" s="361">
        <f>O28/M28</f>
        <v>-5.9055923327734405E-2</v>
      </c>
    </row>
    <row r="29" spans="1:21" s="55" customFormat="1" ht="20.25" x14ac:dyDescent="0.2">
      <c r="A29" s="54"/>
      <c r="B29" s="54"/>
      <c r="C29" s="58"/>
      <c r="D29" s="54" t="s">
        <v>105</v>
      </c>
      <c r="E29" s="58"/>
      <c r="F29" s="54"/>
      <c r="G29" s="180">
        <v>1311400.25</v>
      </c>
      <c r="H29" s="180">
        <v>563993.57999999996</v>
      </c>
      <c r="I29" s="180"/>
      <c r="J29" s="180">
        <f>SUM(J26:J28)</f>
        <v>384884.47333333333</v>
      </c>
      <c r="K29" s="180">
        <f>SUM(K26:K28)</f>
        <v>487308.47</v>
      </c>
      <c r="L29" s="180"/>
      <c r="M29" s="180">
        <f>SUM(M26:M28)</f>
        <v>293875.62</v>
      </c>
      <c r="O29" s="212">
        <f t="shared" si="0"/>
        <v>91008.853333333333</v>
      </c>
      <c r="P29" s="337">
        <f>O29/M29</f>
        <v>0.30968493859182106</v>
      </c>
    </row>
    <row r="30" spans="1:21" s="55" customFormat="1" ht="20.25" x14ac:dyDescent="0.2">
      <c r="A30" s="54"/>
      <c r="B30" s="54"/>
      <c r="C30" s="58"/>
      <c r="D30" s="54"/>
      <c r="E30" s="58"/>
      <c r="F30" s="54"/>
      <c r="G30" s="180"/>
      <c r="H30" s="180"/>
      <c r="I30" s="180"/>
      <c r="J30" s="180"/>
      <c r="K30" s="461"/>
      <c r="L30" s="180"/>
      <c r="M30" s="180"/>
    </row>
    <row r="31" spans="1:21" s="55" customFormat="1" ht="21" thickBot="1" x14ac:dyDescent="0.25">
      <c r="A31" s="54"/>
      <c r="B31" s="66" t="s">
        <v>109</v>
      </c>
      <c r="C31" s="66"/>
      <c r="D31" s="66"/>
      <c r="E31" s="66"/>
      <c r="F31" s="66"/>
      <c r="G31" s="187"/>
      <c r="J31" s="180"/>
    </row>
    <row r="32" spans="1:21" s="55" customFormat="1" ht="20.25" x14ac:dyDescent="0.2">
      <c r="A32" s="54"/>
      <c r="B32" s="54"/>
      <c r="C32" s="58" t="s">
        <v>218</v>
      </c>
      <c r="D32" s="58"/>
      <c r="E32" s="58"/>
      <c r="F32" s="58"/>
      <c r="G32" s="180">
        <v>733747.79999999993</v>
      </c>
      <c r="H32" s="212">
        <v>361976</v>
      </c>
      <c r="I32" s="212"/>
      <c r="J32" s="180"/>
      <c r="K32" s="212"/>
      <c r="L32" s="212"/>
      <c r="M32" s="212"/>
    </row>
    <row r="33" spans="1:18" s="55" customFormat="1" ht="20.25" x14ac:dyDescent="0.2">
      <c r="A33" s="54"/>
      <c r="B33" s="54"/>
      <c r="C33" s="58"/>
      <c r="D33" s="803" t="s">
        <v>219</v>
      </c>
      <c r="E33" s="803"/>
      <c r="F33" s="803"/>
      <c r="G33" s="180"/>
      <c r="H33" s="212"/>
      <c r="I33" s="212"/>
      <c r="J33" s="180">
        <f>156141.89</f>
        <v>156141.89000000001</v>
      </c>
      <c r="K33" s="180">
        <v>227733.03</v>
      </c>
      <c r="L33" s="212"/>
      <c r="M33" s="180">
        <v>155341</v>
      </c>
      <c r="O33" s="212">
        <f>J33-M33</f>
        <v>800.89000000001397</v>
      </c>
      <c r="P33" s="337">
        <f>O33/M33</f>
        <v>5.1556897406352092E-3</v>
      </c>
    </row>
    <row r="34" spans="1:18" s="55" customFormat="1" ht="20.25" x14ac:dyDescent="0.2">
      <c r="A34" s="54"/>
      <c r="B34" s="54"/>
      <c r="C34" s="58"/>
      <c r="D34" s="803" t="s">
        <v>220</v>
      </c>
      <c r="E34" s="803"/>
      <c r="F34" s="803"/>
      <c r="G34" s="180"/>
      <c r="H34" s="212"/>
      <c r="I34" s="212"/>
      <c r="J34" s="180">
        <f>36725+34186.95</f>
        <v>70911.95</v>
      </c>
      <c r="K34" s="180">
        <f>49366.82+33409.92</f>
        <v>82776.739999999991</v>
      </c>
      <c r="L34" s="212"/>
      <c r="M34" s="180">
        <v>53289</v>
      </c>
      <c r="O34" s="212">
        <f>J34-M34</f>
        <v>17622.949999999997</v>
      </c>
      <c r="P34" s="337">
        <f>O34/M34</f>
        <v>0.33070521120681562</v>
      </c>
      <c r="R34" s="191"/>
    </row>
    <row r="35" spans="1:18" s="55" customFormat="1" ht="20.25" x14ac:dyDescent="0.2">
      <c r="A35" s="54"/>
      <c r="B35" s="54"/>
      <c r="C35" s="58"/>
      <c r="D35" s="803" t="s">
        <v>111</v>
      </c>
      <c r="E35" s="803"/>
      <c r="F35" s="803"/>
      <c r="G35" s="180"/>
      <c r="H35" s="212"/>
      <c r="I35" s="212"/>
      <c r="J35" s="180">
        <v>43585.07</v>
      </c>
      <c r="K35" s="180">
        <v>55442.07</v>
      </c>
      <c r="L35" s="212"/>
      <c r="M35" s="180">
        <f>M33*0.213+M34*0.14</f>
        <v>40548.093000000001</v>
      </c>
      <c r="O35" s="212">
        <f>J35-M35</f>
        <v>3036.976999999999</v>
      </c>
      <c r="P35" s="337">
        <f>O35/M35</f>
        <v>7.4898146258074311E-2</v>
      </c>
    </row>
    <row r="36" spans="1:18" s="55" customFormat="1" ht="20.25" x14ac:dyDescent="0.2">
      <c r="A36" s="54"/>
      <c r="B36" s="54"/>
      <c r="C36" s="58" t="s">
        <v>276</v>
      </c>
      <c r="D36" s="58"/>
      <c r="E36" s="58"/>
      <c r="F36" s="58"/>
      <c r="G36" s="180">
        <v>44745.18</v>
      </c>
      <c r="H36" s="180">
        <v>20974.21</v>
      </c>
      <c r="I36" s="180"/>
      <c r="J36" s="580"/>
      <c r="K36" s="580"/>
      <c r="L36" s="580"/>
      <c r="M36" s="580"/>
      <c r="O36" s="612"/>
      <c r="P36" s="337"/>
    </row>
    <row r="37" spans="1:18" s="55" customFormat="1" ht="20.25" x14ac:dyDescent="0.2">
      <c r="A37" s="54"/>
      <c r="B37" s="54"/>
      <c r="C37" s="58"/>
      <c r="D37" s="803" t="s">
        <v>221</v>
      </c>
      <c r="E37" s="803"/>
      <c r="F37" s="803"/>
      <c r="G37" s="180"/>
      <c r="H37" s="180"/>
      <c r="I37" s="180"/>
      <c r="J37" s="180">
        <v>20470.43</v>
      </c>
      <c r="K37" s="180">
        <v>31525.11</v>
      </c>
      <c r="L37" s="180"/>
      <c r="M37" s="180">
        <v>22095</v>
      </c>
      <c r="O37" s="212">
        <f t="shared" ref="O37:O55" si="1">J37-M37</f>
        <v>-1624.5699999999997</v>
      </c>
      <c r="P37" s="337">
        <f t="shared" ref="P37:P49" si="2">O37/M37</f>
        <v>-7.3526589726182381E-2</v>
      </c>
    </row>
    <row r="38" spans="1:18" s="55" customFormat="1" ht="20.25" x14ac:dyDescent="0.2">
      <c r="A38" s="54"/>
      <c r="B38" s="54"/>
      <c r="C38" s="58"/>
      <c r="D38" s="803" t="s">
        <v>222</v>
      </c>
      <c r="E38" s="803"/>
      <c r="F38" s="803"/>
      <c r="G38" s="180"/>
      <c r="H38" s="180"/>
      <c r="I38" s="180"/>
      <c r="J38" s="180">
        <v>9544.27</v>
      </c>
      <c r="K38" s="180">
        <v>13289.95</v>
      </c>
      <c r="L38" s="180"/>
      <c r="M38" s="180">
        <v>10201</v>
      </c>
      <c r="O38" s="212">
        <f t="shared" si="1"/>
        <v>-656.72999999999956</v>
      </c>
      <c r="P38" s="337">
        <f t="shared" si="2"/>
        <v>-6.437898245270067E-2</v>
      </c>
    </row>
    <row r="39" spans="1:18" s="55" customFormat="1" ht="20.25" x14ac:dyDescent="0.2">
      <c r="A39" s="54"/>
      <c r="B39" s="54"/>
      <c r="C39" s="58"/>
      <c r="D39" s="803" t="s">
        <v>302</v>
      </c>
      <c r="E39" s="803"/>
      <c r="F39" s="803"/>
      <c r="G39" s="180"/>
      <c r="H39" s="180"/>
      <c r="I39" s="180"/>
      <c r="J39" s="180">
        <v>13635.7</v>
      </c>
      <c r="K39" s="180">
        <v>15327.6</v>
      </c>
      <c r="L39" s="180"/>
      <c r="M39" s="180">
        <v>10750</v>
      </c>
      <c r="O39" s="212">
        <f t="shared" si="1"/>
        <v>2885.7000000000007</v>
      </c>
      <c r="P39" s="337">
        <f t="shared" si="2"/>
        <v>0.26843720930232567</v>
      </c>
    </row>
    <row r="40" spans="1:18" s="55" customFormat="1" ht="20.25" x14ac:dyDescent="0.2">
      <c r="A40" s="54"/>
      <c r="B40" s="54"/>
      <c r="C40" s="58"/>
      <c r="D40" s="803" t="s">
        <v>223</v>
      </c>
      <c r="E40" s="803"/>
      <c r="F40" s="803"/>
      <c r="G40" s="180"/>
      <c r="H40" s="180"/>
      <c r="I40" s="180"/>
      <c r="J40" s="180">
        <v>184.5</v>
      </c>
      <c r="K40" s="180">
        <v>710.5</v>
      </c>
      <c r="L40" s="180"/>
      <c r="M40" s="180">
        <v>558</v>
      </c>
      <c r="O40" s="212">
        <f t="shared" si="1"/>
        <v>-373.5</v>
      </c>
      <c r="P40" s="337">
        <f t="shared" si="2"/>
        <v>-0.66935483870967738</v>
      </c>
    </row>
    <row r="41" spans="1:18" s="55" customFormat="1" ht="20.25" x14ac:dyDescent="0.2">
      <c r="A41" s="54"/>
      <c r="B41" s="54"/>
      <c r="C41" s="58" t="s">
        <v>461</v>
      </c>
      <c r="D41" s="58"/>
      <c r="E41" s="58"/>
      <c r="F41" s="58"/>
      <c r="G41" s="180">
        <v>27200</v>
      </c>
      <c r="H41" s="180">
        <v>11327</v>
      </c>
      <c r="I41" s="180"/>
      <c r="J41" s="180">
        <v>25615</v>
      </c>
      <c r="K41" s="180">
        <f>'August''24 State of Activities'!H50-8051</f>
        <v>43829</v>
      </c>
      <c r="L41" s="180"/>
      <c r="M41" s="180">
        <v>19198</v>
      </c>
      <c r="O41" s="212">
        <f t="shared" si="1"/>
        <v>6417</v>
      </c>
      <c r="P41" s="337">
        <f t="shared" si="2"/>
        <v>0.33425356808000833</v>
      </c>
      <c r="R41" s="191"/>
    </row>
    <row r="42" spans="1:18" s="55" customFormat="1" ht="20.25" x14ac:dyDescent="0.2">
      <c r="A42" s="54"/>
      <c r="B42" s="54"/>
      <c r="C42" s="58" t="s">
        <v>102</v>
      </c>
      <c r="D42" s="58"/>
      <c r="E42" s="58"/>
      <c r="F42" s="58"/>
      <c r="G42" s="180">
        <v>150176</v>
      </c>
      <c r="H42" s="212">
        <v>47700.27</v>
      </c>
      <c r="I42" s="212"/>
      <c r="J42" s="180">
        <f>J25</f>
        <v>7032</v>
      </c>
      <c r="K42" s="180">
        <f>K25</f>
        <v>10548</v>
      </c>
      <c r="L42" s="212"/>
      <c r="M42" s="180">
        <f>M25</f>
        <v>7032</v>
      </c>
      <c r="O42" s="212">
        <f t="shared" si="1"/>
        <v>0</v>
      </c>
      <c r="P42" s="337">
        <f t="shared" si="2"/>
        <v>0</v>
      </c>
    </row>
    <row r="43" spans="1:18" s="55" customFormat="1" ht="20.25" x14ac:dyDescent="0.2">
      <c r="A43" s="54"/>
      <c r="B43" s="54"/>
      <c r="C43" s="58" t="s">
        <v>311</v>
      </c>
      <c r="D43" s="58"/>
      <c r="E43" s="58"/>
      <c r="F43" s="58"/>
      <c r="G43" s="180"/>
      <c r="H43" s="212"/>
      <c r="I43" s="212"/>
      <c r="J43" s="180">
        <v>3099.45</v>
      </c>
      <c r="K43" s="180">
        <v>4527.62</v>
      </c>
      <c r="L43" s="212"/>
      <c r="M43" s="180">
        <v>3029</v>
      </c>
      <c r="O43" s="212">
        <f t="shared" si="1"/>
        <v>70.449999999999818</v>
      </c>
      <c r="P43" s="337">
        <f t="shared" si="2"/>
        <v>2.3258501155496804E-2</v>
      </c>
    </row>
    <row r="44" spans="1:18" s="55" customFormat="1" ht="20.25" x14ac:dyDescent="0.2">
      <c r="A44" s="54"/>
      <c r="B44" s="54"/>
      <c r="C44" s="58" t="s">
        <v>535</v>
      </c>
      <c r="D44" s="58"/>
      <c r="E44" s="58"/>
      <c r="F44" s="58"/>
      <c r="G44" s="180"/>
      <c r="H44" s="212"/>
      <c r="I44" s="212"/>
      <c r="J44" s="180">
        <v>1254.2</v>
      </c>
      <c r="K44" s="180">
        <v>1937.6</v>
      </c>
      <c r="L44" s="212"/>
      <c r="M44" s="180">
        <v>1258</v>
      </c>
      <c r="O44" s="212">
        <f t="shared" si="1"/>
        <v>-3.7999999999999545</v>
      </c>
      <c r="P44" s="337">
        <f t="shared" si="2"/>
        <v>-3.0206677265500435E-3</v>
      </c>
    </row>
    <row r="45" spans="1:18" s="55" customFormat="1" ht="20.25" x14ac:dyDescent="0.2">
      <c r="A45" s="54"/>
      <c r="B45" s="54"/>
      <c r="C45" s="58" t="s">
        <v>225</v>
      </c>
      <c r="D45" s="58"/>
      <c r="E45" s="58"/>
      <c r="F45" s="58"/>
      <c r="G45" s="180"/>
      <c r="H45" s="212"/>
      <c r="I45" s="212"/>
      <c r="J45" s="180">
        <v>3749</v>
      </c>
      <c r="K45" s="180">
        <f>140+673</f>
        <v>813</v>
      </c>
      <c r="L45" s="212"/>
      <c r="M45" s="180">
        <v>813</v>
      </c>
      <c r="O45" s="212">
        <f t="shared" si="1"/>
        <v>2936</v>
      </c>
      <c r="P45" s="337">
        <f t="shared" si="2"/>
        <v>3.6113161131611315</v>
      </c>
    </row>
    <row r="46" spans="1:18" s="55" customFormat="1" ht="20.25" x14ac:dyDescent="0.2">
      <c r="A46" s="54"/>
      <c r="B46" s="54"/>
      <c r="C46" s="58" t="s">
        <v>379</v>
      </c>
      <c r="D46" s="58"/>
      <c r="E46" s="58"/>
      <c r="F46" s="58"/>
      <c r="G46" s="180">
        <v>10993.12</v>
      </c>
      <c r="H46" s="212">
        <v>4904.57</v>
      </c>
      <c r="I46" s="212"/>
      <c r="J46" s="180">
        <v>5074.1000000000004</v>
      </c>
      <c r="K46" s="180">
        <v>8336.2099999999991</v>
      </c>
      <c r="L46" s="212"/>
      <c r="M46" s="180">
        <v>5489</v>
      </c>
      <c r="O46" s="212">
        <f t="shared" si="1"/>
        <v>-414.89999999999964</v>
      </c>
      <c r="P46" s="337">
        <f t="shared" si="2"/>
        <v>-7.5587538713791147E-2</v>
      </c>
    </row>
    <row r="47" spans="1:18" s="55" customFormat="1" ht="20.25" x14ac:dyDescent="0.2">
      <c r="A47" s="54"/>
      <c r="B47" s="54"/>
      <c r="C47" s="58" t="s">
        <v>226</v>
      </c>
      <c r="D47" s="58"/>
      <c r="E47" s="58"/>
      <c r="F47" s="58"/>
      <c r="G47" s="180">
        <v>10250.949999999999</v>
      </c>
      <c r="H47" s="212">
        <v>3982.99</v>
      </c>
      <c r="I47" s="212"/>
      <c r="J47" s="180">
        <f>88.52+290.58</f>
        <v>379.09999999999997</v>
      </c>
      <c r="K47" s="180">
        <f>759.4+755.78</f>
        <v>1515.1799999999998</v>
      </c>
      <c r="L47" s="212"/>
      <c r="M47" s="180">
        <v>1286</v>
      </c>
      <c r="O47" s="212">
        <f t="shared" si="1"/>
        <v>-906.90000000000009</v>
      </c>
      <c r="P47" s="337">
        <f t="shared" si="2"/>
        <v>-0.70520995334370151</v>
      </c>
    </row>
    <row r="48" spans="1:18" s="55" customFormat="1" ht="20.25" x14ac:dyDescent="0.2">
      <c r="A48" s="54"/>
      <c r="B48" s="54"/>
      <c r="C48" s="58" t="s">
        <v>120</v>
      </c>
      <c r="D48" s="58"/>
      <c r="E48" s="58"/>
      <c r="F48" s="58"/>
      <c r="G48" s="180">
        <v>4412.53</v>
      </c>
      <c r="H48" s="213">
        <v>5667</v>
      </c>
      <c r="I48" s="213"/>
      <c r="J48" s="180">
        <v>4645.22</v>
      </c>
      <c r="K48" s="180">
        <v>6269.68</v>
      </c>
      <c r="L48" s="213"/>
      <c r="M48" s="180">
        <v>4387</v>
      </c>
      <c r="O48" s="212">
        <f t="shared" si="1"/>
        <v>258.22000000000025</v>
      </c>
      <c r="P48" s="337">
        <f t="shared" si="2"/>
        <v>5.88602689765216E-2</v>
      </c>
    </row>
    <row r="49" spans="1:20" s="55" customFormat="1" ht="20.25" x14ac:dyDescent="0.2">
      <c r="A49" s="54"/>
      <c r="B49" s="54"/>
      <c r="C49" s="58" t="s">
        <v>118</v>
      </c>
      <c r="D49" s="58"/>
      <c r="E49" s="58"/>
      <c r="F49" s="58"/>
      <c r="G49" s="180">
        <v>7901</v>
      </c>
      <c r="H49" s="212">
        <v>4149.6000000000004</v>
      </c>
      <c r="I49" s="212"/>
      <c r="J49" s="180">
        <v>516.36</v>
      </c>
      <c r="K49" s="180">
        <v>667.73</v>
      </c>
      <c r="L49" s="212"/>
      <c r="M49" s="180">
        <v>286</v>
      </c>
      <c r="O49" s="212">
        <f t="shared" si="1"/>
        <v>230.36</v>
      </c>
      <c r="P49" s="337">
        <f t="shared" si="2"/>
        <v>0.80545454545454553</v>
      </c>
    </row>
    <row r="50" spans="1:20" s="55" customFormat="1" ht="20.25" hidden="1" x14ac:dyDescent="0.2">
      <c r="A50" s="54"/>
      <c r="B50" s="54"/>
      <c r="C50" s="58" t="s">
        <v>227</v>
      </c>
      <c r="D50" s="58"/>
      <c r="E50" s="58"/>
      <c r="F50" s="58"/>
      <c r="G50" s="180"/>
      <c r="H50" s="212"/>
      <c r="I50" s="212"/>
      <c r="J50" s="180"/>
      <c r="K50" s="180"/>
      <c r="L50" s="212"/>
      <c r="M50" s="180"/>
      <c r="O50" s="212">
        <f t="shared" si="1"/>
        <v>0</v>
      </c>
      <c r="P50" s="337"/>
    </row>
    <row r="51" spans="1:20" s="55" customFormat="1" ht="20.25" x14ac:dyDescent="0.2">
      <c r="A51" s="58"/>
      <c r="B51" s="58"/>
      <c r="C51" s="58" t="s">
        <v>114</v>
      </c>
      <c r="D51" s="58"/>
      <c r="E51" s="58"/>
      <c r="F51" s="58"/>
      <c r="G51" s="180">
        <v>5428.37</v>
      </c>
      <c r="H51" s="212">
        <v>2024.52</v>
      </c>
      <c r="I51" s="212"/>
      <c r="J51" s="180">
        <v>666.26</v>
      </c>
      <c r="K51" s="180">
        <v>374.36</v>
      </c>
      <c r="L51" s="212"/>
      <c r="M51" s="180">
        <v>328</v>
      </c>
      <c r="O51" s="212">
        <f t="shared" si="1"/>
        <v>338.26</v>
      </c>
      <c r="P51" s="337">
        <f>O51/M51</f>
        <v>1.031280487804878</v>
      </c>
    </row>
    <row r="52" spans="1:20" s="55" customFormat="1" ht="20.25" x14ac:dyDescent="0.2">
      <c r="A52" s="58"/>
      <c r="B52" s="58"/>
      <c r="C52" s="58" t="s">
        <v>32</v>
      </c>
      <c r="D52" s="58"/>
      <c r="E52" s="58"/>
      <c r="F52" s="58"/>
      <c r="G52" s="180"/>
      <c r="H52" s="212"/>
      <c r="I52" s="212"/>
      <c r="J52" s="180">
        <f>'August''24 State of Activities'!G54</f>
        <v>4997.67</v>
      </c>
      <c r="K52" s="180">
        <f>'August''24 State of Activities'!H54</f>
        <v>7498.19</v>
      </c>
      <c r="L52" s="212"/>
      <c r="M52" s="180">
        <v>3342</v>
      </c>
      <c r="O52" s="212">
        <f t="shared" si="1"/>
        <v>1655.67</v>
      </c>
      <c r="P52" s="337">
        <f>O52/M52</f>
        <v>0.4954129263913824</v>
      </c>
    </row>
    <row r="53" spans="1:20" s="55" customFormat="1" ht="20.25" x14ac:dyDescent="0.2">
      <c r="A53" s="58"/>
      <c r="B53" s="58"/>
      <c r="C53" s="58" t="s">
        <v>228</v>
      </c>
      <c r="D53" s="58"/>
      <c r="E53" s="58"/>
      <c r="F53" s="58"/>
      <c r="G53" s="180">
        <v>83462.91</v>
      </c>
      <c r="H53" s="180">
        <v>18995.71</v>
      </c>
      <c r="I53" s="180"/>
      <c r="J53" s="182">
        <f>17.65+5160.7+112.2</f>
        <v>5290.5499999999993</v>
      </c>
      <c r="K53" s="182">
        <f>17.65*2+79.5+114.85+409.5+320.68+105</f>
        <v>1064.83</v>
      </c>
      <c r="L53" s="180"/>
      <c r="M53" s="182">
        <v>171</v>
      </c>
      <c r="O53" s="393">
        <f t="shared" si="1"/>
        <v>5119.5499999999993</v>
      </c>
      <c r="P53" s="392">
        <f>O53/M53</f>
        <v>29.938888888888883</v>
      </c>
    </row>
    <row r="54" spans="1:20" s="55" customFormat="1" ht="21" thickBot="1" x14ac:dyDescent="0.25">
      <c r="A54" s="54"/>
      <c r="B54" s="54"/>
      <c r="C54" s="54"/>
      <c r="D54" s="54" t="s">
        <v>126</v>
      </c>
      <c r="E54" s="54"/>
      <c r="F54" s="54"/>
      <c r="G54" s="187">
        <v>1078317.8599999999</v>
      </c>
      <c r="H54" s="187">
        <v>481701.87000000005</v>
      </c>
      <c r="I54" s="180"/>
      <c r="J54" s="363">
        <f>SUM(J33:J53)</f>
        <v>376792.72</v>
      </c>
      <c r="K54" s="363">
        <f>SUM(K33:K53)</f>
        <v>514186.39999999997</v>
      </c>
      <c r="L54" s="180"/>
      <c r="M54" s="363">
        <f>SUM(M33:M53)</f>
        <v>339401.09299999999</v>
      </c>
      <c r="O54" s="363">
        <f t="shared" si="1"/>
        <v>37391.626999999979</v>
      </c>
      <c r="P54" s="361">
        <f>O54/M54</f>
        <v>0.11016943601887569</v>
      </c>
      <c r="R54" s="271"/>
      <c r="S54" s="271"/>
      <c r="T54" s="271"/>
    </row>
    <row r="55" spans="1:20" s="55" customFormat="1" ht="21" thickBot="1" x14ac:dyDescent="0.25">
      <c r="A55" s="54"/>
      <c r="B55" s="54"/>
      <c r="C55" s="54"/>
      <c r="D55" s="54" t="s">
        <v>127</v>
      </c>
      <c r="E55" s="54"/>
      <c r="F55" s="54"/>
      <c r="G55" s="187">
        <v>233082.39000000013</v>
      </c>
      <c r="H55" s="187">
        <v>82291.709999999905</v>
      </c>
      <c r="I55" s="180"/>
      <c r="J55" s="364">
        <f>J29-J54</f>
        <v>8091.7533333333558</v>
      </c>
      <c r="K55" s="364">
        <f>K29-K54</f>
        <v>-26877.929999999993</v>
      </c>
      <c r="L55" s="180"/>
      <c r="M55" s="364">
        <f>M29-M54</f>
        <v>-45525.472999999998</v>
      </c>
      <c r="O55" s="301">
        <f t="shared" si="1"/>
        <v>53617.226333333354</v>
      </c>
      <c r="P55" s="361">
        <f>O55/M55</f>
        <v>-1.1777412248596155</v>
      </c>
    </row>
    <row r="56" spans="1:20" s="55" customFormat="1" ht="20.25" x14ac:dyDescent="0.2">
      <c r="A56" s="54"/>
      <c r="B56" s="54"/>
      <c r="C56" s="54"/>
      <c r="D56" s="54"/>
      <c r="E56" s="54"/>
      <c r="F56" s="54"/>
      <c r="G56" s="180"/>
      <c r="H56" s="180"/>
      <c r="I56" s="180"/>
      <c r="J56" s="180"/>
      <c r="K56" s="180"/>
      <c r="L56" s="180"/>
      <c r="M56" s="180"/>
    </row>
    <row r="57" spans="1:20" s="52" customFormat="1" ht="26.25" x14ac:dyDescent="0.2">
      <c r="A57" s="206"/>
      <c r="B57" s="206"/>
      <c r="C57" s="58" t="s">
        <v>555</v>
      </c>
      <c r="E57" s="58"/>
      <c r="F57" s="58"/>
      <c r="G57" s="208"/>
      <c r="H57" s="180"/>
      <c r="I57" s="180"/>
      <c r="J57" s="180">
        <f>2980*8*-1+J52</f>
        <v>-18842.330000000002</v>
      </c>
      <c r="K57" s="180">
        <v>-41210</v>
      </c>
      <c r="L57" s="180"/>
      <c r="M57" s="180">
        <f>((936.98+4843.01+2917.89+2920.87+14627.89+2917.89))*-1+M52</f>
        <v>-25822.53</v>
      </c>
      <c r="O57" s="212">
        <f>J57-M57</f>
        <v>6980.1999999999971</v>
      </c>
      <c r="P57" s="319"/>
    </row>
    <row r="58" spans="1:20" s="55" customFormat="1" ht="20.25" x14ac:dyDescent="0.2">
      <c r="A58" s="54"/>
      <c r="B58" s="54"/>
      <c r="C58" s="58" t="s">
        <v>446</v>
      </c>
      <c r="E58" s="54"/>
      <c r="G58" s="180"/>
      <c r="H58" s="180"/>
      <c r="I58" s="180"/>
      <c r="J58" s="180">
        <f>J41</f>
        <v>25615</v>
      </c>
      <c r="K58" s="180">
        <f>K41</f>
        <v>43829</v>
      </c>
      <c r="L58" s="180"/>
      <c r="M58" s="180">
        <f>M41</f>
        <v>19198</v>
      </c>
      <c r="O58" s="212">
        <f>J58-M58</f>
        <v>6417</v>
      </c>
      <c r="P58" s="319">
        <v>3.5414486921529216E-2</v>
      </c>
    </row>
    <row r="59" spans="1:20" s="55" customFormat="1" ht="24" thickBot="1" x14ac:dyDescent="0.25">
      <c r="A59" s="54"/>
      <c r="B59" s="209"/>
      <c r="C59" s="54"/>
      <c r="D59" s="806" t="s">
        <v>230</v>
      </c>
      <c r="E59" s="806"/>
      <c r="F59" s="806"/>
      <c r="G59" s="180"/>
      <c r="H59" s="180"/>
      <c r="I59" s="180"/>
      <c r="J59" s="365">
        <f>J55+J57+J58</f>
        <v>14864.423333333354</v>
      </c>
      <c r="K59" s="365">
        <f>K55+K57+K58</f>
        <v>-24258.929999999993</v>
      </c>
      <c r="L59" s="189"/>
      <c r="M59" s="365">
        <f>M55+M57+M58</f>
        <v>-52150.002999999997</v>
      </c>
      <c r="N59" s="303"/>
      <c r="O59" s="362">
        <f>J59-M59</f>
        <v>67014.426333333351</v>
      </c>
      <c r="P59" s="388">
        <v>2.1062768618503362E-2</v>
      </c>
    </row>
    <row r="60" spans="1:20" s="55" customFormat="1" ht="42" customHeight="1" thickTop="1" x14ac:dyDescent="0.2">
      <c r="A60" s="54"/>
      <c r="B60" s="54"/>
      <c r="C60" s="54"/>
      <c r="D60" s="54"/>
      <c r="E60" s="54"/>
      <c r="F60" s="54"/>
      <c r="G60" s="180"/>
      <c r="H60" s="180"/>
      <c r="I60" s="180"/>
      <c r="J60" s="180"/>
      <c r="K60" s="180"/>
      <c r="L60" s="180"/>
      <c r="M60" s="180"/>
    </row>
    <row r="61" spans="1:20" s="55" customFormat="1" ht="20.25" x14ac:dyDescent="0.2">
      <c r="A61" s="58"/>
      <c r="B61" s="58"/>
      <c r="C61" s="58"/>
      <c r="D61" s="58"/>
      <c r="F61" s="58" t="s">
        <v>307</v>
      </c>
      <c r="G61" s="189"/>
      <c r="H61" s="180"/>
      <c r="I61" s="180"/>
      <c r="J61" s="180">
        <v>162481</v>
      </c>
      <c r="K61" s="180">
        <v>249119</v>
      </c>
      <c r="L61" s="180"/>
      <c r="M61" s="180">
        <v>169634</v>
      </c>
      <c r="O61" s="191"/>
    </row>
    <row r="62" spans="1:20" s="55" customFormat="1" ht="21" thickBot="1" x14ac:dyDescent="0.25">
      <c r="A62" s="58"/>
      <c r="B62" s="58"/>
      <c r="C62" s="58"/>
      <c r="D62" s="58"/>
      <c r="F62" s="58" t="s">
        <v>312</v>
      </c>
      <c r="G62" s="180"/>
      <c r="H62" s="180"/>
      <c r="I62" s="180"/>
      <c r="J62" s="471">
        <f>(J54-J41-J42)/J61</f>
        <v>2.1180674663499115</v>
      </c>
      <c r="K62" s="471">
        <f>(K54-K41-K42)/K61</f>
        <v>1.8457419947896385</v>
      </c>
      <c r="L62" s="472"/>
      <c r="M62" s="471">
        <f>(M54-M41-M42)/M61</f>
        <v>1.8461575686477947</v>
      </c>
    </row>
    <row r="63" spans="1:20" s="55" customFormat="1" ht="20.25" x14ac:dyDescent="0.2">
      <c r="A63" s="58"/>
      <c r="B63" s="58"/>
      <c r="C63" s="58"/>
      <c r="D63" s="58"/>
      <c r="F63" s="58"/>
      <c r="G63" s="180"/>
      <c r="H63" s="180"/>
      <c r="I63" s="180"/>
      <c r="J63" s="180"/>
      <c r="K63" s="180"/>
      <c r="L63" s="180"/>
      <c r="M63" s="180"/>
    </row>
    <row r="64" spans="1:20" s="55" customFormat="1" ht="20.25" x14ac:dyDescent="0.2">
      <c r="A64" s="58"/>
      <c r="B64" s="58"/>
      <c r="C64" s="58"/>
      <c r="D64" s="58"/>
      <c r="F64" s="58" t="s">
        <v>308</v>
      </c>
      <c r="G64" s="180"/>
      <c r="H64" s="180"/>
      <c r="I64" s="180"/>
      <c r="J64" s="180">
        <v>8991</v>
      </c>
      <c r="K64" s="180">
        <v>13026</v>
      </c>
      <c r="L64" s="180"/>
      <c r="M64" s="180">
        <v>8748</v>
      </c>
      <c r="P64" s="191"/>
    </row>
    <row r="65" spans="1:13" s="55" customFormat="1" ht="21" thickBot="1" x14ac:dyDescent="0.25">
      <c r="A65" s="58"/>
      <c r="B65" s="58"/>
      <c r="C65" s="58"/>
      <c r="D65" s="58"/>
      <c r="F65" s="58" t="s">
        <v>368</v>
      </c>
      <c r="G65" s="180"/>
      <c r="H65" s="180"/>
      <c r="I65" s="180"/>
      <c r="J65" s="471">
        <f>(J54-J41-J42)/J64</f>
        <v>38.276690023356686</v>
      </c>
      <c r="K65" s="471">
        <f>(K54-K41-K42)/K64</f>
        <v>35.299355135882081</v>
      </c>
      <c r="L65" s="180"/>
      <c r="M65" s="471">
        <f>(M54-M41-M42)/M64</f>
        <v>35.799164723365337</v>
      </c>
    </row>
    <row r="66" spans="1:13" s="55" customFormat="1" ht="20.25" x14ac:dyDescent="0.2">
      <c r="A66" s="58"/>
      <c r="B66" s="58"/>
      <c r="C66" s="58"/>
      <c r="D66" s="58"/>
      <c r="F66" s="58"/>
      <c r="G66" s="180"/>
      <c r="H66" s="180"/>
      <c r="I66" s="180"/>
      <c r="J66" s="180"/>
      <c r="K66" s="180"/>
      <c r="L66" s="180"/>
      <c r="M66" s="180"/>
    </row>
    <row r="67" spans="1:13" s="55" customFormat="1" ht="20.25" x14ac:dyDescent="0.2">
      <c r="A67" s="58"/>
      <c r="B67" s="58"/>
      <c r="C67" s="54"/>
      <c r="D67" s="58"/>
      <c r="F67" s="58" t="s">
        <v>309</v>
      </c>
      <c r="G67" s="180"/>
      <c r="H67" s="180"/>
      <c r="I67" s="180"/>
      <c r="J67" s="180">
        <v>3925</v>
      </c>
      <c r="K67" s="180">
        <v>4221</v>
      </c>
      <c r="L67" s="180"/>
      <c r="M67" s="180">
        <v>2764</v>
      </c>
    </row>
    <row r="68" spans="1:13" s="55" customFormat="1" ht="21" thickBot="1" x14ac:dyDescent="0.25">
      <c r="A68" s="58"/>
      <c r="B68" s="58"/>
      <c r="C68" s="58"/>
      <c r="D68" s="58"/>
      <c r="E68" s="58"/>
      <c r="F68" s="58" t="s">
        <v>369</v>
      </c>
      <c r="G68" s="180"/>
      <c r="H68" s="180"/>
      <c r="I68" s="180"/>
      <c r="J68" s="471">
        <f>J9/J67</f>
        <v>30.413011464968154</v>
      </c>
      <c r="K68" s="471">
        <f>K9/K67</f>
        <v>31.096770907367922</v>
      </c>
      <c r="L68" s="180"/>
      <c r="M68" s="471">
        <f>M9/M67</f>
        <v>31.391678726483359</v>
      </c>
    </row>
    <row r="69" spans="1:13" s="55" customFormat="1" ht="20.25" x14ac:dyDescent="0.2">
      <c r="A69" s="58"/>
      <c r="B69" s="58"/>
      <c r="C69" s="54"/>
      <c r="D69" s="54"/>
      <c r="G69" s="180"/>
      <c r="H69" s="180"/>
      <c r="I69" s="180"/>
      <c r="J69" s="180"/>
      <c r="K69" s="180"/>
      <c r="L69" s="180"/>
      <c r="M69" s="180"/>
    </row>
    <row r="70" spans="1:13" s="55" customFormat="1" ht="20.25" x14ac:dyDescent="0.2">
      <c r="A70" s="58"/>
      <c r="B70" s="58"/>
      <c r="C70" s="58"/>
      <c r="D70" s="58"/>
      <c r="E70" s="58"/>
      <c r="F70" s="58"/>
      <c r="G70" s="180"/>
      <c r="H70" s="180"/>
      <c r="I70" s="180"/>
      <c r="J70" s="180"/>
      <c r="K70" s="180"/>
      <c r="L70" s="180"/>
      <c r="M70" s="180"/>
    </row>
    <row r="71" spans="1:13" s="55" customFormat="1" ht="20.25" x14ac:dyDescent="0.2">
      <c r="A71" s="58"/>
      <c r="B71" s="58"/>
      <c r="C71" s="58"/>
      <c r="D71" s="58"/>
      <c r="E71" s="58"/>
      <c r="F71" s="58"/>
      <c r="G71" s="180"/>
      <c r="H71" s="180"/>
      <c r="I71" s="180"/>
      <c r="J71" s="180"/>
      <c r="K71" s="180"/>
      <c r="L71" s="180"/>
      <c r="M71" s="180"/>
    </row>
    <row r="72" spans="1:13" s="55" customFormat="1" ht="20.25" x14ac:dyDescent="0.2">
      <c r="A72" s="58"/>
      <c r="B72" s="58"/>
      <c r="C72" s="54"/>
      <c r="D72" s="58"/>
      <c r="F72" s="58"/>
      <c r="G72" s="180"/>
      <c r="H72" s="180"/>
      <c r="I72" s="180"/>
      <c r="J72" s="180"/>
      <c r="K72" s="180"/>
      <c r="L72" s="180"/>
      <c r="M72" s="180"/>
    </row>
    <row r="73" spans="1:13" s="55" customFormat="1" ht="20.25" x14ac:dyDescent="0.2">
      <c r="A73" s="58"/>
      <c r="B73" s="58"/>
      <c r="C73" s="58"/>
      <c r="D73" s="58"/>
      <c r="E73" s="58"/>
      <c r="F73" s="58"/>
      <c r="G73" s="180"/>
      <c r="H73" s="180"/>
      <c r="I73" s="180"/>
      <c r="J73" s="180"/>
      <c r="K73" s="180"/>
      <c r="L73" s="180"/>
      <c r="M73" s="180"/>
    </row>
    <row r="74" spans="1:13" s="55" customFormat="1" ht="20.25" x14ac:dyDescent="0.2">
      <c r="A74" s="54"/>
      <c r="B74" s="54"/>
      <c r="C74" s="54"/>
      <c r="D74" s="54"/>
      <c r="E74" s="54"/>
      <c r="F74" s="54"/>
      <c r="G74" s="183"/>
      <c r="H74" s="183"/>
      <c r="I74" s="183"/>
      <c r="J74" s="183"/>
      <c r="K74" s="183"/>
      <c r="L74" s="183"/>
      <c r="M74" s="183"/>
    </row>
    <row r="75" spans="1:13" s="55" customFormat="1" ht="20.25" x14ac:dyDescent="0.2">
      <c r="A75" s="54"/>
      <c r="B75" s="54"/>
      <c r="C75" s="54"/>
      <c r="D75" s="54"/>
      <c r="E75" s="54"/>
      <c r="F75" s="54"/>
      <c r="G75" s="183"/>
      <c r="H75" s="183"/>
      <c r="I75" s="183"/>
      <c r="J75" s="183"/>
      <c r="K75" s="183"/>
      <c r="L75" s="183"/>
      <c r="M75" s="183"/>
    </row>
    <row r="76" spans="1:13" s="55" customFormat="1" ht="23.25" x14ac:dyDescent="0.2">
      <c r="A76" s="54"/>
      <c r="B76" s="209"/>
      <c r="C76" s="54"/>
      <c r="D76" s="54"/>
      <c r="E76" s="54"/>
      <c r="F76" s="54"/>
      <c r="G76" s="180"/>
      <c r="H76" s="180"/>
      <c r="I76" s="180"/>
      <c r="J76" s="180"/>
      <c r="K76" s="180"/>
      <c r="L76" s="180"/>
      <c r="M76" s="180"/>
    </row>
    <row r="77" spans="1:13" s="55" customFormat="1" ht="20.25" x14ac:dyDescent="0.2">
      <c r="A77" s="58"/>
      <c r="B77" s="58"/>
      <c r="D77" s="58"/>
      <c r="E77" s="58"/>
      <c r="F77" s="58"/>
      <c r="G77" s="180"/>
      <c r="H77" s="180"/>
      <c r="I77" s="180"/>
      <c r="J77" s="180"/>
      <c r="K77" s="180"/>
      <c r="L77" s="180"/>
      <c r="M77" s="180"/>
    </row>
    <row r="78" spans="1:13" s="55" customFormat="1" ht="20.25" x14ac:dyDescent="0.2">
      <c r="A78" s="58"/>
      <c r="B78" s="58"/>
      <c r="D78" s="58"/>
      <c r="E78" s="58"/>
      <c r="F78" s="58"/>
      <c r="G78" s="180"/>
      <c r="H78" s="180"/>
      <c r="I78" s="180"/>
      <c r="J78" s="180"/>
      <c r="K78" s="180"/>
      <c r="L78" s="180"/>
      <c r="M78" s="180"/>
    </row>
    <row r="79" spans="1:13" s="55" customFormat="1" ht="20.25" x14ac:dyDescent="0.2">
      <c r="A79" s="54"/>
      <c r="B79" s="54"/>
      <c r="D79" s="58"/>
      <c r="E79" s="54"/>
      <c r="F79" s="54"/>
      <c r="G79" s="180"/>
      <c r="H79" s="180"/>
      <c r="I79" s="180"/>
      <c r="J79" s="180"/>
      <c r="K79" s="180"/>
      <c r="L79" s="180"/>
      <c r="M79" s="180"/>
    </row>
    <row r="80" spans="1:13" s="55" customFormat="1" ht="23.25" x14ac:dyDescent="0.2">
      <c r="A80" s="54"/>
      <c r="B80" s="209"/>
      <c r="C80" s="54"/>
      <c r="D80" s="54"/>
      <c r="E80" s="54"/>
      <c r="F80" s="54"/>
      <c r="G80" s="183"/>
      <c r="H80" s="183"/>
      <c r="I80" s="183"/>
      <c r="J80" s="183"/>
      <c r="K80" s="183"/>
      <c r="L80" s="183"/>
      <c r="M80" s="183"/>
    </row>
    <row r="81" spans="1:13" s="55" customFormat="1" ht="20.25" x14ac:dyDescent="0.2">
      <c r="A81" s="54"/>
      <c r="B81" s="54"/>
      <c r="C81" s="54"/>
      <c r="D81" s="54"/>
      <c r="E81" s="54"/>
      <c r="F81" s="54"/>
      <c r="G81" s="180"/>
      <c r="H81" s="180"/>
      <c r="I81" s="180"/>
      <c r="J81" s="180"/>
      <c r="K81" s="180"/>
      <c r="L81" s="180"/>
      <c r="M81" s="180"/>
    </row>
    <row r="82" spans="1:13" s="62" customFormat="1" ht="26.25" x14ac:dyDescent="0.2">
      <c r="A82" s="206"/>
      <c r="B82" s="206"/>
      <c r="C82" s="206"/>
      <c r="D82" s="206"/>
      <c r="E82" s="206"/>
      <c r="F82" s="206"/>
      <c r="G82" s="207"/>
      <c r="H82" s="183"/>
      <c r="I82" s="183"/>
      <c r="J82" s="183"/>
      <c r="K82" s="183"/>
      <c r="L82" s="183"/>
      <c r="M82" s="183"/>
    </row>
    <row r="83" spans="1:13" ht="20.25" x14ac:dyDescent="0.3">
      <c r="H83" s="214"/>
      <c r="I83" s="214"/>
      <c r="J83" s="214"/>
      <c r="K83" s="214"/>
      <c r="L83" s="214"/>
      <c r="M83" s="214"/>
    </row>
    <row r="84" spans="1:13" ht="20.25" x14ac:dyDescent="0.3">
      <c r="H84" s="214"/>
      <c r="I84" s="214"/>
      <c r="J84" s="214"/>
      <c r="K84" s="214"/>
      <c r="L84" s="214"/>
      <c r="M84" s="214"/>
    </row>
    <row r="85" spans="1:13" ht="20.25" x14ac:dyDescent="0.3">
      <c r="H85" s="214"/>
      <c r="I85" s="214"/>
      <c r="J85" s="214"/>
      <c r="K85" s="214"/>
      <c r="L85" s="214"/>
      <c r="M85" s="214"/>
    </row>
    <row r="86" spans="1:13" ht="20.25" x14ac:dyDescent="0.3">
      <c r="H86" s="211"/>
      <c r="I86" s="211"/>
      <c r="J86" s="211"/>
      <c r="K86" s="211"/>
      <c r="L86" s="211"/>
      <c r="M86" s="211"/>
    </row>
  </sheetData>
  <mergeCells count="11">
    <mergeCell ref="J6:M6"/>
    <mergeCell ref="C23:F23"/>
    <mergeCell ref="D33:F33"/>
    <mergeCell ref="O8:P8"/>
    <mergeCell ref="D37:F37"/>
    <mergeCell ref="D59:F59"/>
    <mergeCell ref="D38:F38"/>
    <mergeCell ref="D39:F39"/>
    <mergeCell ref="D40:F40"/>
    <mergeCell ref="D34:F34"/>
    <mergeCell ref="D35:F35"/>
  </mergeCells>
  <pageMargins left="0.2" right="0.2" top="0.25" bottom="0.5" header="0.3" footer="0.3"/>
  <pageSetup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78"/>
  <sheetViews>
    <sheetView topLeftCell="A25" zoomScale="75" zoomScaleNormal="75" workbookViewId="0">
      <selection activeCell="M10" sqref="M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77"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9.75" bestFit="1" customWidth="1"/>
    <col min="16" max="16" width="15" customWidth="1"/>
    <col min="17" max="17" width="16.875" bestFit="1" customWidth="1"/>
    <col min="18" max="18" width="10" bestFit="1" customWidth="1"/>
    <col min="254" max="254" width="2.875" customWidth="1"/>
    <col min="255" max="255" width="8.125" customWidth="1"/>
    <col min="256" max="256" width="8.75" customWidth="1"/>
    <col min="257" max="257" width="11" customWidth="1"/>
    <col min="258" max="258" width="2.875" customWidth="1"/>
    <col min="259" max="259" width="77.625" customWidth="1"/>
    <col min="260" max="260" width="20.875" customWidth="1"/>
    <col min="510" max="510" width="2.875" customWidth="1"/>
    <col min="511" max="511" width="8.125" customWidth="1"/>
    <col min="512" max="512" width="8.75" customWidth="1"/>
    <col min="513" max="513" width="11" customWidth="1"/>
    <col min="514" max="514" width="2.875" customWidth="1"/>
    <col min="515" max="515" width="77.625" customWidth="1"/>
    <col min="516" max="516" width="20.875" customWidth="1"/>
    <col min="766" max="766" width="2.875" customWidth="1"/>
    <col min="767" max="767" width="8.125" customWidth="1"/>
    <col min="768" max="768" width="8.75" customWidth="1"/>
    <col min="769" max="769" width="11" customWidth="1"/>
    <col min="770" max="770" width="2.875" customWidth="1"/>
    <col min="771" max="771" width="77.625" customWidth="1"/>
    <col min="772" max="772" width="20.875" customWidth="1"/>
    <col min="1022" max="1022" width="2.875" customWidth="1"/>
    <col min="1023" max="1023" width="8.125" customWidth="1"/>
    <col min="1024" max="1024" width="8.75" customWidth="1"/>
    <col min="1025" max="1025" width="11" customWidth="1"/>
    <col min="1026" max="1026" width="2.875" customWidth="1"/>
    <col min="1027" max="1027" width="77.625" customWidth="1"/>
    <col min="1028" max="1028" width="20.875" customWidth="1"/>
    <col min="1278" max="1278" width="2.875" customWidth="1"/>
    <col min="1279" max="1279" width="8.125" customWidth="1"/>
    <col min="1280" max="1280" width="8.75" customWidth="1"/>
    <col min="1281" max="1281" width="11" customWidth="1"/>
    <col min="1282" max="1282" width="2.875" customWidth="1"/>
    <col min="1283" max="1283" width="77.625" customWidth="1"/>
    <col min="1284" max="1284" width="20.875" customWidth="1"/>
    <col min="1534" max="1534" width="2.875" customWidth="1"/>
    <col min="1535" max="1535" width="8.125" customWidth="1"/>
    <col min="1536" max="1536" width="8.75" customWidth="1"/>
    <col min="1537" max="1537" width="11" customWidth="1"/>
    <col min="1538" max="1538" width="2.875" customWidth="1"/>
    <col min="1539" max="1539" width="77.625" customWidth="1"/>
    <col min="1540" max="1540" width="20.875" customWidth="1"/>
    <col min="1790" max="1790" width="2.875" customWidth="1"/>
    <col min="1791" max="1791" width="8.125" customWidth="1"/>
    <col min="1792" max="1792" width="8.75" customWidth="1"/>
    <col min="1793" max="1793" width="11" customWidth="1"/>
    <col min="1794" max="1794" width="2.875" customWidth="1"/>
    <col min="1795" max="1795" width="77.625" customWidth="1"/>
    <col min="1796" max="1796" width="20.875" customWidth="1"/>
    <col min="2046" max="2046" width="2.875" customWidth="1"/>
    <col min="2047" max="2047" width="8.125" customWidth="1"/>
    <col min="2048" max="2048" width="8.75" customWidth="1"/>
    <col min="2049" max="2049" width="11" customWidth="1"/>
    <col min="2050" max="2050" width="2.875" customWidth="1"/>
    <col min="2051" max="2051" width="77.625" customWidth="1"/>
    <col min="2052" max="2052" width="20.875" customWidth="1"/>
    <col min="2302" max="2302" width="2.875" customWidth="1"/>
    <col min="2303" max="2303" width="8.125" customWidth="1"/>
    <col min="2304" max="2304" width="8.75" customWidth="1"/>
    <col min="2305" max="2305" width="11" customWidth="1"/>
    <col min="2306" max="2306" width="2.875" customWidth="1"/>
    <col min="2307" max="2307" width="77.625" customWidth="1"/>
    <col min="2308" max="2308" width="20.875" customWidth="1"/>
    <col min="2558" max="2558" width="2.875" customWidth="1"/>
    <col min="2559" max="2559" width="8.125" customWidth="1"/>
    <col min="2560" max="2560" width="8.75" customWidth="1"/>
    <col min="2561" max="2561" width="11" customWidth="1"/>
    <col min="2562" max="2562" width="2.875" customWidth="1"/>
    <col min="2563" max="2563" width="77.625" customWidth="1"/>
    <col min="2564" max="2564" width="20.875" customWidth="1"/>
    <col min="2814" max="2814" width="2.875" customWidth="1"/>
    <col min="2815" max="2815" width="8.125" customWidth="1"/>
    <col min="2816" max="2816" width="8.75" customWidth="1"/>
    <col min="2817" max="2817" width="11" customWidth="1"/>
    <col min="2818" max="2818" width="2.875" customWidth="1"/>
    <col min="2819" max="2819" width="77.625" customWidth="1"/>
    <col min="2820" max="2820" width="20.875" customWidth="1"/>
    <col min="3070" max="3070" width="2.875" customWidth="1"/>
    <col min="3071" max="3071" width="8.125" customWidth="1"/>
    <col min="3072" max="3072" width="8.75" customWidth="1"/>
    <col min="3073" max="3073" width="11" customWidth="1"/>
    <col min="3074" max="3074" width="2.875" customWidth="1"/>
    <col min="3075" max="3075" width="77.625" customWidth="1"/>
    <col min="3076" max="3076" width="20.875" customWidth="1"/>
    <col min="3326" max="3326" width="2.875" customWidth="1"/>
    <col min="3327" max="3327" width="8.125" customWidth="1"/>
    <col min="3328" max="3328" width="8.75" customWidth="1"/>
    <col min="3329" max="3329" width="11" customWidth="1"/>
    <col min="3330" max="3330" width="2.875" customWidth="1"/>
    <col min="3331" max="3331" width="77.625" customWidth="1"/>
    <col min="3332" max="3332" width="20.875" customWidth="1"/>
    <col min="3582" max="3582" width="2.875" customWidth="1"/>
    <col min="3583" max="3583" width="8.125" customWidth="1"/>
    <col min="3584" max="3584" width="8.75" customWidth="1"/>
    <col min="3585" max="3585" width="11" customWidth="1"/>
    <col min="3586" max="3586" width="2.875" customWidth="1"/>
    <col min="3587" max="3587" width="77.625" customWidth="1"/>
    <col min="3588" max="3588" width="20.875" customWidth="1"/>
    <col min="3838" max="3838" width="2.875" customWidth="1"/>
    <col min="3839" max="3839" width="8.125" customWidth="1"/>
    <col min="3840" max="3840" width="8.75" customWidth="1"/>
    <col min="3841" max="3841" width="11" customWidth="1"/>
    <col min="3842" max="3842" width="2.875" customWidth="1"/>
    <col min="3843" max="3843" width="77.625" customWidth="1"/>
    <col min="3844" max="3844" width="20.875" customWidth="1"/>
    <col min="4094" max="4094" width="2.875" customWidth="1"/>
    <col min="4095" max="4095" width="8.125" customWidth="1"/>
    <col min="4096" max="4096" width="8.75" customWidth="1"/>
    <col min="4097" max="4097" width="11" customWidth="1"/>
    <col min="4098" max="4098" width="2.875" customWidth="1"/>
    <col min="4099" max="4099" width="77.625" customWidth="1"/>
    <col min="4100" max="4100" width="20.875" customWidth="1"/>
    <col min="4350" max="4350" width="2.875" customWidth="1"/>
    <col min="4351" max="4351" width="8.125" customWidth="1"/>
    <col min="4352" max="4352" width="8.75" customWidth="1"/>
    <col min="4353" max="4353" width="11" customWidth="1"/>
    <col min="4354" max="4354" width="2.875" customWidth="1"/>
    <col min="4355" max="4355" width="77.625" customWidth="1"/>
    <col min="4356" max="4356" width="20.875" customWidth="1"/>
    <col min="4606" max="4606" width="2.875" customWidth="1"/>
    <col min="4607" max="4607" width="8.125" customWidth="1"/>
    <col min="4608" max="4608" width="8.75" customWidth="1"/>
    <col min="4609" max="4609" width="11" customWidth="1"/>
    <col min="4610" max="4610" width="2.875" customWidth="1"/>
    <col min="4611" max="4611" width="77.625" customWidth="1"/>
    <col min="4612" max="4612" width="20.875" customWidth="1"/>
    <col min="4862" max="4862" width="2.875" customWidth="1"/>
    <col min="4863" max="4863" width="8.125" customWidth="1"/>
    <col min="4864" max="4864" width="8.75" customWidth="1"/>
    <col min="4865" max="4865" width="11" customWidth="1"/>
    <col min="4866" max="4866" width="2.875" customWidth="1"/>
    <col min="4867" max="4867" width="77.625" customWidth="1"/>
    <col min="4868" max="4868" width="20.875" customWidth="1"/>
    <col min="5118" max="5118" width="2.875" customWidth="1"/>
    <col min="5119" max="5119" width="8.125" customWidth="1"/>
    <col min="5120" max="5120" width="8.75" customWidth="1"/>
    <col min="5121" max="5121" width="11" customWidth="1"/>
    <col min="5122" max="5122" width="2.875" customWidth="1"/>
    <col min="5123" max="5123" width="77.625" customWidth="1"/>
    <col min="5124" max="5124" width="20.875" customWidth="1"/>
    <col min="5374" max="5374" width="2.875" customWidth="1"/>
    <col min="5375" max="5375" width="8.125" customWidth="1"/>
    <col min="5376" max="5376" width="8.75" customWidth="1"/>
    <col min="5377" max="5377" width="11" customWidth="1"/>
    <col min="5378" max="5378" width="2.875" customWidth="1"/>
    <col min="5379" max="5379" width="77.625" customWidth="1"/>
    <col min="5380" max="5380" width="20.875" customWidth="1"/>
    <col min="5630" max="5630" width="2.875" customWidth="1"/>
    <col min="5631" max="5631" width="8.125" customWidth="1"/>
    <col min="5632" max="5632" width="8.75" customWidth="1"/>
    <col min="5633" max="5633" width="11" customWidth="1"/>
    <col min="5634" max="5634" width="2.875" customWidth="1"/>
    <col min="5635" max="5635" width="77.625" customWidth="1"/>
    <col min="5636" max="5636" width="20.875" customWidth="1"/>
    <col min="5886" max="5886" width="2.875" customWidth="1"/>
    <col min="5887" max="5887" width="8.125" customWidth="1"/>
    <col min="5888" max="5888" width="8.75" customWidth="1"/>
    <col min="5889" max="5889" width="11" customWidth="1"/>
    <col min="5890" max="5890" width="2.875" customWidth="1"/>
    <col min="5891" max="5891" width="77.625" customWidth="1"/>
    <col min="5892" max="5892" width="20.875" customWidth="1"/>
    <col min="6142" max="6142" width="2.875" customWidth="1"/>
    <col min="6143" max="6143" width="8.125" customWidth="1"/>
    <col min="6144" max="6144" width="8.75" customWidth="1"/>
    <col min="6145" max="6145" width="11" customWidth="1"/>
    <col min="6146" max="6146" width="2.875" customWidth="1"/>
    <col min="6147" max="6147" width="77.625" customWidth="1"/>
    <col min="6148" max="6148" width="20.875" customWidth="1"/>
    <col min="6398" max="6398" width="2.875" customWidth="1"/>
    <col min="6399" max="6399" width="8.125" customWidth="1"/>
    <col min="6400" max="6400" width="8.75" customWidth="1"/>
    <col min="6401" max="6401" width="11" customWidth="1"/>
    <col min="6402" max="6402" width="2.875" customWidth="1"/>
    <col min="6403" max="6403" width="77.625" customWidth="1"/>
    <col min="6404" max="6404" width="20.875" customWidth="1"/>
    <col min="6654" max="6654" width="2.875" customWidth="1"/>
    <col min="6655" max="6655" width="8.125" customWidth="1"/>
    <col min="6656" max="6656" width="8.75" customWidth="1"/>
    <col min="6657" max="6657" width="11" customWidth="1"/>
    <col min="6658" max="6658" width="2.875" customWidth="1"/>
    <col min="6659" max="6659" width="77.625" customWidth="1"/>
    <col min="6660" max="6660" width="20.875" customWidth="1"/>
    <col min="6910" max="6910" width="2.875" customWidth="1"/>
    <col min="6911" max="6911" width="8.125" customWidth="1"/>
    <col min="6912" max="6912" width="8.75" customWidth="1"/>
    <col min="6913" max="6913" width="11" customWidth="1"/>
    <col min="6914" max="6914" width="2.875" customWidth="1"/>
    <col min="6915" max="6915" width="77.625" customWidth="1"/>
    <col min="6916" max="6916" width="20.875" customWidth="1"/>
    <col min="7166" max="7166" width="2.875" customWidth="1"/>
    <col min="7167" max="7167" width="8.125" customWidth="1"/>
    <col min="7168" max="7168" width="8.75" customWidth="1"/>
    <col min="7169" max="7169" width="11" customWidth="1"/>
    <col min="7170" max="7170" width="2.875" customWidth="1"/>
    <col min="7171" max="7171" width="77.625" customWidth="1"/>
    <col min="7172" max="7172" width="20.875" customWidth="1"/>
    <col min="7422" max="7422" width="2.875" customWidth="1"/>
    <col min="7423" max="7423" width="8.125" customWidth="1"/>
    <col min="7424" max="7424" width="8.75" customWidth="1"/>
    <col min="7425" max="7425" width="11" customWidth="1"/>
    <col min="7426" max="7426" width="2.875" customWidth="1"/>
    <col min="7427" max="7427" width="77.625" customWidth="1"/>
    <col min="7428" max="7428" width="20.875" customWidth="1"/>
    <col min="7678" max="7678" width="2.875" customWidth="1"/>
    <col min="7679" max="7679" width="8.125" customWidth="1"/>
    <col min="7680" max="7680" width="8.75" customWidth="1"/>
    <col min="7681" max="7681" width="11" customWidth="1"/>
    <col min="7682" max="7682" width="2.875" customWidth="1"/>
    <col min="7683" max="7683" width="77.625" customWidth="1"/>
    <col min="7684" max="7684" width="20.875" customWidth="1"/>
    <col min="7934" max="7934" width="2.875" customWidth="1"/>
    <col min="7935" max="7935" width="8.125" customWidth="1"/>
    <col min="7936" max="7936" width="8.75" customWidth="1"/>
    <col min="7937" max="7937" width="11" customWidth="1"/>
    <col min="7938" max="7938" width="2.875" customWidth="1"/>
    <col min="7939" max="7939" width="77.625" customWidth="1"/>
    <col min="7940" max="7940" width="20.875" customWidth="1"/>
    <col min="8190" max="8190" width="2.875" customWidth="1"/>
    <col min="8191" max="8191" width="8.125" customWidth="1"/>
    <col min="8192" max="8192" width="8.75" customWidth="1"/>
    <col min="8193" max="8193" width="11" customWidth="1"/>
    <col min="8194" max="8194" width="2.875" customWidth="1"/>
    <col min="8195" max="8195" width="77.625" customWidth="1"/>
    <col min="8196" max="8196" width="20.875" customWidth="1"/>
    <col min="8446" max="8446" width="2.875" customWidth="1"/>
    <col min="8447" max="8447" width="8.125" customWidth="1"/>
    <col min="8448" max="8448" width="8.75" customWidth="1"/>
    <col min="8449" max="8449" width="11" customWidth="1"/>
    <col min="8450" max="8450" width="2.875" customWidth="1"/>
    <col min="8451" max="8451" width="77.625" customWidth="1"/>
    <col min="8452" max="8452" width="20.875" customWidth="1"/>
    <col min="8702" max="8702" width="2.875" customWidth="1"/>
    <col min="8703" max="8703" width="8.125" customWidth="1"/>
    <col min="8704" max="8704" width="8.75" customWidth="1"/>
    <col min="8705" max="8705" width="11" customWidth="1"/>
    <col min="8706" max="8706" width="2.875" customWidth="1"/>
    <col min="8707" max="8707" width="77.625" customWidth="1"/>
    <col min="8708" max="8708" width="20.875" customWidth="1"/>
    <col min="8958" max="8958" width="2.875" customWidth="1"/>
    <col min="8959" max="8959" width="8.125" customWidth="1"/>
    <col min="8960" max="8960" width="8.75" customWidth="1"/>
    <col min="8961" max="8961" width="11" customWidth="1"/>
    <col min="8962" max="8962" width="2.875" customWidth="1"/>
    <col min="8963" max="8963" width="77.625" customWidth="1"/>
    <col min="8964" max="8964" width="20.875" customWidth="1"/>
    <col min="9214" max="9214" width="2.875" customWidth="1"/>
    <col min="9215" max="9215" width="8.125" customWidth="1"/>
    <col min="9216" max="9216" width="8.75" customWidth="1"/>
    <col min="9217" max="9217" width="11" customWidth="1"/>
    <col min="9218" max="9218" width="2.875" customWidth="1"/>
    <col min="9219" max="9219" width="77.625" customWidth="1"/>
    <col min="9220" max="9220" width="20.875" customWidth="1"/>
    <col min="9470" max="9470" width="2.875" customWidth="1"/>
    <col min="9471" max="9471" width="8.125" customWidth="1"/>
    <col min="9472" max="9472" width="8.75" customWidth="1"/>
    <col min="9473" max="9473" width="11" customWidth="1"/>
    <col min="9474" max="9474" width="2.875" customWidth="1"/>
    <col min="9475" max="9475" width="77.625" customWidth="1"/>
    <col min="9476" max="9476" width="20.875" customWidth="1"/>
    <col min="9726" max="9726" width="2.875" customWidth="1"/>
    <col min="9727" max="9727" width="8.125" customWidth="1"/>
    <col min="9728" max="9728" width="8.75" customWidth="1"/>
    <col min="9729" max="9729" width="11" customWidth="1"/>
    <col min="9730" max="9730" width="2.875" customWidth="1"/>
    <col min="9731" max="9731" width="77.625" customWidth="1"/>
    <col min="9732" max="9732" width="20.875" customWidth="1"/>
    <col min="9982" max="9982" width="2.875" customWidth="1"/>
    <col min="9983" max="9983" width="8.125" customWidth="1"/>
    <col min="9984" max="9984" width="8.75" customWidth="1"/>
    <col min="9985" max="9985" width="11" customWidth="1"/>
    <col min="9986" max="9986" width="2.875" customWidth="1"/>
    <col min="9987" max="9987" width="77.625" customWidth="1"/>
    <col min="9988" max="9988" width="20.875" customWidth="1"/>
    <col min="10238" max="10238" width="2.875" customWidth="1"/>
    <col min="10239" max="10239" width="8.125" customWidth="1"/>
    <col min="10240" max="10240" width="8.75" customWidth="1"/>
    <col min="10241" max="10241" width="11" customWidth="1"/>
    <col min="10242" max="10242" width="2.875" customWidth="1"/>
    <col min="10243" max="10243" width="77.625" customWidth="1"/>
    <col min="10244" max="10244" width="20.875" customWidth="1"/>
    <col min="10494" max="10494" width="2.875" customWidth="1"/>
    <col min="10495" max="10495" width="8.125" customWidth="1"/>
    <col min="10496" max="10496" width="8.75" customWidth="1"/>
    <col min="10497" max="10497" width="11" customWidth="1"/>
    <col min="10498" max="10498" width="2.875" customWidth="1"/>
    <col min="10499" max="10499" width="77.625" customWidth="1"/>
    <col min="10500" max="10500" width="20.875" customWidth="1"/>
    <col min="10750" max="10750" width="2.875" customWidth="1"/>
    <col min="10751" max="10751" width="8.125" customWidth="1"/>
    <col min="10752" max="10752" width="8.75" customWidth="1"/>
    <col min="10753" max="10753" width="11" customWidth="1"/>
    <col min="10754" max="10754" width="2.875" customWidth="1"/>
    <col min="10755" max="10755" width="77.625" customWidth="1"/>
    <col min="10756" max="10756" width="20.875" customWidth="1"/>
    <col min="11006" max="11006" width="2.875" customWidth="1"/>
    <col min="11007" max="11007" width="8.125" customWidth="1"/>
    <col min="11008" max="11008" width="8.75" customWidth="1"/>
    <col min="11009" max="11009" width="11" customWidth="1"/>
    <col min="11010" max="11010" width="2.875" customWidth="1"/>
    <col min="11011" max="11011" width="77.625" customWidth="1"/>
    <col min="11012" max="11012" width="20.875" customWidth="1"/>
    <col min="11262" max="11262" width="2.875" customWidth="1"/>
    <col min="11263" max="11263" width="8.125" customWidth="1"/>
    <col min="11264" max="11264" width="8.75" customWidth="1"/>
    <col min="11265" max="11265" width="11" customWidth="1"/>
    <col min="11266" max="11266" width="2.875" customWidth="1"/>
    <col min="11267" max="11267" width="77.625" customWidth="1"/>
    <col min="11268" max="11268" width="20.875" customWidth="1"/>
    <col min="11518" max="11518" width="2.875" customWidth="1"/>
    <col min="11519" max="11519" width="8.125" customWidth="1"/>
    <col min="11520" max="11520" width="8.75" customWidth="1"/>
    <col min="11521" max="11521" width="11" customWidth="1"/>
    <col min="11522" max="11522" width="2.875" customWidth="1"/>
    <col min="11523" max="11523" width="77.625" customWidth="1"/>
    <col min="11524" max="11524" width="20.875" customWidth="1"/>
    <col min="11774" max="11774" width="2.875" customWidth="1"/>
    <col min="11775" max="11775" width="8.125" customWidth="1"/>
    <col min="11776" max="11776" width="8.75" customWidth="1"/>
    <col min="11777" max="11777" width="11" customWidth="1"/>
    <col min="11778" max="11778" width="2.875" customWidth="1"/>
    <col min="11779" max="11779" width="77.625" customWidth="1"/>
    <col min="11780" max="11780" width="20.875" customWidth="1"/>
    <col min="12030" max="12030" width="2.875" customWidth="1"/>
    <col min="12031" max="12031" width="8.125" customWidth="1"/>
    <col min="12032" max="12032" width="8.75" customWidth="1"/>
    <col min="12033" max="12033" width="11" customWidth="1"/>
    <col min="12034" max="12034" width="2.875" customWidth="1"/>
    <col min="12035" max="12035" width="77.625" customWidth="1"/>
    <col min="12036" max="12036" width="20.875" customWidth="1"/>
    <col min="12286" max="12286" width="2.875" customWidth="1"/>
    <col min="12287" max="12287" width="8.125" customWidth="1"/>
    <col min="12288" max="12288" width="8.75" customWidth="1"/>
    <col min="12289" max="12289" width="11" customWidth="1"/>
    <col min="12290" max="12290" width="2.875" customWidth="1"/>
    <col min="12291" max="12291" width="77.625" customWidth="1"/>
    <col min="12292" max="12292" width="20.875" customWidth="1"/>
    <col min="12542" max="12542" width="2.875" customWidth="1"/>
    <col min="12543" max="12543" width="8.125" customWidth="1"/>
    <col min="12544" max="12544" width="8.75" customWidth="1"/>
    <col min="12545" max="12545" width="11" customWidth="1"/>
    <col min="12546" max="12546" width="2.875" customWidth="1"/>
    <col min="12547" max="12547" width="77.625" customWidth="1"/>
    <col min="12548" max="12548" width="20.875" customWidth="1"/>
    <col min="12798" max="12798" width="2.875" customWidth="1"/>
    <col min="12799" max="12799" width="8.125" customWidth="1"/>
    <col min="12800" max="12800" width="8.75" customWidth="1"/>
    <col min="12801" max="12801" width="11" customWidth="1"/>
    <col min="12802" max="12802" width="2.875" customWidth="1"/>
    <col min="12803" max="12803" width="77.625" customWidth="1"/>
    <col min="12804" max="12804" width="20.875" customWidth="1"/>
    <col min="13054" max="13054" width="2.875" customWidth="1"/>
    <col min="13055" max="13055" width="8.125" customWidth="1"/>
    <col min="13056" max="13056" width="8.75" customWidth="1"/>
    <col min="13057" max="13057" width="11" customWidth="1"/>
    <col min="13058" max="13058" width="2.875" customWidth="1"/>
    <col min="13059" max="13059" width="77.625" customWidth="1"/>
    <col min="13060" max="13060" width="20.875" customWidth="1"/>
    <col min="13310" max="13310" width="2.875" customWidth="1"/>
    <col min="13311" max="13311" width="8.125" customWidth="1"/>
    <col min="13312" max="13312" width="8.75" customWidth="1"/>
    <col min="13313" max="13313" width="11" customWidth="1"/>
    <col min="13314" max="13314" width="2.875" customWidth="1"/>
    <col min="13315" max="13315" width="77.625" customWidth="1"/>
    <col min="13316" max="13316" width="20.875" customWidth="1"/>
    <col min="13566" max="13566" width="2.875" customWidth="1"/>
    <col min="13567" max="13567" width="8.125" customWidth="1"/>
    <col min="13568" max="13568" width="8.75" customWidth="1"/>
    <col min="13569" max="13569" width="11" customWidth="1"/>
    <col min="13570" max="13570" width="2.875" customWidth="1"/>
    <col min="13571" max="13571" width="77.625" customWidth="1"/>
    <col min="13572" max="13572" width="20.875" customWidth="1"/>
    <col min="13822" max="13822" width="2.875" customWidth="1"/>
    <col min="13823" max="13823" width="8.125" customWidth="1"/>
    <col min="13824" max="13824" width="8.75" customWidth="1"/>
    <col min="13825" max="13825" width="11" customWidth="1"/>
    <col min="13826" max="13826" width="2.875" customWidth="1"/>
    <col min="13827" max="13827" width="77.625" customWidth="1"/>
    <col min="13828" max="13828" width="20.875" customWidth="1"/>
    <col min="14078" max="14078" width="2.875" customWidth="1"/>
    <col min="14079" max="14079" width="8.125" customWidth="1"/>
    <col min="14080" max="14080" width="8.75" customWidth="1"/>
    <col min="14081" max="14081" width="11" customWidth="1"/>
    <col min="14082" max="14082" width="2.875" customWidth="1"/>
    <col min="14083" max="14083" width="77.625" customWidth="1"/>
    <col min="14084" max="14084" width="20.875" customWidth="1"/>
    <col min="14334" max="14334" width="2.875" customWidth="1"/>
    <col min="14335" max="14335" width="8.125" customWidth="1"/>
    <col min="14336" max="14336" width="8.75" customWidth="1"/>
    <col min="14337" max="14337" width="11" customWidth="1"/>
    <col min="14338" max="14338" width="2.875" customWidth="1"/>
    <col min="14339" max="14339" width="77.625" customWidth="1"/>
    <col min="14340" max="14340" width="20.875" customWidth="1"/>
    <col min="14590" max="14590" width="2.875" customWidth="1"/>
    <col min="14591" max="14591" width="8.125" customWidth="1"/>
    <col min="14592" max="14592" width="8.75" customWidth="1"/>
    <col min="14593" max="14593" width="11" customWidth="1"/>
    <col min="14594" max="14594" width="2.875" customWidth="1"/>
    <col min="14595" max="14595" width="77.625" customWidth="1"/>
    <col min="14596" max="14596" width="20.875" customWidth="1"/>
    <col min="14846" max="14846" width="2.875" customWidth="1"/>
    <col min="14847" max="14847" width="8.125" customWidth="1"/>
    <col min="14848" max="14848" width="8.75" customWidth="1"/>
    <col min="14849" max="14849" width="11" customWidth="1"/>
    <col min="14850" max="14850" width="2.875" customWidth="1"/>
    <col min="14851" max="14851" width="77.625" customWidth="1"/>
    <col min="14852" max="14852" width="20.875" customWidth="1"/>
    <col min="15102" max="15102" width="2.875" customWidth="1"/>
    <col min="15103" max="15103" width="8.125" customWidth="1"/>
    <col min="15104" max="15104" width="8.75" customWidth="1"/>
    <col min="15105" max="15105" width="11" customWidth="1"/>
    <col min="15106" max="15106" width="2.875" customWidth="1"/>
    <col min="15107" max="15107" width="77.625" customWidth="1"/>
    <col min="15108" max="15108" width="20.875" customWidth="1"/>
    <col min="15358" max="15358" width="2.875" customWidth="1"/>
    <col min="15359" max="15359" width="8.125" customWidth="1"/>
    <col min="15360" max="15360" width="8.75" customWidth="1"/>
    <col min="15361" max="15361" width="11" customWidth="1"/>
    <col min="15362" max="15362" width="2.875" customWidth="1"/>
    <col min="15363" max="15363" width="77.625" customWidth="1"/>
    <col min="15364" max="15364" width="20.875" customWidth="1"/>
    <col min="15614" max="15614" width="2.875" customWidth="1"/>
    <col min="15615" max="15615" width="8.125" customWidth="1"/>
    <col min="15616" max="15616" width="8.75" customWidth="1"/>
    <col min="15617" max="15617" width="11" customWidth="1"/>
    <col min="15618" max="15618" width="2.875" customWidth="1"/>
    <col min="15619" max="15619" width="77.625" customWidth="1"/>
    <col min="15620" max="15620" width="20.875" customWidth="1"/>
    <col min="15870" max="15870" width="2.875" customWidth="1"/>
    <col min="15871" max="15871" width="8.125" customWidth="1"/>
    <col min="15872" max="15872" width="8.75" customWidth="1"/>
    <col min="15873" max="15873" width="11" customWidth="1"/>
    <col min="15874" max="15874" width="2.875" customWidth="1"/>
    <col min="15875" max="15875" width="77.625" customWidth="1"/>
    <col min="15876" max="15876" width="20.875" customWidth="1"/>
    <col min="16126" max="16126" width="2.875" customWidth="1"/>
    <col min="16127" max="16127" width="8.125" customWidth="1"/>
    <col min="16128" max="16128" width="8.75" customWidth="1"/>
    <col min="16129" max="16129" width="11" customWidth="1"/>
    <col min="16130" max="16130" width="2.875" customWidth="1"/>
    <col min="16131" max="16131" width="77.625" customWidth="1"/>
    <col min="16132" max="16132" width="20.875" customWidth="1"/>
  </cols>
  <sheetData>
    <row r="1" spans="1:60" ht="22.5" customHeight="1" x14ac:dyDescent="0.4">
      <c r="A1" s="46" t="s">
        <v>92</v>
      </c>
      <c r="B1" s="47"/>
      <c r="C1" s="48"/>
      <c r="D1" s="48"/>
      <c r="E1" s="48"/>
      <c r="F1" s="47"/>
      <c r="G1" s="178"/>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60" ht="22.5" customHeight="1" x14ac:dyDescent="0.4">
      <c r="A2" s="46" t="s">
        <v>561</v>
      </c>
      <c r="B2" s="47"/>
      <c r="C2" s="48"/>
      <c r="D2" s="48"/>
      <c r="E2" s="48"/>
      <c r="F2" s="47"/>
      <c r="G2" s="178"/>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60" ht="21.75" customHeight="1" x14ac:dyDescent="0.4">
      <c r="A3" s="46" t="s">
        <v>562</v>
      </c>
      <c r="B3" s="47"/>
      <c r="C3" s="48"/>
      <c r="D3" s="48"/>
      <c r="E3" s="48"/>
      <c r="F3" s="47"/>
      <c r="G3" s="178"/>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60" ht="22.5" customHeight="1" x14ac:dyDescent="0.35">
      <c r="B4" s="47"/>
      <c r="C4" s="48"/>
      <c r="D4" s="48"/>
      <c r="E4" s="48"/>
      <c r="F4" s="47"/>
      <c r="G4" s="178"/>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60" s="50" customFormat="1" ht="8.25" customHeight="1" thickBot="1" x14ac:dyDescent="0.25">
      <c r="A5" s="49"/>
      <c r="B5" s="49"/>
      <c r="C5" s="49"/>
      <c r="D5" s="49"/>
      <c r="E5" s="49"/>
      <c r="F5" s="49"/>
      <c r="G5" s="179"/>
    </row>
    <row r="6" spans="1:60" s="53" customFormat="1" ht="24.75" customHeight="1" thickTop="1" thickBot="1" x14ac:dyDescent="0.25">
      <c r="A6" s="51" t="s">
        <v>106</v>
      </c>
      <c r="B6" s="51"/>
      <c r="C6" s="51"/>
      <c r="D6" s="51"/>
      <c r="E6" s="51"/>
      <c r="F6" s="51"/>
      <c r="G6" s="312"/>
      <c r="H6" s="186" t="s">
        <v>48</v>
      </c>
      <c r="I6" s="186"/>
      <c r="J6" s="801" t="s">
        <v>566</v>
      </c>
      <c r="K6" s="801"/>
      <c r="L6" s="801"/>
      <c r="M6" s="801"/>
      <c r="N6" s="52"/>
      <c r="O6" s="321"/>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row>
    <row r="7" spans="1:60" s="55" customFormat="1" ht="21" customHeight="1" thickTop="1" x14ac:dyDescent="0.2">
      <c r="A7" s="54"/>
      <c r="B7" s="54"/>
      <c r="C7" s="54"/>
      <c r="D7" s="54"/>
      <c r="E7" s="54"/>
      <c r="F7" s="54"/>
      <c r="G7" s="180"/>
      <c r="J7" s="682" t="s">
        <v>556</v>
      </c>
      <c r="K7" s="682" t="s">
        <v>557</v>
      </c>
      <c r="M7" s="682" t="s">
        <v>563</v>
      </c>
    </row>
    <row r="8" spans="1:60" s="55" customFormat="1" ht="21" customHeight="1" x14ac:dyDescent="0.3">
      <c r="A8" s="54"/>
      <c r="B8" s="54"/>
      <c r="C8" s="54"/>
      <c r="D8" s="54"/>
      <c r="E8" s="54"/>
      <c r="F8" s="54"/>
      <c r="G8" s="180"/>
      <c r="J8" s="682" t="s">
        <v>558</v>
      </c>
      <c r="K8" s="682" t="s">
        <v>558</v>
      </c>
      <c r="M8" s="682" t="s">
        <v>564</v>
      </c>
      <c r="O8" s="211" t="s">
        <v>567</v>
      </c>
    </row>
    <row r="9" spans="1:60" ht="21" thickBot="1" x14ac:dyDescent="0.35">
      <c r="A9" s="56"/>
      <c r="B9" s="115" t="s">
        <v>98</v>
      </c>
      <c r="C9" s="115"/>
      <c r="D9" s="115"/>
      <c r="E9" s="115"/>
      <c r="F9" s="115"/>
      <c r="G9" s="217">
        <v>41090</v>
      </c>
      <c r="H9" s="217">
        <v>41274</v>
      </c>
      <c r="I9" s="257"/>
      <c r="J9" s="217" t="s">
        <v>559</v>
      </c>
      <c r="K9" s="517" t="s">
        <v>560</v>
      </c>
      <c r="L9" s="257"/>
      <c r="M9" s="517" t="s">
        <v>565</v>
      </c>
      <c r="O9" s="517" t="s">
        <v>565</v>
      </c>
    </row>
    <row r="10" spans="1:60" s="55" customFormat="1" ht="20.25" x14ac:dyDescent="0.2">
      <c r="A10" s="54"/>
      <c r="B10" s="54"/>
      <c r="C10" s="58" t="s">
        <v>148</v>
      </c>
      <c r="D10" s="58"/>
      <c r="E10" s="58"/>
      <c r="F10" s="54"/>
      <c r="G10" s="180">
        <v>127719</v>
      </c>
      <c r="H10" s="180">
        <v>67566.5</v>
      </c>
      <c r="I10" s="180"/>
      <c r="J10" s="189">
        <f>'August''24 State of Activities'!G10</f>
        <v>119371.07</v>
      </c>
      <c r="K10" s="189">
        <v>54000</v>
      </c>
      <c r="L10" s="189"/>
      <c r="M10" s="681">
        <f>J10+K10</f>
        <v>173371.07</v>
      </c>
      <c r="O10" s="302">
        <v>92000</v>
      </c>
      <c r="Q10" s="307"/>
    </row>
    <row r="11" spans="1:60" s="55" customFormat="1" ht="20.25" x14ac:dyDescent="0.2">
      <c r="A11" s="54"/>
      <c r="B11" s="54"/>
      <c r="C11" s="58" t="s">
        <v>212</v>
      </c>
      <c r="D11" s="58"/>
      <c r="E11" s="58"/>
      <c r="F11" s="54"/>
      <c r="G11" s="189">
        <v>875436</v>
      </c>
      <c r="H11" s="189">
        <v>372424.1</v>
      </c>
      <c r="I11" s="189"/>
      <c r="J11" s="180">
        <v>2148</v>
      </c>
      <c r="K11" s="180">
        <f>4300-J11</f>
        <v>2152</v>
      </c>
      <c r="L11" s="189"/>
      <c r="M11" s="180">
        <f>J11+K11</f>
        <v>4300</v>
      </c>
      <c r="O11" s="390">
        <v>4000</v>
      </c>
      <c r="Q11" s="307"/>
    </row>
    <row r="12" spans="1:60" s="55" customFormat="1" ht="20.25" x14ac:dyDescent="0.2">
      <c r="A12" s="54"/>
      <c r="B12" s="54"/>
      <c r="C12" s="58" t="s">
        <v>100</v>
      </c>
      <c r="D12" s="58"/>
      <c r="E12" s="58"/>
      <c r="F12" s="54"/>
      <c r="G12" s="180"/>
      <c r="H12" s="180"/>
      <c r="I12" s="180"/>
      <c r="J12" s="180"/>
      <c r="K12" s="180"/>
      <c r="L12" s="180"/>
      <c r="M12" s="180"/>
      <c r="O12" s="390"/>
    </row>
    <row r="13" spans="1:60" s="55" customFormat="1" ht="20.25" x14ac:dyDescent="0.2">
      <c r="A13" s="54"/>
      <c r="B13" s="54"/>
      <c r="D13" s="58" t="s">
        <v>213</v>
      </c>
      <c r="E13" s="58"/>
      <c r="F13" s="54"/>
      <c r="G13" s="180">
        <v>94235.25</v>
      </c>
      <c r="H13" s="180">
        <v>37190.379999999997</v>
      </c>
      <c r="I13" s="180"/>
      <c r="J13" s="180">
        <f>'August''24 Revenues &amp; Expenses'!I23</f>
        <v>0</v>
      </c>
      <c r="K13" s="180">
        <f>J13</f>
        <v>0</v>
      </c>
      <c r="L13" s="180"/>
      <c r="M13" s="180">
        <f t="shared" ref="M13:M23" si="0">J13+K13</f>
        <v>0</v>
      </c>
      <c r="O13" s="390">
        <v>47500</v>
      </c>
      <c r="Q13" s="615"/>
      <c r="R13" s="367"/>
      <c r="S13" s="366"/>
      <c r="T13" s="366"/>
    </row>
    <row r="14" spans="1:60" s="55" customFormat="1" ht="20.25" x14ac:dyDescent="0.2">
      <c r="A14" s="54"/>
      <c r="B14" s="54"/>
      <c r="D14" s="58" t="s">
        <v>157</v>
      </c>
      <c r="E14" s="58"/>
      <c r="F14" s="54"/>
      <c r="G14" s="180"/>
      <c r="H14" s="180"/>
      <c r="I14" s="180"/>
      <c r="J14" s="180">
        <f>'August''24 Revenues &amp; Expenses'!I32</f>
        <v>12000</v>
      </c>
      <c r="K14" s="180">
        <f>J14</f>
        <v>12000</v>
      </c>
      <c r="L14" s="180"/>
      <c r="M14" s="180">
        <f t="shared" si="0"/>
        <v>24000</v>
      </c>
      <c r="O14" s="390">
        <v>18000</v>
      </c>
      <c r="R14" s="303"/>
      <c r="S14" s="368"/>
      <c r="T14" s="58"/>
    </row>
    <row r="15" spans="1:60" s="55" customFormat="1" ht="20.25" x14ac:dyDescent="0.2">
      <c r="A15" s="54"/>
      <c r="B15" s="54"/>
      <c r="C15" s="58" t="s">
        <v>101</v>
      </c>
      <c r="D15" s="58"/>
      <c r="E15" s="58"/>
      <c r="F15" s="54"/>
      <c r="G15" s="180">
        <v>0</v>
      </c>
      <c r="H15" s="180">
        <v>3517</v>
      </c>
      <c r="I15" s="180"/>
      <c r="J15" s="180">
        <f>'August''24 State of Activities'!G18</f>
        <v>11786.48</v>
      </c>
      <c r="K15" s="180">
        <v>10000</v>
      </c>
      <c r="L15" s="180"/>
      <c r="M15" s="180">
        <f t="shared" si="0"/>
        <v>21786.48</v>
      </c>
      <c r="O15" s="390">
        <v>20000</v>
      </c>
      <c r="R15" s="303"/>
      <c r="S15" s="368"/>
      <c r="T15" s="290"/>
    </row>
    <row r="16" spans="1:60" s="55" customFormat="1" ht="20.25" x14ac:dyDescent="0.2">
      <c r="A16" s="54"/>
      <c r="B16" s="54"/>
      <c r="C16" s="58" t="s">
        <v>568</v>
      </c>
      <c r="D16" s="58"/>
      <c r="E16" s="58"/>
      <c r="F16" s="54"/>
      <c r="G16" s="180"/>
      <c r="H16" s="180"/>
      <c r="I16" s="180"/>
      <c r="J16" s="180"/>
      <c r="K16" s="180">
        <v>15000</v>
      </c>
      <c r="L16" s="180"/>
      <c r="M16" s="614">
        <f t="shared" si="0"/>
        <v>15000</v>
      </c>
      <c r="O16" s="390"/>
      <c r="R16" s="303"/>
      <c r="S16" s="368"/>
      <c r="T16" s="290"/>
    </row>
    <row r="17" spans="1:20" s="55" customFormat="1" ht="20.25" x14ac:dyDescent="0.2">
      <c r="A17" s="54"/>
      <c r="B17" s="54"/>
      <c r="C17" s="58" t="s">
        <v>214</v>
      </c>
      <c r="D17" s="58"/>
      <c r="E17" s="58"/>
      <c r="F17" s="54"/>
      <c r="G17" s="180">
        <v>31459</v>
      </c>
      <c r="H17" s="180">
        <v>13920.35</v>
      </c>
      <c r="I17" s="180"/>
      <c r="J17" s="180">
        <f>'August''24 Revenues &amp; Expenses'!H48</f>
        <v>0</v>
      </c>
      <c r="K17" s="180">
        <f>27500-J17</f>
        <v>27500</v>
      </c>
      <c r="L17" s="180"/>
      <c r="M17" s="180">
        <f t="shared" si="0"/>
        <v>27500</v>
      </c>
      <c r="O17" s="390">
        <v>27500</v>
      </c>
      <c r="R17" s="303"/>
      <c r="S17" s="368"/>
      <c r="T17" s="290"/>
    </row>
    <row r="18" spans="1:20" s="55" customFormat="1" ht="20.25" x14ac:dyDescent="0.2">
      <c r="A18" s="54"/>
      <c r="B18" s="54"/>
      <c r="C18" s="58" t="s">
        <v>376</v>
      </c>
      <c r="D18" s="58"/>
      <c r="E18" s="58"/>
      <c r="F18" s="54"/>
      <c r="G18" s="180"/>
      <c r="H18" s="180"/>
      <c r="I18" s="180"/>
      <c r="J18" s="180">
        <v>11255.53</v>
      </c>
      <c r="K18" s="180">
        <v>12500</v>
      </c>
      <c r="L18" s="180"/>
      <c r="M18" s="180">
        <f t="shared" si="0"/>
        <v>23755.53</v>
      </c>
      <c r="O18" s="390">
        <v>25000</v>
      </c>
      <c r="R18" s="303"/>
      <c r="S18" s="368"/>
      <c r="T18" s="290"/>
    </row>
    <row r="19" spans="1:20" s="55" customFormat="1" ht="20.25" x14ac:dyDescent="0.2">
      <c r="A19" s="54"/>
      <c r="B19" s="54"/>
      <c r="C19" s="58" t="s">
        <v>388</v>
      </c>
      <c r="D19" s="58"/>
      <c r="E19" s="58"/>
      <c r="F19" s="54"/>
      <c r="G19" s="180"/>
      <c r="H19" s="180"/>
      <c r="I19" s="180"/>
      <c r="J19" s="180">
        <f>4166.67*6</f>
        <v>25000.02</v>
      </c>
      <c r="K19" s="180">
        <f>J19</f>
        <v>25000.02</v>
      </c>
      <c r="L19" s="180"/>
      <c r="M19" s="180">
        <f t="shared" si="0"/>
        <v>50000.04</v>
      </c>
      <c r="O19" s="390">
        <v>50000</v>
      </c>
      <c r="R19" s="303"/>
      <c r="S19" s="368"/>
      <c r="T19" s="290"/>
    </row>
    <row r="20" spans="1:20" s="55" customFormat="1" ht="20.25" x14ac:dyDescent="0.2">
      <c r="A20" s="54"/>
      <c r="B20" s="54"/>
      <c r="C20" s="58" t="s">
        <v>553</v>
      </c>
      <c r="D20" s="58"/>
      <c r="E20" s="58"/>
      <c r="F20" s="54"/>
      <c r="G20" s="180"/>
      <c r="H20" s="180"/>
      <c r="I20" s="180"/>
      <c r="J20" s="180">
        <f>7142.85*1</f>
        <v>7142.85</v>
      </c>
      <c r="K20" s="180">
        <f>50000-J20</f>
        <v>42857.15</v>
      </c>
      <c r="L20" s="180"/>
      <c r="M20" s="614">
        <f t="shared" si="0"/>
        <v>50000</v>
      </c>
      <c r="O20" s="390">
        <v>0</v>
      </c>
      <c r="R20" s="303"/>
      <c r="S20" s="368"/>
      <c r="T20" s="290"/>
    </row>
    <row r="21" spans="1:20" s="55" customFormat="1" ht="20.25" hidden="1" x14ac:dyDescent="0.2">
      <c r="A21" s="54"/>
      <c r="B21" s="54"/>
      <c r="C21" s="58" t="s">
        <v>404</v>
      </c>
      <c r="D21" s="58"/>
      <c r="E21" s="58"/>
      <c r="F21" s="54"/>
      <c r="G21" s="180"/>
      <c r="H21" s="180"/>
      <c r="I21" s="180"/>
      <c r="J21" s="180">
        <v>0</v>
      </c>
      <c r="K21" s="180">
        <v>0</v>
      </c>
      <c r="L21" s="180"/>
      <c r="M21" s="180">
        <f t="shared" si="0"/>
        <v>0</v>
      </c>
      <c r="O21" s="390"/>
      <c r="R21" s="303"/>
      <c r="S21" s="368"/>
      <c r="T21" s="290"/>
    </row>
    <row r="22" spans="1:20" s="55" customFormat="1" ht="20.25" x14ac:dyDescent="0.2">
      <c r="A22" s="54"/>
      <c r="B22" s="54"/>
      <c r="C22" s="58" t="s">
        <v>332</v>
      </c>
      <c r="D22" s="58"/>
      <c r="E22" s="58"/>
      <c r="F22" s="54"/>
      <c r="G22" s="180"/>
      <c r="H22" s="180"/>
      <c r="I22" s="180"/>
      <c r="J22" s="180">
        <v>90</v>
      </c>
      <c r="K22" s="180">
        <v>90</v>
      </c>
      <c r="L22" s="180"/>
      <c r="M22" s="180">
        <f t="shared" si="0"/>
        <v>180</v>
      </c>
      <c r="O22" s="390">
        <v>0</v>
      </c>
      <c r="R22" s="303"/>
      <c r="S22" s="368"/>
      <c r="T22" s="290"/>
    </row>
    <row r="23" spans="1:20" s="55" customFormat="1" ht="20.25" customHeight="1" x14ac:dyDescent="0.2">
      <c r="A23" s="54"/>
      <c r="B23" s="54"/>
      <c r="C23" s="803" t="s">
        <v>554</v>
      </c>
      <c r="D23" s="803"/>
      <c r="E23" s="803"/>
      <c r="F23" s="803"/>
      <c r="G23" s="180"/>
      <c r="H23" s="180"/>
      <c r="I23" s="180"/>
      <c r="J23" s="180">
        <v>529.88</v>
      </c>
      <c r="K23" s="180">
        <v>0</v>
      </c>
      <c r="L23" s="180"/>
      <c r="M23" s="180">
        <f t="shared" si="0"/>
        <v>529.88</v>
      </c>
      <c r="O23" s="390">
        <v>0</v>
      </c>
      <c r="R23" s="303"/>
      <c r="S23" s="368"/>
      <c r="T23" s="290"/>
    </row>
    <row r="24" spans="1:20" s="55" customFormat="1" ht="21" thickBot="1" x14ac:dyDescent="0.25">
      <c r="A24" s="54"/>
      <c r="B24" s="54"/>
      <c r="C24" s="58" t="s">
        <v>215</v>
      </c>
      <c r="D24" s="58"/>
      <c r="E24" s="58"/>
      <c r="F24" s="54"/>
      <c r="G24" s="187">
        <v>31250</v>
      </c>
      <c r="H24" s="187">
        <v>15624.98</v>
      </c>
      <c r="I24" s="180"/>
      <c r="J24" s="187">
        <f>'August''24 State of Activities'!G26*0.2</f>
        <v>7032</v>
      </c>
      <c r="K24" s="187">
        <f>J24</f>
        <v>7032</v>
      </c>
      <c r="L24" s="180"/>
      <c r="M24" s="187">
        <f>J24+K24</f>
        <v>14064</v>
      </c>
      <c r="O24" s="301">
        <f>M24</f>
        <v>14064</v>
      </c>
    </row>
    <row r="25" spans="1:20" s="55" customFormat="1" ht="20.25" x14ac:dyDescent="0.2">
      <c r="A25" s="54"/>
      <c r="B25" s="54"/>
      <c r="C25" s="58"/>
      <c r="D25" s="54" t="s">
        <v>103</v>
      </c>
      <c r="E25" s="58"/>
      <c r="F25" s="54"/>
      <c r="G25" s="180">
        <v>1161224.25</v>
      </c>
      <c r="H25" s="180">
        <v>516293.30999999994</v>
      </c>
      <c r="I25" s="180"/>
      <c r="J25" s="180">
        <f>SUM(J10:J24)</f>
        <v>196355.83000000002</v>
      </c>
      <c r="K25" s="180">
        <f>SUM(K10:K24)</f>
        <v>208131.16999999998</v>
      </c>
      <c r="L25" s="180"/>
      <c r="M25" s="180">
        <f>SUM(M10:M24)</f>
        <v>404487.00000000006</v>
      </c>
      <c r="O25" s="180">
        <f>SUM(O10:O24)</f>
        <v>298064</v>
      </c>
    </row>
    <row r="26" spans="1:20" s="55" customFormat="1" ht="21" thickBot="1" x14ac:dyDescent="0.25">
      <c r="A26" s="54"/>
      <c r="B26" s="54"/>
      <c r="C26" s="54" t="s">
        <v>216</v>
      </c>
      <c r="D26" s="58"/>
      <c r="E26" s="58"/>
      <c r="F26" s="54"/>
      <c r="G26" s="187">
        <v>150176</v>
      </c>
      <c r="H26" s="187">
        <v>47700.27</v>
      </c>
      <c r="I26" s="180"/>
      <c r="J26" s="180">
        <f>21000/12*6</f>
        <v>10500</v>
      </c>
      <c r="K26" s="180">
        <f>J26</f>
        <v>10500</v>
      </c>
      <c r="L26" s="180"/>
      <c r="M26" s="180">
        <f>J26+K26</f>
        <v>21000</v>
      </c>
      <c r="O26" s="390">
        <v>20000</v>
      </c>
    </row>
    <row r="27" spans="1:20" s="55" customFormat="1" ht="21" thickBot="1" x14ac:dyDescent="0.25">
      <c r="A27" s="54"/>
      <c r="B27" s="54"/>
      <c r="C27" s="54" t="s">
        <v>217</v>
      </c>
      <c r="D27" s="58"/>
      <c r="E27" s="58"/>
      <c r="F27" s="54"/>
      <c r="G27" s="180"/>
      <c r="H27" s="180"/>
      <c r="I27" s="180"/>
      <c r="J27" s="187">
        <v>15097.54</v>
      </c>
      <c r="K27" s="187">
        <v>14500</v>
      </c>
      <c r="L27" s="180"/>
      <c r="M27" s="187">
        <f>J27+K27</f>
        <v>29597.54</v>
      </c>
      <c r="O27" s="301">
        <v>26568</v>
      </c>
    </row>
    <row r="28" spans="1:20" s="55" customFormat="1" ht="20.25" x14ac:dyDescent="0.2">
      <c r="A28" s="54"/>
      <c r="B28" s="54"/>
      <c r="C28" s="58"/>
      <c r="D28" s="54" t="s">
        <v>105</v>
      </c>
      <c r="E28" s="58"/>
      <c r="F28" s="54"/>
      <c r="G28" s="180">
        <v>1311400.25</v>
      </c>
      <c r="H28" s="180">
        <v>563993.57999999996</v>
      </c>
      <c r="I28" s="180"/>
      <c r="J28" s="180">
        <f>SUM(J25:J27)</f>
        <v>221953.37000000002</v>
      </c>
      <c r="K28" s="180">
        <f>SUM(K25:K27)</f>
        <v>233131.16999999998</v>
      </c>
      <c r="L28" s="180"/>
      <c r="M28" s="180">
        <f>SUM(M25:M27)</f>
        <v>455084.54000000004</v>
      </c>
      <c r="O28" s="180">
        <f>SUM(O25:O27)</f>
        <v>344632</v>
      </c>
    </row>
    <row r="29" spans="1:20" s="55" customFormat="1" ht="20.25" x14ac:dyDescent="0.2">
      <c r="A29" s="54"/>
      <c r="B29" s="54"/>
      <c r="C29" s="58"/>
      <c r="D29" s="54"/>
      <c r="E29" s="58"/>
      <c r="F29" s="54"/>
      <c r="G29" s="180"/>
      <c r="H29" s="180"/>
      <c r="I29" s="180"/>
      <c r="J29" s="180"/>
      <c r="K29" s="461"/>
      <c r="L29" s="180"/>
      <c r="M29" s="180"/>
    </row>
    <row r="30" spans="1:20" s="55" customFormat="1" ht="21" thickBot="1" x14ac:dyDescent="0.25">
      <c r="A30" s="54"/>
      <c r="B30" s="66" t="s">
        <v>109</v>
      </c>
      <c r="C30" s="66"/>
      <c r="D30" s="66"/>
      <c r="E30" s="66"/>
      <c r="F30" s="66"/>
      <c r="G30" s="187"/>
      <c r="J30" s="180"/>
    </row>
    <row r="31" spans="1:20" s="55" customFormat="1" ht="20.25" x14ac:dyDescent="0.2">
      <c r="A31" s="54"/>
      <c r="B31" s="54"/>
      <c r="C31" s="58" t="s">
        <v>218</v>
      </c>
      <c r="D31" s="58"/>
      <c r="E31" s="58"/>
      <c r="F31" s="58"/>
      <c r="G31" s="180">
        <v>733747.79999999993</v>
      </c>
      <c r="H31" s="212">
        <v>361976</v>
      </c>
      <c r="I31" s="212"/>
      <c r="J31" s="180"/>
      <c r="K31" s="212"/>
      <c r="L31" s="212"/>
      <c r="M31" s="212"/>
    </row>
    <row r="32" spans="1:20" s="55" customFormat="1" ht="20.25" x14ac:dyDescent="0.2">
      <c r="A32" s="54"/>
      <c r="B32" s="54"/>
      <c r="C32" s="58"/>
      <c r="D32" s="803" t="s">
        <v>219</v>
      </c>
      <c r="E32" s="803"/>
      <c r="F32" s="803"/>
      <c r="G32" s="180"/>
      <c r="H32" s="212"/>
      <c r="I32" s="212"/>
      <c r="J32" s="180">
        <v>116661.22</v>
      </c>
      <c r="K32" s="180">
        <f>119814</f>
        <v>119814</v>
      </c>
      <c r="L32" s="212"/>
      <c r="M32" s="180">
        <f t="shared" ref="M32:M51" si="1">J32+K32</f>
        <v>236475.22</v>
      </c>
      <c r="O32" s="212">
        <v>242550</v>
      </c>
    </row>
    <row r="33" spans="1:17" s="55" customFormat="1" ht="20.25" x14ac:dyDescent="0.2">
      <c r="A33" s="54"/>
      <c r="B33" s="54"/>
      <c r="C33" s="58"/>
      <c r="D33" s="803" t="s">
        <v>220</v>
      </c>
      <c r="E33" s="803"/>
      <c r="F33" s="803"/>
      <c r="G33" s="180"/>
      <c r="H33" s="212"/>
      <c r="I33" s="212"/>
      <c r="J33" s="180">
        <f>24422.9+14066.9</f>
        <v>38489.800000000003</v>
      </c>
      <c r="K33" s="180">
        <f>6240+24352+13838.5</f>
        <v>44430.5</v>
      </c>
      <c r="L33" s="212"/>
      <c r="M33" s="180">
        <f t="shared" si="1"/>
        <v>82920.3</v>
      </c>
      <c r="O33" s="212">
        <v>88858</v>
      </c>
      <c r="Q33" s="191"/>
    </row>
    <row r="34" spans="1:17" s="55" customFormat="1" ht="20.25" x14ac:dyDescent="0.2">
      <c r="A34" s="54"/>
      <c r="B34" s="54"/>
      <c r="C34" s="58"/>
      <c r="D34" s="803" t="s">
        <v>111</v>
      </c>
      <c r="E34" s="803"/>
      <c r="F34" s="803"/>
      <c r="G34" s="180"/>
      <c r="H34" s="212"/>
      <c r="I34" s="212"/>
      <c r="J34" s="180">
        <f>J32*0.213+J33*0.14</f>
        <v>30237.41186</v>
      </c>
      <c r="K34" s="180">
        <f>23009.3+1310.4+4521.77+2750.44+400</f>
        <v>31991.91</v>
      </c>
      <c r="L34" s="212"/>
      <c r="M34" s="180">
        <f t="shared" si="1"/>
        <v>62229.321859999996</v>
      </c>
      <c r="O34" s="212">
        <v>60758</v>
      </c>
    </row>
    <row r="35" spans="1:17" s="55" customFormat="1" ht="20.25" x14ac:dyDescent="0.2">
      <c r="A35" s="54"/>
      <c r="B35" s="54"/>
      <c r="C35" s="58" t="s">
        <v>276</v>
      </c>
      <c r="D35" s="58"/>
      <c r="E35" s="58"/>
      <c r="F35" s="58"/>
      <c r="G35" s="180">
        <v>44745.18</v>
      </c>
      <c r="H35" s="180">
        <v>20974.21</v>
      </c>
      <c r="I35" s="180"/>
      <c r="J35" s="580"/>
      <c r="K35" s="580"/>
      <c r="L35" s="580"/>
      <c r="M35" s="180">
        <f t="shared" si="1"/>
        <v>0</v>
      </c>
      <c r="O35" s="612"/>
    </row>
    <row r="36" spans="1:17" s="55" customFormat="1" ht="20.25" x14ac:dyDescent="0.2">
      <c r="A36" s="54"/>
      <c r="B36" s="54"/>
      <c r="C36" s="58"/>
      <c r="D36" s="803" t="s">
        <v>221</v>
      </c>
      <c r="E36" s="803"/>
      <c r="F36" s="803"/>
      <c r="G36" s="180"/>
      <c r="H36" s="180"/>
      <c r="I36" s="180"/>
      <c r="J36" s="180">
        <v>16535.79</v>
      </c>
      <c r="K36" s="180">
        <v>18600</v>
      </c>
      <c r="L36" s="180"/>
      <c r="M36" s="180">
        <f t="shared" si="1"/>
        <v>35135.79</v>
      </c>
      <c r="O36" s="212">
        <v>38000</v>
      </c>
    </row>
    <row r="37" spans="1:17" s="55" customFormat="1" ht="20.25" x14ac:dyDescent="0.2">
      <c r="A37" s="54"/>
      <c r="B37" s="54"/>
      <c r="C37" s="58"/>
      <c r="D37" s="803" t="s">
        <v>222</v>
      </c>
      <c r="E37" s="803"/>
      <c r="F37" s="803"/>
      <c r="G37" s="180"/>
      <c r="H37" s="180"/>
      <c r="I37" s="180"/>
      <c r="J37" s="180">
        <v>7701.43</v>
      </c>
      <c r="K37" s="180">
        <v>5590</v>
      </c>
      <c r="L37" s="180"/>
      <c r="M37" s="180">
        <f t="shared" si="1"/>
        <v>13291.43</v>
      </c>
      <c r="O37" s="212">
        <v>26000</v>
      </c>
    </row>
    <row r="38" spans="1:17" s="55" customFormat="1" ht="20.25" x14ac:dyDescent="0.2">
      <c r="A38" s="54"/>
      <c r="B38" s="54"/>
      <c r="C38" s="58"/>
      <c r="D38" s="803" t="s">
        <v>302</v>
      </c>
      <c r="E38" s="803"/>
      <c r="F38" s="803"/>
      <c r="G38" s="180"/>
      <c r="H38" s="180"/>
      <c r="I38" s="180"/>
      <c r="J38" s="180">
        <v>7462.62</v>
      </c>
      <c r="K38" s="180">
        <v>5500</v>
      </c>
      <c r="L38" s="180"/>
      <c r="M38" s="180">
        <f t="shared" si="1"/>
        <v>12962.619999999999</v>
      </c>
      <c r="O38" s="212">
        <v>7500</v>
      </c>
    </row>
    <row r="39" spans="1:17" s="55" customFormat="1" ht="20.25" x14ac:dyDescent="0.2">
      <c r="A39" s="54"/>
      <c r="B39" s="54"/>
      <c r="C39" s="58"/>
      <c r="D39" s="803" t="s">
        <v>223</v>
      </c>
      <c r="E39" s="803"/>
      <c r="F39" s="803"/>
      <c r="G39" s="180"/>
      <c r="H39" s="180"/>
      <c r="I39" s="180"/>
      <c r="J39" s="180">
        <v>557.5</v>
      </c>
      <c r="K39" s="180">
        <v>100</v>
      </c>
      <c r="L39" s="180"/>
      <c r="M39" s="180">
        <f t="shared" si="1"/>
        <v>657.5</v>
      </c>
      <c r="O39" s="212">
        <v>275</v>
      </c>
    </row>
    <row r="40" spans="1:17" s="55" customFormat="1" ht="20.25" x14ac:dyDescent="0.2">
      <c r="A40" s="54"/>
      <c r="B40" s="54"/>
      <c r="C40" s="58" t="s">
        <v>461</v>
      </c>
      <c r="D40" s="58"/>
      <c r="E40" s="58"/>
      <c r="F40" s="58"/>
      <c r="G40" s="180">
        <v>27200</v>
      </c>
      <c r="H40" s="180">
        <v>11327</v>
      </c>
      <c r="I40" s="180"/>
      <c r="J40" s="180">
        <v>13648.5</v>
      </c>
      <c r="K40" s="180">
        <f>J40</f>
        <v>13648.5</v>
      </c>
      <c r="L40" s="180"/>
      <c r="M40" s="180">
        <f t="shared" si="1"/>
        <v>27297</v>
      </c>
      <c r="O40" s="212">
        <v>19430</v>
      </c>
      <c r="Q40" s="191"/>
    </row>
    <row r="41" spans="1:17" s="55" customFormat="1" ht="20.25" x14ac:dyDescent="0.2">
      <c r="A41" s="54"/>
      <c r="B41" s="54"/>
      <c r="C41" s="58" t="s">
        <v>102</v>
      </c>
      <c r="D41" s="58"/>
      <c r="E41" s="58"/>
      <c r="F41" s="58"/>
      <c r="G41" s="180">
        <v>150176</v>
      </c>
      <c r="H41" s="212">
        <v>47700.27</v>
      </c>
      <c r="I41" s="212"/>
      <c r="J41" s="180">
        <f>J24</f>
        <v>7032</v>
      </c>
      <c r="K41" s="180">
        <f>J41</f>
        <v>7032</v>
      </c>
      <c r="L41" s="212"/>
      <c r="M41" s="180">
        <f t="shared" si="1"/>
        <v>14064</v>
      </c>
      <c r="O41" s="212">
        <f>M41</f>
        <v>14064</v>
      </c>
    </row>
    <row r="42" spans="1:17" s="55" customFormat="1" ht="20.25" x14ac:dyDescent="0.2">
      <c r="A42" s="54"/>
      <c r="B42" s="54"/>
      <c r="C42" s="58" t="s">
        <v>311</v>
      </c>
      <c r="D42" s="58"/>
      <c r="E42" s="58"/>
      <c r="F42" s="58"/>
      <c r="G42" s="180"/>
      <c r="H42" s="212"/>
      <c r="I42" s="212"/>
      <c r="J42" s="180">
        <f>3319.32-J43</f>
        <v>2358.92</v>
      </c>
      <c r="K42" s="180">
        <f>350*6</f>
        <v>2100</v>
      </c>
      <c r="L42" s="212"/>
      <c r="M42" s="180">
        <f t="shared" si="1"/>
        <v>4458.92</v>
      </c>
      <c r="O42" s="212">
        <f>5020-O43</f>
        <v>3232</v>
      </c>
      <c r="P42" s="191"/>
    </row>
    <row r="43" spans="1:17" s="55" customFormat="1" ht="20.25" x14ac:dyDescent="0.2">
      <c r="A43" s="54"/>
      <c r="B43" s="54"/>
      <c r="C43" s="58" t="s">
        <v>535</v>
      </c>
      <c r="D43" s="58"/>
      <c r="E43" s="58"/>
      <c r="F43" s="58"/>
      <c r="G43" s="180"/>
      <c r="H43" s="212"/>
      <c r="I43" s="212"/>
      <c r="J43" s="180">
        <f>149*5+215.4</f>
        <v>960.4</v>
      </c>
      <c r="K43" s="180">
        <f>149*6</f>
        <v>894</v>
      </c>
      <c r="L43" s="212"/>
      <c r="M43" s="180">
        <f t="shared" si="1"/>
        <v>1854.4</v>
      </c>
      <c r="O43" s="212">
        <f>149*12</f>
        <v>1788</v>
      </c>
    </row>
    <row r="44" spans="1:17" s="55" customFormat="1" ht="20.25" x14ac:dyDescent="0.2">
      <c r="A44" s="54"/>
      <c r="B44" s="54"/>
      <c r="C44" s="58" t="s">
        <v>225</v>
      </c>
      <c r="D44" s="58"/>
      <c r="E44" s="58"/>
      <c r="F44" s="58"/>
      <c r="G44" s="180"/>
      <c r="H44" s="212"/>
      <c r="I44" s="212"/>
      <c r="J44" s="180">
        <f>140+673</f>
        <v>813</v>
      </c>
      <c r="K44" s="180">
        <v>0</v>
      </c>
      <c r="L44" s="212"/>
      <c r="M44" s="180">
        <f t="shared" si="1"/>
        <v>813</v>
      </c>
      <c r="O44" s="212">
        <v>1525</v>
      </c>
    </row>
    <row r="45" spans="1:17" s="55" customFormat="1" ht="20.25" x14ac:dyDescent="0.2">
      <c r="A45" s="54"/>
      <c r="B45" s="54"/>
      <c r="C45" s="58" t="s">
        <v>379</v>
      </c>
      <c r="D45" s="58"/>
      <c r="E45" s="58"/>
      <c r="F45" s="58"/>
      <c r="G45" s="180">
        <v>10993.12</v>
      </c>
      <c r="H45" s="212">
        <v>4904.57</v>
      </c>
      <c r="I45" s="212"/>
      <c r="J45" s="180">
        <v>4125.41</v>
      </c>
      <c r="K45" s="180">
        <f>J45</f>
        <v>4125.41</v>
      </c>
      <c r="L45" s="212"/>
      <c r="M45" s="180">
        <f t="shared" si="1"/>
        <v>8250.82</v>
      </c>
      <c r="O45" s="212">
        <v>8600</v>
      </c>
    </row>
    <row r="46" spans="1:17" s="55" customFormat="1" ht="20.25" x14ac:dyDescent="0.2">
      <c r="A46" s="54"/>
      <c r="B46" s="54"/>
      <c r="C46" s="58" t="s">
        <v>226</v>
      </c>
      <c r="D46" s="58"/>
      <c r="E46" s="58"/>
      <c r="F46" s="58"/>
      <c r="G46" s="180">
        <v>10250.949999999999</v>
      </c>
      <c r="H46" s="212">
        <v>3982.99</v>
      </c>
      <c r="I46" s="212"/>
      <c r="J46" s="180">
        <f>759.4+448.66</f>
        <v>1208.06</v>
      </c>
      <c r="K46" s="180">
        <v>1000</v>
      </c>
      <c r="L46" s="212"/>
      <c r="M46" s="180">
        <f t="shared" si="1"/>
        <v>2208.06</v>
      </c>
      <c r="O46" s="212">
        <v>2110</v>
      </c>
    </row>
    <row r="47" spans="1:17" s="55" customFormat="1" ht="20.25" x14ac:dyDescent="0.2">
      <c r="A47" s="54"/>
      <c r="B47" s="54"/>
      <c r="C47" s="58" t="s">
        <v>120</v>
      </c>
      <c r="D47" s="58"/>
      <c r="E47" s="58"/>
      <c r="F47" s="58"/>
      <c r="G47" s="180">
        <v>4412.53</v>
      </c>
      <c r="H47" s="213">
        <v>5667</v>
      </c>
      <c r="I47" s="213"/>
      <c r="J47" s="180">
        <v>2955.81</v>
      </c>
      <c r="K47" s="180">
        <f>J47+900</f>
        <v>3855.81</v>
      </c>
      <c r="L47" s="213"/>
      <c r="M47" s="180">
        <f t="shared" si="1"/>
        <v>6811.62</v>
      </c>
      <c r="O47" s="212">
        <v>4061</v>
      </c>
    </row>
    <row r="48" spans="1:17" s="55" customFormat="1" ht="20.25" x14ac:dyDescent="0.2">
      <c r="A48" s="54"/>
      <c r="B48" s="54"/>
      <c r="C48" s="58" t="s">
        <v>118</v>
      </c>
      <c r="D48" s="58"/>
      <c r="E48" s="58"/>
      <c r="F48" s="58"/>
      <c r="G48" s="180">
        <v>7901</v>
      </c>
      <c r="H48" s="212">
        <v>4149.6000000000004</v>
      </c>
      <c r="I48" s="212"/>
      <c r="J48" s="180">
        <v>220.65</v>
      </c>
      <c r="K48" s="180">
        <v>250</v>
      </c>
      <c r="L48" s="212"/>
      <c r="M48" s="180">
        <f t="shared" si="1"/>
        <v>470.65</v>
      </c>
      <c r="O48" s="212">
        <v>530</v>
      </c>
    </row>
    <row r="49" spans="1:17" s="55" customFormat="1" ht="20.25" hidden="1" x14ac:dyDescent="0.2">
      <c r="A49" s="54"/>
      <c r="B49" s="54"/>
      <c r="C49" s="58" t="s">
        <v>227</v>
      </c>
      <c r="D49" s="58"/>
      <c r="E49" s="58"/>
      <c r="F49" s="58"/>
      <c r="G49" s="180"/>
      <c r="H49" s="212"/>
      <c r="I49" s="212"/>
      <c r="J49" s="180"/>
      <c r="K49" s="180"/>
      <c r="L49" s="212"/>
      <c r="M49" s="180">
        <f t="shared" si="1"/>
        <v>0</v>
      </c>
      <c r="O49" s="212"/>
    </row>
    <row r="50" spans="1:17" s="55" customFormat="1" ht="20.25" x14ac:dyDescent="0.2">
      <c r="A50" s="58"/>
      <c r="B50" s="58"/>
      <c r="C50" s="58" t="s">
        <v>114</v>
      </c>
      <c r="D50" s="58"/>
      <c r="E50" s="58"/>
      <c r="F50" s="58"/>
      <c r="G50" s="180">
        <v>5428.37</v>
      </c>
      <c r="H50" s="212">
        <v>2024.52</v>
      </c>
      <c r="I50" s="212"/>
      <c r="J50" s="180">
        <v>254</v>
      </c>
      <c r="K50" s="180">
        <f>J50</f>
        <v>254</v>
      </c>
      <c r="L50" s="212"/>
      <c r="M50" s="180">
        <f t="shared" si="1"/>
        <v>508</v>
      </c>
      <c r="O50" s="212">
        <v>340</v>
      </c>
    </row>
    <row r="51" spans="1:17" s="55" customFormat="1" ht="20.25" x14ac:dyDescent="0.2">
      <c r="A51" s="58"/>
      <c r="B51" s="58"/>
      <c r="C51" s="58" t="s">
        <v>32</v>
      </c>
      <c r="D51" s="58"/>
      <c r="E51" s="58"/>
      <c r="F51" s="58"/>
      <c r="G51" s="180"/>
      <c r="H51" s="212"/>
      <c r="I51" s="212"/>
      <c r="J51" s="180">
        <f>'August''24 State of Activities'!G54</f>
        <v>4997.67</v>
      </c>
      <c r="K51" s="180">
        <f>624.49*6</f>
        <v>3746.94</v>
      </c>
      <c r="L51" s="212"/>
      <c r="M51" s="180">
        <f t="shared" si="1"/>
        <v>8744.61</v>
      </c>
      <c r="O51" s="212">
        <v>5933</v>
      </c>
    </row>
    <row r="52" spans="1:17" s="55" customFormat="1" ht="20.25" x14ac:dyDescent="0.2">
      <c r="A52" s="58"/>
      <c r="B52" s="58"/>
      <c r="C52" s="58" t="s">
        <v>228</v>
      </c>
      <c r="D52" s="58"/>
      <c r="E52" s="58"/>
      <c r="F52" s="58"/>
      <c r="G52" s="180">
        <v>83462.91</v>
      </c>
      <c r="H52" s="180">
        <v>18995.71</v>
      </c>
      <c r="I52" s="180"/>
      <c r="J52" s="182">
        <f>30.2+105</f>
        <v>135.19999999999999</v>
      </c>
      <c r="K52" s="182">
        <v>1000</v>
      </c>
      <c r="L52" s="180"/>
      <c r="M52" s="182">
        <f>J52+K52</f>
        <v>1135.2</v>
      </c>
      <c r="O52" s="393">
        <v>33</v>
      </c>
    </row>
    <row r="53" spans="1:17" s="55" customFormat="1" ht="21" thickBot="1" x14ac:dyDescent="0.25">
      <c r="A53" s="54"/>
      <c r="B53" s="54"/>
      <c r="C53" s="54"/>
      <c r="D53" s="54" t="s">
        <v>126</v>
      </c>
      <c r="E53" s="54"/>
      <c r="F53" s="54"/>
      <c r="G53" s="187">
        <v>1078317.8599999999</v>
      </c>
      <c r="H53" s="187">
        <v>481701.87000000005</v>
      </c>
      <c r="I53" s="180"/>
      <c r="J53" s="363">
        <f>SUM(J32:J52)</f>
        <v>256355.39186000003</v>
      </c>
      <c r="K53" s="363">
        <f>SUM(K32:K52)</f>
        <v>263933.07</v>
      </c>
      <c r="L53" s="180"/>
      <c r="M53" s="363">
        <f>SUM(M32:M52)</f>
        <v>520288.46186000004</v>
      </c>
      <c r="O53" s="363">
        <f>SUM(O32:O52)</f>
        <v>525587</v>
      </c>
      <c r="Q53" s="271"/>
    </row>
    <row r="54" spans="1:17" s="55" customFormat="1" ht="21" thickBot="1" x14ac:dyDescent="0.25">
      <c r="A54" s="54"/>
      <c r="B54" s="54"/>
      <c r="C54" s="54"/>
      <c r="D54" s="54" t="s">
        <v>127</v>
      </c>
      <c r="E54" s="54"/>
      <c r="F54" s="54"/>
      <c r="G54" s="187">
        <v>233082.39000000013</v>
      </c>
      <c r="H54" s="187">
        <v>82291.709999999905</v>
      </c>
      <c r="I54" s="180"/>
      <c r="J54" s="364">
        <f>J28-J53</f>
        <v>-34402.021860000008</v>
      </c>
      <c r="K54" s="364">
        <f>K28-K53</f>
        <v>-30801.900000000023</v>
      </c>
      <c r="L54" s="180"/>
      <c r="M54" s="684">
        <f>M28-M53</f>
        <v>-65203.921860000002</v>
      </c>
      <c r="O54" s="684">
        <f>O28-O53</f>
        <v>-180955</v>
      </c>
    </row>
    <row r="55" spans="1:17" s="55" customFormat="1" ht="20.25" x14ac:dyDescent="0.2">
      <c r="A55" s="54"/>
      <c r="B55" s="54"/>
      <c r="C55" s="54"/>
      <c r="D55" s="54"/>
      <c r="E55" s="54"/>
      <c r="F55" s="54"/>
      <c r="G55" s="180"/>
      <c r="H55" s="180"/>
      <c r="I55" s="180"/>
      <c r="J55" s="180"/>
      <c r="K55" s="180"/>
      <c r="L55" s="180"/>
      <c r="M55" s="180"/>
    </row>
    <row r="56" spans="1:17" s="52" customFormat="1" ht="26.25" x14ac:dyDescent="0.2">
      <c r="A56" s="206"/>
      <c r="B56" s="206"/>
      <c r="C56" s="58" t="s">
        <v>555</v>
      </c>
      <c r="E56" s="58"/>
      <c r="F56" s="58"/>
      <c r="G56" s="208"/>
      <c r="H56" s="180"/>
      <c r="I56" s="180"/>
      <c r="J56" s="180">
        <f>-28362.53+J51</f>
        <v>-23364.86</v>
      </c>
      <c r="K56" s="683">
        <f>(2917*-6)+K51</f>
        <v>-13755.06</v>
      </c>
      <c r="L56" s="180"/>
      <c r="M56" s="180">
        <f>J56+K56</f>
        <v>-37119.919999999998</v>
      </c>
      <c r="O56" s="212">
        <f>-21875</f>
        <v>-21875</v>
      </c>
    </row>
    <row r="57" spans="1:17" s="55" customFormat="1" ht="20.25" x14ac:dyDescent="0.2">
      <c r="A57" s="54"/>
      <c r="B57" s="54"/>
      <c r="C57" s="58" t="s">
        <v>446</v>
      </c>
      <c r="E57" s="54"/>
      <c r="G57" s="180"/>
      <c r="H57" s="180"/>
      <c r="I57" s="180"/>
      <c r="J57" s="180">
        <f>J40</f>
        <v>13648.5</v>
      </c>
      <c r="K57" s="180">
        <f>K40</f>
        <v>13648.5</v>
      </c>
      <c r="L57" s="180"/>
      <c r="M57" s="180">
        <f>M40</f>
        <v>27297</v>
      </c>
      <c r="O57" s="212">
        <f>O40</f>
        <v>19430</v>
      </c>
    </row>
    <row r="58" spans="1:17" s="55" customFormat="1" ht="24" thickBot="1" x14ac:dyDescent="0.25">
      <c r="A58" s="54"/>
      <c r="B58" s="209"/>
      <c r="C58" s="54"/>
      <c r="D58" s="806" t="s">
        <v>230</v>
      </c>
      <c r="E58" s="806"/>
      <c r="F58" s="806"/>
      <c r="G58" s="180"/>
      <c r="H58" s="180"/>
      <c r="I58" s="180"/>
      <c r="J58" s="365">
        <f>J54+J56+J57</f>
        <v>-44118.381860000009</v>
      </c>
      <c r="K58" s="365">
        <f>K54+K56+K57</f>
        <v>-30908.460000000021</v>
      </c>
      <c r="L58" s="189"/>
      <c r="M58" s="365">
        <f>M54+M56+M57</f>
        <v>-75026.84186</v>
      </c>
      <c r="N58" s="303"/>
      <c r="O58" s="365">
        <f>O54+O56+O57</f>
        <v>-183400</v>
      </c>
    </row>
    <row r="59" spans="1:17" s="55" customFormat="1" ht="42" customHeight="1" thickTop="1" x14ac:dyDescent="0.2">
      <c r="A59" s="54"/>
      <c r="B59" s="54"/>
      <c r="C59" s="54"/>
      <c r="D59" s="54"/>
      <c r="E59" s="54"/>
      <c r="F59" s="54"/>
      <c r="G59" s="180"/>
      <c r="H59" s="180"/>
      <c r="I59" s="180"/>
      <c r="J59" s="180"/>
      <c r="K59" s="180"/>
      <c r="L59" s="180"/>
      <c r="M59" s="180"/>
    </row>
    <row r="60" spans="1:17" s="55" customFormat="1" ht="20.25" x14ac:dyDescent="0.2">
      <c r="A60" s="58"/>
      <c r="B60" s="58"/>
      <c r="C60" s="58" t="s">
        <v>569</v>
      </c>
      <c r="D60" s="58"/>
      <c r="E60" s="58"/>
      <c r="F60" s="58"/>
      <c r="G60" s="180"/>
      <c r="H60" s="180"/>
      <c r="I60" s="180"/>
      <c r="J60" s="180"/>
      <c r="K60" s="180"/>
      <c r="L60" s="180"/>
      <c r="M60" s="180"/>
    </row>
    <row r="61" spans="1:17" s="55" customFormat="1" ht="20.25" x14ac:dyDescent="0.3">
      <c r="A61" s="58"/>
      <c r="B61" s="58"/>
      <c r="C61" s="629" t="s">
        <v>472</v>
      </c>
      <c r="D61" s="45"/>
      <c r="E61" s="45"/>
      <c r="F61" s="576"/>
      <c r="G61" s="214"/>
      <c r="H61" s="214"/>
      <c r="I61" s="628"/>
      <c r="J61" s="180"/>
      <c r="K61" s="180"/>
      <c r="L61" s="180"/>
      <c r="M61" s="180"/>
    </row>
    <row r="62" spans="1:17" s="55" customFormat="1" ht="20.25" customHeight="1" x14ac:dyDescent="0.2">
      <c r="A62" s="58"/>
      <c r="B62" s="58"/>
      <c r="C62" s="804" t="s">
        <v>473</v>
      </c>
      <c r="D62" s="804"/>
      <c r="E62" s="804"/>
      <c r="F62" s="804"/>
      <c r="G62" s="804"/>
      <c r="H62" s="804"/>
      <c r="I62" s="804"/>
      <c r="J62" s="804"/>
      <c r="K62" s="804"/>
      <c r="L62" s="804"/>
      <c r="M62" s="804"/>
      <c r="N62" s="804"/>
      <c r="O62" s="804"/>
    </row>
    <row r="63" spans="1:17" s="55" customFormat="1" ht="29.25" customHeight="1" x14ac:dyDescent="0.2">
      <c r="A63" s="58"/>
      <c r="B63" s="58"/>
      <c r="C63" s="805" t="s">
        <v>516</v>
      </c>
      <c r="D63" s="805"/>
      <c r="E63" s="805"/>
      <c r="F63" s="805"/>
      <c r="G63" s="805"/>
      <c r="H63" s="805"/>
      <c r="I63" s="805"/>
      <c r="J63" s="805"/>
      <c r="K63" s="805"/>
      <c r="L63" s="805"/>
      <c r="M63" s="805"/>
      <c r="N63" s="805"/>
      <c r="O63" s="805"/>
    </row>
    <row r="64" spans="1:17" s="55" customFormat="1" ht="20.25" x14ac:dyDescent="0.25">
      <c r="A64" s="54"/>
      <c r="B64" s="54"/>
      <c r="C64" s="422" t="s">
        <v>474</v>
      </c>
      <c r="D64" s="45"/>
      <c r="E64" s="45"/>
      <c r="F64" s="576"/>
      <c r="G64" s="628"/>
      <c r="H64" s="628"/>
      <c r="I64" s="628"/>
      <c r="J64" s="183"/>
      <c r="K64" s="183"/>
      <c r="L64" s="183"/>
      <c r="M64" s="183"/>
    </row>
    <row r="65" spans="1:15" s="55" customFormat="1" ht="20.25" x14ac:dyDescent="0.25">
      <c r="A65" s="54"/>
      <c r="B65" s="54"/>
      <c r="C65" s="422" t="s">
        <v>514</v>
      </c>
      <c r="D65" s="45"/>
      <c r="E65" s="45"/>
      <c r="F65" s="576"/>
      <c r="G65" s="628"/>
      <c r="H65" s="628"/>
      <c r="I65" s="628"/>
      <c r="J65" s="183"/>
      <c r="K65" s="183"/>
      <c r="L65" s="183"/>
      <c r="M65" s="183"/>
    </row>
    <row r="66" spans="1:15" s="55" customFormat="1" ht="23.25" customHeight="1" x14ac:dyDescent="0.2">
      <c r="A66" s="54"/>
      <c r="B66" s="209"/>
      <c r="C66" s="804" t="s">
        <v>515</v>
      </c>
      <c r="D66" s="804"/>
      <c r="E66" s="804"/>
      <c r="F66" s="804"/>
      <c r="G66" s="804"/>
      <c r="H66" s="804"/>
      <c r="I66" s="804"/>
      <c r="J66" s="804"/>
      <c r="K66" s="804"/>
      <c r="L66" s="804"/>
      <c r="M66" s="804"/>
      <c r="N66" s="804"/>
      <c r="O66" s="804"/>
    </row>
    <row r="67" spans="1:15" s="55" customFormat="1" ht="20.25" x14ac:dyDescent="0.25">
      <c r="A67" s="58"/>
      <c r="B67" s="58"/>
      <c r="C67" s="215" t="s">
        <v>505</v>
      </c>
      <c r="D67" s="45"/>
      <c r="E67" s="45"/>
      <c r="F67" s="576"/>
      <c r="G67" s="628"/>
      <c r="H67" s="628"/>
      <c r="I67" s="628"/>
      <c r="J67" s="180"/>
      <c r="K67" s="180"/>
      <c r="L67" s="180"/>
      <c r="M67" s="180"/>
    </row>
    <row r="68" spans="1:15" s="55" customFormat="1" ht="20.25" x14ac:dyDescent="0.25">
      <c r="A68" s="58"/>
      <c r="B68" s="58"/>
      <c r="C68" s="215">
        <v>1</v>
      </c>
      <c r="D68" s="215" t="s">
        <v>506</v>
      </c>
      <c r="E68" s="45"/>
      <c r="F68" s="576"/>
      <c r="G68" s="628"/>
      <c r="H68" s="628"/>
      <c r="I68" s="628"/>
      <c r="J68" s="180"/>
      <c r="K68" s="180"/>
      <c r="L68" s="180"/>
      <c r="M68" s="180"/>
    </row>
    <row r="69" spans="1:15" s="55" customFormat="1" ht="20.25" x14ac:dyDescent="0.25">
      <c r="A69" s="54"/>
      <c r="B69" s="54"/>
      <c r="C69" s="215">
        <v>2</v>
      </c>
      <c r="D69" s="215" t="s">
        <v>512</v>
      </c>
      <c r="E69" s="45"/>
      <c r="F69" s="576"/>
      <c r="G69"/>
      <c r="H69"/>
      <c r="I69"/>
      <c r="J69" s="180"/>
      <c r="K69" s="180"/>
      <c r="L69" s="180"/>
      <c r="M69" s="180"/>
    </row>
    <row r="70" spans="1:15" s="55" customFormat="1" ht="23.25" x14ac:dyDescent="0.25">
      <c r="A70" s="54"/>
      <c r="B70" s="209"/>
      <c r="C70" s="215">
        <v>3</v>
      </c>
      <c r="D70" s="215" t="s">
        <v>513</v>
      </c>
      <c r="E70" s="45"/>
      <c r="F70" s="576"/>
      <c r="G70"/>
      <c r="H70"/>
      <c r="I70"/>
      <c r="J70" s="183"/>
      <c r="K70" s="183"/>
      <c r="L70" s="183"/>
      <c r="M70" s="183"/>
    </row>
    <row r="71" spans="1:15" s="55" customFormat="1" ht="20.25" x14ac:dyDescent="0.25">
      <c r="A71" s="54"/>
      <c r="B71" s="54"/>
      <c r="C71" s="215">
        <v>4</v>
      </c>
      <c r="D71" s="215" t="s">
        <v>508</v>
      </c>
      <c r="E71" s="45"/>
      <c r="F71" s="576"/>
      <c r="G71"/>
      <c r="H71"/>
      <c r="I71"/>
      <c r="J71" s="180"/>
      <c r="K71" s="180"/>
      <c r="L71" s="180"/>
      <c r="M71" s="180"/>
    </row>
    <row r="72" spans="1:15" s="62" customFormat="1" ht="26.25" x14ac:dyDescent="0.25">
      <c r="A72" s="206"/>
      <c r="B72" s="206"/>
      <c r="C72" s="215" t="s">
        <v>507</v>
      </c>
      <c r="D72" s="215"/>
      <c r="E72" s="45"/>
      <c r="F72" s="576"/>
      <c r="G72"/>
      <c r="H72"/>
      <c r="I72"/>
      <c r="J72" s="183"/>
      <c r="K72" s="183"/>
      <c r="L72" s="183"/>
      <c r="M72" s="183"/>
    </row>
    <row r="73" spans="1:15" ht="20.25" x14ac:dyDescent="0.3">
      <c r="C73" s="215" t="s">
        <v>510</v>
      </c>
      <c r="D73" s="215"/>
      <c r="F73" s="576"/>
      <c r="G73"/>
      <c r="J73" s="214"/>
      <c r="K73" s="214"/>
      <c r="L73" s="214"/>
      <c r="M73" s="214"/>
    </row>
    <row r="74" spans="1:15" ht="20.25" x14ac:dyDescent="0.3">
      <c r="C74" s="215">
        <v>1</v>
      </c>
      <c r="D74" s="215" t="s">
        <v>509</v>
      </c>
      <c r="F74" s="87"/>
      <c r="G74"/>
      <c r="J74" s="214"/>
      <c r="K74" s="214"/>
      <c r="L74" s="214"/>
      <c r="M74" s="214"/>
    </row>
    <row r="75" spans="1:15" ht="20.25" x14ac:dyDescent="0.3">
      <c r="C75" s="215">
        <v>2</v>
      </c>
      <c r="D75" s="215" t="s">
        <v>511</v>
      </c>
      <c r="F75" s="87"/>
      <c r="G75"/>
      <c r="J75" s="214"/>
      <c r="K75" s="214"/>
      <c r="L75" s="214"/>
      <c r="M75" s="214"/>
    </row>
    <row r="76" spans="1:15" ht="20.25" x14ac:dyDescent="0.3">
      <c r="C76" s="215" t="s">
        <v>507</v>
      </c>
      <c r="D76" s="215"/>
      <c r="G76"/>
      <c r="J76" s="211"/>
      <c r="K76" s="211"/>
      <c r="L76" s="211"/>
      <c r="M76" s="211"/>
    </row>
    <row r="77" spans="1:15" x14ac:dyDescent="0.2">
      <c r="C77" s="215" t="s">
        <v>523</v>
      </c>
      <c r="D77" s="215"/>
      <c r="G77"/>
    </row>
    <row r="78" spans="1:15" x14ac:dyDescent="0.2">
      <c r="C78" s="215" t="s">
        <v>524</v>
      </c>
      <c r="D78" s="215"/>
      <c r="G78"/>
    </row>
  </sheetData>
  <mergeCells count="13">
    <mergeCell ref="C62:O62"/>
    <mergeCell ref="C63:O63"/>
    <mergeCell ref="C66:O66"/>
    <mergeCell ref="J6:M6"/>
    <mergeCell ref="C23:F23"/>
    <mergeCell ref="D32:F32"/>
    <mergeCell ref="D33:F33"/>
    <mergeCell ref="D34:F34"/>
    <mergeCell ref="D36:F36"/>
    <mergeCell ref="D37:F37"/>
    <mergeCell ref="D38:F38"/>
    <mergeCell ref="D39:F39"/>
    <mergeCell ref="D58:F58"/>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7"/>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46" t="s">
        <v>92</v>
      </c>
      <c r="B1" s="47"/>
      <c r="C1" s="48"/>
      <c r="D1" s="48"/>
      <c r="E1" s="48"/>
      <c r="F1" s="47"/>
      <c r="G1" s="47"/>
      <c r="H1" s="47"/>
      <c r="I1" s="47"/>
      <c r="J1" s="47"/>
      <c r="K1" s="47"/>
    </row>
    <row r="2" spans="1:11" ht="26.25" x14ac:dyDescent="0.4">
      <c r="A2" s="46" t="s">
        <v>211</v>
      </c>
      <c r="B2" s="47"/>
      <c r="C2" s="48"/>
      <c r="D2" s="48"/>
      <c r="E2" s="48"/>
      <c r="F2" s="47"/>
      <c r="G2" s="47"/>
      <c r="H2" s="47"/>
      <c r="I2" s="47"/>
      <c r="J2" s="47"/>
      <c r="K2" s="47"/>
    </row>
    <row r="3" spans="1:11" ht="26.25" x14ac:dyDescent="0.4">
      <c r="A3" s="46" t="s">
        <v>475</v>
      </c>
      <c r="B3" s="47"/>
      <c r="C3" s="48"/>
      <c r="D3" s="48"/>
      <c r="E3" s="48"/>
      <c r="F3" s="47"/>
      <c r="G3" s="47"/>
      <c r="H3" s="47"/>
      <c r="I3" s="47"/>
      <c r="J3" s="47"/>
      <c r="K3" s="47"/>
    </row>
    <row r="4" spans="1:11" ht="21" thickBot="1" x14ac:dyDescent="0.25">
      <c r="A4" s="49"/>
      <c r="B4" s="49"/>
      <c r="C4" s="49"/>
      <c r="D4" s="49"/>
      <c r="E4" s="49"/>
      <c r="F4" s="49"/>
      <c r="G4" s="49"/>
      <c r="H4" s="49"/>
      <c r="I4" s="49"/>
      <c r="J4" s="50"/>
      <c r="K4" s="255"/>
    </row>
    <row r="5" spans="1:11" ht="27.75" thickTop="1" thickBot="1" x14ac:dyDescent="0.25">
      <c r="A5" s="51" t="s">
        <v>106</v>
      </c>
      <c r="B5" s="51"/>
      <c r="C5" s="51"/>
      <c r="D5" s="51"/>
      <c r="E5" s="51"/>
      <c r="F5" s="51"/>
      <c r="G5" s="51"/>
      <c r="H5" s="51"/>
      <c r="I5" s="51"/>
      <c r="J5" s="312"/>
      <c r="K5" s="634"/>
    </row>
    <row r="6" spans="1:11" ht="21" thickTop="1" x14ac:dyDescent="0.2">
      <c r="A6" s="54"/>
      <c r="B6" s="54"/>
      <c r="C6" s="54"/>
      <c r="D6" s="54"/>
      <c r="E6" s="54"/>
      <c r="F6" s="54"/>
      <c r="G6" s="54"/>
      <c r="H6" s="54"/>
      <c r="I6" s="54"/>
      <c r="J6" s="55"/>
      <c r="K6" s="55"/>
    </row>
    <row r="7" spans="1:11" ht="21" thickBot="1" x14ac:dyDescent="0.35">
      <c r="A7" s="56"/>
      <c r="B7" s="115" t="s">
        <v>98</v>
      </c>
      <c r="C7" s="115"/>
      <c r="D7" s="115"/>
      <c r="E7" s="115"/>
      <c r="F7" s="115"/>
      <c r="G7" s="517">
        <v>43465</v>
      </c>
      <c r="H7" s="517">
        <v>43830</v>
      </c>
      <c r="I7" s="517">
        <v>44196</v>
      </c>
      <c r="J7" s="517">
        <v>44561</v>
      </c>
      <c r="K7" s="517">
        <v>44926</v>
      </c>
    </row>
    <row r="8" spans="1:11" ht="20.25" x14ac:dyDescent="0.2">
      <c r="A8" s="54"/>
      <c r="B8" s="54"/>
      <c r="C8" s="58" t="s">
        <v>148</v>
      </c>
      <c r="D8" s="58"/>
      <c r="E8" s="58"/>
      <c r="F8" s="54"/>
      <c r="G8" s="189">
        <f>153461+3123</f>
        <v>156584</v>
      </c>
      <c r="H8" s="189">
        <v>158721</v>
      </c>
      <c r="I8" s="189">
        <f>68070.06</f>
        <v>68070.06</v>
      </c>
      <c r="J8" s="189">
        <v>85646.89</v>
      </c>
      <c r="K8" s="189">
        <v>84478</v>
      </c>
    </row>
    <row r="9" spans="1:11" ht="20.25" x14ac:dyDescent="0.2">
      <c r="A9" s="54"/>
      <c r="B9" s="54"/>
      <c r="C9" s="58" t="s">
        <v>212</v>
      </c>
      <c r="D9" s="58"/>
      <c r="E9" s="58"/>
      <c r="F9" s="54"/>
      <c r="G9" s="180">
        <v>20332</v>
      </c>
      <c r="H9" s="180">
        <v>12278.42</v>
      </c>
      <c r="I9" s="180">
        <v>16169.1</v>
      </c>
      <c r="J9" s="180">
        <v>34505.879999999997</v>
      </c>
      <c r="K9" s="180">
        <v>13806</v>
      </c>
    </row>
    <row r="10" spans="1:11" ht="20.25" x14ac:dyDescent="0.2">
      <c r="A10" s="54"/>
      <c r="B10" s="54"/>
      <c r="C10" s="58" t="s">
        <v>386</v>
      </c>
      <c r="D10" s="58"/>
      <c r="E10" s="58"/>
      <c r="F10" s="54"/>
      <c r="G10" s="180"/>
      <c r="H10" s="180">
        <v>10616</v>
      </c>
      <c r="I10" s="180">
        <v>3260</v>
      </c>
      <c r="J10" s="180">
        <v>0</v>
      </c>
      <c r="K10" s="180">
        <v>32978</v>
      </c>
    </row>
    <row r="11" spans="1:11" ht="20.25" x14ac:dyDescent="0.2">
      <c r="A11" s="54"/>
      <c r="B11" s="54"/>
      <c r="C11" s="58" t="s">
        <v>100</v>
      </c>
      <c r="D11" s="58"/>
      <c r="E11" s="58"/>
      <c r="F11" s="54"/>
      <c r="G11" s="180"/>
      <c r="H11" s="180"/>
      <c r="I11" s="180"/>
      <c r="J11" s="180"/>
      <c r="K11" s="180"/>
    </row>
    <row r="12" spans="1:11" ht="20.25" x14ac:dyDescent="0.2">
      <c r="A12" s="54"/>
      <c r="B12" s="54"/>
      <c r="C12" s="55"/>
      <c r="D12" s="58" t="s">
        <v>213</v>
      </c>
      <c r="E12" s="58"/>
      <c r="F12" s="54"/>
      <c r="G12" s="180">
        <v>42500</v>
      </c>
      <c r="H12" s="180">
        <v>44499.96</v>
      </c>
      <c r="I12" s="180">
        <f>3750*12</f>
        <v>45000</v>
      </c>
      <c r="J12" s="180">
        <v>45500</v>
      </c>
      <c r="K12" s="180">
        <v>46000</v>
      </c>
    </row>
    <row r="13" spans="1:11" ht="20.25" x14ac:dyDescent="0.2">
      <c r="A13" s="54"/>
      <c r="B13" s="54"/>
      <c r="C13" s="55"/>
      <c r="D13" s="58" t="s">
        <v>157</v>
      </c>
      <c r="E13" s="58"/>
      <c r="F13" s="54"/>
      <c r="G13" s="180">
        <v>9000</v>
      </c>
      <c r="H13" s="180">
        <v>13000</v>
      </c>
      <c r="I13" s="180">
        <v>18000</v>
      </c>
      <c r="J13" s="180">
        <v>18000</v>
      </c>
      <c r="K13" s="180">
        <v>18000</v>
      </c>
    </row>
    <row r="14" spans="1:11" ht="20.25" x14ac:dyDescent="0.2">
      <c r="A14" s="54"/>
      <c r="B14" s="54"/>
      <c r="C14" s="58" t="s">
        <v>101</v>
      </c>
      <c r="D14" s="58"/>
      <c r="E14" s="58"/>
      <c r="F14" s="54"/>
      <c r="G14" s="180">
        <v>12796</v>
      </c>
      <c r="H14" s="180">
        <v>13071.46</v>
      </c>
      <c r="I14" s="180">
        <v>12695.06</v>
      </c>
      <c r="J14" s="180">
        <v>17445.740000000002</v>
      </c>
      <c r="K14" s="180">
        <v>17485</v>
      </c>
    </row>
    <row r="15" spans="1:11" ht="20.25" x14ac:dyDescent="0.2">
      <c r="A15" s="54"/>
      <c r="B15" s="54"/>
      <c r="C15" s="58" t="s">
        <v>476</v>
      </c>
      <c r="D15" s="58"/>
      <c r="E15" s="58"/>
      <c r="F15" s="54"/>
      <c r="G15" s="180">
        <f>25000</f>
        <v>25000</v>
      </c>
      <c r="H15" s="180">
        <v>71886</v>
      </c>
      <c r="I15" s="180">
        <v>77911.459999999992</v>
      </c>
      <c r="J15" s="180">
        <v>80378.48</v>
      </c>
      <c r="K15" s="180">
        <f>27500+3340</f>
        <v>30840</v>
      </c>
    </row>
    <row r="16" spans="1:11" ht="20.25" x14ac:dyDescent="0.2">
      <c r="A16" s="54"/>
      <c r="B16" s="54"/>
      <c r="C16" s="58" t="s">
        <v>347</v>
      </c>
      <c r="D16" s="58"/>
      <c r="E16" s="58"/>
      <c r="F16" s="54"/>
      <c r="G16" s="180">
        <f>659</f>
        <v>659</v>
      </c>
      <c r="H16" s="180">
        <v>7946</v>
      </c>
      <c r="I16" s="180">
        <v>255.74</v>
      </c>
      <c r="J16" s="180">
        <v>3312.47</v>
      </c>
      <c r="K16" s="180"/>
    </row>
    <row r="17" spans="1:11" ht="21" thickBot="1" x14ac:dyDescent="0.25">
      <c r="A17" s="54"/>
      <c r="B17" s="54"/>
      <c r="C17" s="58" t="s">
        <v>215</v>
      </c>
      <c r="D17" s="58"/>
      <c r="E17" s="58"/>
      <c r="F17" s="54"/>
      <c r="G17" s="187">
        <v>9315</v>
      </c>
      <c r="H17" s="187">
        <v>9315</v>
      </c>
      <c r="I17" s="187">
        <v>9315</v>
      </c>
      <c r="J17" s="187">
        <v>10548</v>
      </c>
      <c r="K17" s="187">
        <v>10548</v>
      </c>
    </row>
    <row r="18" spans="1:11" ht="20.25" x14ac:dyDescent="0.2">
      <c r="A18" s="54"/>
      <c r="B18" s="54"/>
      <c r="C18" s="58"/>
      <c r="D18" s="54" t="s">
        <v>103</v>
      </c>
      <c r="E18" s="58"/>
      <c r="F18" s="54"/>
      <c r="G18" s="180">
        <f>SUM(G8:G17)</f>
        <v>276186</v>
      </c>
      <c r="H18" s="180">
        <f>SUM(H8:H17)</f>
        <v>341333.83999999997</v>
      </c>
      <c r="I18" s="180">
        <f>SUM(I8:I17)</f>
        <v>250676.41999999998</v>
      </c>
      <c r="J18" s="180">
        <f>SUM(J8:J17)</f>
        <v>295337.45999999996</v>
      </c>
      <c r="K18" s="180">
        <f>SUM(K8:K17)</f>
        <v>254135</v>
      </c>
    </row>
    <row r="19" spans="1:11" ht="20.25" x14ac:dyDescent="0.2">
      <c r="A19" s="54"/>
      <c r="B19" s="54"/>
      <c r="C19" s="54" t="s">
        <v>216</v>
      </c>
      <c r="D19" s="58"/>
      <c r="E19" s="58"/>
      <c r="F19" s="54"/>
      <c r="G19" s="180">
        <v>19000</v>
      </c>
      <c r="H19" s="180">
        <v>19000</v>
      </c>
      <c r="I19" s="180">
        <v>19000</v>
      </c>
      <c r="J19" s="180">
        <v>18500</v>
      </c>
      <c r="K19" s="180">
        <f>13333/8*12</f>
        <v>19999.5</v>
      </c>
    </row>
    <row r="20" spans="1:11" ht="21" thickBot="1" x14ac:dyDescent="0.25">
      <c r="A20" s="54"/>
      <c r="B20" s="54"/>
      <c r="C20" s="54" t="s">
        <v>217</v>
      </c>
      <c r="D20" s="58"/>
      <c r="E20" s="58"/>
      <c r="F20" s="54"/>
      <c r="G20" s="187">
        <v>37641</v>
      </c>
      <c r="H20" s="187">
        <v>37834</v>
      </c>
      <c r="I20" s="187">
        <v>34669.31</v>
      </c>
      <c r="J20" s="187">
        <v>26400.720000000001</v>
      </c>
      <c r="K20" s="187">
        <v>43041</v>
      </c>
    </row>
    <row r="21" spans="1:11" ht="20.25" x14ac:dyDescent="0.2">
      <c r="A21" s="54"/>
      <c r="B21" s="54"/>
      <c r="C21" s="58"/>
      <c r="D21" s="54" t="s">
        <v>105</v>
      </c>
      <c r="E21" s="58"/>
      <c r="F21" s="54"/>
      <c r="G21" s="180">
        <f>SUM(G18:G20)</f>
        <v>332827</v>
      </c>
      <c r="H21" s="180">
        <f>SUM(H18:H20)</f>
        <v>398167.83999999997</v>
      </c>
      <c r="I21" s="180">
        <f>SUM(I18:I20)</f>
        <v>304345.73</v>
      </c>
      <c r="J21" s="180">
        <f>SUM(J18:J20)</f>
        <v>340238.17999999993</v>
      </c>
      <c r="K21" s="180">
        <f>SUM(K18:K20)</f>
        <v>317175.5</v>
      </c>
    </row>
    <row r="22" spans="1:11" ht="20.25" x14ac:dyDescent="0.2">
      <c r="A22" s="54"/>
      <c r="B22" s="54"/>
      <c r="C22" s="58"/>
      <c r="D22" s="54"/>
      <c r="E22" s="58"/>
      <c r="F22" s="54" t="s">
        <v>477</v>
      </c>
      <c r="G22" s="180"/>
      <c r="H22" s="180">
        <v>-46886</v>
      </c>
      <c r="I22" s="180"/>
      <c r="J22" s="180"/>
      <c r="K22" s="180"/>
    </row>
    <row r="23" spans="1:11" ht="20.25" x14ac:dyDescent="0.2">
      <c r="A23" s="54"/>
      <c r="B23" s="54"/>
      <c r="C23" s="58"/>
      <c r="D23" s="54" t="s">
        <v>478</v>
      </c>
      <c r="E23" s="58"/>
      <c r="F23" s="54"/>
      <c r="G23" s="180"/>
      <c r="H23" s="180">
        <f>SUM(H21:H22)</f>
        <v>351281.83999999997</v>
      </c>
      <c r="I23" s="180"/>
      <c r="J23" s="180"/>
      <c r="K23" s="180"/>
    </row>
    <row r="24" spans="1:11" ht="20.25" x14ac:dyDescent="0.2">
      <c r="A24" s="54"/>
      <c r="B24" s="54"/>
      <c r="C24" s="58"/>
      <c r="D24" s="54"/>
      <c r="E24" s="58"/>
      <c r="F24" s="54"/>
      <c r="G24" s="54"/>
      <c r="H24" s="54"/>
      <c r="I24" s="54"/>
      <c r="J24" s="461"/>
      <c r="K24" s="461"/>
    </row>
    <row r="25" spans="1:11" ht="21" thickBot="1" x14ac:dyDescent="0.25">
      <c r="A25" s="54"/>
      <c r="B25" s="66" t="s">
        <v>109</v>
      </c>
      <c r="C25" s="66"/>
      <c r="D25" s="66"/>
      <c r="E25" s="66"/>
      <c r="F25" s="66"/>
      <c r="G25" s="54"/>
      <c r="H25" s="54"/>
      <c r="I25" s="54"/>
      <c r="J25" s="55"/>
      <c r="K25" s="55"/>
    </row>
    <row r="26" spans="1:11" ht="20.25" x14ac:dyDescent="0.2">
      <c r="A26" s="54"/>
      <c r="B26" s="54"/>
      <c r="C26" s="58" t="s">
        <v>218</v>
      </c>
      <c r="D26" s="58"/>
      <c r="E26" s="58"/>
      <c r="F26" s="58"/>
      <c r="G26" s="58"/>
      <c r="H26" s="58"/>
      <c r="I26" s="58"/>
      <c r="J26" s="212"/>
      <c r="K26" s="212"/>
    </row>
    <row r="27" spans="1:11" ht="20.25" x14ac:dyDescent="0.2">
      <c r="A27" s="54"/>
      <c r="B27" s="54"/>
      <c r="C27" s="58"/>
      <c r="D27" s="803" t="s">
        <v>219</v>
      </c>
      <c r="E27" s="803"/>
      <c r="F27" s="803"/>
      <c r="G27" s="180">
        <v>146508</v>
      </c>
      <c r="H27" s="180">
        <v>162253.75</v>
      </c>
      <c r="I27" s="180">
        <v>133830.65</v>
      </c>
      <c r="J27" s="180">
        <v>155035.70000000001</v>
      </c>
      <c r="K27" s="180">
        <v>205058</v>
      </c>
    </row>
    <row r="28" spans="1:11" ht="20.25" x14ac:dyDescent="0.2">
      <c r="A28" s="54"/>
      <c r="B28" s="54"/>
      <c r="C28" s="58"/>
      <c r="D28" s="803" t="s">
        <v>220</v>
      </c>
      <c r="E28" s="803"/>
      <c r="F28" s="803"/>
      <c r="G28" s="180">
        <v>59928</v>
      </c>
      <c r="H28" s="180">
        <f>37966.12+23862.63+605.03+106.59</f>
        <v>62540.369999999995</v>
      </c>
      <c r="I28" s="180">
        <f>44061.17+21220.39</f>
        <v>65281.56</v>
      </c>
      <c r="J28" s="180">
        <f>43631.85+27917.65</f>
        <v>71549.5</v>
      </c>
      <c r="K28" s="180">
        <v>78236</v>
      </c>
    </row>
    <row r="29" spans="1:11" ht="20.25" x14ac:dyDescent="0.2">
      <c r="A29" s="54"/>
      <c r="B29" s="54"/>
      <c r="C29" s="58"/>
      <c r="D29" s="803" t="s">
        <v>111</v>
      </c>
      <c r="E29" s="803"/>
      <c r="F29" s="803"/>
      <c r="G29" s="180">
        <v>39636</v>
      </c>
      <c r="H29" s="180">
        <v>42279.58</v>
      </c>
      <c r="I29" s="180">
        <v>36601</v>
      </c>
      <c r="J29" s="180">
        <f>J27*0.213+J28*0.14</f>
        <v>43039.534100000004</v>
      </c>
      <c r="K29" s="180">
        <f>K27*0.213+K28*0.14</f>
        <v>54630.394</v>
      </c>
    </row>
    <row r="30" spans="1:11" ht="20.25" x14ac:dyDescent="0.2">
      <c r="A30" s="54"/>
      <c r="B30" s="54"/>
      <c r="C30" s="58" t="s">
        <v>276</v>
      </c>
      <c r="D30" s="58"/>
      <c r="E30" s="58"/>
      <c r="F30" s="58"/>
      <c r="G30" s="580"/>
      <c r="H30" s="580"/>
      <c r="I30" s="580"/>
      <c r="J30" s="580"/>
      <c r="K30" s="580"/>
    </row>
    <row r="31" spans="1:11" ht="20.25" x14ac:dyDescent="0.2">
      <c r="A31" s="54"/>
      <c r="B31" s="54"/>
      <c r="C31" s="58"/>
      <c r="D31" s="803" t="s">
        <v>221</v>
      </c>
      <c r="E31" s="803"/>
      <c r="F31" s="803"/>
      <c r="G31" s="180">
        <v>27184</v>
      </c>
      <c r="H31" s="180">
        <v>25472.83</v>
      </c>
      <c r="I31" s="180">
        <v>15135.29</v>
      </c>
      <c r="J31" s="180">
        <v>25112.19</v>
      </c>
      <c r="K31" s="180">
        <v>37937</v>
      </c>
    </row>
    <row r="32" spans="1:11" ht="20.25" x14ac:dyDescent="0.2">
      <c r="A32" s="54"/>
      <c r="B32" s="54"/>
      <c r="C32" s="58"/>
      <c r="D32" s="803" t="s">
        <v>222</v>
      </c>
      <c r="E32" s="803"/>
      <c r="F32" s="803"/>
      <c r="G32" s="180">
        <v>15511</v>
      </c>
      <c r="H32" s="180">
        <v>17989.87</v>
      </c>
      <c r="I32" s="180">
        <v>22636.98</v>
      </c>
      <c r="J32" s="180">
        <v>23957.25</v>
      </c>
      <c r="K32" s="180">
        <v>25355</v>
      </c>
    </row>
    <row r="33" spans="1:11" ht="20.25" x14ac:dyDescent="0.2">
      <c r="A33" s="54"/>
      <c r="B33" s="54"/>
      <c r="C33" s="58"/>
      <c r="D33" s="803" t="s">
        <v>302</v>
      </c>
      <c r="E33" s="803"/>
      <c r="F33" s="803"/>
      <c r="G33" s="180">
        <v>12450</v>
      </c>
      <c r="H33" s="180">
        <v>16090.9</v>
      </c>
      <c r="I33" s="180">
        <v>11030.88</v>
      </c>
      <c r="J33" s="180">
        <v>19504.66</v>
      </c>
      <c r="K33" s="180">
        <v>10952</v>
      </c>
    </row>
    <row r="34" spans="1:11" ht="20.25" x14ac:dyDescent="0.2">
      <c r="A34" s="54"/>
      <c r="B34" s="54"/>
      <c r="C34" s="58"/>
      <c r="D34" s="803" t="s">
        <v>223</v>
      </c>
      <c r="E34" s="803"/>
      <c r="F34" s="803"/>
      <c r="G34" s="180">
        <v>377</v>
      </c>
      <c r="H34" s="180">
        <v>1427.75</v>
      </c>
      <c r="I34" s="180">
        <v>397</v>
      </c>
      <c r="J34" s="180">
        <v>663</v>
      </c>
      <c r="K34" s="180">
        <v>744</v>
      </c>
    </row>
    <row r="35" spans="1:11" ht="20.25" x14ac:dyDescent="0.2">
      <c r="A35" s="54"/>
      <c r="B35" s="54"/>
      <c r="C35" s="58" t="s">
        <v>461</v>
      </c>
      <c r="D35" s="58"/>
      <c r="E35" s="58"/>
      <c r="F35" s="58"/>
      <c r="G35" s="180">
        <v>25080</v>
      </c>
      <c r="H35" s="180">
        <f>22438.68+1591</f>
        <v>24029.68</v>
      </c>
      <c r="I35" s="180">
        <f>29909+1860</f>
        <v>31769</v>
      </c>
      <c r="J35" s="180">
        <f>1903+28481</f>
        <v>30384</v>
      </c>
      <c r="K35" s="180">
        <v>31133</v>
      </c>
    </row>
    <row r="36" spans="1:11" ht="20.25" x14ac:dyDescent="0.2">
      <c r="A36" s="54"/>
      <c r="B36" s="54"/>
      <c r="C36" s="58" t="s">
        <v>102</v>
      </c>
      <c r="D36" s="58"/>
      <c r="E36" s="58"/>
      <c r="F36" s="58"/>
      <c r="G36" s="180">
        <f>G17</f>
        <v>9315</v>
      </c>
      <c r="H36" s="180">
        <f>H17</f>
        <v>9315</v>
      </c>
      <c r="I36" s="180">
        <f>I17</f>
        <v>9315</v>
      </c>
      <c r="J36" s="180">
        <f>J17</f>
        <v>10548</v>
      </c>
      <c r="K36" s="180">
        <f>K17</f>
        <v>10548</v>
      </c>
    </row>
    <row r="37" spans="1:11" ht="20.25" x14ac:dyDescent="0.2">
      <c r="A37" s="54"/>
      <c r="B37" s="54"/>
      <c r="C37" s="58" t="s">
        <v>549</v>
      </c>
      <c r="D37" s="58"/>
      <c r="E37" s="58"/>
      <c r="F37" s="58"/>
      <c r="G37" s="180">
        <v>4075</v>
      </c>
      <c r="H37" s="180">
        <v>4497</v>
      </c>
      <c r="I37" s="180">
        <v>4682.25</v>
      </c>
      <c r="J37" s="180">
        <v>4231.88</v>
      </c>
      <c r="K37" s="180">
        <f>3948.9+400+400+447</f>
        <v>5195.8999999999996</v>
      </c>
    </row>
    <row r="38" spans="1:11" ht="20.25" x14ac:dyDescent="0.2">
      <c r="A38" s="54"/>
      <c r="B38" s="54"/>
      <c r="C38" s="58" t="s">
        <v>225</v>
      </c>
      <c r="D38" s="58"/>
      <c r="E38" s="58"/>
      <c r="F38" s="58"/>
      <c r="G38" s="180">
        <v>1496</v>
      </c>
      <c r="H38" s="180">
        <f>75+874</f>
        <v>949</v>
      </c>
      <c r="I38" s="180">
        <v>982</v>
      </c>
      <c r="J38" s="180">
        <f>99+937</f>
        <v>1036</v>
      </c>
      <c r="K38" s="180">
        <v>2293</v>
      </c>
    </row>
    <row r="39" spans="1:11" ht="20.25" x14ac:dyDescent="0.2">
      <c r="A39" s="54"/>
      <c r="B39" s="54"/>
      <c r="C39" s="58" t="s">
        <v>379</v>
      </c>
      <c r="D39" s="58"/>
      <c r="E39" s="58"/>
      <c r="F39" s="58"/>
      <c r="G39" s="180">
        <v>3430</v>
      </c>
      <c r="H39" s="180">
        <v>4436.1400000000003</v>
      </c>
      <c r="I39" s="180">
        <v>7774.44</v>
      </c>
      <c r="J39" s="180">
        <f>7884.62+184.74</f>
        <v>8069.36</v>
      </c>
      <c r="K39" s="180">
        <v>8659</v>
      </c>
    </row>
    <row r="40" spans="1:11" ht="20.25" x14ac:dyDescent="0.2">
      <c r="A40" s="54"/>
      <c r="B40" s="54"/>
      <c r="C40" s="58" t="s">
        <v>226</v>
      </c>
      <c r="D40" s="58"/>
      <c r="E40" s="58"/>
      <c r="F40" s="58"/>
      <c r="G40" s="180">
        <v>459</v>
      </c>
      <c r="H40" s="180">
        <f>223.01+568.51</f>
        <v>791.52</v>
      </c>
      <c r="I40" s="180">
        <v>636.94000000000005</v>
      </c>
      <c r="J40" s="180">
        <f>958.23+28.31+10.3+36.4+4907.37</f>
        <v>5940.61</v>
      </c>
      <c r="K40" s="180">
        <v>1734</v>
      </c>
    </row>
    <row r="41" spans="1:11" ht="20.25" x14ac:dyDescent="0.2">
      <c r="A41" s="54"/>
      <c r="B41" s="54"/>
      <c r="C41" s="58" t="s">
        <v>120</v>
      </c>
      <c r="D41" s="58"/>
      <c r="E41" s="58"/>
      <c r="F41" s="58"/>
      <c r="G41" s="180">
        <v>1041</v>
      </c>
      <c r="H41" s="180">
        <v>1826.56</v>
      </c>
      <c r="I41" s="180">
        <v>2528.2399999999998</v>
      </c>
      <c r="J41" s="180">
        <v>3426.72</v>
      </c>
      <c r="K41" s="180">
        <v>5037</v>
      </c>
    </row>
    <row r="42" spans="1:11" ht="20.25" x14ac:dyDescent="0.2">
      <c r="A42" s="54"/>
      <c r="B42" s="54"/>
      <c r="C42" s="58" t="s">
        <v>118</v>
      </c>
      <c r="D42" s="58"/>
      <c r="E42" s="58"/>
      <c r="F42" s="58"/>
      <c r="G42" s="180">
        <v>436</v>
      </c>
      <c r="H42" s="180">
        <v>396.82</v>
      </c>
      <c r="I42" s="180">
        <v>385.18</v>
      </c>
      <c r="J42" s="180">
        <v>420.52</v>
      </c>
      <c r="K42" s="180">
        <v>659</v>
      </c>
    </row>
    <row r="43" spans="1:11" ht="20.25" x14ac:dyDescent="0.2">
      <c r="A43" s="54"/>
      <c r="B43" s="54"/>
      <c r="C43" s="58" t="s">
        <v>227</v>
      </c>
      <c r="D43" s="58"/>
      <c r="E43" s="58"/>
      <c r="F43" s="58"/>
      <c r="G43" s="180"/>
      <c r="H43" s="180"/>
      <c r="I43" s="180"/>
      <c r="J43" s="180"/>
      <c r="K43" s="180"/>
    </row>
    <row r="44" spans="1:11" ht="20.25" x14ac:dyDescent="0.2">
      <c r="A44" s="58"/>
      <c r="B44" s="58"/>
      <c r="C44" s="58" t="s">
        <v>114</v>
      </c>
      <c r="D44" s="58"/>
      <c r="E44" s="58"/>
      <c r="F44" s="58"/>
      <c r="G44" s="180">
        <v>205</v>
      </c>
      <c r="H44" s="180">
        <v>422.62</v>
      </c>
      <c r="I44" s="180">
        <v>265.58</v>
      </c>
      <c r="J44" s="180">
        <v>225.92</v>
      </c>
      <c r="K44" s="180">
        <v>278</v>
      </c>
    </row>
    <row r="45" spans="1:11" ht="20.25" x14ac:dyDescent="0.2">
      <c r="A45" s="58"/>
      <c r="B45" s="58"/>
      <c r="C45" s="58" t="s">
        <v>228</v>
      </c>
      <c r="D45" s="58"/>
      <c r="E45" s="58"/>
      <c r="F45" s="58"/>
      <c r="G45" s="182">
        <v>542</v>
      </c>
      <c r="H45" s="182">
        <f>248.22+18.56+28.25+5</f>
        <v>300.02999999999997</v>
      </c>
      <c r="I45" s="182">
        <v>938.98</v>
      </c>
      <c r="J45" s="182">
        <f>292.24+4514.12-J37+84.23</f>
        <v>658.70999999999958</v>
      </c>
      <c r="K45" s="182">
        <f>586+1269-304+292-0.5</f>
        <v>1842.5</v>
      </c>
    </row>
    <row r="46" spans="1:11" ht="21" thickBot="1" x14ac:dyDescent="0.25">
      <c r="A46" s="54"/>
      <c r="B46" s="54"/>
      <c r="C46" s="54"/>
      <c r="D46" s="54" t="s">
        <v>126</v>
      </c>
      <c r="E46" s="54"/>
      <c r="F46" s="54"/>
      <c r="G46" s="363">
        <f>SUM(G27:G45)</f>
        <v>347673</v>
      </c>
      <c r="H46" s="363">
        <f>SUM(H27:H45)</f>
        <v>375019.4200000001</v>
      </c>
      <c r="I46" s="363">
        <f>SUM(I27:I45)</f>
        <v>344190.97</v>
      </c>
      <c r="J46" s="363">
        <f>SUM(J27:J45)</f>
        <v>403803.55409999995</v>
      </c>
      <c r="K46" s="363">
        <f>SUM(K27:K45)</f>
        <v>480291.79399999999</v>
      </c>
    </row>
    <row r="47" spans="1:11" ht="21" thickBot="1" x14ac:dyDescent="0.25">
      <c r="A47" s="54"/>
      <c r="B47" s="54"/>
      <c r="C47" s="54"/>
      <c r="D47" s="54" t="s">
        <v>127</v>
      </c>
      <c r="E47" s="54"/>
      <c r="F47" s="54"/>
      <c r="G47" s="364">
        <f>G21-G46</f>
        <v>-14846</v>
      </c>
      <c r="H47" s="364">
        <f>H21-H46</f>
        <v>23148.419999999867</v>
      </c>
      <c r="I47" s="364">
        <f>I21-I46</f>
        <v>-39845.239999999991</v>
      </c>
      <c r="J47" s="364">
        <f>J21-J46</f>
        <v>-63565.374100000015</v>
      </c>
      <c r="K47" s="364">
        <f>K21-K46</f>
        <v>-163116.29399999999</v>
      </c>
    </row>
    <row r="48" spans="1:11" ht="20.25" x14ac:dyDescent="0.2">
      <c r="A48" s="54"/>
      <c r="B48" s="54"/>
      <c r="C48" s="54"/>
      <c r="D48" s="54"/>
      <c r="E48" s="54"/>
      <c r="F48" s="54"/>
      <c r="G48" s="54"/>
      <c r="H48" s="54"/>
      <c r="I48" s="180"/>
      <c r="J48" s="180"/>
      <c r="K48" s="180"/>
    </row>
    <row r="49" spans="1:11" ht="26.25" x14ac:dyDescent="0.2">
      <c r="A49" s="206"/>
      <c r="B49" s="206"/>
      <c r="C49" s="58" t="s">
        <v>263</v>
      </c>
      <c r="D49" s="52"/>
      <c r="E49" s="58"/>
      <c r="F49" s="58"/>
      <c r="G49" s="639"/>
      <c r="H49" s="639">
        <f>-69500</f>
        <v>-69500</v>
      </c>
      <c r="I49" s="58"/>
      <c r="J49" s="180"/>
      <c r="K49" s="180"/>
    </row>
    <row r="50" spans="1:11" ht="20.25" x14ac:dyDescent="0.2">
      <c r="A50" s="54"/>
      <c r="B50" s="54"/>
      <c r="C50" s="58" t="s">
        <v>446</v>
      </c>
      <c r="D50" s="55"/>
      <c r="E50" s="54"/>
      <c r="F50" s="55"/>
      <c r="G50" s="180">
        <f>G35</f>
        <v>25080</v>
      </c>
      <c r="H50" s="180">
        <f>H35</f>
        <v>24029.68</v>
      </c>
      <c r="I50" s="180">
        <f>I35</f>
        <v>31769</v>
      </c>
      <c r="J50" s="180">
        <f>J35</f>
        <v>30384</v>
      </c>
      <c r="K50" s="180">
        <f>K35</f>
        <v>31133</v>
      </c>
    </row>
    <row r="51" spans="1:11" ht="24" thickBot="1" x14ac:dyDescent="0.25">
      <c r="A51" s="54"/>
      <c r="B51" s="209"/>
      <c r="C51" s="54"/>
      <c r="D51" s="806" t="s">
        <v>230</v>
      </c>
      <c r="E51" s="806"/>
      <c r="F51" s="806"/>
      <c r="G51" s="365">
        <f>G47+G49+G50</f>
        <v>10234</v>
      </c>
      <c r="H51" s="365">
        <f>H47+H49+H50</f>
        <v>-22321.900000000132</v>
      </c>
      <c r="I51" s="365">
        <f>I47+I49+I50</f>
        <v>-8076.2399999999907</v>
      </c>
      <c r="J51" s="365">
        <f>J47+J49+J50</f>
        <v>-33181.374100000015</v>
      </c>
      <c r="K51" s="365">
        <f>K47+K49+K50</f>
        <v>-131983.29399999999</v>
      </c>
    </row>
    <row r="52" spans="1:11" ht="21" thickTop="1" x14ac:dyDescent="0.2">
      <c r="A52" s="54"/>
      <c r="B52" s="54"/>
      <c r="C52" s="54"/>
      <c r="D52" s="54"/>
      <c r="E52" s="54"/>
      <c r="F52" s="54"/>
      <c r="G52" s="54"/>
      <c r="H52" s="54"/>
      <c r="I52" s="54"/>
      <c r="J52" s="180"/>
      <c r="K52" s="180"/>
    </row>
    <row r="53" spans="1:11" ht="20.25" x14ac:dyDescent="0.2">
      <c r="A53" s="58"/>
      <c r="B53" s="58"/>
      <c r="C53" s="58"/>
      <c r="D53" s="58"/>
      <c r="E53" s="55"/>
      <c r="F53" s="58" t="s">
        <v>307</v>
      </c>
      <c r="G53" s="180">
        <v>225930</v>
      </c>
      <c r="H53" s="180">
        <v>227723</v>
      </c>
      <c r="I53" s="180">
        <v>178666</v>
      </c>
      <c r="J53" s="180">
        <v>206080</v>
      </c>
      <c r="K53" s="180">
        <v>227490</v>
      </c>
    </row>
    <row r="54" spans="1:11" ht="21" thickBot="1" x14ac:dyDescent="0.25">
      <c r="A54" s="58"/>
      <c r="B54" s="58"/>
      <c r="C54" s="58"/>
      <c r="D54" s="58"/>
      <c r="E54" s="55"/>
      <c r="F54" s="58" t="s">
        <v>312</v>
      </c>
      <c r="G54" s="471">
        <f>(G46-G35-G36)/G53</f>
        <v>1.386615323330235</v>
      </c>
      <c r="H54" s="471">
        <f>(H46-H35-H36)/H53</f>
        <v>1.5003962709080774</v>
      </c>
      <c r="I54" s="471">
        <f>(I46-I35-I36)/I53</f>
        <v>1.6965005653006167</v>
      </c>
      <c r="J54" s="471">
        <f>(J46-J35-J36)/J53</f>
        <v>1.7608285816187885</v>
      </c>
      <c r="K54" s="471">
        <f>(K46-K35-K36)/K53</f>
        <v>1.9280442832651985</v>
      </c>
    </row>
    <row r="55" spans="1:11" ht="20.25" x14ac:dyDescent="0.2">
      <c r="A55" s="58"/>
      <c r="B55" s="58"/>
      <c r="C55" s="58"/>
      <c r="D55" s="58"/>
      <c r="E55" s="55"/>
      <c r="F55" s="58"/>
      <c r="G55" s="58"/>
      <c r="H55" s="180"/>
      <c r="I55" s="180"/>
      <c r="J55" s="180"/>
      <c r="K55" s="180"/>
    </row>
    <row r="56" spans="1:11" ht="20.25" x14ac:dyDescent="0.2">
      <c r="A56" s="58"/>
      <c r="B56" s="58"/>
      <c r="C56" s="58"/>
      <c r="D56" s="58"/>
      <c r="E56" s="55"/>
      <c r="F56" s="58" t="s">
        <v>308</v>
      </c>
      <c r="G56" s="180">
        <v>15755</v>
      </c>
      <c r="H56" s="180">
        <v>16457</v>
      </c>
      <c r="I56" s="180">
        <v>10151</v>
      </c>
      <c r="J56" s="180">
        <v>10428</v>
      </c>
      <c r="K56" s="180">
        <v>11449</v>
      </c>
    </row>
    <row r="57" spans="1:11" ht="21" thickBot="1" x14ac:dyDescent="0.25">
      <c r="A57" s="58"/>
      <c r="B57" s="58"/>
      <c r="C57" s="58"/>
      <c r="D57" s="58"/>
      <c r="E57" s="55"/>
      <c r="F57" s="58" t="s">
        <v>368</v>
      </c>
      <c r="G57" s="471">
        <f>(G46-G35-G36)/G56</f>
        <v>19.884354173278325</v>
      </c>
      <c r="H57" s="471">
        <f>(H46-H35-H36)/H56</f>
        <v>20.761666160296535</v>
      </c>
      <c r="I57" s="471">
        <f>(I46-I35-I36)/I56</f>
        <v>29.859813811447147</v>
      </c>
      <c r="J57" s="471">
        <f>(J46-J35-J36)/J56</f>
        <v>34.797809177215186</v>
      </c>
      <c r="K57" s="471">
        <f>(K46-K35-K36)/K56</f>
        <v>38.309965411826362</v>
      </c>
    </row>
    <row r="58" spans="1:11" ht="20.25" x14ac:dyDescent="0.2">
      <c r="A58" s="58"/>
      <c r="B58" s="58"/>
      <c r="C58" s="58"/>
      <c r="D58" s="58"/>
      <c r="E58" s="55"/>
      <c r="F58" s="58"/>
      <c r="G58" s="58"/>
      <c r="H58" s="180"/>
      <c r="I58" s="180"/>
      <c r="J58" s="180"/>
      <c r="K58" s="180"/>
    </row>
    <row r="59" spans="1:11" ht="20.25" hidden="1" x14ac:dyDescent="0.2">
      <c r="A59" s="58"/>
      <c r="B59" s="58"/>
      <c r="C59" s="54"/>
      <c r="D59" s="58"/>
      <c r="E59" s="55"/>
      <c r="F59" s="58" t="s">
        <v>309</v>
      </c>
      <c r="G59" s="58"/>
      <c r="H59" s="180">
        <v>2102</v>
      </c>
      <c r="I59" s="180">
        <v>2696</v>
      </c>
      <c r="J59" s="180">
        <v>2714</v>
      </c>
      <c r="K59" s="180">
        <v>2714</v>
      </c>
    </row>
    <row r="60" spans="1:11" ht="21" hidden="1" thickBot="1" x14ac:dyDescent="0.25">
      <c r="A60" s="58"/>
      <c r="B60" s="58"/>
      <c r="C60" s="58"/>
      <c r="D60" s="58"/>
      <c r="E60" s="58"/>
      <c r="F60" s="58" t="s">
        <v>369</v>
      </c>
      <c r="G60" s="58"/>
      <c r="H60" s="471">
        <f>H9/H59</f>
        <v>5.8413035204567079</v>
      </c>
      <c r="I60" s="471">
        <f>I8/I59</f>
        <v>25.248538575667656</v>
      </c>
      <c r="J60" s="471">
        <f>J8/J59</f>
        <v>31.557439204126752</v>
      </c>
      <c r="K60" s="471">
        <f>K8/K59</f>
        <v>31.12675018422992</v>
      </c>
    </row>
    <row r="61" spans="1:11" ht="20.25" hidden="1" x14ac:dyDescent="0.2">
      <c r="A61" s="58"/>
      <c r="B61" s="58"/>
      <c r="C61" s="54"/>
      <c r="D61" s="54"/>
      <c r="E61" s="55"/>
      <c r="F61" s="55"/>
      <c r="G61" s="55"/>
      <c r="H61" s="55"/>
      <c r="I61" s="180"/>
      <c r="J61" s="180"/>
      <c r="K61" s="180"/>
    </row>
    <row r="62" spans="1:11" ht="20.25" hidden="1" x14ac:dyDescent="0.2">
      <c r="A62" s="58"/>
      <c r="B62" s="58"/>
      <c r="C62" s="58"/>
      <c r="D62" s="58"/>
      <c r="E62" s="58"/>
      <c r="F62" s="58" t="s">
        <v>480</v>
      </c>
      <c r="G62" s="58"/>
      <c r="H62" s="180">
        <v>195138</v>
      </c>
      <c r="I62" s="180">
        <v>104281</v>
      </c>
      <c r="J62" s="180">
        <v>114885</v>
      </c>
      <c r="K62" s="180">
        <v>134000</v>
      </c>
    </row>
    <row r="63" spans="1:11" ht="21" hidden="1" thickBot="1" x14ac:dyDescent="0.25">
      <c r="A63" s="58"/>
      <c r="B63" s="58"/>
      <c r="C63" s="58"/>
      <c r="D63" s="58"/>
      <c r="E63" s="58"/>
      <c r="F63" s="58" t="s">
        <v>312</v>
      </c>
      <c r="G63" s="58"/>
      <c r="H63" s="471">
        <f>(H46-H35-H36)/H62</f>
        <v>1.7509390277649668</v>
      </c>
      <c r="I63" s="471">
        <f>(I46-I35-I36)/I62</f>
        <v>2.9066365876813607</v>
      </c>
      <c r="J63" s="471">
        <f>(J46-J35-J36)/J62</f>
        <v>3.1585633816425118</v>
      </c>
      <c r="K63" s="471">
        <f>(K46-K35-K36)/K62</f>
        <v>3.2732148805970147</v>
      </c>
    </row>
    <row r="64" spans="1:11" ht="20.25" hidden="1" x14ac:dyDescent="0.2">
      <c r="A64" s="58"/>
      <c r="B64" s="58"/>
      <c r="C64" s="54"/>
      <c r="D64" s="58"/>
      <c r="E64" s="55"/>
      <c r="F64" s="58"/>
      <c r="G64" s="58"/>
      <c r="H64" s="58"/>
      <c r="I64" s="180"/>
      <c r="J64" s="180"/>
      <c r="K64" s="180"/>
    </row>
    <row r="65" spans="1:11" ht="20.25" hidden="1" x14ac:dyDescent="0.2">
      <c r="A65" s="58"/>
      <c r="B65" s="58"/>
      <c r="C65" s="54"/>
      <c r="D65" s="58"/>
      <c r="E65" s="55"/>
      <c r="F65" s="58" t="s">
        <v>480</v>
      </c>
      <c r="G65" s="58"/>
      <c r="H65" s="180">
        <v>195138</v>
      </c>
      <c r="I65" s="180">
        <v>104281</v>
      </c>
      <c r="J65" s="180">
        <v>114885</v>
      </c>
      <c r="K65" s="180">
        <f>K62</f>
        <v>134000</v>
      </c>
    </row>
    <row r="66" spans="1:11" ht="20.25" hidden="1" x14ac:dyDescent="0.2">
      <c r="A66" s="58"/>
      <c r="B66" s="58"/>
      <c r="C66" s="54"/>
      <c r="D66" s="58"/>
      <c r="E66" s="55"/>
      <c r="F66" s="58" t="s">
        <v>308</v>
      </c>
      <c r="G66" s="58"/>
      <c r="H66" s="180">
        <v>16457</v>
      </c>
      <c r="I66" s="180">
        <v>10151</v>
      </c>
      <c r="J66" s="180">
        <v>10428</v>
      </c>
      <c r="K66" s="180">
        <f>K56</f>
        <v>11449</v>
      </c>
    </row>
    <row r="67" spans="1:11" ht="21" hidden="1" thickBot="1" x14ac:dyDescent="0.25">
      <c r="A67" s="58"/>
      <c r="B67" s="58"/>
      <c r="C67" s="58"/>
      <c r="D67" s="58"/>
      <c r="E67" s="58"/>
      <c r="F67" s="58" t="s">
        <v>481</v>
      </c>
      <c r="G67" s="58"/>
      <c r="H67" s="640">
        <f>H65/H66</f>
        <v>11.857446679224646</v>
      </c>
      <c r="I67" s="640">
        <f>I65/I66</f>
        <v>10.272978031721014</v>
      </c>
      <c r="J67" s="640">
        <f>J65/J66</f>
        <v>11.016973532796317</v>
      </c>
      <c r="K67" s="640">
        <f>K65/K66</f>
        <v>11.704078958861036</v>
      </c>
    </row>
    <row r="68" spans="1:11" ht="20.25" hidden="1" x14ac:dyDescent="0.2">
      <c r="A68" s="54"/>
      <c r="B68" s="54"/>
      <c r="C68" s="54"/>
      <c r="D68" s="54"/>
      <c r="E68" s="54"/>
      <c r="F68" s="54"/>
      <c r="G68" s="54"/>
      <c r="H68" s="54"/>
      <c r="I68" s="183"/>
      <c r="J68" s="183"/>
      <c r="K68" s="183"/>
    </row>
    <row r="69" spans="1:11" ht="20.25" hidden="1" x14ac:dyDescent="0.2">
      <c r="A69" s="54"/>
      <c r="B69" s="54"/>
      <c r="C69" s="54"/>
      <c r="D69" s="54"/>
      <c r="E69" s="54"/>
      <c r="F69" s="58" t="s">
        <v>482</v>
      </c>
      <c r="G69" s="58"/>
      <c r="H69" s="180">
        <v>227723</v>
      </c>
      <c r="I69" s="180">
        <v>178666</v>
      </c>
      <c r="J69" s="180">
        <v>206080</v>
      </c>
      <c r="K69" s="180">
        <f>K53</f>
        <v>227490</v>
      </c>
    </row>
    <row r="70" spans="1:11" ht="20.25" hidden="1" x14ac:dyDescent="0.2">
      <c r="A70" s="54"/>
      <c r="B70" s="54"/>
      <c r="C70" s="54"/>
      <c r="D70" s="54"/>
      <c r="E70" s="54"/>
      <c r="F70" s="58" t="s">
        <v>308</v>
      </c>
      <c r="G70" s="58"/>
      <c r="H70" s="180">
        <v>16457</v>
      </c>
      <c r="I70" s="180">
        <v>10151</v>
      </c>
      <c r="J70" s="180">
        <v>10428</v>
      </c>
      <c r="K70" s="180">
        <f>K56</f>
        <v>11449</v>
      </c>
    </row>
    <row r="71" spans="1:11" ht="21" hidden="1" thickBot="1" x14ac:dyDescent="0.25">
      <c r="A71" s="54"/>
      <c r="B71" s="54"/>
      <c r="C71" s="54"/>
      <c r="D71" s="54"/>
      <c r="E71" s="54"/>
      <c r="F71" s="58" t="s">
        <v>483</v>
      </c>
      <c r="G71" s="58"/>
      <c r="H71" s="640">
        <f>H69/H70</f>
        <v>13.837455186242936</v>
      </c>
      <c r="I71" s="640">
        <f>I69/I70</f>
        <v>17.600827504679341</v>
      </c>
      <c r="J71" s="640">
        <f>J69/J70</f>
        <v>19.762178749520523</v>
      </c>
      <c r="K71" s="640">
        <f>K69/K70</f>
        <v>19.869857629487292</v>
      </c>
    </row>
    <row r="72" spans="1:11" ht="20.25" hidden="1" x14ac:dyDescent="0.2">
      <c r="A72" s="54"/>
      <c r="B72" s="54"/>
      <c r="C72" s="54"/>
      <c r="D72" s="54"/>
      <c r="E72" s="54"/>
      <c r="F72" s="58"/>
      <c r="G72" s="58"/>
      <c r="H72" s="641"/>
      <c r="I72" s="641"/>
      <c r="J72" s="641"/>
      <c r="K72" s="641"/>
    </row>
    <row r="73" spans="1:11" ht="20.25" hidden="1" x14ac:dyDescent="0.2">
      <c r="A73" s="54"/>
      <c r="B73" s="54"/>
      <c r="C73" s="54"/>
      <c r="D73" s="54"/>
      <c r="E73" s="54"/>
      <c r="F73" s="642" t="s">
        <v>484</v>
      </c>
      <c r="G73" s="642"/>
      <c r="H73" s="54"/>
      <c r="I73" s="54"/>
      <c r="J73" s="183"/>
      <c r="K73" s="183"/>
    </row>
    <row r="74" spans="1:11" ht="20.25" hidden="1" x14ac:dyDescent="0.2">
      <c r="A74" s="54"/>
      <c r="B74" s="54"/>
      <c r="C74" s="54"/>
      <c r="D74" s="54"/>
      <c r="E74" s="54"/>
      <c r="F74" s="54" t="s">
        <v>485</v>
      </c>
      <c r="G74" s="54"/>
      <c r="H74" s="643">
        <f t="shared" ref="H74:J74" si="0">H27+(H27*0.21)+H31+H33</f>
        <v>237890.76749999999</v>
      </c>
      <c r="I74" s="643">
        <f t="shared" si="0"/>
        <v>188101.25649999999</v>
      </c>
      <c r="J74" s="643">
        <f t="shared" si="0"/>
        <v>232210.04700000002</v>
      </c>
      <c r="K74" s="643">
        <f>K27+(K27*0.2)+K31+K33</f>
        <v>294958.59999999998</v>
      </c>
    </row>
    <row r="75" spans="1:11" ht="23.25" hidden="1" x14ac:dyDescent="0.2">
      <c r="A75" s="54"/>
      <c r="B75" s="209"/>
      <c r="C75" s="54"/>
      <c r="D75" s="54"/>
      <c r="E75" s="54"/>
      <c r="F75" s="54" t="s">
        <v>486</v>
      </c>
      <c r="G75" s="54"/>
      <c r="H75" s="183">
        <f>H46-H74-H76</f>
        <v>103783.97250000012</v>
      </c>
      <c r="I75" s="183">
        <f>I46-I74-I76</f>
        <v>115005.71349999998</v>
      </c>
      <c r="J75" s="183">
        <f>J46-J74-J76</f>
        <v>130661.50709999993</v>
      </c>
      <c r="K75" s="183">
        <f>K46-K74-K76</f>
        <v>143652.19400000002</v>
      </c>
    </row>
    <row r="76" spans="1:11" ht="20.25" hidden="1" x14ac:dyDescent="0.2">
      <c r="A76" s="58"/>
      <c r="B76" s="58"/>
      <c r="C76" s="55"/>
      <c r="D76" s="58"/>
      <c r="E76" s="58"/>
      <c r="F76" s="54" t="s">
        <v>487</v>
      </c>
      <c r="G76" s="54"/>
      <c r="H76" s="183">
        <f>H35+H36</f>
        <v>33344.68</v>
      </c>
      <c r="I76" s="183">
        <f>I35+I36</f>
        <v>41084</v>
      </c>
      <c r="J76" s="183">
        <f>J35+J36</f>
        <v>40932</v>
      </c>
      <c r="K76" s="183">
        <f>K35+K36</f>
        <v>41681</v>
      </c>
    </row>
    <row r="77" spans="1:11" ht="21" hidden="1" thickBot="1" x14ac:dyDescent="0.25">
      <c r="A77" s="58"/>
      <c r="B77" s="58"/>
      <c r="C77" s="55"/>
      <c r="D77" s="58"/>
      <c r="E77" s="58"/>
      <c r="F77" s="54" t="s">
        <v>488</v>
      </c>
      <c r="G77" s="54"/>
      <c r="H77" s="645">
        <f>SUM(H74:H76)</f>
        <v>375019.4200000001</v>
      </c>
      <c r="I77" s="645">
        <f>SUM(I74:I76)</f>
        <v>344190.97</v>
      </c>
      <c r="J77" s="645">
        <f>SUM(J74:J76)</f>
        <v>403803.55409999995</v>
      </c>
      <c r="K77" s="645">
        <f>SUM(K74:K76)</f>
        <v>480291.79399999999</v>
      </c>
    </row>
    <row r="78" spans="1:11" ht="21" hidden="1" thickTop="1" x14ac:dyDescent="0.2">
      <c r="A78" s="58"/>
      <c r="B78" s="58"/>
      <c r="C78" s="55"/>
      <c r="D78" s="58"/>
      <c r="E78" s="58"/>
      <c r="F78" s="54" t="s">
        <v>489</v>
      </c>
      <c r="G78" s="54"/>
      <c r="H78" s="646">
        <v>195138</v>
      </c>
      <c r="I78" s="646">
        <v>104281</v>
      </c>
      <c r="J78" s="647">
        <f>J62</f>
        <v>114885</v>
      </c>
      <c r="K78" s="647">
        <f>K62</f>
        <v>134000</v>
      </c>
    </row>
    <row r="79" spans="1:11" ht="20.25" hidden="1" x14ac:dyDescent="0.2">
      <c r="A79" s="58"/>
      <c r="B79" s="58"/>
      <c r="C79" s="55"/>
      <c r="D79" s="58"/>
      <c r="E79" s="58"/>
      <c r="F79" s="54" t="s">
        <v>490</v>
      </c>
      <c r="G79" s="54"/>
      <c r="H79" s="648">
        <f>H74/H78</f>
        <v>1.2190899132921316</v>
      </c>
      <c r="I79" s="648">
        <f>I74/I78</f>
        <v>1.8037922200592629</v>
      </c>
      <c r="J79" s="648">
        <f>J74/J78</f>
        <v>2.0212390390390391</v>
      </c>
      <c r="K79" s="648">
        <f>K74/K78</f>
        <v>2.201183582089552</v>
      </c>
    </row>
    <row r="80" spans="1:11" ht="20.25" hidden="1" x14ac:dyDescent="0.2">
      <c r="A80" s="58"/>
      <c r="B80" s="58"/>
      <c r="C80" s="55"/>
      <c r="D80" s="58"/>
      <c r="E80" s="58"/>
      <c r="F80" s="54" t="s">
        <v>491</v>
      </c>
      <c r="G80" s="54"/>
      <c r="H80" s="648">
        <f>H75/H56</f>
        <v>6.3063725162544886</v>
      </c>
      <c r="I80" s="648">
        <f>I75/I56</f>
        <v>11.329495960989064</v>
      </c>
      <c r="J80" s="648">
        <f>J75/J56</f>
        <v>12.529872180667427</v>
      </c>
      <c r="K80" s="648">
        <f>K75/K56</f>
        <v>12.54713896410167</v>
      </c>
    </row>
    <row r="81" spans="1:11" ht="20.25" hidden="1" x14ac:dyDescent="0.2">
      <c r="A81" s="58"/>
      <c r="B81" s="58"/>
      <c r="C81" s="55"/>
      <c r="D81" s="58"/>
      <c r="E81" s="58"/>
      <c r="F81" s="54"/>
      <c r="G81" s="54"/>
      <c r="H81" s="54"/>
      <c r="I81" s="648"/>
      <c r="J81" s="648"/>
      <c r="K81" s="648"/>
    </row>
    <row r="82" spans="1:11" ht="20.25" hidden="1" x14ac:dyDescent="0.2">
      <c r="A82" s="58"/>
      <c r="B82" s="58"/>
      <c r="C82" s="55"/>
      <c r="D82" s="58"/>
      <c r="E82" s="58"/>
      <c r="F82" s="55"/>
      <c r="G82" s="55"/>
      <c r="H82" s="58"/>
      <c r="I82" s="58"/>
      <c r="J82" s="180"/>
      <c r="K82" s="180"/>
    </row>
    <row r="83" spans="1:11" ht="20.25" hidden="1" x14ac:dyDescent="0.2">
      <c r="A83" s="54"/>
      <c r="B83" s="54"/>
      <c r="C83" s="55"/>
      <c r="D83" s="58"/>
      <c r="E83" s="54"/>
      <c r="F83" s="54" t="s">
        <v>485</v>
      </c>
      <c r="G83" s="54"/>
      <c r="H83" s="183">
        <f>H23-H84-H85</f>
        <v>238182.86749999985</v>
      </c>
      <c r="I83" s="183">
        <f>I21-I84-I85</f>
        <v>180025.0165</v>
      </c>
      <c r="J83" s="183">
        <f>J21-J84-J85</f>
        <v>199028.67290000001</v>
      </c>
      <c r="K83" s="183">
        <f>K21-K84-K85</f>
        <v>162975.30599999998</v>
      </c>
    </row>
    <row r="84" spans="1:11" ht="23.25" hidden="1" x14ac:dyDescent="0.2">
      <c r="A84" s="54"/>
      <c r="B84" s="209"/>
      <c r="C84" s="54"/>
      <c r="D84" s="54"/>
      <c r="E84" s="54"/>
      <c r="F84" s="54" t="s">
        <v>486</v>
      </c>
      <c r="G84" s="54"/>
      <c r="H84" s="646">
        <f>H75</f>
        <v>103783.97250000012</v>
      </c>
      <c r="I84" s="646">
        <f>I75</f>
        <v>115005.71349999998</v>
      </c>
      <c r="J84" s="183">
        <f>J75</f>
        <v>130661.50709999993</v>
      </c>
      <c r="K84" s="183">
        <f>K75</f>
        <v>143652.19400000002</v>
      </c>
    </row>
    <row r="85" spans="1:11" ht="20.25" hidden="1" x14ac:dyDescent="0.2">
      <c r="A85" s="54"/>
      <c r="B85" s="54"/>
      <c r="C85" s="54"/>
      <c r="D85" s="54"/>
      <c r="E85" s="54"/>
      <c r="F85" s="54" t="s">
        <v>492</v>
      </c>
      <c r="G85" s="54"/>
      <c r="H85" s="646">
        <f>H17</f>
        <v>9315</v>
      </c>
      <c r="I85" s="646">
        <f>I17</f>
        <v>9315</v>
      </c>
      <c r="J85" s="183">
        <f>J36</f>
        <v>10548</v>
      </c>
      <c r="K85" s="183">
        <f>K36</f>
        <v>10548</v>
      </c>
    </row>
    <row r="86" spans="1:11" ht="27" hidden="1" thickBot="1" x14ac:dyDescent="0.25">
      <c r="A86" s="206"/>
      <c r="B86" s="206"/>
      <c r="C86" s="206"/>
      <c r="D86" s="206"/>
      <c r="E86" s="206"/>
      <c r="F86" s="54" t="s">
        <v>493</v>
      </c>
      <c r="G86" s="54"/>
      <c r="H86" s="573">
        <f>SUM(H83:H85)</f>
        <v>351281.83999999997</v>
      </c>
      <c r="I86" s="573">
        <f>SUM(I83:I85)</f>
        <v>304345.73</v>
      </c>
      <c r="J86" s="573">
        <f>SUM(J83:J85)</f>
        <v>340238.17999999993</v>
      </c>
      <c r="K86" s="573">
        <f>SUM(K83:K85)</f>
        <v>317175.5</v>
      </c>
    </row>
    <row r="87" spans="1:11" ht="27" hidden="1" thickTop="1" x14ac:dyDescent="0.2">
      <c r="A87" s="206"/>
      <c r="B87" s="206"/>
      <c r="C87" s="206"/>
      <c r="D87" s="206"/>
      <c r="E87" s="206"/>
      <c r="F87" s="54" t="s">
        <v>494</v>
      </c>
      <c r="G87" s="54"/>
      <c r="H87" s="183">
        <f>H66</f>
        <v>16457</v>
      </c>
      <c r="I87" s="183">
        <f>I66</f>
        <v>10151</v>
      </c>
      <c r="J87" s="183">
        <f>J56</f>
        <v>10428</v>
      </c>
      <c r="K87" s="183">
        <v>11740</v>
      </c>
    </row>
    <row r="88" spans="1:11" ht="20.25" hidden="1" x14ac:dyDescent="0.3">
      <c r="A88" s="45"/>
      <c r="B88" s="45"/>
      <c r="C88" s="45"/>
      <c r="D88" s="45"/>
      <c r="E88" s="45"/>
      <c r="F88" s="54" t="s">
        <v>495</v>
      </c>
      <c r="G88" s="54"/>
      <c r="H88" s="652">
        <f>H83/H79/H67</f>
        <v>16477.207130148494</v>
      </c>
      <c r="I88" s="652">
        <f>I83/I79/I67</f>
        <v>9715.1607410527849</v>
      </c>
      <c r="J88" s="652">
        <f>J83/J79/J67</f>
        <v>8937.9035395535666</v>
      </c>
      <c r="K88" s="652">
        <f>K83/K79/K67</f>
        <v>6325.9870313799975</v>
      </c>
    </row>
    <row r="89" spans="1:11" ht="20.25" hidden="1" x14ac:dyDescent="0.3">
      <c r="A89" s="45"/>
      <c r="B89" s="45"/>
      <c r="C89" s="45"/>
      <c r="D89" s="45"/>
      <c r="E89" s="45"/>
      <c r="F89" s="54" t="s">
        <v>496</v>
      </c>
      <c r="G89" s="54"/>
      <c r="H89" s="653">
        <f>H88-H87</f>
        <v>20.207130148493889</v>
      </c>
      <c r="I89" s="653">
        <f>I88-I87</f>
        <v>-435.83925894721506</v>
      </c>
      <c r="J89" s="653">
        <f>J88-J87</f>
        <v>-1490.0964604464334</v>
      </c>
      <c r="K89" s="653">
        <f>K88-K87</f>
        <v>-5414.0129686200025</v>
      </c>
    </row>
    <row r="90" spans="1:11" ht="20.25" hidden="1" x14ac:dyDescent="0.3">
      <c r="A90" s="45"/>
      <c r="B90" s="45"/>
      <c r="C90" s="45"/>
      <c r="D90" s="45"/>
      <c r="E90" s="45"/>
      <c r="F90" s="54" t="s">
        <v>490</v>
      </c>
      <c r="G90" s="54"/>
      <c r="H90" s="654">
        <f>H83/(H88*H67)</f>
        <v>1.2190899132921318</v>
      </c>
      <c r="I90" s="654">
        <f>I83/(I88*I67)</f>
        <v>1.8037922200592629</v>
      </c>
      <c r="J90" s="654">
        <f>J83/(J88*J67)</f>
        <v>2.0212390390390391</v>
      </c>
      <c r="K90" s="654">
        <f>K83/(K88*K67)</f>
        <v>2.201183582089552</v>
      </c>
    </row>
    <row r="91" spans="1:11" ht="20.25" hidden="1" x14ac:dyDescent="0.3">
      <c r="A91" s="45"/>
      <c r="B91" s="45"/>
      <c r="C91" s="45"/>
      <c r="D91" s="45"/>
      <c r="E91" s="45"/>
      <c r="F91" s="54" t="s">
        <v>491</v>
      </c>
      <c r="G91" s="54"/>
      <c r="H91" s="654">
        <f>H84/H88</f>
        <v>6.2986385787495296</v>
      </c>
      <c r="I91" s="654">
        <f>I84/I88</f>
        <v>11.837757147344673</v>
      </c>
      <c r="J91" s="654">
        <f>J84/J88</f>
        <v>14.618809267942297</v>
      </c>
      <c r="K91" s="654">
        <f>K84/K88</f>
        <v>22.708265648888418</v>
      </c>
    </row>
    <row r="92" spans="1:11" ht="20.25" hidden="1" x14ac:dyDescent="0.3">
      <c r="A92" s="45"/>
      <c r="B92" s="45"/>
      <c r="C92" s="45"/>
      <c r="D92" s="45"/>
      <c r="E92" s="45"/>
      <c r="F92" s="54"/>
      <c r="G92" s="54"/>
      <c r="H92" s="54"/>
      <c r="I92" s="654"/>
      <c r="J92" s="654"/>
      <c r="K92" s="654"/>
    </row>
    <row r="93" spans="1:11" ht="20.25" hidden="1" x14ac:dyDescent="0.3">
      <c r="A93" s="45"/>
      <c r="B93" s="45"/>
      <c r="C93" s="45"/>
      <c r="D93" s="45"/>
      <c r="E93" s="45"/>
      <c r="F93" s="45"/>
      <c r="G93" s="45"/>
      <c r="H93" s="45"/>
      <c r="I93" s="45"/>
      <c r="J93" s="214"/>
      <c r="K93" s="214"/>
    </row>
    <row r="94" spans="1:11" ht="20.25" hidden="1" x14ac:dyDescent="0.3">
      <c r="A94" s="45"/>
      <c r="B94" s="45"/>
      <c r="C94" s="45"/>
      <c r="D94" s="45"/>
      <c r="E94" s="45"/>
      <c r="F94" s="45"/>
      <c r="G94" s="45"/>
      <c r="H94" s="45"/>
      <c r="I94" s="45"/>
      <c r="J94" s="214"/>
      <c r="K94" s="214"/>
    </row>
    <row r="95" spans="1:11" ht="20.25" hidden="1" x14ac:dyDescent="0.3">
      <c r="A95" s="45"/>
      <c r="B95" s="45"/>
      <c r="C95" s="45"/>
      <c r="D95" s="45"/>
      <c r="E95" s="45"/>
      <c r="F95" s="642" t="s">
        <v>497</v>
      </c>
      <c r="G95" s="642"/>
      <c r="H95" s="45"/>
      <c r="I95" s="45"/>
      <c r="J95" s="214"/>
      <c r="K95" s="214"/>
    </row>
    <row r="96" spans="1:11" ht="20.25" hidden="1" x14ac:dyDescent="0.2">
      <c r="A96" s="45"/>
      <c r="B96" s="45"/>
      <c r="C96" s="45"/>
      <c r="D96" s="45"/>
      <c r="E96" s="45"/>
      <c r="F96" s="54" t="s">
        <v>485</v>
      </c>
      <c r="G96" s="54"/>
      <c r="H96" s="643">
        <f t="shared" ref="H96:J98" si="1">H74</f>
        <v>237890.76749999999</v>
      </c>
      <c r="I96" s="643">
        <f t="shared" si="1"/>
        <v>188101.25649999999</v>
      </c>
      <c r="J96" s="643">
        <f t="shared" si="1"/>
        <v>232210.04700000002</v>
      </c>
      <c r="K96" s="643">
        <f>K74</f>
        <v>294958.59999999998</v>
      </c>
    </row>
    <row r="97" spans="1:11" ht="20.25" hidden="1" x14ac:dyDescent="0.2">
      <c r="A97" s="45"/>
      <c r="B97" s="45"/>
      <c r="C97" s="45"/>
      <c r="D97" s="45"/>
      <c r="E97" s="45"/>
      <c r="F97" s="54" t="s">
        <v>486</v>
      </c>
      <c r="G97" s="54"/>
      <c r="H97" s="183">
        <f t="shared" si="1"/>
        <v>103783.97250000012</v>
      </c>
      <c r="I97" s="183">
        <f t="shared" si="1"/>
        <v>115005.71349999998</v>
      </c>
      <c r="J97" s="183">
        <f t="shared" si="1"/>
        <v>130661.50709999993</v>
      </c>
      <c r="K97" s="183">
        <f>K75</f>
        <v>143652.19400000002</v>
      </c>
    </row>
    <row r="98" spans="1:11" ht="20.25" hidden="1" x14ac:dyDescent="0.2">
      <c r="A98" s="45"/>
      <c r="B98" s="45"/>
      <c r="C98" s="45"/>
      <c r="D98" s="45"/>
      <c r="E98" s="45"/>
      <c r="F98" s="54" t="s">
        <v>487</v>
      </c>
      <c r="G98" s="54"/>
      <c r="H98" s="183">
        <f t="shared" si="1"/>
        <v>33344.68</v>
      </c>
      <c r="I98" s="183">
        <f t="shared" si="1"/>
        <v>41084</v>
      </c>
      <c r="J98" s="183">
        <f t="shared" si="1"/>
        <v>40932</v>
      </c>
      <c r="K98" s="183">
        <f>K76</f>
        <v>41681</v>
      </c>
    </row>
    <row r="99" spans="1:11" ht="21" hidden="1" thickBot="1" x14ac:dyDescent="0.25">
      <c r="A99" s="45"/>
      <c r="B99" s="45"/>
      <c r="C99" s="45"/>
      <c r="D99" s="45"/>
      <c r="E99" s="45"/>
      <c r="F99" s="54" t="s">
        <v>488</v>
      </c>
      <c r="G99" s="54"/>
      <c r="H99" s="645">
        <f>SUM(H96:H98)</f>
        <v>375019.4200000001</v>
      </c>
      <c r="I99" s="645">
        <f>SUM(I96:I98)</f>
        <v>344190.97</v>
      </c>
      <c r="J99" s="645">
        <f>SUM(J96:J98)</f>
        <v>403803.55409999995</v>
      </c>
      <c r="K99" s="645">
        <f>SUM(K96:K98)</f>
        <v>480291.79399999999</v>
      </c>
    </row>
    <row r="100" spans="1:11" ht="21" hidden="1" thickTop="1" x14ac:dyDescent="0.2">
      <c r="A100" s="45"/>
      <c r="B100" s="45"/>
      <c r="C100" s="45"/>
      <c r="D100" s="45"/>
      <c r="E100" s="45"/>
      <c r="F100" s="54" t="s">
        <v>498</v>
      </c>
      <c r="G100" s="54"/>
      <c r="H100" s="183">
        <f>H53</f>
        <v>227723</v>
      </c>
      <c r="I100" s="183">
        <f t="shared" ref="I100:K100" si="2">I53</f>
        <v>178666</v>
      </c>
      <c r="J100" s="183">
        <f t="shared" si="2"/>
        <v>206080</v>
      </c>
      <c r="K100" s="183">
        <f t="shared" si="2"/>
        <v>227490</v>
      </c>
    </row>
    <row r="101" spans="1:11" ht="20.25" hidden="1" x14ac:dyDescent="0.2">
      <c r="A101" s="45"/>
      <c r="B101" s="45"/>
      <c r="C101" s="45"/>
      <c r="D101" s="45"/>
      <c r="E101" s="45"/>
      <c r="F101" s="54" t="s">
        <v>499</v>
      </c>
      <c r="G101" s="54"/>
      <c r="H101" s="648">
        <f>H96/H100</f>
        <v>1.0446497169807178</v>
      </c>
      <c r="I101" s="648">
        <f>I96/I100</f>
        <v>1.0528094685054794</v>
      </c>
      <c r="J101" s="648">
        <f>J96/J100</f>
        <v>1.1267956473214287</v>
      </c>
      <c r="K101" s="648">
        <f>K96/K100</f>
        <v>1.2965783111345552</v>
      </c>
    </row>
    <row r="102" spans="1:11" ht="20.25" hidden="1" x14ac:dyDescent="0.2">
      <c r="A102" s="45"/>
      <c r="B102" s="45"/>
      <c r="C102" s="45"/>
      <c r="D102" s="45"/>
      <c r="E102" s="45"/>
      <c r="F102" s="54" t="s">
        <v>491</v>
      </c>
      <c r="G102" s="54"/>
      <c r="H102" s="648">
        <f t="shared" ref="H102:K102" si="3">H97/H56</f>
        <v>6.3063725162544886</v>
      </c>
      <c r="I102" s="648">
        <f t="shared" si="3"/>
        <v>11.329495960989064</v>
      </c>
      <c r="J102" s="648">
        <f t="shared" si="3"/>
        <v>12.529872180667427</v>
      </c>
      <c r="K102" s="648">
        <f t="shared" si="3"/>
        <v>12.54713896410167</v>
      </c>
    </row>
    <row r="103" spans="1:11" ht="20.25" hidden="1" x14ac:dyDescent="0.3">
      <c r="A103" s="45"/>
      <c r="B103" s="45"/>
      <c r="C103" s="45"/>
      <c r="D103" s="45"/>
      <c r="E103" s="45"/>
      <c r="F103" s="45"/>
      <c r="G103" s="45"/>
      <c r="H103" s="214"/>
      <c r="I103" s="214"/>
      <c r="J103" s="214"/>
      <c r="K103" s="214"/>
    </row>
    <row r="104" spans="1:11" ht="20.25" hidden="1" x14ac:dyDescent="0.2">
      <c r="A104" s="45"/>
      <c r="B104" s="45"/>
      <c r="C104" s="45"/>
      <c r="D104" s="45"/>
      <c r="E104" s="45"/>
      <c r="F104" s="45"/>
      <c r="G104" s="45"/>
      <c r="H104" s="180"/>
      <c r="I104" s="180"/>
      <c r="J104" s="180"/>
      <c r="K104" s="180"/>
    </row>
    <row r="105" spans="1:11" ht="20.25" hidden="1" x14ac:dyDescent="0.2">
      <c r="A105" s="45"/>
      <c r="B105" s="45"/>
      <c r="C105" s="45"/>
      <c r="D105" s="45"/>
      <c r="E105" s="45"/>
      <c r="F105" s="54" t="s">
        <v>485</v>
      </c>
      <c r="G105" s="54"/>
      <c r="H105" s="183">
        <f>H23-H106-H107</f>
        <v>238182.86749999985</v>
      </c>
      <c r="I105" s="183">
        <f>I21-I106-I107</f>
        <v>180025.0165</v>
      </c>
      <c r="J105" s="183">
        <f>J21-J106-J107</f>
        <v>199028.67290000001</v>
      </c>
      <c r="K105" s="183">
        <f>K21-K106-K107</f>
        <v>162975.30599999998</v>
      </c>
    </row>
    <row r="106" spans="1:11" ht="20.25" hidden="1" x14ac:dyDescent="0.2">
      <c r="A106" s="45"/>
      <c r="B106" s="45"/>
      <c r="C106" s="45"/>
      <c r="D106" s="45"/>
      <c r="E106" s="45"/>
      <c r="F106" s="54" t="s">
        <v>486</v>
      </c>
      <c r="G106" s="54"/>
      <c r="H106" s="183">
        <f t="shared" ref="H106:I106" si="4">H97</f>
        <v>103783.97250000012</v>
      </c>
      <c r="I106" s="183">
        <f t="shared" si="4"/>
        <v>115005.71349999998</v>
      </c>
      <c r="J106" s="183">
        <f>J97</f>
        <v>130661.50709999993</v>
      </c>
      <c r="K106" s="183">
        <f t="shared" ref="K106" si="5">K97</f>
        <v>143652.19400000002</v>
      </c>
    </row>
    <row r="107" spans="1:11" ht="20.25" hidden="1" x14ac:dyDescent="0.2">
      <c r="A107" s="45"/>
      <c r="B107" s="45"/>
      <c r="C107" s="45"/>
      <c r="D107" s="45"/>
      <c r="E107" s="45"/>
      <c r="F107" s="54" t="s">
        <v>102</v>
      </c>
      <c r="G107" s="54"/>
      <c r="H107" s="183">
        <f>H36</f>
        <v>9315</v>
      </c>
      <c r="I107" s="183">
        <f>I36</f>
        <v>9315</v>
      </c>
      <c r="J107" s="183">
        <f>J36</f>
        <v>10548</v>
      </c>
      <c r="K107" s="183">
        <f>K36</f>
        <v>10548</v>
      </c>
    </row>
    <row r="108" spans="1:11" ht="21" hidden="1" thickBot="1" x14ac:dyDescent="0.25">
      <c r="A108" s="45"/>
      <c r="B108" s="45"/>
      <c r="C108" s="45"/>
      <c r="D108" s="45"/>
      <c r="E108" s="45"/>
      <c r="F108" s="54" t="s">
        <v>493</v>
      </c>
      <c r="G108" s="54"/>
      <c r="H108" s="573">
        <f>SUM(H105:H107)</f>
        <v>351281.83999999997</v>
      </c>
      <c r="I108" s="573">
        <f>SUM(I105:I107)</f>
        <v>304345.73</v>
      </c>
      <c r="J108" s="573">
        <f>SUM(J105:J107)</f>
        <v>340238.17999999993</v>
      </c>
      <c r="K108" s="573">
        <f>SUM(K105:K107)</f>
        <v>317175.5</v>
      </c>
    </row>
    <row r="109" spans="1:11" ht="21" hidden="1" thickTop="1" x14ac:dyDescent="0.2">
      <c r="A109" s="45"/>
      <c r="B109" s="45"/>
      <c r="C109" s="45"/>
      <c r="D109" s="45"/>
      <c r="E109" s="45"/>
      <c r="F109" s="54" t="s">
        <v>494</v>
      </c>
      <c r="G109" s="54"/>
      <c r="H109" s="183">
        <f>H87</f>
        <v>16457</v>
      </c>
      <c r="I109" s="183">
        <f>I87</f>
        <v>10151</v>
      </c>
      <c r="J109" s="183">
        <f>J87</f>
        <v>10428</v>
      </c>
      <c r="K109" s="183">
        <f>K87</f>
        <v>11740</v>
      </c>
    </row>
    <row r="110" spans="1:11" ht="20.25" hidden="1" x14ac:dyDescent="0.3">
      <c r="A110" s="45"/>
      <c r="B110" s="45"/>
      <c r="C110" s="45"/>
      <c r="D110" s="45"/>
      <c r="E110" s="45"/>
      <c r="F110" s="54" t="s">
        <v>495</v>
      </c>
      <c r="G110" s="54"/>
      <c r="H110" s="652">
        <f t="shared" ref="H110:K110" si="6">H105/H101/H71</f>
        <v>16477.207130148494</v>
      </c>
      <c r="I110" s="652">
        <f t="shared" si="6"/>
        <v>9715.1607410527868</v>
      </c>
      <c r="J110" s="652">
        <f t="shared" si="6"/>
        <v>8937.9035395535648</v>
      </c>
      <c r="K110" s="652">
        <f t="shared" si="6"/>
        <v>6325.9870313799966</v>
      </c>
    </row>
    <row r="111" spans="1:11" ht="20.25" hidden="1" x14ac:dyDescent="0.3">
      <c r="A111" s="45"/>
      <c r="B111" s="45"/>
      <c r="C111" s="45"/>
      <c r="D111" s="45"/>
      <c r="E111" s="45"/>
      <c r="F111" s="54" t="s">
        <v>496</v>
      </c>
      <c r="G111" s="54"/>
      <c r="H111" s="653">
        <f>H110-H109</f>
        <v>20.207130148493889</v>
      </c>
      <c r="I111" s="653">
        <f>I110-I109</f>
        <v>-435.83925894721324</v>
      </c>
      <c r="J111" s="653">
        <f>J110-J109</f>
        <v>-1490.0964604464352</v>
      </c>
      <c r="K111" s="653">
        <f>K110-K109</f>
        <v>-5414.0129686200034</v>
      </c>
    </row>
    <row r="112" spans="1:11" ht="20.25" hidden="1" x14ac:dyDescent="0.3">
      <c r="A112" s="45"/>
      <c r="B112" s="45"/>
      <c r="C112" s="45"/>
      <c r="D112" s="45"/>
      <c r="E112" s="45"/>
      <c r="F112" s="54" t="s">
        <v>499</v>
      </c>
      <c r="G112" s="54"/>
      <c r="H112" s="654">
        <f>H105/(H110*H71)</f>
        <v>1.0446497169807178</v>
      </c>
      <c r="I112" s="654">
        <f t="shared" ref="I112:K112" si="7">I105/(I110*I71)</f>
        <v>1.0528094685054794</v>
      </c>
      <c r="J112" s="654">
        <f t="shared" si="7"/>
        <v>1.1267956473214289</v>
      </c>
      <c r="K112" s="654">
        <f t="shared" si="7"/>
        <v>1.2965783111345552</v>
      </c>
    </row>
    <row r="113" spans="1:11" ht="20.25" hidden="1" x14ac:dyDescent="0.3">
      <c r="A113" s="45"/>
      <c r="B113" s="45"/>
      <c r="C113" s="45"/>
      <c r="D113" s="45"/>
      <c r="E113" s="45"/>
      <c r="F113" s="54" t="s">
        <v>500</v>
      </c>
      <c r="G113" s="54"/>
      <c r="H113" s="654">
        <f>H106/H110</f>
        <v>6.2986385787495296</v>
      </c>
      <c r="I113" s="654">
        <f>I106/I110</f>
        <v>11.837757147344671</v>
      </c>
      <c r="J113" s="654">
        <f>J106/J110</f>
        <v>14.618809267942298</v>
      </c>
      <c r="K113" s="654">
        <f>K106/K110</f>
        <v>22.708265648888421</v>
      </c>
    </row>
    <row r="114" spans="1:11" ht="20.25" hidden="1" x14ac:dyDescent="0.2">
      <c r="A114" s="45"/>
      <c r="B114" s="45"/>
      <c r="C114" s="45"/>
      <c r="D114" s="45"/>
      <c r="E114" s="45"/>
      <c r="F114" s="54" t="s">
        <v>501</v>
      </c>
      <c r="G114" s="180">
        <f>G27+G31+G33+G27*0.21</f>
        <v>216908.68</v>
      </c>
      <c r="H114" s="180">
        <f t="shared" ref="H114:K114" si="8">H27+H31+H33+H27*0.21</f>
        <v>237890.76750000002</v>
      </c>
      <c r="I114" s="180">
        <f t="shared" si="8"/>
        <v>188101.25650000002</v>
      </c>
      <c r="J114" s="180">
        <f t="shared" si="8"/>
        <v>232210.04700000002</v>
      </c>
      <c r="K114" s="180">
        <f t="shared" si="8"/>
        <v>297009.18</v>
      </c>
    </row>
    <row r="115" spans="1:11" ht="20.25" hidden="1" x14ac:dyDescent="0.2">
      <c r="A115" s="45"/>
      <c r="B115" s="45"/>
      <c r="C115" s="45"/>
      <c r="D115" s="45"/>
      <c r="E115" s="45"/>
      <c r="F115" s="54" t="s">
        <v>486</v>
      </c>
      <c r="G115" s="180">
        <f>G46-G114-G116</f>
        <v>105684.32</v>
      </c>
      <c r="H115" s="180">
        <f t="shared" ref="H115:K115" si="9">H46-H114-H116</f>
        <v>113098.97250000009</v>
      </c>
      <c r="I115" s="180">
        <f t="shared" si="9"/>
        <v>124320.71349999995</v>
      </c>
      <c r="J115" s="180">
        <f t="shared" si="9"/>
        <v>141209.50709999993</v>
      </c>
      <c r="K115" s="180">
        <f t="shared" si="9"/>
        <v>152149.614</v>
      </c>
    </row>
    <row r="116" spans="1:11" ht="20.25" hidden="1" x14ac:dyDescent="0.2">
      <c r="A116" s="45"/>
      <c r="B116" s="45"/>
      <c r="C116" s="45"/>
      <c r="D116" s="45"/>
      <c r="E116" s="45"/>
      <c r="F116" s="54" t="s">
        <v>123</v>
      </c>
      <c r="G116" s="180">
        <f>G35</f>
        <v>25080</v>
      </c>
      <c r="H116" s="180">
        <f t="shared" ref="H116:K116" si="10">H35</f>
        <v>24029.68</v>
      </c>
      <c r="I116" s="180">
        <f t="shared" si="10"/>
        <v>31769</v>
      </c>
      <c r="J116" s="180">
        <f t="shared" si="10"/>
        <v>30384</v>
      </c>
      <c r="K116" s="180">
        <f t="shared" si="10"/>
        <v>31133</v>
      </c>
    </row>
    <row r="117" spans="1:11" hidden="1" x14ac:dyDescent="0.2"/>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I81"/>
  <sheetViews>
    <sheetView zoomScale="75" zoomScaleNormal="75" workbookViewId="0">
      <selection activeCell="S47" sqref="S47"/>
    </sheetView>
  </sheetViews>
  <sheetFormatPr defaultRowHeight="20.25" x14ac:dyDescent="0.3"/>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77" hidden="1" customWidth="1"/>
    <col min="8" max="8" width="23.125" hidden="1" customWidth="1"/>
    <col min="9" max="9" width="1.625" hidden="1"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style="553" bestFit="1" customWidth="1"/>
    <col min="19" max="19" width="10" bestFit="1" customWidth="1"/>
    <col min="21" max="21" width="11.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92</v>
      </c>
      <c r="B1" s="47"/>
      <c r="C1" s="48"/>
      <c r="D1" s="48"/>
      <c r="E1" s="48"/>
      <c r="F1" s="47"/>
      <c r="G1" s="178"/>
      <c r="H1" s="47"/>
      <c r="I1" s="47"/>
      <c r="J1" s="47"/>
      <c r="K1" s="47"/>
      <c r="L1" s="47"/>
      <c r="M1" s="47"/>
      <c r="N1" s="47"/>
      <c r="O1" s="47"/>
      <c r="P1" s="47"/>
      <c r="Q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211</v>
      </c>
      <c r="B2" s="47"/>
      <c r="C2" s="48"/>
      <c r="D2" s="48"/>
      <c r="E2" s="48"/>
      <c r="F2" s="47"/>
      <c r="G2" s="178"/>
      <c r="H2" s="47"/>
      <c r="I2" s="47"/>
      <c r="J2" s="47"/>
      <c r="K2" s="47"/>
      <c r="L2" s="47"/>
      <c r="M2" s="47"/>
      <c r="N2" s="47"/>
      <c r="O2" s="47"/>
      <c r="P2" s="47"/>
      <c r="Q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'August''24 State of Activities'!A3</f>
        <v>Eight Months Ended August 31, 2024 and 2023</v>
      </c>
      <c r="B3" s="47"/>
      <c r="C3" s="48"/>
      <c r="D3" s="48"/>
      <c r="E3" s="48"/>
      <c r="F3" s="47"/>
      <c r="G3" s="178"/>
      <c r="H3" s="47"/>
      <c r="I3" s="47"/>
      <c r="J3" s="47"/>
      <c r="K3" s="47"/>
      <c r="L3" s="47"/>
      <c r="M3" s="47"/>
      <c r="N3" s="47"/>
      <c r="O3" s="47"/>
      <c r="P3" s="47"/>
      <c r="Q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'August''24 State of Activities'!A4</f>
        <v xml:space="preserve">For the Years Ended December 31, 2023 </v>
      </c>
      <c r="B4" s="47"/>
      <c r="C4" s="48"/>
      <c r="D4" s="48"/>
      <c r="E4" s="48"/>
      <c r="F4" s="47"/>
      <c r="G4" s="178"/>
      <c r="H4" s="47"/>
      <c r="I4" s="47"/>
      <c r="J4" s="47"/>
      <c r="K4" s="47"/>
      <c r="L4" s="47"/>
      <c r="M4" s="47"/>
      <c r="N4" s="47"/>
      <c r="O4" s="47"/>
      <c r="P4" s="47"/>
      <c r="Q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79"/>
      <c r="R5" s="554"/>
    </row>
    <row r="6" spans="1:61" s="53" customFormat="1" ht="24.75" customHeight="1" thickTop="1" thickBot="1" x14ac:dyDescent="0.25">
      <c r="A6" s="51" t="s">
        <v>106</v>
      </c>
      <c r="B6" s="51"/>
      <c r="C6" s="51"/>
      <c r="D6" s="51"/>
      <c r="E6" s="51"/>
      <c r="F6" s="51"/>
      <c r="G6" s="312"/>
      <c r="H6" s="186" t="s">
        <v>48</v>
      </c>
      <c r="I6" s="186"/>
      <c r="J6" s="801" t="s">
        <v>48</v>
      </c>
      <c r="K6" s="801"/>
      <c r="L6" s="801"/>
      <c r="M6" s="801"/>
      <c r="N6" s="52"/>
      <c r="O6" s="321" t="s">
        <v>179</v>
      </c>
      <c r="P6" s="318" t="s">
        <v>191</v>
      </c>
      <c r="Q6" s="52"/>
      <c r="R6" s="555"/>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80"/>
      <c r="R7" s="555"/>
    </row>
    <row r="8" spans="1:61" ht="21" thickBot="1" x14ac:dyDescent="0.35">
      <c r="A8" s="56"/>
      <c r="B8" s="115" t="s">
        <v>98</v>
      </c>
      <c r="C8" s="115"/>
      <c r="D8" s="115"/>
      <c r="E8" s="115"/>
      <c r="F8" s="115"/>
      <c r="G8" s="217">
        <v>41090</v>
      </c>
      <c r="H8" s="217">
        <v>41274</v>
      </c>
      <c r="I8" s="257"/>
      <c r="J8" s="217">
        <f>'August''24 State of Activities'!G8</f>
        <v>45535</v>
      </c>
      <c r="K8" s="517">
        <f>'August''24 State of Activities'!H8</f>
        <v>45291</v>
      </c>
      <c r="L8" s="257"/>
      <c r="M8" s="517">
        <f>'August''24 State of Activities'!J8</f>
        <v>45169</v>
      </c>
      <c r="O8" s="866" t="s">
        <v>387</v>
      </c>
      <c r="P8" s="866"/>
    </row>
    <row r="9" spans="1:61" s="55" customFormat="1" x14ac:dyDescent="0.2">
      <c r="A9" s="54"/>
      <c r="B9" s="54"/>
      <c r="C9" s="58" t="s">
        <v>148</v>
      </c>
      <c r="D9" s="58"/>
      <c r="E9" s="58"/>
      <c r="F9" s="54"/>
      <c r="G9" s="180">
        <v>127719</v>
      </c>
      <c r="H9" s="180">
        <v>67566.5</v>
      </c>
      <c r="I9" s="180"/>
      <c r="J9" s="189">
        <v>41504.339999999997</v>
      </c>
      <c r="K9" s="189">
        <v>158721</v>
      </c>
      <c r="L9" s="189"/>
      <c r="M9" s="189">
        <v>78675.460000000006</v>
      </c>
      <c r="O9" s="302">
        <f>J9-M9</f>
        <v>-37171.12000000001</v>
      </c>
      <c r="P9" s="319">
        <f>O9/M9</f>
        <v>-0.47246142571012623</v>
      </c>
      <c r="R9" s="555"/>
    </row>
    <row r="10" spans="1:61" s="55" customFormat="1" x14ac:dyDescent="0.2">
      <c r="A10" s="54"/>
      <c r="B10" s="54"/>
      <c r="C10" s="58" t="s">
        <v>212</v>
      </c>
      <c r="D10" s="58"/>
      <c r="E10" s="58"/>
      <c r="F10" s="54"/>
      <c r="G10" s="189">
        <v>875436</v>
      </c>
      <c r="H10" s="189">
        <v>372424.1</v>
      </c>
      <c r="I10" s="189"/>
      <c r="J10" s="180"/>
      <c r="K10" s="180">
        <v>12278.42</v>
      </c>
      <c r="L10" s="189"/>
      <c r="M10" s="180"/>
      <c r="O10" s="390">
        <f>J10-M10</f>
        <v>0</v>
      </c>
      <c r="P10" s="337" t="e">
        <f>O10/M10</f>
        <v>#DIV/0!</v>
      </c>
      <c r="R10" s="555"/>
    </row>
    <row r="11" spans="1:61" s="55" customFormat="1" x14ac:dyDescent="0.2">
      <c r="A11" s="54"/>
      <c r="B11" s="54"/>
      <c r="C11" s="58" t="s">
        <v>386</v>
      </c>
      <c r="D11" s="58"/>
      <c r="E11" s="58"/>
      <c r="F11" s="54"/>
      <c r="G11" s="189"/>
      <c r="H11" s="189"/>
      <c r="I11" s="189"/>
      <c r="J11" s="180">
        <f>'August''24 Revenues &amp; Expenses'!I8-K11-5010</f>
        <v>-15626</v>
      </c>
      <c r="K11" s="180">
        <v>10616</v>
      </c>
      <c r="L11" s="189"/>
      <c r="M11" s="180"/>
      <c r="O11" s="390">
        <f>J11-M11</f>
        <v>-15626</v>
      </c>
      <c r="P11" s="337"/>
      <c r="R11" s="555"/>
    </row>
    <row r="12" spans="1:61" s="55" customFormat="1" x14ac:dyDescent="0.2">
      <c r="A12" s="54"/>
      <c r="B12" s="54"/>
      <c r="C12" s="58" t="s">
        <v>100</v>
      </c>
      <c r="D12" s="58"/>
      <c r="E12" s="58"/>
      <c r="F12" s="54"/>
      <c r="G12" s="180"/>
      <c r="H12" s="180"/>
      <c r="I12" s="180"/>
      <c r="J12" s="180"/>
      <c r="K12" s="180"/>
      <c r="L12" s="180"/>
      <c r="M12" s="180"/>
      <c r="O12" s="390"/>
      <c r="P12" s="329"/>
      <c r="R12" s="555"/>
    </row>
    <row r="13" spans="1:61" s="55" customFormat="1" x14ac:dyDescent="0.2">
      <c r="A13" s="54"/>
      <c r="B13" s="54"/>
      <c r="D13" s="58" t="s">
        <v>213</v>
      </c>
      <c r="E13" s="58"/>
      <c r="F13" s="54"/>
      <c r="G13" s="180">
        <v>94235.25</v>
      </c>
      <c r="H13" s="180">
        <v>37190.379999999997</v>
      </c>
      <c r="I13" s="180"/>
      <c r="J13" s="180">
        <f>3750*6</f>
        <v>22500</v>
      </c>
      <c r="K13" s="180">
        <f>3708.33*12</f>
        <v>44499.96</v>
      </c>
      <c r="L13" s="180"/>
      <c r="M13" s="180">
        <f>3708.33*4</f>
        <v>14833.32</v>
      </c>
      <c r="O13" s="390">
        <f t="shared" ref="O13:O18" si="0">J13-M13</f>
        <v>7666.68</v>
      </c>
      <c r="P13" s="337">
        <f>O13/M13</f>
        <v>0.51685529604970437</v>
      </c>
      <c r="R13" s="180"/>
      <c r="S13" s="367"/>
      <c r="T13" s="366"/>
      <c r="U13" s="366"/>
    </row>
    <row r="14" spans="1:61" s="55" customFormat="1" x14ac:dyDescent="0.2">
      <c r="A14" s="54"/>
      <c r="B14" s="54"/>
      <c r="D14" s="58" t="s">
        <v>157</v>
      </c>
      <c r="E14" s="58"/>
      <c r="F14" s="54"/>
      <c r="G14" s="180"/>
      <c r="H14" s="180"/>
      <c r="I14" s="180"/>
      <c r="J14" s="180">
        <f>'August''24 State of Activities'!G16</f>
        <v>12000</v>
      </c>
      <c r="K14" s="180">
        <v>13000</v>
      </c>
      <c r="L14" s="180"/>
      <c r="M14" s="180">
        <v>4333.33</v>
      </c>
      <c r="O14" s="390">
        <f t="shared" si="0"/>
        <v>7666.67</v>
      </c>
      <c r="P14" s="337">
        <f>O14/M14</f>
        <v>1.7692328994099227</v>
      </c>
      <c r="R14" s="555">
        <v>7500</v>
      </c>
      <c r="S14" s="303"/>
      <c r="T14" s="368"/>
      <c r="U14" s="290"/>
    </row>
    <row r="15" spans="1:61" s="55" customFormat="1" x14ac:dyDescent="0.2">
      <c r="A15" s="54"/>
      <c r="B15" s="54"/>
      <c r="C15" s="58" t="s">
        <v>101</v>
      </c>
      <c r="D15" s="58"/>
      <c r="E15" s="58"/>
      <c r="F15" s="54"/>
      <c r="G15" s="180">
        <v>0</v>
      </c>
      <c r="H15" s="180">
        <v>3517</v>
      </c>
      <c r="I15" s="180"/>
      <c r="J15" s="180">
        <f>'August''24 State of Activities'!G18</f>
        <v>11786.48</v>
      </c>
      <c r="K15" s="180">
        <f>'August''24 State of Activities'!H18</f>
        <v>23822.38</v>
      </c>
      <c r="L15" s="180"/>
      <c r="M15" s="180">
        <f>'August''24 State of Activities'!J18</f>
        <v>17136.07</v>
      </c>
      <c r="O15" s="390">
        <f t="shared" si="0"/>
        <v>-5349.59</v>
      </c>
      <c r="P15" s="337">
        <f>O15/M15</f>
        <v>-0.31218301512540508</v>
      </c>
      <c r="R15" s="555"/>
      <c r="S15" s="303"/>
      <c r="T15" s="368"/>
      <c r="U15" s="290"/>
    </row>
    <row r="16" spans="1:61" s="55" customFormat="1" x14ac:dyDescent="0.2">
      <c r="A16" s="54"/>
      <c r="B16" s="54"/>
      <c r="C16" s="58" t="s">
        <v>214</v>
      </c>
      <c r="D16" s="58"/>
      <c r="E16" s="58"/>
      <c r="F16" s="54"/>
      <c r="G16" s="180">
        <v>31459</v>
      </c>
      <c r="H16" s="180">
        <v>13920.35</v>
      </c>
      <c r="I16" s="180"/>
      <c r="J16" s="180">
        <f>'August''24 Revenues &amp; Expenses'!H44</f>
        <v>0</v>
      </c>
      <c r="K16" s="180">
        <v>25000</v>
      </c>
      <c r="L16" s="180"/>
      <c r="M16" s="180">
        <v>8153.81</v>
      </c>
      <c r="O16" s="390">
        <f t="shared" si="0"/>
        <v>-8153.81</v>
      </c>
      <c r="P16" s="337">
        <f>O16/M16</f>
        <v>-1</v>
      </c>
      <c r="R16" s="555">
        <v>11805.12</v>
      </c>
      <c r="S16" s="303"/>
      <c r="T16" s="368"/>
      <c r="U16" s="290"/>
    </row>
    <row r="17" spans="1:21" s="55" customFormat="1" x14ac:dyDescent="0.2">
      <c r="A17" s="54"/>
      <c r="B17" s="54"/>
      <c r="C17" s="58" t="s">
        <v>376</v>
      </c>
      <c r="D17" s="58"/>
      <c r="E17" s="58"/>
      <c r="F17" s="54"/>
      <c r="G17" s="180"/>
      <c r="H17" s="180"/>
      <c r="I17" s="180"/>
      <c r="J17" s="180"/>
      <c r="K17" s="180">
        <v>22918.98</v>
      </c>
      <c r="L17" s="180"/>
      <c r="M17" s="180"/>
      <c r="O17" s="390">
        <f t="shared" si="0"/>
        <v>0</v>
      </c>
      <c r="P17" s="337"/>
      <c r="R17" s="555"/>
      <c r="S17" s="303"/>
      <c r="T17" s="368"/>
      <c r="U17" s="290"/>
    </row>
    <row r="18" spans="1:21" s="55" customFormat="1" x14ac:dyDescent="0.2">
      <c r="A18" s="54"/>
      <c r="B18" s="54"/>
      <c r="C18" s="58" t="s">
        <v>388</v>
      </c>
      <c r="D18" s="58"/>
      <c r="E18" s="58"/>
      <c r="F18" s="54"/>
      <c r="G18" s="180"/>
      <c r="H18" s="180"/>
      <c r="I18" s="180"/>
      <c r="J18" s="180">
        <f>'August''24 Revenues &amp; Expenses'!H60</f>
        <v>83922.75</v>
      </c>
      <c r="K18" s="180">
        <v>23967.15</v>
      </c>
      <c r="L18" s="180"/>
      <c r="M18" s="180"/>
      <c r="O18" s="390">
        <f t="shared" si="0"/>
        <v>83922.75</v>
      </c>
      <c r="P18" s="337"/>
      <c r="R18" s="555"/>
      <c r="S18" s="303"/>
      <c r="T18" s="368"/>
      <c r="U18" s="290"/>
    </row>
    <row r="19" spans="1:21" s="55" customFormat="1" x14ac:dyDescent="0.2">
      <c r="A19" s="54"/>
      <c r="B19" s="54"/>
      <c r="C19" s="58" t="s">
        <v>332</v>
      </c>
      <c r="D19" s="58"/>
      <c r="E19" s="58"/>
      <c r="F19" s="54"/>
      <c r="G19" s="180"/>
      <c r="H19" s="180"/>
      <c r="I19" s="180"/>
      <c r="J19" s="180">
        <f>'August''24 State of Activities'!G11</f>
        <v>0</v>
      </c>
      <c r="K19" s="180">
        <v>1968.5</v>
      </c>
      <c r="L19" s="180"/>
      <c r="M19" s="180">
        <f>2100.03-1250</f>
        <v>850.0300000000002</v>
      </c>
      <c r="O19" s="390">
        <f t="shared" ref="O19:O20" si="1">J19-M19</f>
        <v>-850.0300000000002</v>
      </c>
      <c r="P19" s="337"/>
      <c r="R19" s="555">
        <f>186.59-R20</f>
        <v>162.31</v>
      </c>
      <c r="S19" s="303"/>
      <c r="T19" s="368"/>
      <c r="U19" s="290"/>
    </row>
    <row r="20" spans="1:21" s="55" customFormat="1" x14ac:dyDescent="0.2">
      <c r="A20" s="54"/>
      <c r="B20" s="54"/>
      <c r="C20" s="803" t="s">
        <v>335</v>
      </c>
      <c r="D20" s="803"/>
      <c r="E20" s="803"/>
      <c r="F20" s="803"/>
      <c r="G20" s="180"/>
      <c r="H20" s="180"/>
      <c r="I20" s="180"/>
      <c r="J20" s="180">
        <v>0</v>
      </c>
      <c r="K20" s="180">
        <v>1127.23</v>
      </c>
      <c r="L20" s="180"/>
      <c r="M20" s="180">
        <v>177.19</v>
      </c>
      <c r="O20" s="390">
        <f t="shared" si="1"/>
        <v>-177.19</v>
      </c>
      <c r="P20" s="337"/>
      <c r="R20" s="555">
        <v>24.28</v>
      </c>
      <c r="S20" s="303"/>
      <c r="T20" s="368"/>
      <c r="U20" s="290"/>
    </row>
    <row r="21" spans="1:21" s="55" customFormat="1" x14ac:dyDescent="0.2">
      <c r="A21" s="54"/>
      <c r="B21" s="54"/>
      <c r="C21" s="58" t="s">
        <v>341</v>
      </c>
      <c r="D21" s="58"/>
      <c r="E21" s="58"/>
      <c r="F21" s="54"/>
      <c r="G21" s="180">
        <v>1125</v>
      </c>
      <c r="H21" s="180">
        <v>6050</v>
      </c>
      <c r="I21" s="180"/>
      <c r="J21" s="180" t="e">
        <f>'August''24 State of Activities'!#REF!</f>
        <v>#REF!</v>
      </c>
      <c r="K21" s="180" t="e">
        <f>'August''24 State of Activities'!#REF!</f>
        <v>#REF!</v>
      </c>
      <c r="L21" s="180"/>
      <c r="M21" s="180" t="e">
        <f>'August''24 State of Activities'!#REF!</f>
        <v>#REF!</v>
      </c>
      <c r="O21" s="390" t="e">
        <f>J21-M21</f>
        <v>#REF!</v>
      </c>
      <c r="P21" s="337"/>
      <c r="R21" s="555"/>
    </row>
    <row r="22" spans="1:21" s="55" customFormat="1" ht="21" thickBot="1" x14ac:dyDescent="0.25">
      <c r="A22" s="54"/>
      <c r="B22" s="54"/>
      <c r="C22" s="58" t="s">
        <v>215</v>
      </c>
      <c r="D22" s="58"/>
      <c r="E22" s="58"/>
      <c r="F22" s="54"/>
      <c r="G22" s="187">
        <v>31250</v>
      </c>
      <c r="H22" s="187">
        <v>15624.98</v>
      </c>
      <c r="I22" s="180"/>
      <c r="J22" s="187">
        <f>'August''24 State of Activities'!G26*0.2</f>
        <v>7032</v>
      </c>
      <c r="K22" s="187">
        <f>'August''24 State of Activities'!H26*0.2</f>
        <v>10548</v>
      </c>
      <c r="L22" s="180"/>
      <c r="M22" s="187">
        <f>'August''24 State of Activities'!J26*0.2</f>
        <v>7032</v>
      </c>
      <c r="O22" s="391">
        <f>J22-M22</f>
        <v>0</v>
      </c>
      <c r="P22" s="320">
        <v>0</v>
      </c>
      <c r="R22" s="555"/>
    </row>
    <row r="23" spans="1:21" s="55" customFormat="1" x14ac:dyDescent="0.2">
      <c r="A23" s="54"/>
      <c r="B23" s="54"/>
      <c r="C23" s="58"/>
      <c r="D23" s="54" t="s">
        <v>103</v>
      </c>
      <c r="E23" s="58"/>
      <c r="F23" s="54"/>
      <c r="G23" s="180">
        <v>1161224.25</v>
      </c>
      <c r="H23" s="180">
        <v>516293.30999999994</v>
      </c>
      <c r="I23" s="180"/>
      <c r="J23" s="180" t="e">
        <f>SUM(J9:J22)</f>
        <v>#REF!</v>
      </c>
      <c r="K23" s="180" t="e">
        <f>SUM(K9:K22)</f>
        <v>#REF!</v>
      </c>
      <c r="L23" s="180"/>
      <c r="M23" s="180" t="e">
        <f>SUM(M9:M22)</f>
        <v>#REF!</v>
      </c>
      <c r="O23" s="212" t="e">
        <f>SUM(O9:O22)</f>
        <v>#REF!</v>
      </c>
      <c r="P23" s="337" t="e">
        <f>O23/M23</f>
        <v>#REF!</v>
      </c>
      <c r="R23" s="555"/>
    </row>
    <row r="24" spans="1:21" s="55" customFormat="1" ht="21" thickBot="1" x14ac:dyDescent="0.25">
      <c r="A24" s="54"/>
      <c r="B24" s="54"/>
      <c r="C24" s="54" t="s">
        <v>216</v>
      </c>
      <c r="D24" s="58"/>
      <c r="E24" s="58"/>
      <c r="F24" s="54"/>
      <c r="G24" s="187">
        <v>150176</v>
      </c>
      <c r="H24" s="187">
        <v>47700.27</v>
      </c>
      <c r="I24" s="180"/>
      <c r="J24" s="180">
        <f>19000/12*6</f>
        <v>9500</v>
      </c>
      <c r="K24" s="180">
        <v>19000</v>
      </c>
      <c r="L24" s="180"/>
      <c r="M24" s="180">
        <v>6333</v>
      </c>
      <c r="O24" s="390">
        <f>J24-M24</f>
        <v>3167</v>
      </c>
      <c r="P24" s="319">
        <f>O24/M24</f>
        <v>0.50007895152376436</v>
      </c>
      <c r="R24" s="180"/>
    </row>
    <row r="25" spans="1:21" s="55" customFormat="1" ht="21" thickBot="1" x14ac:dyDescent="0.25">
      <c r="A25" s="54"/>
      <c r="B25" s="54"/>
      <c r="C25" s="54" t="s">
        <v>217</v>
      </c>
      <c r="D25" s="58"/>
      <c r="E25" s="58"/>
      <c r="F25" s="54"/>
      <c r="G25" s="180"/>
      <c r="H25" s="180"/>
      <c r="I25" s="180"/>
      <c r="J25" s="187">
        <v>13582.02</v>
      </c>
      <c r="K25" s="187">
        <v>37834.400000000001</v>
      </c>
      <c r="L25" s="180"/>
      <c r="M25" s="187">
        <v>14484</v>
      </c>
      <c r="O25" s="301">
        <f>J25-M25</f>
        <v>-901.97999999999956</v>
      </c>
      <c r="P25" s="361">
        <f>O25/M25</f>
        <v>-6.2274233637116788E-2</v>
      </c>
      <c r="R25" s="555"/>
    </row>
    <row r="26" spans="1:21" s="55" customFormat="1" x14ac:dyDescent="0.2">
      <c r="A26" s="54"/>
      <c r="B26" s="54"/>
      <c r="C26" s="58"/>
      <c r="D26" s="54" t="s">
        <v>105</v>
      </c>
      <c r="E26" s="58"/>
      <c r="F26" s="54"/>
      <c r="G26" s="180">
        <v>1311400.25</v>
      </c>
      <c r="H26" s="180">
        <v>563993.57999999996</v>
      </c>
      <c r="I26" s="180"/>
      <c r="J26" s="180" t="e">
        <f>SUM(J23:J25)</f>
        <v>#REF!</v>
      </c>
      <c r="K26" s="180" t="e">
        <f>SUM(K23:K25)</f>
        <v>#REF!</v>
      </c>
      <c r="L26" s="180"/>
      <c r="M26" s="180" t="e">
        <f>SUM(M23:M25)</f>
        <v>#REF!</v>
      </c>
      <c r="O26" s="212" t="e">
        <f>J26-M26</f>
        <v>#REF!</v>
      </c>
      <c r="P26" s="337" t="e">
        <f>O26/M26</f>
        <v>#REF!</v>
      </c>
      <c r="R26" s="555"/>
    </row>
    <row r="27" spans="1:21" s="55" customFormat="1" x14ac:dyDescent="0.2">
      <c r="A27" s="54"/>
      <c r="B27" s="54"/>
      <c r="C27" s="58"/>
      <c r="D27" s="54"/>
      <c r="E27" s="58"/>
      <c r="F27" s="54"/>
      <c r="G27" s="180"/>
      <c r="H27" s="180"/>
      <c r="I27" s="180"/>
      <c r="J27" s="180"/>
      <c r="K27" s="461"/>
      <c r="L27" s="180"/>
      <c r="M27" s="180"/>
      <c r="R27" s="555"/>
    </row>
    <row r="28" spans="1:21" s="55" customFormat="1" ht="21" thickBot="1" x14ac:dyDescent="0.25">
      <c r="A28" s="54"/>
      <c r="B28" s="66" t="s">
        <v>109</v>
      </c>
      <c r="C28" s="66"/>
      <c r="D28" s="66"/>
      <c r="E28" s="66"/>
      <c r="F28" s="66"/>
      <c r="G28" s="187"/>
      <c r="J28" s="180"/>
      <c r="R28" s="555"/>
    </row>
    <row r="29" spans="1:21" s="55" customFormat="1" x14ac:dyDescent="0.2">
      <c r="A29" s="54"/>
      <c r="B29" s="54"/>
      <c r="C29" s="58" t="s">
        <v>218</v>
      </c>
      <c r="D29" s="58"/>
      <c r="E29" s="58"/>
      <c r="F29" s="58"/>
      <c r="G29" s="180">
        <v>733747.79999999993</v>
      </c>
      <c r="H29" s="212">
        <v>361976</v>
      </c>
      <c r="I29" s="212"/>
      <c r="J29" s="180"/>
      <c r="K29" s="212"/>
      <c r="L29" s="212"/>
      <c r="M29" s="212"/>
      <c r="R29" s="555"/>
    </row>
    <row r="30" spans="1:21" s="55" customFormat="1" x14ac:dyDescent="0.2">
      <c r="A30" s="54"/>
      <c r="B30" s="54"/>
      <c r="C30" s="58"/>
      <c r="D30" s="803" t="s">
        <v>219</v>
      </c>
      <c r="E30" s="803"/>
      <c r="F30" s="803"/>
      <c r="G30" s="180"/>
      <c r="H30" s="212"/>
      <c r="I30" s="212"/>
      <c r="J30" s="180">
        <v>64964.65</v>
      </c>
      <c r="K30" s="180">
        <v>162253.75</v>
      </c>
      <c r="L30" s="212"/>
      <c r="M30" s="180">
        <v>82702.42</v>
      </c>
      <c r="O30" s="212">
        <f t="shared" ref="O30:O50" si="2">J30-M30</f>
        <v>-17737.769999999997</v>
      </c>
      <c r="P30" s="337">
        <f>O30/M30</f>
        <v>-0.21447703706856458</v>
      </c>
      <c r="R30" s="555">
        <f>J30</f>
        <v>64964.65</v>
      </c>
    </row>
    <row r="31" spans="1:21" s="55" customFormat="1" x14ac:dyDescent="0.2">
      <c r="A31" s="54"/>
      <c r="B31" s="54"/>
      <c r="C31" s="58"/>
      <c r="D31" s="803" t="s">
        <v>220</v>
      </c>
      <c r="E31" s="803"/>
      <c r="F31" s="803"/>
      <c r="G31" s="180"/>
      <c r="H31" s="212"/>
      <c r="I31" s="212"/>
      <c r="J31" s="180">
        <f>23219.46+7406.6</f>
        <v>30626.059999999998</v>
      </c>
      <c r="K31" s="180">
        <f>37966.12+23862.63+605.03+106.59</f>
        <v>62540.369999999995</v>
      </c>
      <c r="L31" s="212"/>
      <c r="M31" s="180">
        <f>18368.1+11845.56</f>
        <v>30213.659999999996</v>
      </c>
      <c r="O31" s="212">
        <f t="shared" si="2"/>
        <v>412.40000000000146</v>
      </c>
      <c r="P31" s="337">
        <f>O31/M31</f>
        <v>1.3649455246401843E-2</v>
      </c>
      <c r="R31" s="555">
        <f>J31</f>
        <v>30626.059999999998</v>
      </c>
    </row>
    <row r="32" spans="1:21" s="55" customFormat="1" x14ac:dyDescent="0.2">
      <c r="A32" s="54"/>
      <c r="B32" s="54"/>
      <c r="C32" s="58"/>
      <c r="D32" s="803" t="s">
        <v>111</v>
      </c>
      <c r="E32" s="803"/>
      <c r="F32" s="803"/>
      <c r="G32" s="180"/>
      <c r="H32" s="212"/>
      <c r="I32" s="212"/>
      <c r="J32" s="180">
        <v>15442.94</v>
      </c>
      <c r="K32" s="180">
        <v>42279.58</v>
      </c>
      <c r="L32" s="212"/>
      <c r="M32" s="180">
        <f>(M30+M31)*0.18</f>
        <v>20324.894399999997</v>
      </c>
      <c r="O32" s="212">
        <f t="shared" si="2"/>
        <v>-4881.9543999999969</v>
      </c>
      <c r="P32" s="337">
        <f>O32/M32</f>
        <v>-0.24019580638017965</v>
      </c>
      <c r="R32" s="191">
        <f>J32</f>
        <v>15442.94</v>
      </c>
    </row>
    <row r="33" spans="1:19" s="55" customFormat="1" x14ac:dyDescent="0.2">
      <c r="A33" s="54"/>
      <c r="B33" s="54"/>
      <c r="C33" s="58" t="s">
        <v>276</v>
      </c>
      <c r="D33" s="58"/>
      <c r="E33" s="58"/>
      <c r="F33" s="58"/>
      <c r="G33" s="180">
        <v>44745.18</v>
      </c>
      <c r="H33" s="180">
        <v>20974.21</v>
      </c>
      <c r="I33" s="180"/>
      <c r="J33" s="180"/>
      <c r="K33" s="461"/>
      <c r="L33" s="180"/>
      <c r="M33" s="461"/>
      <c r="O33" s="212">
        <f t="shared" si="2"/>
        <v>0</v>
      </c>
      <c r="P33" s="337"/>
      <c r="R33" s="555"/>
      <c r="S33" s="55">
        <f>R32/(R30+R31)</f>
        <v>0.16155272829336662</v>
      </c>
    </row>
    <row r="34" spans="1:19" s="55" customFormat="1" x14ac:dyDescent="0.2">
      <c r="A34" s="54"/>
      <c r="B34" s="54"/>
      <c r="C34" s="58"/>
      <c r="D34" s="803" t="s">
        <v>221</v>
      </c>
      <c r="E34" s="803"/>
      <c r="F34" s="803"/>
      <c r="G34" s="180"/>
      <c r="H34" s="180"/>
      <c r="I34" s="180"/>
      <c r="J34" s="180">
        <v>7876.42</v>
      </c>
      <c r="K34" s="180">
        <v>25472.83</v>
      </c>
      <c r="L34" s="180"/>
      <c r="M34" s="180">
        <v>8106.06</v>
      </c>
      <c r="O34" s="212">
        <f t="shared" si="2"/>
        <v>-229.64000000000033</v>
      </c>
      <c r="P34" s="337">
        <f t="shared" ref="P34:P41" si="3">O34/M34</f>
        <v>-2.832942267883538E-2</v>
      </c>
      <c r="R34" s="555">
        <v>7876.42</v>
      </c>
    </row>
    <row r="35" spans="1:19" s="55" customFormat="1" x14ac:dyDescent="0.2">
      <c r="A35" s="54"/>
      <c r="B35" s="54"/>
      <c r="C35" s="58"/>
      <c r="D35" s="803" t="s">
        <v>222</v>
      </c>
      <c r="E35" s="803"/>
      <c r="F35" s="803"/>
      <c r="G35" s="180"/>
      <c r="H35" s="180"/>
      <c r="I35" s="180"/>
      <c r="J35" s="180">
        <v>11303.34</v>
      </c>
      <c r="K35" s="180">
        <v>17989.87</v>
      </c>
      <c r="L35" s="180"/>
      <c r="M35" s="180">
        <v>5932.49</v>
      </c>
      <c r="O35" s="212">
        <f t="shared" si="2"/>
        <v>5370.85</v>
      </c>
      <c r="P35" s="337">
        <f t="shared" si="3"/>
        <v>0.90532811686155401</v>
      </c>
      <c r="R35" s="555">
        <v>11303.34</v>
      </c>
    </row>
    <row r="36" spans="1:19" s="55" customFormat="1" x14ac:dyDescent="0.2">
      <c r="A36" s="54"/>
      <c r="B36" s="54"/>
      <c r="C36" s="58"/>
      <c r="D36" s="803" t="s">
        <v>302</v>
      </c>
      <c r="E36" s="803"/>
      <c r="F36" s="803"/>
      <c r="G36" s="180"/>
      <c r="H36" s="180"/>
      <c r="I36" s="180"/>
      <c r="J36" s="180">
        <v>11898.19</v>
      </c>
      <c r="K36" s="180">
        <v>16090.9</v>
      </c>
      <c r="L36" s="180"/>
      <c r="M36" s="180">
        <v>7105.84</v>
      </c>
      <c r="O36" s="212">
        <f t="shared" si="2"/>
        <v>4792.3500000000004</v>
      </c>
      <c r="P36" s="337">
        <f t="shared" si="3"/>
        <v>0.6744241356405436</v>
      </c>
      <c r="R36" s="555">
        <v>11898.19</v>
      </c>
    </row>
    <row r="37" spans="1:19" s="55" customFormat="1" x14ac:dyDescent="0.2">
      <c r="A37" s="54"/>
      <c r="B37" s="54"/>
      <c r="C37" s="58"/>
      <c r="D37" s="803" t="s">
        <v>223</v>
      </c>
      <c r="E37" s="803"/>
      <c r="F37" s="803"/>
      <c r="G37" s="180"/>
      <c r="H37" s="180"/>
      <c r="I37" s="180"/>
      <c r="J37" s="180">
        <v>307</v>
      </c>
      <c r="K37" s="180">
        <v>1427.75</v>
      </c>
      <c r="L37" s="180"/>
      <c r="M37" s="180">
        <v>79</v>
      </c>
      <c r="O37" s="212">
        <f t="shared" si="2"/>
        <v>228</v>
      </c>
      <c r="P37" s="337">
        <f t="shared" si="3"/>
        <v>2.8860759493670884</v>
      </c>
      <c r="R37" s="555">
        <v>307</v>
      </c>
    </row>
    <row r="38" spans="1:19" s="55" customFormat="1" x14ac:dyDescent="0.2">
      <c r="A38" s="54"/>
      <c r="B38" s="54"/>
      <c r="C38" s="58" t="s">
        <v>224</v>
      </c>
      <c r="D38" s="58"/>
      <c r="E38" s="58"/>
      <c r="F38" s="58"/>
      <c r="G38" s="180">
        <v>27200</v>
      </c>
      <c r="H38" s="180">
        <v>11327</v>
      </c>
      <c r="I38" s="180"/>
      <c r="J38" s="180">
        <v>15180</v>
      </c>
      <c r="K38" s="180">
        <f>22438.68+1591</f>
        <v>24029.68</v>
      </c>
      <c r="L38" s="180"/>
      <c r="M38" s="180">
        <f>530.32+7060.24</f>
        <v>7590.5599999999995</v>
      </c>
      <c r="O38" s="212">
        <f t="shared" si="2"/>
        <v>7589.4400000000005</v>
      </c>
      <c r="P38" s="337">
        <f t="shared" si="3"/>
        <v>0.99985244830420961</v>
      </c>
      <c r="R38" s="555">
        <f>930+14250</f>
        <v>15180</v>
      </c>
    </row>
    <row r="39" spans="1:19" s="55" customFormat="1" x14ac:dyDescent="0.2">
      <c r="A39" s="54"/>
      <c r="B39" s="54"/>
      <c r="C39" s="58" t="s">
        <v>102</v>
      </c>
      <c r="D39" s="58"/>
      <c r="E39" s="58"/>
      <c r="F39" s="58"/>
      <c r="G39" s="180">
        <v>150176</v>
      </c>
      <c r="H39" s="212">
        <v>47700.27</v>
      </c>
      <c r="I39" s="212"/>
      <c r="J39" s="180">
        <f>J22</f>
        <v>7032</v>
      </c>
      <c r="K39" s="180">
        <f>K22</f>
        <v>10548</v>
      </c>
      <c r="L39" s="212"/>
      <c r="M39" s="180">
        <f>M22</f>
        <v>7032</v>
      </c>
      <c r="O39" s="212">
        <f t="shared" si="2"/>
        <v>0</v>
      </c>
      <c r="P39" s="337">
        <f t="shared" si="3"/>
        <v>0</v>
      </c>
      <c r="R39" s="555"/>
    </row>
    <row r="40" spans="1:19" s="55" customFormat="1" x14ac:dyDescent="0.2">
      <c r="A40" s="54"/>
      <c r="B40" s="54"/>
      <c r="C40" s="58" t="s">
        <v>311</v>
      </c>
      <c r="D40" s="58"/>
      <c r="E40" s="58"/>
      <c r="F40" s="58"/>
      <c r="G40" s="180"/>
      <c r="H40" s="212"/>
      <c r="I40" s="212"/>
      <c r="J40" s="180">
        <f>1268+392</f>
        <v>1660</v>
      </c>
      <c r="K40" s="180">
        <v>4497</v>
      </c>
      <c r="L40" s="212"/>
      <c r="M40" s="180">
        <v>1388</v>
      </c>
      <c r="O40" s="212">
        <f t="shared" si="2"/>
        <v>272</v>
      </c>
      <c r="P40" s="337">
        <f t="shared" si="3"/>
        <v>0.19596541786743515</v>
      </c>
      <c r="R40" s="555">
        <v>2437</v>
      </c>
    </row>
    <row r="41" spans="1:19" s="55" customFormat="1" x14ac:dyDescent="0.2">
      <c r="A41" s="54"/>
      <c r="B41" s="54"/>
      <c r="C41" s="58" t="s">
        <v>225</v>
      </c>
      <c r="D41" s="58"/>
      <c r="E41" s="58"/>
      <c r="F41" s="58"/>
      <c r="G41" s="180"/>
      <c r="H41" s="212"/>
      <c r="I41" s="212"/>
      <c r="J41" s="180">
        <v>954</v>
      </c>
      <c r="K41" s="180">
        <f>75+874</f>
        <v>949</v>
      </c>
      <c r="L41" s="212"/>
      <c r="M41" s="180">
        <f>393+75</f>
        <v>468</v>
      </c>
      <c r="O41" s="212">
        <f t="shared" si="2"/>
        <v>486</v>
      </c>
      <c r="P41" s="337">
        <f t="shared" si="3"/>
        <v>1.0384615384615385</v>
      </c>
      <c r="R41" s="555">
        <f>105+877</f>
        <v>982</v>
      </c>
      <c r="S41" s="548">
        <f>R41</f>
        <v>982</v>
      </c>
    </row>
    <row r="42" spans="1:19" s="55" customFormat="1" x14ac:dyDescent="0.2">
      <c r="A42" s="54"/>
      <c r="B42" s="54"/>
      <c r="C42" s="58" t="s">
        <v>379</v>
      </c>
      <c r="D42" s="58"/>
      <c r="E42" s="58"/>
      <c r="F42" s="58"/>
      <c r="G42" s="180">
        <v>10993.12</v>
      </c>
      <c r="H42" s="212">
        <v>4904.57</v>
      </c>
      <c r="I42" s="212"/>
      <c r="J42" s="180">
        <f>1600.82+472.16</f>
        <v>2072.98</v>
      </c>
      <c r="K42" s="180">
        <v>4436.1400000000003</v>
      </c>
      <c r="L42" s="212"/>
      <c r="M42" s="180">
        <f>18.18+1152.17</f>
        <v>1170.3500000000001</v>
      </c>
      <c r="O42" s="212">
        <f t="shared" si="2"/>
        <v>902.62999999999988</v>
      </c>
      <c r="P42" s="337">
        <f>O42/M42</f>
        <v>0.77124791728969944</v>
      </c>
      <c r="R42" s="555">
        <f>757.49+3120.83+26.18</f>
        <v>3904.4999999999995</v>
      </c>
    </row>
    <row r="43" spans="1:19" s="55" customFormat="1" x14ac:dyDescent="0.2">
      <c r="A43" s="54"/>
      <c r="B43" s="54"/>
      <c r="C43" s="58" t="s">
        <v>226</v>
      </c>
      <c r="D43" s="58"/>
      <c r="E43" s="58"/>
      <c r="F43" s="58"/>
      <c r="G43" s="180">
        <v>10250.949999999999</v>
      </c>
      <c r="H43" s="212">
        <v>3982.99</v>
      </c>
      <c r="I43" s="212"/>
      <c r="J43" s="180">
        <f>41.5+32.88</f>
        <v>74.38</v>
      </c>
      <c r="K43" s="180">
        <f>223.01+568.51</f>
        <v>791.52</v>
      </c>
      <c r="L43" s="212"/>
      <c r="M43" s="180">
        <f>11.58+94.37+34.1+4.4</f>
        <v>144.45000000000002</v>
      </c>
      <c r="O43" s="212">
        <f t="shared" si="2"/>
        <v>-70.070000000000022</v>
      </c>
      <c r="P43" s="337">
        <f>O43/M43</f>
        <v>-0.48508134302526834</v>
      </c>
      <c r="R43" s="555">
        <f>9.2+72.5+8.53+225.13</f>
        <v>315.36</v>
      </c>
      <c r="S43" s="548">
        <f>R43</f>
        <v>315.36</v>
      </c>
    </row>
    <row r="44" spans="1:19" s="55" customFormat="1" x14ac:dyDescent="0.2">
      <c r="A44" s="54"/>
      <c r="B44" s="54"/>
      <c r="C44" s="58" t="s">
        <v>120</v>
      </c>
      <c r="D44" s="58"/>
      <c r="E44" s="58"/>
      <c r="F44" s="58"/>
      <c r="G44" s="180">
        <v>4412.53</v>
      </c>
      <c r="H44" s="213">
        <v>5667</v>
      </c>
      <c r="I44" s="213"/>
      <c r="J44" s="180">
        <f>473.98+380.58+21.4+125</f>
        <v>1000.9599999999999</v>
      </c>
      <c r="K44" s="180">
        <v>1826.56</v>
      </c>
      <c r="L44" s="213"/>
      <c r="M44" s="180">
        <f>72.06+953.27</f>
        <v>1025.33</v>
      </c>
      <c r="O44" s="212">
        <f t="shared" si="2"/>
        <v>-24.370000000000005</v>
      </c>
      <c r="P44" s="337">
        <f>O44/M44</f>
        <v>-2.3767957633152259E-2</v>
      </c>
      <c r="R44" s="555">
        <f>108.49+189+1123.3</f>
        <v>1420.79</v>
      </c>
    </row>
    <row r="45" spans="1:19" s="55" customFormat="1" x14ac:dyDescent="0.2">
      <c r="A45" s="54"/>
      <c r="B45" s="54"/>
      <c r="C45" s="58" t="s">
        <v>118</v>
      </c>
      <c r="D45" s="58"/>
      <c r="E45" s="58"/>
      <c r="F45" s="58"/>
      <c r="G45" s="180">
        <v>7901</v>
      </c>
      <c r="H45" s="212">
        <v>4149.6000000000004</v>
      </c>
      <c r="I45" s="212"/>
      <c r="J45" s="180">
        <f>84.85+28.27</f>
        <v>113.11999999999999</v>
      </c>
      <c r="K45" s="180">
        <v>396.82</v>
      </c>
      <c r="L45" s="212"/>
      <c r="M45" s="180">
        <f>150.1</f>
        <v>150.1</v>
      </c>
      <c r="O45" s="212">
        <f t="shared" si="2"/>
        <v>-36.980000000000004</v>
      </c>
      <c r="P45" s="337">
        <f>O45/M45</f>
        <v>-0.24636908727514994</v>
      </c>
      <c r="R45" s="555">
        <f>0.1+152.24</f>
        <v>152.34</v>
      </c>
      <c r="S45" s="548">
        <f>R45</f>
        <v>152.34</v>
      </c>
    </row>
    <row r="46" spans="1:19" s="55" customFormat="1" hidden="1" x14ac:dyDescent="0.2">
      <c r="A46" s="54"/>
      <c r="B46" s="54"/>
      <c r="C46" s="58" t="s">
        <v>227</v>
      </c>
      <c r="D46" s="58"/>
      <c r="E46" s="58"/>
      <c r="F46" s="58"/>
      <c r="G46" s="180"/>
      <c r="H46" s="212"/>
      <c r="I46" s="212"/>
      <c r="J46" s="180"/>
      <c r="K46" s="180"/>
      <c r="L46" s="212"/>
      <c r="M46" s="180"/>
      <c r="O46" s="212">
        <f t="shared" si="2"/>
        <v>0</v>
      </c>
      <c r="P46" s="337"/>
      <c r="R46" s="555"/>
    </row>
    <row r="47" spans="1:19" s="55" customFormat="1" x14ac:dyDescent="0.2">
      <c r="A47" s="58"/>
      <c r="B47" s="58"/>
      <c r="C47" s="58" t="s">
        <v>114</v>
      </c>
      <c r="D47" s="58"/>
      <c r="E47" s="58"/>
      <c r="F47" s="58"/>
      <c r="G47" s="180">
        <v>5428.37</v>
      </c>
      <c r="H47" s="212">
        <v>2024.52</v>
      </c>
      <c r="I47" s="212"/>
      <c r="J47" s="180">
        <f>144.57+13.67</f>
        <v>158.23999999999998</v>
      </c>
      <c r="K47" s="180">
        <v>422.62</v>
      </c>
      <c r="L47" s="212"/>
      <c r="M47" s="180">
        <v>151.52000000000001</v>
      </c>
      <c r="O47" s="212">
        <f t="shared" si="2"/>
        <v>6.7199999999999704</v>
      </c>
      <c r="P47" s="337">
        <f>O47/M47</f>
        <v>4.4350580781414795E-2</v>
      </c>
      <c r="R47" s="555">
        <v>207.91</v>
      </c>
    </row>
    <row r="48" spans="1:19" s="55" customFormat="1" x14ac:dyDescent="0.2">
      <c r="A48" s="58"/>
      <c r="B48" s="58"/>
      <c r="C48" s="58" t="s">
        <v>228</v>
      </c>
      <c r="D48" s="58"/>
      <c r="E48" s="58"/>
      <c r="F48" s="58"/>
      <c r="G48" s="180">
        <v>83462.91</v>
      </c>
      <c r="H48" s="180">
        <v>18995.71</v>
      </c>
      <c r="I48" s="180"/>
      <c r="J48" s="182">
        <f>43.18+110</f>
        <v>153.18</v>
      </c>
      <c r="K48" s="182">
        <f>248.22+18.56+28.25+5</f>
        <v>300.02999999999997</v>
      </c>
      <c r="L48" s="180"/>
      <c r="M48" s="182">
        <v>58.6</v>
      </c>
      <c r="O48" s="393">
        <f t="shared" si="2"/>
        <v>94.580000000000013</v>
      </c>
      <c r="P48" s="392">
        <f>O48/M48</f>
        <v>1.6139931740614337</v>
      </c>
      <c r="R48" s="555">
        <f>25+228.45+110</f>
        <v>363.45</v>
      </c>
    </row>
    <row r="49" spans="1:21" s="55" customFormat="1" ht="21" thickBot="1" x14ac:dyDescent="0.25">
      <c r="A49" s="54"/>
      <c r="B49" s="54"/>
      <c r="C49" s="54"/>
      <c r="D49" s="54" t="s">
        <v>126</v>
      </c>
      <c r="E49" s="54"/>
      <c r="F49" s="54"/>
      <c r="G49" s="187">
        <v>1078317.8599999999</v>
      </c>
      <c r="H49" s="187">
        <v>481701.87000000005</v>
      </c>
      <c r="I49" s="180"/>
      <c r="J49" s="363">
        <f>SUM(J30:J48)</f>
        <v>170817.45999999996</v>
      </c>
      <c r="K49" s="363">
        <f>SUM(K30:K48)</f>
        <v>376252.4200000001</v>
      </c>
      <c r="L49" s="180"/>
      <c r="M49" s="363">
        <f>SUM(M30:M48)</f>
        <v>173643.27439999997</v>
      </c>
      <c r="O49" s="363">
        <f t="shared" si="2"/>
        <v>-2825.8144000000029</v>
      </c>
      <c r="P49" s="361">
        <f>O49/M49</f>
        <v>-1.6273676073917685E-2</v>
      </c>
      <c r="R49" s="555"/>
      <c r="U49" s="271"/>
    </row>
    <row r="50" spans="1:21" s="55" customFormat="1" ht="21" thickBot="1" x14ac:dyDescent="0.25">
      <c r="A50" s="54"/>
      <c r="B50" s="54"/>
      <c r="C50" s="54"/>
      <c r="D50" s="54" t="s">
        <v>127</v>
      </c>
      <c r="E50" s="54"/>
      <c r="F50" s="54"/>
      <c r="G50" s="187">
        <v>233082.39000000013</v>
      </c>
      <c r="H50" s="187">
        <v>82291.709999999905</v>
      </c>
      <c r="I50" s="180"/>
      <c r="J50" s="364" t="e">
        <f>J26-J49</f>
        <v>#REF!</v>
      </c>
      <c r="K50" s="364" t="e">
        <f>K26-K49</f>
        <v>#REF!</v>
      </c>
      <c r="L50" s="180"/>
      <c r="M50" s="364" t="e">
        <f>M26-M49</f>
        <v>#REF!</v>
      </c>
      <c r="O50" s="301" t="e">
        <f t="shared" si="2"/>
        <v>#REF!</v>
      </c>
      <c r="P50" s="361" t="e">
        <f>O50/M50</f>
        <v>#REF!</v>
      </c>
      <c r="R50" s="555">
        <f>SUM(R29:R49)</f>
        <v>167381.94999999998</v>
      </c>
    </row>
    <row r="51" spans="1:21" s="55" customFormat="1" x14ac:dyDescent="0.2">
      <c r="A51" s="54"/>
      <c r="B51" s="54"/>
      <c r="C51" s="54"/>
      <c r="D51" s="54"/>
      <c r="E51" s="54"/>
      <c r="F51" s="54"/>
      <c r="G51" s="180"/>
      <c r="H51" s="180"/>
      <c r="I51" s="180"/>
      <c r="J51" s="180"/>
      <c r="K51" s="180"/>
      <c r="L51" s="180"/>
      <c r="M51" s="180"/>
      <c r="R51" s="555"/>
    </row>
    <row r="52" spans="1:21" s="52" customFormat="1" ht="26.25" x14ac:dyDescent="0.2">
      <c r="A52" s="206"/>
      <c r="B52" s="206"/>
      <c r="C52" s="58" t="s">
        <v>263</v>
      </c>
      <c r="E52" s="58"/>
      <c r="F52" s="58"/>
      <c r="G52" s="208"/>
      <c r="H52" s="180"/>
      <c r="I52" s="180"/>
      <c r="J52" s="180"/>
      <c r="K52" s="180">
        <v>-69500</v>
      </c>
      <c r="L52" s="180"/>
      <c r="M52" s="180"/>
      <c r="O52" s="212">
        <f>J52-M52</f>
        <v>0</v>
      </c>
      <c r="P52" s="319"/>
      <c r="R52" s="555"/>
    </row>
    <row r="53" spans="1:21" s="55" customFormat="1" x14ac:dyDescent="0.2">
      <c r="A53" s="54"/>
      <c r="B53" s="54"/>
      <c r="C53" s="58" t="s">
        <v>229</v>
      </c>
      <c r="E53" s="54"/>
      <c r="G53" s="180"/>
      <c r="H53" s="180"/>
      <c r="I53" s="180"/>
      <c r="J53" s="180">
        <f>J38</f>
        <v>15180</v>
      </c>
      <c r="K53" s="180">
        <f>K38</f>
        <v>24029.68</v>
      </c>
      <c r="L53" s="180"/>
      <c r="M53" s="180">
        <f>M38</f>
        <v>7590.5599999999995</v>
      </c>
      <c r="O53" s="212">
        <f>J53-M53</f>
        <v>7589.4400000000005</v>
      </c>
      <c r="P53" s="319">
        <v>3.5414486921529216E-2</v>
      </c>
      <c r="R53" s="555"/>
    </row>
    <row r="54" spans="1:21" s="55" customFormat="1" ht="24" thickBot="1" x14ac:dyDescent="0.25">
      <c r="A54" s="54"/>
      <c r="B54" s="209"/>
      <c r="C54" s="54"/>
      <c r="D54" s="806" t="s">
        <v>230</v>
      </c>
      <c r="E54" s="806"/>
      <c r="F54" s="806"/>
      <c r="G54" s="180"/>
      <c r="H54" s="180"/>
      <c r="I54" s="180"/>
      <c r="J54" s="365" t="e">
        <f>J50+J52+J53</f>
        <v>#REF!</v>
      </c>
      <c r="K54" s="365" t="e">
        <f>K50+K52+K53</f>
        <v>#REF!</v>
      </c>
      <c r="L54" s="189"/>
      <c r="M54" s="365" t="e">
        <f>M50+M52+M53</f>
        <v>#REF!</v>
      </c>
      <c r="N54" s="303"/>
      <c r="O54" s="362" t="e">
        <f>J54-M54</f>
        <v>#REF!</v>
      </c>
      <c r="P54" s="388">
        <v>2.1062768618503362E-2</v>
      </c>
      <c r="R54" s="555"/>
    </row>
    <row r="55" spans="1:21" s="55" customFormat="1" ht="42" customHeight="1" thickTop="1" x14ac:dyDescent="0.2">
      <c r="A55" s="54"/>
      <c r="B55" s="54"/>
      <c r="C55" s="54"/>
      <c r="D55" s="54"/>
      <c r="E55" s="54"/>
      <c r="F55" s="54"/>
      <c r="G55" s="180"/>
      <c r="H55" s="180"/>
      <c r="I55" s="180"/>
      <c r="J55" s="180"/>
      <c r="K55" s="180"/>
      <c r="L55" s="180"/>
      <c r="M55" s="180"/>
      <c r="R55" s="555"/>
    </row>
    <row r="56" spans="1:21" s="55" customFormat="1" x14ac:dyDescent="0.2">
      <c r="A56" s="58"/>
      <c r="B56" s="58"/>
      <c r="C56" s="58"/>
      <c r="D56" s="58"/>
      <c r="F56" s="58" t="s">
        <v>307</v>
      </c>
      <c r="G56" s="189"/>
      <c r="H56" s="180"/>
      <c r="I56" s="180"/>
      <c r="J56" s="180">
        <v>62742</v>
      </c>
      <c r="K56" s="180">
        <v>227723</v>
      </c>
      <c r="L56" s="180"/>
      <c r="M56" s="180">
        <v>74506</v>
      </c>
      <c r="O56" s="191"/>
      <c r="R56" s="555"/>
    </row>
    <row r="57" spans="1:21" s="55" customFormat="1" ht="21" thickBot="1" x14ac:dyDescent="0.25">
      <c r="A57" s="58"/>
      <c r="B57" s="58"/>
      <c r="C57" s="58"/>
      <c r="D57" s="58"/>
      <c r="F57" s="58" t="s">
        <v>312</v>
      </c>
      <c r="G57" s="180"/>
      <c r="H57" s="180"/>
      <c r="I57" s="180"/>
      <c r="J57" s="471">
        <f>(J49-J38-J39)/J56</f>
        <v>2.3685164642504217</v>
      </c>
      <c r="K57" s="471">
        <f>(K49-K38-K39)/K56</f>
        <v>1.5003962709080774</v>
      </c>
      <c r="L57" s="472"/>
      <c r="M57" s="471">
        <f>(M49-M38-M39)/M56</f>
        <v>2.1343343408584539</v>
      </c>
      <c r="R57" s="555"/>
    </row>
    <row r="58" spans="1:21" s="55" customFormat="1" x14ac:dyDescent="0.2">
      <c r="A58" s="58"/>
      <c r="B58" s="58"/>
      <c r="C58" s="58"/>
      <c r="D58" s="58"/>
      <c r="F58" s="58"/>
      <c r="G58" s="180"/>
      <c r="H58" s="180"/>
      <c r="I58" s="180"/>
      <c r="J58" s="180"/>
      <c r="K58" s="180"/>
      <c r="L58" s="180"/>
      <c r="M58" s="180"/>
      <c r="R58" s="555"/>
    </row>
    <row r="59" spans="1:21" s="55" customFormat="1" x14ac:dyDescent="0.2">
      <c r="A59" s="58"/>
      <c r="B59" s="58"/>
      <c r="C59" s="58"/>
      <c r="D59" s="58"/>
      <c r="F59" s="58" t="s">
        <v>308</v>
      </c>
      <c r="G59" s="180"/>
      <c r="H59" s="180"/>
      <c r="I59" s="180"/>
      <c r="J59" s="180">
        <v>4125</v>
      </c>
      <c r="K59" s="180">
        <v>16457</v>
      </c>
      <c r="L59" s="180"/>
      <c r="M59" s="180">
        <v>5516</v>
      </c>
      <c r="P59" s="191"/>
      <c r="R59" s="555"/>
    </row>
    <row r="60" spans="1:21" s="55" customFormat="1" ht="21" thickBot="1" x14ac:dyDescent="0.25">
      <c r="A60" s="58"/>
      <c r="B60" s="58"/>
      <c r="C60" s="58"/>
      <c r="D60" s="58"/>
      <c r="F60" s="58" t="s">
        <v>368</v>
      </c>
      <c r="G60" s="180"/>
      <c r="H60" s="180"/>
      <c r="I60" s="180"/>
      <c r="J60" s="471">
        <f>(J49-J38-J39)/J59</f>
        <v>36.025566060606053</v>
      </c>
      <c r="K60" s="471">
        <f>(K49-K38-K39)/K59</f>
        <v>20.761666160296535</v>
      </c>
      <c r="L60" s="180"/>
      <c r="M60" s="471">
        <f>(M49-M38-M39)/M59</f>
        <v>28.828991007976789</v>
      </c>
      <c r="R60" s="555"/>
    </row>
    <row r="61" spans="1:21" s="55" customFormat="1" x14ac:dyDescent="0.2">
      <c r="A61" s="58"/>
      <c r="B61" s="58"/>
      <c r="C61" s="58"/>
      <c r="D61" s="58"/>
      <c r="F61" s="58"/>
      <c r="G61" s="180"/>
      <c r="H61" s="180"/>
      <c r="I61" s="180"/>
      <c r="J61" s="180"/>
      <c r="K61" s="180"/>
      <c r="L61" s="180"/>
      <c r="M61" s="180"/>
      <c r="R61" s="555"/>
    </row>
    <row r="62" spans="1:21" s="55" customFormat="1" x14ac:dyDescent="0.2">
      <c r="A62" s="58"/>
      <c r="B62" s="58"/>
      <c r="C62" s="54"/>
      <c r="D62" s="58"/>
      <c r="F62" s="58" t="s">
        <v>309</v>
      </c>
      <c r="G62" s="180"/>
      <c r="H62" s="180"/>
      <c r="I62" s="180"/>
      <c r="J62" s="180">
        <v>1517</v>
      </c>
      <c r="K62" s="180">
        <v>7208</v>
      </c>
      <c r="L62" s="180"/>
      <c r="M62" s="180">
        <v>2389</v>
      </c>
      <c r="R62" s="555"/>
    </row>
    <row r="63" spans="1:21" s="55" customFormat="1" ht="21" thickBot="1" x14ac:dyDescent="0.25">
      <c r="A63" s="58"/>
      <c r="B63" s="58"/>
      <c r="C63" s="58"/>
      <c r="D63" s="58"/>
      <c r="E63" s="58"/>
      <c r="F63" s="58" t="s">
        <v>369</v>
      </c>
      <c r="G63" s="180"/>
      <c r="H63" s="180"/>
      <c r="I63" s="180"/>
      <c r="J63" s="471">
        <f>J9/J62</f>
        <v>27.359485827290705</v>
      </c>
      <c r="K63" s="471">
        <f>K9/K62</f>
        <v>22.020116537180911</v>
      </c>
      <c r="L63" s="180"/>
      <c r="M63" s="471">
        <f>M9/M62</f>
        <v>32.932381749686066</v>
      </c>
      <c r="R63" s="555"/>
    </row>
    <row r="64" spans="1:21" s="55" customFormat="1" x14ac:dyDescent="0.2">
      <c r="A64" s="58"/>
      <c r="B64" s="58"/>
      <c r="C64" s="54"/>
      <c r="D64" s="54"/>
      <c r="G64" s="180"/>
      <c r="H64" s="180"/>
      <c r="I64" s="180"/>
      <c r="J64" s="180"/>
      <c r="K64" s="180"/>
      <c r="L64" s="180"/>
      <c r="M64" s="180"/>
      <c r="R64" s="555"/>
    </row>
    <row r="65" spans="1:18" s="55" customFormat="1" x14ac:dyDescent="0.2">
      <c r="A65" s="58"/>
      <c r="B65" s="58"/>
      <c r="C65" s="58"/>
      <c r="D65" s="58"/>
      <c r="E65" s="58"/>
      <c r="F65" s="58"/>
      <c r="G65" s="180"/>
      <c r="H65" s="180"/>
      <c r="I65" s="180"/>
      <c r="J65" s="180"/>
      <c r="K65" s="180"/>
      <c r="L65" s="180"/>
      <c r="M65" s="180"/>
      <c r="R65" s="555"/>
    </row>
    <row r="66" spans="1:18" s="55" customFormat="1" x14ac:dyDescent="0.2">
      <c r="A66" s="58"/>
      <c r="B66" s="58"/>
      <c r="C66" s="58"/>
      <c r="D66" s="58"/>
      <c r="E66" s="58"/>
      <c r="F66" s="58"/>
      <c r="G66" s="180"/>
      <c r="H66" s="180"/>
      <c r="I66" s="180"/>
      <c r="J66" s="180"/>
      <c r="K66" s="180"/>
      <c r="L66" s="180"/>
      <c r="M66" s="180"/>
      <c r="R66" s="555"/>
    </row>
    <row r="67" spans="1:18" s="55" customFormat="1" x14ac:dyDescent="0.2">
      <c r="A67" s="58"/>
      <c r="B67" s="58"/>
      <c r="C67" s="54"/>
      <c r="D67" s="58"/>
      <c r="F67" s="58"/>
      <c r="G67" s="180"/>
      <c r="H67" s="180"/>
      <c r="I67" s="180"/>
      <c r="J67" s="180"/>
      <c r="K67" s="180"/>
      <c r="L67" s="180"/>
      <c r="M67" s="180"/>
      <c r="R67" s="555"/>
    </row>
    <row r="68" spans="1:18" s="55" customFormat="1" x14ac:dyDescent="0.2">
      <c r="A68" s="58"/>
      <c r="B68" s="58"/>
      <c r="C68" s="58"/>
      <c r="D68" s="58"/>
      <c r="E68" s="58"/>
      <c r="F68" s="58"/>
      <c r="G68" s="180"/>
      <c r="H68" s="180"/>
      <c r="I68" s="180"/>
      <c r="J68" s="180"/>
      <c r="K68" s="180"/>
      <c r="L68" s="180"/>
      <c r="M68" s="180"/>
      <c r="R68" s="555"/>
    </row>
    <row r="69" spans="1:18" s="55" customFormat="1" x14ac:dyDescent="0.2">
      <c r="A69" s="54"/>
      <c r="B69" s="54"/>
      <c r="C69" s="54"/>
      <c r="D69" s="54"/>
      <c r="E69" s="54"/>
      <c r="F69" s="54"/>
      <c r="G69" s="183"/>
      <c r="H69" s="183"/>
      <c r="I69" s="183"/>
      <c r="J69" s="183"/>
      <c r="K69" s="183"/>
      <c r="L69" s="183"/>
      <c r="M69" s="183"/>
      <c r="R69" s="555"/>
    </row>
    <row r="70" spans="1:18" s="55" customFormat="1" x14ac:dyDescent="0.2">
      <c r="A70" s="54"/>
      <c r="B70" s="54"/>
      <c r="C70" s="54"/>
      <c r="D70" s="54"/>
      <c r="E70" s="54"/>
      <c r="F70" s="54"/>
      <c r="G70" s="183"/>
      <c r="H70" s="183"/>
      <c r="I70" s="183"/>
      <c r="J70" s="183"/>
      <c r="K70" s="183"/>
      <c r="L70" s="183"/>
      <c r="M70" s="183"/>
      <c r="R70" s="555"/>
    </row>
    <row r="71" spans="1:18" s="55" customFormat="1" ht="23.25" x14ac:dyDescent="0.2">
      <c r="A71" s="54"/>
      <c r="B71" s="209"/>
      <c r="C71" s="54"/>
      <c r="D71" s="54"/>
      <c r="E71" s="54"/>
      <c r="F71" s="54"/>
      <c r="G71" s="180"/>
      <c r="H71" s="180"/>
      <c r="I71" s="180"/>
      <c r="J71" s="180"/>
      <c r="K71" s="180"/>
      <c r="L71" s="180"/>
      <c r="M71" s="180"/>
      <c r="R71" s="555"/>
    </row>
    <row r="72" spans="1:18" s="55" customFormat="1" x14ac:dyDescent="0.2">
      <c r="A72" s="58"/>
      <c r="B72" s="58"/>
      <c r="D72" s="58"/>
      <c r="E72" s="58"/>
      <c r="F72" s="58"/>
      <c r="G72" s="180"/>
      <c r="H72" s="180"/>
      <c r="I72" s="180"/>
      <c r="J72" s="180"/>
      <c r="K72" s="180"/>
      <c r="L72" s="180"/>
      <c r="M72" s="180"/>
      <c r="R72" s="555"/>
    </row>
    <row r="73" spans="1:18" s="55" customFormat="1" x14ac:dyDescent="0.2">
      <c r="A73" s="58"/>
      <c r="B73" s="58"/>
      <c r="D73" s="58"/>
      <c r="E73" s="58"/>
      <c r="F73" s="58"/>
      <c r="G73" s="180"/>
      <c r="H73" s="180"/>
      <c r="I73" s="180"/>
      <c r="J73" s="180"/>
      <c r="K73" s="180"/>
      <c r="L73" s="180"/>
      <c r="M73" s="180"/>
      <c r="R73" s="555"/>
    </row>
    <row r="74" spans="1:18" s="55" customFormat="1" x14ac:dyDescent="0.2">
      <c r="A74" s="54"/>
      <c r="B74" s="54"/>
      <c r="D74" s="58"/>
      <c r="E74" s="54"/>
      <c r="F74" s="54"/>
      <c r="G74" s="180"/>
      <c r="H74" s="180"/>
      <c r="I74" s="180"/>
      <c r="J74" s="180"/>
      <c r="K74" s="180"/>
      <c r="L74" s="180"/>
      <c r="M74" s="180"/>
      <c r="R74" s="555"/>
    </row>
    <row r="75" spans="1:18" s="55" customFormat="1" ht="23.25" x14ac:dyDescent="0.2">
      <c r="A75" s="54"/>
      <c r="B75" s="209"/>
      <c r="C75" s="54"/>
      <c r="D75" s="54"/>
      <c r="E75" s="54"/>
      <c r="F75" s="54"/>
      <c r="G75" s="183"/>
      <c r="H75" s="183"/>
      <c r="I75" s="183"/>
      <c r="J75" s="183"/>
      <c r="K75" s="183"/>
      <c r="L75" s="183"/>
      <c r="M75" s="183"/>
      <c r="R75" s="555"/>
    </row>
    <row r="76" spans="1:18" s="55" customFormat="1" x14ac:dyDescent="0.2">
      <c r="A76" s="54"/>
      <c r="B76" s="54"/>
      <c r="C76" s="54"/>
      <c r="D76" s="54"/>
      <c r="E76" s="54"/>
      <c r="F76" s="54"/>
      <c r="G76" s="180"/>
      <c r="H76" s="180"/>
      <c r="I76" s="180"/>
      <c r="J76" s="180"/>
      <c r="K76" s="180"/>
      <c r="L76" s="180"/>
      <c r="M76" s="180"/>
      <c r="R76" s="555"/>
    </row>
    <row r="77" spans="1:18" s="62" customFormat="1" ht="26.25" x14ac:dyDescent="0.2">
      <c r="A77" s="206"/>
      <c r="B77" s="206"/>
      <c r="C77" s="206"/>
      <c r="D77" s="206"/>
      <c r="E77" s="206"/>
      <c r="F77" s="206"/>
      <c r="G77" s="207"/>
      <c r="H77" s="183"/>
      <c r="I77" s="183"/>
      <c r="J77" s="183"/>
      <c r="K77" s="183"/>
      <c r="L77" s="183"/>
      <c r="M77" s="183"/>
      <c r="R77" s="556"/>
    </row>
    <row r="78" spans="1:18" x14ac:dyDescent="0.3">
      <c r="H78" s="214"/>
      <c r="I78" s="214"/>
      <c r="J78" s="214"/>
      <c r="K78" s="214"/>
      <c r="L78" s="214"/>
      <c r="M78" s="214"/>
    </row>
    <row r="79" spans="1:18" x14ac:dyDescent="0.3">
      <c r="H79" s="214"/>
      <c r="I79" s="214"/>
      <c r="J79" s="214"/>
      <c r="K79" s="214"/>
      <c r="L79" s="214"/>
      <c r="M79" s="214"/>
    </row>
    <row r="80" spans="1:18" x14ac:dyDescent="0.3">
      <c r="H80" s="214"/>
      <c r="I80" s="214"/>
      <c r="J80" s="214"/>
      <c r="K80" s="214"/>
      <c r="L80" s="214"/>
      <c r="M80" s="214"/>
    </row>
    <row r="81" spans="8:13" x14ac:dyDescent="0.3">
      <c r="H81" s="211"/>
      <c r="I81" s="211"/>
      <c r="J81" s="211"/>
      <c r="K81" s="211"/>
      <c r="L81" s="211"/>
      <c r="M81" s="211"/>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I71"/>
  <sheetViews>
    <sheetView topLeftCell="A4" zoomScale="75" zoomScaleNormal="75" workbookViewId="0">
      <selection activeCell="T18" sqref="T1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77" hidden="1" customWidth="1"/>
    <col min="8" max="8" width="23.125" hidden="1" customWidth="1"/>
    <col min="9" max="9" width="1.625" hidden="1" customWidth="1"/>
    <col min="10" max="10" width="26.875" customWidth="1"/>
    <col min="11" max="11" width="24.5" hidden="1"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8.2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92</v>
      </c>
      <c r="B1" s="47"/>
      <c r="C1" s="48"/>
      <c r="D1" s="48"/>
      <c r="E1" s="48"/>
      <c r="F1" s="47"/>
      <c r="G1" s="178"/>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211</v>
      </c>
      <c r="B2" s="47"/>
      <c r="C2" s="48"/>
      <c r="D2" s="48"/>
      <c r="E2" s="48"/>
      <c r="F2" s="47"/>
      <c r="G2" s="178"/>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
        <v>374</v>
      </c>
      <c r="B3" s="47"/>
      <c r="C3" s="48"/>
      <c r="D3" s="48"/>
      <c r="E3" s="48"/>
      <c r="F3" s="47"/>
      <c r="G3" s="178"/>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c r="B4" s="47"/>
      <c r="C4" s="48"/>
      <c r="D4" s="48"/>
      <c r="E4" s="48"/>
      <c r="F4" s="47"/>
      <c r="G4" s="178"/>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79"/>
    </row>
    <row r="6" spans="1:61" s="53" customFormat="1" ht="24.75" customHeight="1" thickTop="1" thickBot="1" x14ac:dyDescent="0.25">
      <c r="A6" s="51" t="s">
        <v>106</v>
      </c>
      <c r="B6" s="51"/>
      <c r="C6" s="51"/>
      <c r="D6" s="51"/>
      <c r="E6" s="51"/>
      <c r="F6" s="51"/>
      <c r="G6" s="312"/>
      <c r="H6" s="186" t="s">
        <v>48</v>
      </c>
      <c r="I6" s="186"/>
      <c r="J6" s="801" t="s">
        <v>48</v>
      </c>
      <c r="K6" s="801"/>
      <c r="L6" s="801"/>
      <c r="M6" s="801"/>
      <c r="N6" s="52"/>
      <c r="O6" s="321" t="s">
        <v>179</v>
      </c>
      <c r="P6" s="318" t="s">
        <v>191</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80"/>
    </row>
    <row r="8" spans="1:61" ht="21" thickBot="1" x14ac:dyDescent="0.35">
      <c r="A8" s="56"/>
      <c r="B8" s="115" t="s">
        <v>98</v>
      </c>
      <c r="C8" s="115"/>
      <c r="D8" s="115"/>
      <c r="E8" s="115"/>
      <c r="F8" s="115"/>
      <c r="G8" s="217">
        <v>41090</v>
      </c>
      <c r="H8" s="217">
        <v>41274</v>
      </c>
      <c r="I8" s="257"/>
      <c r="J8" s="217">
        <v>43830</v>
      </c>
      <c r="K8" s="517">
        <f>'August''24 State of Activities'!H8</f>
        <v>45291</v>
      </c>
      <c r="L8" s="257"/>
      <c r="M8" s="217">
        <v>44196</v>
      </c>
      <c r="O8" s="866" t="s">
        <v>377</v>
      </c>
      <c r="P8" s="866"/>
    </row>
    <row r="9" spans="1:61" s="55" customFormat="1" ht="20.25" x14ac:dyDescent="0.2">
      <c r="A9" s="54"/>
      <c r="B9" s="54"/>
      <c r="C9" s="58" t="s">
        <v>148</v>
      </c>
      <c r="D9" s="58"/>
      <c r="E9" s="58"/>
      <c r="F9" s="54"/>
      <c r="G9" s="180">
        <v>127719</v>
      </c>
      <c r="H9" s="180">
        <v>67566.5</v>
      </c>
      <c r="I9" s="180"/>
      <c r="J9" s="189">
        <v>160000</v>
      </c>
      <c r="K9" s="189">
        <f>'August''24 State of Activities'!H10</f>
        <v>131259.47</v>
      </c>
      <c r="L9" s="189"/>
      <c r="M9" s="189">
        <v>160000</v>
      </c>
      <c r="O9" s="302">
        <f>M9-J9</f>
        <v>0</v>
      </c>
      <c r="P9" s="319">
        <f>O9/M9</f>
        <v>0</v>
      </c>
    </row>
    <row r="10" spans="1:61" s="55" customFormat="1" ht="20.25" x14ac:dyDescent="0.2">
      <c r="A10" s="54"/>
      <c r="B10" s="54"/>
      <c r="C10" s="58" t="s">
        <v>212</v>
      </c>
      <c r="D10" s="58"/>
      <c r="E10" s="58"/>
      <c r="F10" s="54"/>
      <c r="G10" s="189">
        <v>875436</v>
      </c>
      <c r="H10" s="189">
        <v>372424.1</v>
      </c>
      <c r="I10" s="189"/>
      <c r="J10" s="180">
        <v>5000</v>
      </c>
      <c r="K10" s="180">
        <f>10471.96+(5268.48+3381.01)*1.14</f>
        <v>20332.378599999996</v>
      </c>
      <c r="L10" s="189"/>
      <c r="M10" s="180">
        <v>10000</v>
      </c>
      <c r="O10" s="390">
        <f>M10-J10</f>
        <v>5000</v>
      </c>
      <c r="P10" s="337">
        <f>O10/M10</f>
        <v>0.5</v>
      </c>
    </row>
    <row r="11" spans="1:61" s="55" customFormat="1" ht="20.25" x14ac:dyDescent="0.2">
      <c r="A11" s="54"/>
      <c r="B11" s="54"/>
      <c r="C11" s="58" t="s">
        <v>100</v>
      </c>
      <c r="D11" s="58"/>
      <c r="E11" s="58"/>
      <c r="F11" s="54"/>
      <c r="G11" s="180"/>
      <c r="H11" s="180"/>
      <c r="I11" s="180"/>
      <c r="J11" s="180"/>
      <c r="K11" s="180"/>
      <c r="L11" s="180"/>
      <c r="M11" s="180"/>
      <c r="O11" s="390"/>
      <c r="P11" s="329"/>
    </row>
    <row r="12" spans="1:61" s="55" customFormat="1" ht="20.25" x14ac:dyDescent="0.2">
      <c r="A12" s="54"/>
      <c r="B12" s="54"/>
      <c r="D12" s="58" t="s">
        <v>213</v>
      </c>
      <c r="E12" s="58"/>
      <c r="F12" s="54"/>
      <c r="G12" s="180">
        <v>94235.25</v>
      </c>
      <c r="H12" s="180">
        <v>37190.379999999997</v>
      </c>
      <c r="I12" s="180"/>
      <c r="J12" s="180">
        <f>3708.33*12</f>
        <v>44499.96</v>
      </c>
      <c r="K12" s="180">
        <f>3541.67*12</f>
        <v>42500.04</v>
      </c>
      <c r="L12" s="180"/>
      <c r="M12" s="180">
        <v>44500</v>
      </c>
      <c r="O12" s="390">
        <f t="shared" ref="O12:O19" si="0">M12-J12</f>
        <v>4.0000000000873115E-2</v>
      </c>
      <c r="P12" s="337">
        <f t="shared" ref="P12:P18" si="1">O12/M12</f>
        <v>8.9887640451400261E-7</v>
      </c>
      <c r="R12" s="366"/>
      <c r="S12" s="367"/>
      <c r="T12" s="366"/>
      <c r="U12" s="366"/>
    </row>
    <row r="13" spans="1:61" s="55" customFormat="1" ht="20.25" x14ac:dyDescent="0.2">
      <c r="A13" s="54"/>
      <c r="B13" s="54"/>
      <c r="D13" s="58" t="s">
        <v>157</v>
      </c>
      <c r="E13" s="58"/>
      <c r="F13" s="54"/>
      <c r="G13" s="180"/>
      <c r="H13" s="180"/>
      <c r="I13" s="180"/>
      <c r="J13" s="180">
        <v>13000</v>
      </c>
      <c r="K13" s="180">
        <f>750*12</f>
        <v>9000</v>
      </c>
      <c r="L13" s="180"/>
      <c r="M13" s="180">
        <v>18000</v>
      </c>
      <c r="O13" s="390">
        <f t="shared" si="0"/>
        <v>5000</v>
      </c>
      <c r="P13" s="337">
        <f t="shared" si="1"/>
        <v>0.27777777777777779</v>
      </c>
      <c r="S13" s="303"/>
      <c r="T13" s="368"/>
      <c r="U13" s="290"/>
    </row>
    <row r="14" spans="1:61" s="55" customFormat="1" ht="20.25" x14ac:dyDescent="0.2">
      <c r="A14" s="54"/>
      <c r="B14" s="54"/>
      <c r="C14" s="58" t="s">
        <v>101</v>
      </c>
      <c r="D14" s="58"/>
      <c r="E14" s="58"/>
      <c r="F14" s="54"/>
      <c r="G14" s="180">
        <v>0</v>
      </c>
      <c r="H14" s="180">
        <v>3517</v>
      </c>
      <c r="I14" s="180"/>
      <c r="J14" s="180">
        <v>15000</v>
      </c>
      <c r="K14" s="180">
        <f>'August''24 State of Activities'!H18</f>
        <v>23822.38</v>
      </c>
      <c r="L14" s="180"/>
      <c r="M14" s="180">
        <v>20000</v>
      </c>
      <c r="O14" s="390">
        <f t="shared" si="0"/>
        <v>5000</v>
      </c>
      <c r="P14" s="337">
        <f t="shared" si="1"/>
        <v>0.25</v>
      </c>
      <c r="S14" s="303"/>
      <c r="T14" s="368"/>
      <c r="U14" s="290"/>
    </row>
    <row r="15" spans="1:61" s="55" customFormat="1" ht="20.25" x14ac:dyDescent="0.2">
      <c r="A15" s="54"/>
      <c r="B15" s="54"/>
      <c r="C15" s="58" t="s">
        <v>375</v>
      </c>
      <c r="D15" s="58"/>
      <c r="E15" s="58"/>
      <c r="F15" s="54"/>
      <c r="G15" s="180">
        <v>31459</v>
      </c>
      <c r="H15" s="180">
        <v>13920.35</v>
      </c>
      <c r="I15" s="180"/>
      <c r="J15" s="180">
        <v>25000</v>
      </c>
      <c r="K15" s="180">
        <v>25000</v>
      </c>
      <c r="L15" s="180"/>
      <c r="M15" s="180">
        <v>25000</v>
      </c>
      <c r="O15" s="390">
        <f t="shared" si="0"/>
        <v>0</v>
      </c>
      <c r="P15" s="337">
        <f t="shared" si="1"/>
        <v>0</v>
      </c>
      <c r="S15" s="303"/>
      <c r="T15" s="368"/>
      <c r="U15" s="290"/>
    </row>
    <row r="16" spans="1:61" s="55" customFormat="1" ht="20.25" x14ac:dyDescent="0.2">
      <c r="A16" s="54"/>
      <c r="B16" s="54"/>
      <c r="C16" s="58" t="s">
        <v>376</v>
      </c>
      <c r="D16" s="58"/>
      <c r="E16" s="58"/>
      <c r="F16" s="54"/>
      <c r="G16" s="180"/>
      <c r="H16" s="180"/>
      <c r="I16" s="180"/>
      <c r="J16" s="180">
        <v>20000</v>
      </c>
      <c r="K16" s="180"/>
      <c r="L16" s="180"/>
      <c r="M16" s="180">
        <v>15000</v>
      </c>
      <c r="O16" s="390">
        <f t="shared" si="0"/>
        <v>-5000</v>
      </c>
      <c r="P16" s="337">
        <f t="shared" si="1"/>
        <v>-0.33333333333333331</v>
      </c>
      <c r="S16" s="303"/>
      <c r="T16" s="368"/>
      <c r="U16" s="290"/>
    </row>
    <row r="17" spans="1:21" s="55" customFormat="1" ht="20.25" x14ac:dyDescent="0.2">
      <c r="A17" s="54"/>
      <c r="B17" s="54"/>
      <c r="C17" s="58" t="s">
        <v>332</v>
      </c>
      <c r="D17" s="58"/>
      <c r="E17" s="58"/>
      <c r="F17" s="54"/>
      <c r="G17" s="180"/>
      <c r="H17" s="180"/>
      <c r="I17" s="180"/>
      <c r="J17" s="180">
        <v>2000</v>
      </c>
      <c r="K17" s="180"/>
      <c r="L17" s="180"/>
      <c r="M17" s="180">
        <v>1000</v>
      </c>
      <c r="O17" s="390">
        <f t="shared" si="0"/>
        <v>-1000</v>
      </c>
      <c r="P17" s="337">
        <f t="shared" si="1"/>
        <v>-1</v>
      </c>
      <c r="S17" s="303"/>
      <c r="T17" s="368"/>
      <c r="U17" s="290"/>
    </row>
    <row r="18" spans="1:21" s="55" customFormat="1" ht="20.25" x14ac:dyDescent="0.2">
      <c r="A18" s="54"/>
      <c r="B18" s="54"/>
      <c r="C18" s="803" t="s">
        <v>335</v>
      </c>
      <c r="D18" s="803"/>
      <c r="E18" s="803"/>
      <c r="F18" s="803"/>
      <c r="G18" s="180"/>
      <c r="H18" s="180"/>
      <c r="I18" s="180"/>
      <c r="J18" s="180">
        <v>2000</v>
      </c>
      <c r="K18" s="180"/>
      <c r="L18" s="180"/>
      <c r="M18" s="180">
        <v>3000</v>
      </c>
      <c r="O18" s="390">
        <f t="shared" si="0"/>
        <v>1000</v>
      </c>
      <c r="P18" s="337">
        <f t="shared" si="1"/>
        <v>0.33333333333333331</v>
      </c>
      <c r="S18" s="303"/>
      <c r="T18" s="368"/>
      <c r="U18" s="290"/>
    </row>
    <row r="19" spans="1:21" s="55" customFormat="1" ht="20.25" x14ac:dyDescent="0.2">
      <c r="A19" s="54"/>
      <c r="B19" s="54"/>
      <c r="C19" s="58" t="s">
        <v>378</v>
      </c>
      <c r="D19" s="58"/>
      <c r="E19" s="58"/>
      <c r="F19" s="54"/>
      <c r="G19" s="180">
        <v>1125</v>
      </c>
      <c r="H19" s="180">
        <v>6050</v>
      </c>
      <c r="I19" s="180"/>
      <c r="J19" s="180">
        <v>2000</v>
      </c>
      <c r="K19" s="180" t="e">
        <f>'August''24 State of Activities'!#REF!</f>
        <v>#REF!</v>
      </c>
      <c r="L19" s="180"/>
      <c r="M19" s="180" t="e">
        <f>'August''24 State of Activities'!#REF!</f>
        <v>#REF!</v>
      </c>
      <c r="O19" s="390" t="e">
        <f t="shared" si="0"/>
        <v>#REF!</v>
      </c>
      <c r="P19" s="337"/>
    </row>
    <row r="20" spans="1:21" s="55" customFormat="1" ht="20.25" x14ac:dyDescent="0.2">
      <c r="A20" s="54"/>
      <c r="B20" s="54"/>
      <c r="C20" s="803" t="s">
        <v>333</v>
      </c>
      <c r="D20" s="803"/>
      <c r="E20" s="803"/>
      <c r="F20" s="803"/>
      <c r="G20" s="180"/>
      <c r="H20" s="180"/>
      <c r="I20" s="180"/>
      <c r="J20" s="180"/>
      <c r="K20" s="180">
        <v>659.25</v>
      </c>
      <c r="L20" s="180"/>
      <c r="M20" s="180"/>
      <c r="O20" s="390">
        <f>J20-M20</f>
        <v>0</v>
      </c>
      <c r="P20" s="337"/>
    </row>
    <row r="21" spans="1:21" s="55" customFormat="1" ht="21" thickBot="1" x14ac:dyDescent="0.25">
      <c r="A21" s="54"/>
      <c r="B21" s="54"/>
      <c r="C21" s="58" t="s">
        <v>215</v>
      </c>
      <c r="D21" s="58"/>
      <c r="E21" s="58"/>
      <c r="F21" s="54"/>
      <c r="G21" s="187">
        <v>31250</v>
      </c>
      <c r="H21" s="187">
        <v>15624.98</v>
      </c>
      <c r="I21" s="180"/>
      <c r="J21" s="187">
        <v>9315</v>
      </c>
      <c r="K21" s="187">
        <f>'August''24 State of Activities'!H26*0.2</f>
        <v>10548</v>
      </c>
      <c r="L21" s="180"/>
      <c r="M21" s="187">
        <v>9315</v>
      </c>
      <c r="O21" s="391">
        <f>J21-M21</f>
        <v>0</v>
      </c>
      <c r="P21" s="320">
        <v>0</v>
      </c>
    </row>
    <row r="22" spans="1:21" s="55" customFormat="1" ht="20.25" x14ac:dyDescent="0.2">
      <c r="A22" s="54"/>
      <c r="B22" s="54"/>
      <c r="C22" s="58"/>
      <c r="D22" s="54" t="s">
        <v>103</v>
      </c>
      <c r="E22" s="58"/>
      <c r="F22" s="54"/>
      <c r="G22" s="180">
        <v>1161224.25</v>
      </c>
      <c r="H22" s="180">
        <v>516293.30999999994</v>
      </c>
      <c r="I22" s="180"/>
      <c r="J22" s="180">
        <f>SUM(J9:J21)</f>
        <v>297814.95999999996</v>
      </c>
      <c r="K22" s="180" t="e">
        <f>SUM(K9:K21)</f>
        <v>#REF!</v>
      </c>
      <c r="L22" s="180"/>
      <c r="M22" s="180" t="e">
        <f>SUM(M9:M21)</f>
        <v>#REF!</v>
      </c>
      <c r="O22" s="212" t="e">
        <f>SUM(O9:O21)</f>
        <v>#REF!</v>
      </c>
      <c r="P22" s="337" t="e">
        <f>O22/M22</f>
        <v>#REF!</v>
      </c>
    </row>
    <row r="23" spans="1:21" s="55" customFormat="1" ht="21" thickBot="1" x14ac:dyDescent="0.25">
      <c r="A23" s="54"/>
      <c r="B23" s="54"/>
      <c r="C23" s="54" t="s">
        <v>216</v>
      </c>
      <c r="D23" s="58"/>
      <c r="E23" s="58"/>
      <c r="F23" s="54"/>
      <c r="G23" s="187">
        <v>150176</v>
      </c>
      <c r="H23" s="187">
        <v>47700.27</v>
      </c>
      <c r="I23" s="180"/>
      <c r="J23" s="180">
        <v>19000</v>
      </c>
      <c r="K23" s="180">
        <v>19000</v>
      </c>
      <c r="L23" s="180"/>
      <c r="M23" s="180">
        <v>19000</v>
      </c>
      <c r="O23" s="390">
        <f>J23-M23</f>
        <v>0</v>
      </c>
      <c r="P23" s="319">
        <f>O23/M23</f>
        <v>0</v>
      </c>
    </row>
    <row r="24" spans="1:21" s="55" customFormat="1" ht="21" thickBot="1" x14ac:dyDescent="0.25">
      <c r="A24" s="54"/>
      <c r="B24" s="54"/>
      <c r="C24" s="54" t="s">
        <v>217</v>
      </c>
      <c r="D24" s="58"/>
      <c r="E24" s="58"/>
      <c r="F24" s="54"/>
      <c r="G24" s="180"/>
      <c r="H24" s="180"/>
      <c r="I24" s="180"/>
      <c r="J24" s="187">
        <v>40000</v>
      </c>
      <c r="K24" s="187">
        <v>37641.19</v>
      </c>
      <c r="L24" s="180"/>
      <c r="M24" s="187">
        <v>38000</v>
      </c>
      <c r="O24" s="301">
        <f>M24-J24</f>
        <v>-2000</v>
      </c>
      <c r="P24" s="361">
        <f>O24/M24</f>
        <v>-5.2631578947368418E-2</v>
      </c>
    </row>
    <row r="25" spans="1:21" s="55" customFormat="1" ht="20.25" x14ac:dyDescent="0.2">
      <c r="A25" s="54"/>
      <c r="B25" s="54"/>
      <c r="C25" s="58"/>
      <c r="D25" s="54" t="s">
        <v>105</v>
      </c>
      <c r="E25" s="58"/>
      <c r="F25" s="54"/>
      <c r="G25" s="180">
        <v>1311400.25</v>
      </c>
      <c r="H25" s="180">
        <v>563993.57999999996</v>
      </c>
      <c r="I25" s="180"/>
      <c r="J25" s="180">
        <f>SUM(J22:J24)</f>
        <v>356814.95999999996</v>
      </c>
      <c r="K25" s="180" t="e">
        <f>SUM(K22:K24)</f>
        <v>#REF!</v>
      </c>
      <c r="L25" s="180"/>
      <c r="M25" s="180" t="e">
        <f>SUM(M22:M24)</f>
        <v>#REF!</v>
      </c>
      <c r="O25" s="212" t="e">
        <f>M25-J25</f>
        <v>#REF!</v>
      </c>
      <c r="P25" s="337" t="e">
        <f>O25/M25</f>
        <v>#REF!</v>
      </c>
    </row>
    <row r="26" spans="1:21" s="55" customFormat="1" ht="20.25" x14ac:dyDescent="0.2">
      <c r="A26" s="54"/>
      <c r="B26" s="54"/>
      <c r="C26" s="58"/>
      <c r="D26" s="54"/>
      <c r="E26" s="58"/>
      <c r="F26" s="54"/>
      <c r="G26" s="180"/>
      <c r="H26" s="180"/>
      <c r="I26" s="180"/>
      <c r="J26" s="180"/>
      <c r="K26" s="180"/>
      <c r="L26" s="180"/>
      <c r="M26" s="180"/>
    </row>
    <row r="27" spans="1:21" s="55" customFormat="1" ht="21" thickBot="1" x14ac:dyDescent="0.25">
      <c r="A27" s="54"/>
      <c r="B27" s="66" t="s">
        <v>109</v>
      </c>
      <c r="C27" s="66"/>
      <c r="D27" s="66"/>
      <c r="E27" s="66"/>
      <c r="F27" s="66"/>
      <c r="G27" s="187"/>
      <c r="J27" s="180"/>
    </row>
    <row r="28" spans="1:21" s="55" customFormat="1" ht="20.25" x14ac:dyDescent="0.2">
      <c r="A28" s="54"/>
      <c r="B28" s="54"/>
      <c r="C28" s="58" t="s">
        <v>218</v>
      </c>
      <c r="D28" s="58"/>
      <c r="E28" s="58"/>
      <c r="F28" s="58"/>
      <c r="G28" s="180">
        <v>733747.79999999993</v>
      </c>
      <c r="H28" s="212">
        <v>361976</v>
      </c>
      <c r="I28" s="212"/>
      <c r="J28" s="180"/>
      <c r="K28" s="212"/>
      <c r="L28" s="212"/>
      <c r="M28" s="212"/>
    </row>
    <row r="29" spans="1:21" s="55" customFormat="1" ht="20.25" x14ac:dyDescent="0.2">
      <c r="A29" s="54"/>
      <c r="B29" s="54"/>
      <c r="C29" s="58"/>
      <c r="D29" s="803" t="s">
        <v>219</v>
      </c>
      <c r="E29" s="803"/>
      <c r="F29" s="803"/>
      <c r="G29" s="180"/>
      <c r="H29" s="212"/>
      <c r="I29" s="212"/>
      <c r="J29" s="390">
        <f>110984.34+54648</f>
        <v>165632.34</v>
      </c>
      <c r="K29" s="390">
        <v>146508.01999999999</v>
      </c>
      <c r="L29" s="390"/>
      <c r="M29" s="390">
        <v>170000</v>
      </c>
      <c r="O29" s="390">
        <f t="shared" ref="O29:O47" si="2">M29-J29</f>
        <v>4367.6600000000035</v>
      </c>
      <c r="P29" s="337">
        <f>O29/M29</f>
        <v>2.5692117647058844E-2</v>
      </c>
    </row>
    <row r="30" spans="1:21" s="55" customFormat="1" ht="20.25" x14ac:dyDescent="0.2">
      <c r="A30" s="54"/>
      <c r="B30" s="54"/>
      <c r="C30" s="58"/>
      <c r="D30" s="803" t="s">
        <v>220</v>
      </c>
      <c r="E30" s="803"/>
      <c r="F30" s="803"/>
      <c r="G30" s="180"/>
      <c r="H30" s="212"/>
      <c r="I30" s="212"/>
      <c r="J30" s="390">
        <v>63684</v>
      </c>
      <c r="K30" s="390">
        <f>35778.69+23251.49+605.09+292.95</f>
        <v>59928.22</v>
      </c>
      <c r="L30" s="390"/>
      <c r="M30" s="390">
        <f>(22.5*(64*26+100))+(19.06*(50*26+100))</f>
        <v>66374</v>
      </c>
      <c r="O30" s="390">
        <f t="shared" si="2"/>
        <v>2690</v>
      </c>
      <c r="P30" s="337">
        <f>O30/M30</f>
        <v>4.0527917558079968E-2</v>
      </c>
      <c r="R30" s="191"/>
    </row>
    <row r="31" spans="1:21" s="55" customFormat="1" ht="20.25" x14ac:dyDescent="0.2">
      <c r="A31" s="54"/>
      <c r="B31" s="54"/>
      <c r="C31" s="58"/>
      <c r="D31" s="803" t="s">
        <v>111</v>
      </c>
      <c r="E31" s="803"/>
      <c r="F31" s="803"/>
      <c r="G31" s="180"/>
      <c r="H31" s="212"/>
      <c r="I31" s="212"/>
      <c r="J31" s="390">
        <f>(J29+J30)*0.185</f>
        <v>42423.522899999996</v>
      </c>
      <c r="K31" s="390">
        <f>(K29+K30)*0.192</f>
        <v>39635.75808</v>
      </c>
      <c r="L31" s="390"/>
      <c r="M31" s="390">
        <f>(M29+M30)*0.185</f>
        <v>43729.19</v>
      </c>
      <c r="O31" s="390">
        <f t="shared" si="2"/>
        <v>1305.667100000006</v>
      </c>
      <c r="P31" s="337">
        <f>O31/M31</f>
        <v>2.9858021609821858E-2</v>
      </c>
    </row>
    <row r="32" spans="1:21" s="55" customFormat="1" ht="20.25" x14ac:dyDescent="0.2">
      <c r="A32" s="54"/>
      <c r="B32" s="54"/>
      <c r="C32" s="58" t="s">
        <v>276</v>
      </c>
      <c r="D32" s="58"/>
      <c r="E32" s="58"/>
      <c r="F32" s="58"/>
      <c r="G32" s="180">
        <v>44745.18</v>
      </c>
      <c r="H32" s="180">
        <v>20974.21</v>
      </c>
      <c r="I32" s="180"/>
      <c r="J32" s="390"/>
      <c r="K32" s="539"/>
      <c r="L32" s="390"/>
      <c r="M32" s="390"/>
      <c r="O32" s="390">
        <f t="shared" si="2"/>
        <v>0</v>
      </c>
      <c r="P32" s="337"/>
    </row>
    <row r="33" spans="1:16" s="55" customFormat="1" ht="20.25" x14ac:dyDescent="0.2">
      <c r="A33" s="54"/>
      <c r="B33" s="54"/>
      <c r="C33" s="58"/>
      <c r="D33" s="803" t="s">
        <v>221</v>
      </c>
      <c r="E33" s="803"/>
      <c r="F33" s="803"/>
      <c r="G33" s="180"/>
      <c r="H33" s="180"/>
      <c r="I33" s="180"/>
      <c r="J33" s="390">
        <f>17368.36/8*12</f>
        <v>26052.54</v>
      </c>
      <c r="K33" s="390">
        <v>27183.82</v>
      </c>
      <c r="L33" s="390"/>
      <c r="M33" s="390">
        <v>27500</v>
      </c>
      <c r="O33" s="390">
        <f t="shared" si="2"/>
        <v>1447.4599999999991</v>
      </c>
      <c r="P33" s="337">
        <f t="shared" ref="P33:P40" si="3">O33/M33</f>
        <v>5.2634909090909059E-2</v>
      </c>
    </row>
    <row r="34" spans="1:16" s="55" customFormat="1" ht="20.25" x14ac:dyDescent="0.2">
      <c r="A34" s="54"/>
      <c r="B34" s="54"/>
      <c r="C34" s="58"/>
      <c r="D34" s="803" t="s">
        <v>222</v>
      </c>
      <c r="E34" s="803"/>
      <c r="F34" s="803"/>
      <c r="G34" s="180"/>
      <c r="H34" s="180"/>
      <c r="I34" s="180"/>
      <c r="J34" s="390">
        <f>12089.81/8*12+800-400</f>
        <v>18534.715</v>
      </c>
      <c r="K34" s="390">
        <v>15510.83</v>
      </c>
      <c r="L34" s="390"/>
      <c r="M34" s="390">
        <v>19374</v>
      </c>
      <c r="O34" s="390">
        <f t="shared" si="2"/>
        <v>839.28499999999985</v>
      </c>
      <c r="P34" s="337">
        <f t="shared" si="3"/>
        <v>4.3320171363683282E-2</v>
      </c>
    </row>
    <row r="35" spans="1:16" s="55" customFormat="1" ht="20.25" x14ac:dyDescent="0.2">
      <c r="A35" s="54"/>
      <c r="B35" s="54"/>
      <c r="C35" s="58"/>
      <c r="D35" s="803" t="s">
        <v>302</v>
      </c>
      <c r="E35" s="803"/>
      <c r="F35" s="803"/>
      <c r="G35" s="180"/>
      <c r="H35" s="180"/>
      <c r="I35" s="180"/>
      <c r="J35" s="390">
        <f>10143.6/8*12</f>
        <v>15215.400000000001</v>
      </c>
      <c r="K35" s="390">
        <v>12450.36</v>
      </c>
      <c r="L35" s="390"/>
      <c r="M35" s="390">
        <v>15000</v>
      </c>
      <c r="O35" s="390">
        <f t="shared" si="2"/>
        <v>-215.40000000000146</v>
      </c>
      <c r="P35" s="337">
        <f t="shared" si="3"/>
        <v>-1.4360000000000097E-2</v>
      </c>
    </row>
    <row r="36" spans="1:16" s="55" customFormat="1" ht="20.25" x14ac:dyDescent="0.2">
      <c r="A36" s="54"/>
      <c r="B36" s="54"/>
      <c r="C36" s="58"/>
      <c r="D36" s="803" t="s">
        <v>223</v>
      </c>
      <c r="E36" s="803"/>
      <c r="F36" s="803"/>
      <c r="G36" s="180"/>
      <c r="H36" s="180"/>
      <c r="I36" s="180"/>
      <c r="J36" s="390">
        <v>513.5</v>
      </c>
      <c r="K36" s="390">
        <v>377</v>
      </c>
      <c r="L36" s="390"/>
      <c r="M36" s="390">
        <v>250</v>
      </c>
      <c r="O36" s="390">
        <f t="shared" si="2"/>
        <v>-263.5</v>
      </c>
      <c r="P36" s="337">
        <f t="shared" si="3"/>
        <v>-1.054</v>
      </c>
    </row>
    <row r="37" spans="1:16" s="55" customFormat="1" ht="20.25" x14ac:dyDescent="0.2">
      <c r="A37" s="54"/>
      <c r="B37" s="54"/>
      <c r="C37" s="58" t="s">
        <v>224</v>
      </c>
      <c r="D37" s="58"/>
      <c r="E37" s="58"/>
      <c r="F37" s="58"/>
      <c r="G37" s="180">
        <v>27200</v>
      </c>
      <c r="H37" s="180">
        <v>11327</v>
      </c>
      <c r="I37" s="180"/>
      <c r="J37" s="390">
        <f>22772+1411</f>
        <v>24183</v>
      </c>
      <c r="K37" s="390">
        <v>25080</v>
      </c>
      <c r="L37" s="390"/>
      <c r="M37" s="390">
        <f>20430+6774</f>
        <v>27204</v>
      </c>
      <c r="O37" s="390">
        <f t="shared" si="2"/>
        <v>3021</v>
      </c>
      <c r="P37" s="337">
        <f t="shared" si="3"/>
        <v>0.11104984561093957</v>
      </c>
    </row>
    <row r="38" spans="1:16" s="55" customFormat="1" ht="20.25" x14ac:dyDescent="0.2">
      <c r="A38" s="54"/>
      <c r="B38" s="54"/>
      <c r="C38" s="58" t="s">
        <v>102</v>
      </c>
      <c r="D38" s="58"/>
      <c r="E38" s="58"/>
      <c r="F38" s="58"/>
      <c r="G38" s="180">
        <v>150176</v>
      </c>
      <c r="H38" s="212">
        <v>47700.27</v>
      </c>
      <c r="I38" s="212"/>
      <c r="J38" s="390">
        <f>J21</f>
        <v>9315</v>
      </c>
      <c r="K38" s="390">
        <f>K21</f>
        <v>10548</v>
      </c>
      <c r="L38" s="390"/>
      <c r="M38" s="390">
        <f>M21</f>
        <v>9315</v>
      </c>
      <c r="O38" s="390">
        <f t="shared" si="2"/>
        <v>0</v>
      </c>
      <c r="P38" s="337">
        <f t="shared" si="3"/>
        <v>0</v>
      </c>
    </row>
    <row r="39" spans="1:16" s="55" customFormat="1" ht="20.25" x14ac:dyDescent="0.2">
      <c r="A39" s="54"/>
      <c r="B39" s="54"/>
      <c r="C39" s="58" t="s">
        <v>311</v>
      </c>
      <c r="D39" s="58"/>
      <c r="E39" s="58"/>
      <c r="F39" s="58"/>
      <c r="G39" s="180"/>
      <c r="H39" s="212"/>
      <c r="I39" s="212"/>
      <c r="J39" s="390">
        <f>2845+(332.08+24.92)*4</f>
        <v>4273</v>
      </c>
      <c r="K39" s="390">
        <v>4075</v>
      </c>
      <c r="L39" s="390"/>
      <c r="M39" s="390">
        <f>360*12</f>
        <v>4320</v>
      </c>
      <c r="O39" s="390">
        <f t="shared" si="2"/>
        <v>47</v>
      </c>
      <c r="P39" s="337">
        <f t="shared" si="3"/>
        <v>1.087962962962963E-2</v>
      </c>
    </row>
    <row r="40" spans="1:16" s="55" customFormat="1" ht="20.25" x14ac:dyDescent="0.2">
      <c r="A40" s="54"/>
      <c r="B40" s="54"/>
      <c r="C40" s="58" t="s">
        <v>225</v>
      </c>
      <c r="D40" s="58"/>
      <c r="E40" s="58"/>
      <c r="F40" s="58"/>
      <c r="G40" s="180"/>
      <c r="H40" s="212"/>
      <c r="I40" s="212"/>
      <c r="J40" s="390">
        <f>393+75</f>
        <v>468</v>
      </c>
      <c r="K40" s="390">
        <v>1496.32</v>
      </c>
      <c r="L40" s="390"/>
      <c r="M40" s="390">
        <v>500</v>
      </c>
      <c r="O40" s="390">
        <f t="shared" si="2"/>
        <v>32</v>
      </c>
      <c r="P40" s="337">
        <f t="shared" si="3"/>
        <v>6.4000000000000001E-2</v>
      </c>
    </row>
    <row r="41" spans="1:16" s="55" customFormat="1" ht="20.25" x14ac:dyDescent="0.2">
      <c r="A41" s="54"/>
      <c r="B41" s="54"/>
      <c r="C41" s="58" t="s">
        <v>379</v>
      </c>
      <c r="D41" s="58"/>
      <c r="E41" s="58"/>
      <c r="F41" s="58"/>
      <c r="G41" s="180">
        <v>10993.12</v>
      </c>
      <c r="H41" s="212">
        <v>4904.57</v>
      </c>
      <c r="I41" s="212"/>
      <c r="J41" s="390">
        <f>2414+307*4</f>
        <v>3642</v>
      </c>
      <c r="K41" s="390">
        <v>3429.9</v>
      </c>
      <c r="L41" s="390"/>
      <c r="M41" s="390">
        <f>307*12</f>
        <v>3684</v>
      </c>
      <c r="O41" s="390">
        <f t="shared" si="2"/>
        <v>42</v>
      </c>
      <c r="P41" s="337">
        <f>O41/M41</f>
        <v>1.1400651465798045E-2</v>
      </c>
    </row>
    <row r="42" spans="1:16" s="55" customFormat="1" ht="20.25" x14ac:dyDescent="0.2">
      <c r="A42" s="54"/>
      <c r="B42" s="54"/>
      <c r="C42" s="58" t="s">
        <v>226</v>
      </c>
      <c r="D42" s="58"/>
      <c r="E42" s="58"/>
      <c r="F42" s="58"/>
      <c r="G42" s="180">
        <v>10250.949999999999</v>
      </c>
      <c r="H42" s="212">
        <v>3982.99</v>
      </c>
      <c r="I42" s="212"/>
      <c r="J42" s="390">
        <v>600</v>
      </c>
      <c r="K42" s="390">
        <f>56.6+402.81</f>
        <v>459.41</v>
      </c>
      <c r="L42" s="390"/>
      <c r="M42" s="390">
        <v>600</v>
      </c>
      <c r="O42" s="390">
        <f t="shared" si="2"/>
        <v>0</v>
      </c>
      <c r="P42" s="337">
        <f>O42/M42</f>
        <v>0</v>
      </c>
    </row>
    <row r="43" spans="1:16" s="55" customFormat="1" ht="20.25" x14ac:dyDescent="0.2">
      <c r="A43" s="54"/>
      <c r="B43" s="54"/>
      <c r="C43" s="58" t="s">
        <v>120</v>
      </c>
      <c r="D43" s="58"/>
      <c r="E43" s="58"/>
      <c r="F43" s="58"/>
      <c r="G43" s="180">
        <v>4412.53</v>
      </c>
      <c r="H43" s="213">
        <v>5667</v>
      </c>
      <c r="I43" s="213"/>
      <c r="J43" s="390">
        <f>122.96+1237.38+391.65</f>
        <v>1751.9900000000002</v>
      </c>
      <c r="K43" s="390">
        <v>1040.8800000000001</v>
      </c>
      <c r="L43" s="540"/>
      <c r="M43" s="540">
        <f>394*4</f>
        <v>1576</v>
      </c>
      <c r="O43" s="390">
        <f t="shared" si="2"/>
        <v>-175.99000000000024</v>
      </c>
      <c r="P43" s="337">
        <f>O43/M43</f>
        <v>-0.11166878172588847</v>
      </c>
    </row>
    <row r="44" spans="1:16" s="55" customFormat="1" ht="20.25" x14ac:dyDescent="0.2">
      <c r="A44" s="54"/>
      <c r="B44" s="54"/>
      <c r="C44" s="58" t="s">
        <v>118</v>
      </c>
      <c r="D44" s="58"/>
      <c r="E44" s="58"/>
      <c r="F44" s="58"/>
      <c r="G44" s="180">
        <v>7901</v>
      </c>
      <c r="H44" s="212">
        <v>4149.6000000000004</v>
      </c>
      <c r="I44" s="212"/>
      <c r="J44" s="390">
        <f>367.55/8*12</f>
        <v>551.32500000000005</v>
      </c>
      <c r="K44" s="390">
        <v>436.35</v>
      </c>
      <c r="L44" s="390"/>
      <c r="M44" s="390">
        <v>600</v>
      </c>
      <c r="O44" s="390">
        <f t="shared" si="2"/>
        <v>48.674999999999955</v>
      </c>
      <c r="P44" s="337">
        <f>O44/M44</f>
        <v>8.1124999999999919E-2</v>
      </c>
    </row>
    <row r="45" spans="1:16" s="55" customFormat="1" ht="20.25" hidden="1" x14ac:dyDescent="0.2">
      <c r="A45" s="54"/>
      <c r="B45" s="54"/>
      <c r="C45" s="58" t="s">
        <v>227</v>
      </c>
      <c r="D45" s="58"/>
      <c r="E45" s="58"/>
      <c r="F45" s="58"/>
      <c r="G45" s="180"/>
      <c r="H45" s="212"/>
      <c r="I45" s="212"/>
      <c r="J45" s="390"/>
      <c r="K45" s="390"/>
      <c r="L45" s="390"/>
      <c r="M45" s="390">
        <v>0</v>
      </c>
      <c r="O45" s="390">
        <f t="shared" si="2"/>
        <v>0</v>
      </c>
      <c r="P45" s="337"/>
    </row>
    <row r="46" spans="1:16" s="55" customFormat="1" ht="20.25" x14ac:dyDescent="0.2">
      <c r="A46" s="58"/>
      <c r="B46" s="58"/>
      <c r="C46" s="58" t="s">
        <v>114</v>
      </c>
      <c r="D46" s="58"/>
      <c r="E46" s="58"/>
      <c r="F46" s="58"/>
      <c r="G46" s="180">
        <v>5428.37</v>
      </c>
      <c r="H46" s="212">
        <v>2024.52</v>
      </c>
      <c r="I46" s="212"/>
      <c r="J46" s="390">
        <f>208.6/8*12</f>
        <v>312.89999999999998</v>
      </c>
      <c r="K46" s="390">
        <v>205.44</v>
      </c>
      <c r="L46" s="390"/>
      <c r="M46" s="390">
        <v>320</v>
      </c>
      <c r="O46" s="390">
        <f t="shared" si="2"/>
        <v>7.1000000000000227</v>
      </c>
      <c r="P46" s="337">
        <f>O46/M46</f>
        <v>2.2187500000000072E-2</v>
      </c>
    </row>
    <row r="47" spans="1:16" s="55" customFormat="1" ht="20.25" x14ac:dyDescent="0.2">
      <c r="A47" s="58"/>
      <c r="B47" s="58"/>
      <c r="C47" s="58" t="s">
        <v>228</v>
      </c>
      <c r="D47" s="58"/>
      <c r="E47" s="58"/>
      <c r="F47" s="58"/>
      <c r="G47" s="180">
        <v>83462.91</v>
      </c>
      <c r="H47" s="180">
        <v>18995.71</v>
      </c>
      <c r="I47" s="180"/>
      <c r="J47" s="393">
        <v>200</v>
      </c>
      <c r="K47" s="393">
        <f>201.52+30+216.21+94.56</f>
        <v>542.29</v>
      </c>
      <c r="L47" s="390"/>
      <c r="M47" s="390">
        <v>225</v>
      </c>
      <c r="O47" s="390">
        <f t="shared" si="2"/>
        <v>25</v>
      </c>
      <c r="P47" s="392">
        <f>O47/M47</f>
        <v>0.1111111111111111</v>
      </c>
    </row>
    <row r="48" spans="1:16" s="55" customFormat="1" ht="21" thickBot="1" x14ac:dyDescent="0.25">
      <c r="A48" s="54"/>
      <c r="B48" s="54"/>
      <c r="C48" s="54"/>
      <c r="D48" s="54" t="s">
        <v>126</v>
      </c>
      <c r="E48" s="54"/>
      <c r="F48" s="54"/>
      <c r="G48" s="187">
        <v>1078317.8599999999</v>
      </c>
      <c r="H48" s="187">
        <v>481701.87000000005</v>
      </c>
      <c r="I48" s="180"/>
      <c r="J48" s="363">
        <f>SUM(J29:J47)</f>
        <v>377353.23290000006</v>
      </c>
      <c r="K48" s="363">
        <f>SUM(K29:K47)</f>
        <v>348907.59807999997</v>
      </c>
      <c r="L48" s="180"/>
      <c r="M48" s="363">
        <f>SUM(M29:M47)</f>
        <v>390571.19</v>
      </c>
      <c r="O48" s="363">
        <f>J48-M48</f>
        <v>-13217.957099999941</v>
      </c>
      <c r="P48" s="361">
        <f>O48/M48</f>
        <v>-3.384263212040791E-2</v>
      </c>
    </row>
    <row r="49" spans="1:19" s="55" customFormat="1" ht="21" thickBot="1" x14ac:dyDescent="0.25">
      <c r="A49" s="54"/>
      <c r="B49" s="54"/>
      <c r="C49" s="54"/>
      <c r="D49" s="54" t="s">
        <v>127</v>
      </c>
      <c r="E49" s="54"/>
      <c r="F49" s="54"/>
      <c r="G49" s="187">
        <v>233082.39000000013</v>
      </c>
      <c r="H49" s="187">
        <v>82291.709999999905</v>
      </c>
      <c r="I49" s="180"/>
      <c r="J49" s="364">
        <f>J25-J48</f>
        <v>-20538.272900000098</v>
      </c>
      <c r="K49" s="364" t="e">
        <f>K25-K48</f>
        <v>#REF!</v>
      </c>
      <c r="L49" s="180"/>
      <c r="M49" s="364" t="e">
        <f>M25-M48</f>
        <v>#REF!</v>
      </c>
      <c r="O49" s="301" t="e">
        <f>M49-J49</f>
        <v>#REF!</v>
      </c>
      <c r="P49" s="361" t="e">
        <f>O49/M49</f>
        <v>#REF!</v>
      </c>
    </row>
    <row r="50" spans="1:19" s="55" customFormat="1" ht="20.25" x14ac:dyDescent="0.2">
      <c r="A50" s="54"/>
      <c r="B50" s="54"/>
      <c r="C50" s="54"/>
      <c r="D50" s="54"/>
      <c r="E50" s="54"/>
      <c r="F50" s="54"/>
      <c r="G50" s="180"/>
      <c r="H50" s="180"/>
      <c r="I50" s="180"/>
      <c r="J50" s="180"/>
      <c r="K50" s="180"/>
      <c r="L50" s="180"/>
      <c r="M50" s="180"/>
    </row>
    <row r="51" spans="1:19" s="52" customFormat="1" ht="26.25" x14ac:dyDescent="0.2">
      <c r="A51" s="206"/>
      <c r="B51" s="206"/>
      <c r="C51" s="58" t="s">
        <v>263</v>
      </c>
      <c r="E51" s="58"/>
      <c r="F51" s="58"/>
      <c r="G51" s="208"/>
      <c r="H51" s="180"/>
      <c r="I51" s="180"/>
      <c r="J51" s="180">
        <f>-23415.22-24000</f>
        <v>-47415.22</v>
      </c>
      <c r="K51" s="180">
        <v>-44886</v>
      </c>
      <c r="L51" s="180"/>
      <c r="M51" s="180"/>
      <c r="O51" s="212">
        <f>M51-J51</f>
        <v>47415.22</v>
      </c>
      <c r="P51" s="319"/>
      <c r="S51" s="538"/>
    </row>
    <row r="52" spans="1:19" s="55" customFormat="1" ht="20.25" x14ac:dyDescent="0.2">
      <c r="A52" s="54"/>
      <c r="B52" s="54"/>
      <c r="C52" s="58" t="s">
        <v>229</v>
      </c>
      <c r="E52" s="54"/>
      <c r="G52" s="180"/>
      <c r="H52" s="180"/>
      <c r="I52" s="180"/>
      <c r="J52" s="180">
        <f>J37</f>
        <v>24183</v>
      </c>
      <c r="K52" s="180">
        <f>K37</f>
        <v>25080</v>
      </c>
      <c r="L52" s="180"/>
      <c r="M52" s="180">
        <f>M37</f>
        <v>27204</v>
      </c>
      <c r="O52" s="212">
        <f>M52-J52</f>
        <v>3021</v>
      </c>
      <c r="P52" s="319">
        <v>3.5414486921529216E-2</v>
      </c>
    </row>
    <row r="53" spans="1:19" s="55" customFormat="1" ht="24" thickBot="1" x14ac:dyDescent="0.25">
      <c r="A53" s="54"/>
      <c r="B53" s="209"/>
      <c r="C53" s="54"/>
      <c r="D53" s="806" t="s">
        <v>230</v>
      </c>
      <c r="E53" s="806"/>
      <c r="F53" s="806"/>
      <c r="G53" s="180"/>
      <c r="H53" s="180"/>
      <c r="I53" s="180"/>
      <c r="J53" s="365">
        <f>J49+J51+J52</f>
        <v>-43770.492900000099</v>
      </c>
      <c r="K53" s="365" t="e">
        <f>K49+K51+K52</f>
        <v>#REF!</v>
      </c>
      <c r="L53" s="189"/>
      <c r="M53" s="365" t="e">
        <f>M49+M51+M52</f>
        <v>#REF!</v>
      </c>
      <c r="N53" s="303"/>
      <c r="O53" s="362" t="e">
        <f>M53-J53</f>
        <v>#REF!</v>
      </c>
      <c r="P53" s="388">
        <v>2.1062768618503362E-2</v>
      </c>
    </row>
    <row r="54" spans="1:19" s="55" customFormat="1" ht="42" customHeight="1" thickTop="1" x14ac:dyDescent="0.2">
      <c r="A54" s="54"/>
      <c r="B54" s="54"/>
      <c r="C54" s="54"/>
      <c r="D54" s="54"/>
      <c r="E54" s="54"/>
      <c r="F54" s="54"/>
      <c r="G54" s="180"/>
      <c r="H54" s="180"/>
      <c r="I54" s="180"/>
      <c r="J54" s="180"/>
      <c r="K54" s="180"/>
      <c r="L54" s="180"/>
      <c r="M54" s="180"/>
    </row>
    <row r="55" spans="1:19" s="55" customFormat="1" ht="20.25" x14ac:dyDescent="0.2">
      <c r="A55" s="58"/>
      <c r="B55" s="58"/>
      <c r="C55" s="58"/>
      <c r="D55" s="58"/>
      <c r="E55" s="58"/>
      <c r="F55" s="58"/>
      <c r="G55" s="180"/>
      <c r="H55" s="180"/>
      <c r="I55" s="180"/>
      <c r="J55" s="180"/>
      <c r="K55" s="180"/>
      <c r="L55" s="180"/>
      <c r="M55" s="180"/>
    </row>
    <row r="56" spans="1:19" s="55" customFormat="1" ht="20.25" x14ac:dyDescent="0.2">
      <c r="A56" s="58"/>
      <c r="B56" s="58"/>
      <c r="C56" s="58"/>
      <c r="D56" s="58"/>
      <c r="E56" s="58"/>
      <c r="F56" s="58"/>
      <c r="G56" s="180"/>
      <c r="H56" s="180"/>
      <c r="I56" s="180"/>
      <c r="J56" s="180"/>
      <c r="K56" s="180"/>
      <c r="L56" s="180"/>
      <c r="M56" s="180"/>
    </row>
    <row r="57" spans="1:19" s="55" customFormat="1" ht="20.25" x14ac:dyDescent="0.2">
      <c r="A57" s="58"/>
      <c r="B57" s="58"/>
      <c r="C57" s="54"/>
      <c r="D57" s="58"/>
      <c r="F57" s="58"/>
      <c r="G57" s="180"/>
      <c r="H57" s="180"/>
      <c r="I57" s="180"/>
      <c r="J57" s="180"/>
      <c r="K57" s="180"/>
      <c r="L57" s="180"/>
      <c r="M57" s="180"/>
    </row>
    <row r="58" spans="1:19" s="55" customFormat="1" ht="20.25" x14ac:dyDescent="0.2">
      <c r="A58" s="58"/>
      <c r="B58" s="58"/>
      <c r="C58" s="58"/>
      <c r="D58" s="58"/>
      <c r="E58" s="58"/>
      <c r="F58" s="58"/>
      <c r="G58" s="180"/>
      <c r="H58" s="180"/>
      <c r="I58" s="180"/>
      <c r="J58" s="180"/>
      <c r="K58" s="180"/>
      <c r="L58" s="180"/>
      <c r="M58" s="180"/>
    </row>
    <row r="59" spans="1:19" s="55" customFormat="1" ht="20.25" x14ac:dyDescent="0.2">
      <c r="A59" s="54"/>
      <c r="B59" s="54"/>
      <c r="C59" s="54"/>
      <c r="D59" s="54"/>
      <c r="E59" s="54"/>
      <c r="F59" s="54"/>
      <c r="G59" s="183"/>
      <c r="H59" s="183"/>
      <c r="I59" s="183"/>
      <c r="J59" s="183"/>
      <c r="K59" s="183"/>
      <c r="L59" s="183"/>
      <c r="M59" s="183"/>
    </row>
    <row r="60" spans="1:19" s="55" customFormat="1" ht="20.25" x14ac:dyDescent="0.2">
      <c r="A60" s="54"/>
      <c r="B60" s="54"/>
      <c r="C60" s="54"/>
      <c r="D60" s="54"/>
      <c r="E60" s="54"/>
      <c r="F60" s="54"/>
      <c r="G60" s="183"/>
      <c r="H60" s="183"/>
      <c r="I60" s="183"/>
      <c r="J60" s="183"/>
      <c r="K60" s="183"/>
      <c r="L60" s="183"/>
      <c r="M60" s="183"/>
    </row>
    <row r="61" spans="1:19" s="55" customFormat="1" ht="23.25" x14ac:dyDescent="0.2">
      <c r="A61" s="54"/>
      <c r="B61" s="209"/>
      <c r="C61" s="54"/>
      <c r="D61" s="54"/>
      <c r="E61" s="54"/>
      <c r="F61" s="54"/>
      <c r="G61" s="180"/>
      <c r="H61" s="180"/>
      <c r="I61" s="180"/>
      <c r="J61" s="180"/>
      <c r="K61" s="180"/>
      <c r="L61" s="180"/>
      <c r="M61" s="180"/>
    </row>
    <row r="62" spans="1:19" s="55" customFormat="1" ht="20.25" x14ac:dyDescent="0.2">
      <c r="A62" s="58"/>
      <c r="B62" s="58"/>
      <c r="D62" s="58"/>
      <c r="E62" s="58"/>
      <c r="F62" s="58"/>
      <c r="G62" s="180"/>
      <c r="H62" s="180"/>
      <c r="I62" s="180"/>
      <c r="J62" s="180"/>
      <c r="K62" s="180"/>
      <c r="L62" s="180"/>
      <c r="M62" s="180"/>
    </row>
    <row r="63" spans="1:19" s="55" customFormat="1" ht="20.25" x14ac:dyDescent="0.2">
      <c r="A63" s="58"/>
      <c r="B63" s="58"/>
      <c r="D63" s="58"/>
      <c r="E63" s="58"/>
      <c r="F63" s="58"/>
      <c r="G63" s="180"/>
      <c r="H63" s="180"/>
      <c r="I63" s="180"/>
      <c r="J63" s="180"/>
      <c r="K63" s="180"/>
      <c r="L63" s="180"/>
      <c r="M63" s="180"/>
    </row>
    <row r="64" spans="1:19" s="55" customFormat="1" ht="20.25" x14ac:dyDescent="0.2">
      <c r="A64" s="54"/>
      <c r="B64" s="54"/>
      <c r="D64" s="58"/>
      <c r="E64" s="54"/>
      <c r="F64" s="54"/>
      <c r="G64" s="180"/>
      <c r="H64" s="180"/>
      <c r="I64" s="180"/>
      <c r="J64" s="180"/>
      <c r="K64" s="180"/>
      <c r="L64" s="180"/>
      <c r="M64" s="180"/>
    </row>
    <row r="65" spans="1:13" s="55" customFormat="1" ht="23.25" x14ac:dyDescent="0.2">
      <c r="A65" s="54"/>
      <c r="B65" s="209"/>
      <c r="C65" s="54"/>
      <c r="D65" s="54"/>
      <c r="E65" s="54"/>
      <c r="F65" s="54"/>
      <c r="G65" s="183"/>
      <c r="H65" s="183"/>
      <c r="I65" s="183"/>
      <c r="J65" s="183"/>
      <c r="K65" s="183"/>
      <c r="L65" s="183"/>
      <c r="M65" s="183"/>
    </row>
    <row r="66" spans="1:13" s="55" customFormat="1" ht="20.25" x14ac:dyDescent="0.2">
      <c r="A66" s="54"/>
      <c r="B66" s="54"/>
      <c r="C66" s="54"/>
      <c r="D66" s="54"/>
      <c r="E66" s="54"/>
      <c r="F66" s="54"/>
      <c r="G66" s="180"/>
      <c r="H66" s="180"/>
      <c r="I66" s="180"/>
      <c r="J66" s="180"/>
      <c r="K66" s="180"/>
      <c r="L66" s="180"/>
      <c r="M66" s="180"/>
    </row>
    <row r="67" spans="1:13" s="62" customFormat="1" ht="26.25" x14ac:dyDescent="0.2">
      <c r="A67" s="206"/>
      <c r="B67" s="206"/>
      <c r="C67" s="206"/>
      <c r="D67" s="206"/>
      <c r="E67" s="206"/>
      <c r="F67" s="206"/>
      <c r="G67" s="207"/>
      <c r="H67" s="183"/>
      <c r="I67" s="183"/>
      <c r="J67" s="183"/>
      <c r="K67" s="183"/>
      <c r="L67" s="183"/>
      <c r="M67" s="183"/>
    </row>
    <row r="68" spans="1:13" ht="20.25" x14ac:dyDescent="0.3">
      <c r="H68" s="214"/>
      <c r="I68" s="214"/>
      <c r="J68" s="214"/>
      <c r="K68" s="214"/>
      <c r="L68" s="214"/>
      <c r="M68" s="214"/>
    </row>
    <row r="69" spans="1:13" ht="20.25" x14ac:dyDescent="0.3">
      <c r="H69" s="214"/>
      <c r="I69" s="214"/>
      <c r="J69" s="214"/>
      <c r="K69" s="214"/>
      <c r="L69" s="214"/>
      <c r="M69" s="214"/>
    </row>
    <row r="70" spans="1:13" ht="20.25" x14ac:dyDescent="0.3">
      <c r="H70" s="214"/>
      <c r="I70" s="214"/>
      <c r="J70" s="214"/>
      <c r="K70" s="214"/>
      <c r="L70" s="214"/>
      <c r="M70" s="214"/>
    </row>
    <row r="71" spans="1:13" ht="20.25" x14ac:dyDescent="0.3">
      <c r="H71" s="211"/>
      <c r="I71" s="211"/>
      <c r="J71" s="211"/>
      <c r="K71" s="211"/>
      <c r="L71" s="211"/>
      <c r="M71" s="211"/>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46" t="s">
        <v>92</v>
      </c>
      <c r="B1" s="47"/>
      <c r="C1" s="48"/>
      <c r="D1" s="48"/>
      <c r="E1" s="48"/>
      <c r="F1" s="47"/>
      <c r="G1" s="178"/>
    </row>
    <row r="2" spans="1:9" ht="26.25" x14ac:dyDescent="0.4">
      <c r="A2" s="46" t="s">
        <v>261</v>
      </c>
      <c r="B2" s="47"/>
      <c r="C2" s="48"/>
      <c r="D2" s="48"/>
      <c r="E2" s="48"/>
      <c r="F2" s="47"/>
      <c r="G2" s="178"/>
    </row>
    <row r="3" spans="1:9" ht="26.25" x14ac:dyDescent="0.4">
      <c r="A3" s="46" t="s">
        <v>314</v>
      </c>
      <c r="B3" s="47"/>
      <c r="C3" s="48"/>
      <c r="D3" s="48"/>
      <c r="E3" s="48"/>
      <c r="F3" s="47"/>
      <c r="G3" s="178"/>
    </row>
    <row r="4" spans="1:9" ht="21" thickBot="1" x14ac:dyDescent="0.25">
      <c r="A4" s="49"/>
      <c r="B4" s="49"/>
      <c r="C4" s="49"/>
      <c r="D4" s="49"/>
      <c r="E4" s="49"/>
      <c r="F4" s="49"/>
      <c r="G4" s="179"/>
    </row>
    <row r="5" spans="1:9" ht="27.75" thickTop="1" thickBot="1" x14ac:dyDescent="0.25">
      <c r="A5" s="51"/>
      <c r="B5" s="51"/>
      <c r="C5" s="51"/>
      <c r="D5" s="51"/>
      <c r="E5" s="51"/>
      <c r="F5" s="51"/>
      <c r="G5" s="312" t="s">
        <v>48</v>
      </c>
    </row>
    <row r="6" spans="1:9" ht="21" thickTop="1" x14ac:dyDescent="0.2">
      <c r="A6" s="54"/>
      <c r="B6" s="54"/>
      <c r="C6" s="54"/>
      <c r="D6" s="54"/>
      <c r="E6" s="54"/>
      <c r="F6" s="54"/>
      <c r="G6" s="180"/>
    </row>
    <row r="7" spans="1:9" ht="21" thickBot="1" x14ac:dyDescent="0.35">
      <c r="A7" s="56"/>
      <c r="B7" s="115" t="s">
        <v>98</v>
      </c>
      <c r="C7" s="115"/>
      <c r="D7" s="115"/>
      <c r="E7" s="115"/>
      <c r="F7" s="115"/>
      <c r="G7" s="217"/>
    </row>
    <row r="8" spans="1:9" ht="20.25" x14ac:dyDescent="0.2">
      <c r="A8" s="54"/>
      <c r="B8" s="54"/>
      <c r="C8" s="58" t="s">
        <v>99</v>
      </c>
      <c r="D8" s="58"/>
      <c r="E8" s="58"/>
      <c r="F8" s="54"/>
      <c r="G8" s="189">
        <v>791718</v>
      </c>
    </row>
    <row r="9" spans="1:9" ht="20.25" x14ac:dyDescent="0.2">
      <c r="A9" s="54"/>
      <c r="B9" s="54"/>
      <c r="C9" s="58" t="s">
        <v>315</v>
      </c>
      <c r="D9" s="58"/>
      <c r="E9" s="58"/>
      <c r="F9" s="54"/>
      <c r="G9" s="180">
        <v>25000</v>
      </c>
    </row>
    <row r="10" spans="1:9" ht="20.25" x14ac:dyDescent="0.2">
      <c r="A10" s="54"/>
      <c r="B10" s="54"/>
      <c r="C10" s="58" t="s">
        <v>148</v>
      </c>
      <c r="D10" s="58"/>
      <c r="E10" s="58"/>
      <c r="F10" s="54"/>
      <c r="G10" s="180">
        <v>147000</v>
      </c>
    </row>
    <row r="11" spans="1:9" ht="20.25" x14ac:dyDescent="0.2">
      <c r="A11" s="54"/>
      <c r="B11" s="54"/>
      <c r="C11" s="58" t="s">
        <v>177</v>
      </c>
      <c r="D11" s="58"/>
      <c r="E11" s="58"/>
      <c r="F11" s="54"/>
      <c r="G11" s="180">
        <v>43322</v>
      </c>
      <c r="I11" s="177"/>
    </row>
    <row r="12" spans="1:9" ht="20.25" x14ac:dyDescent="0.2">
      <c r="A12" s="54"/>
      <c r="B12" s="54"/>
      <c r="C12" s="58" t="s">
        <v>100</v>
      </c>
      <c r="D12" s="58"/>
      <c r="E12" s="58"/>
      <c r="F12" s="54"/>
      <c r="G12" s="180"/>
    </row>
    <row r="13" spans="1:9" ht="20.25" x14ac:dyDescent="0.2">
      <c r="A13" s="54"/>
      <c r="B13" s="54"/>
      <c r="C13" s="55"/>
      <c r="D13" s="58" t="s">
        <v>137</v>
      </c>
      <c r="E13" s="58"/>
      <c r="F13" s="54"/>
      <c r="G13" s="180">
        <f>43500+158022</f>
        <v>201522</v>
      </c>
    </row>
    <row r="14" spans="1:9" ht="20.25" x14ac:dyDescent="0.2">
      <c r="A14" s="54"/>
      <c r="B14" s="54"/>
      <c r="C14" s="55"/>
      <c r="D14" s="58" t="s">
        <v>157</v>
      </c>
      <c r="E14" s="58"/>
      <c r="F14" s="54"/>
      <c r="G14" s="180">
        <v>13000</v>
      </c>
    </row>
    <row r="15" spans="1:9" ht="20.25" x14ac:dyDescent="0.2">
      <c r="A15" s="54"/>
      <c r="B15" s="54"/>
      <c r="C15" s="58" t="s">
        <v>101</v>
      </c>
      <c r="D15" s="58"/>
      <c r="E15" s="58"/>
      <c r="F15" s="54"/>
      <c r="G15" s="180">
        <v>12500</v>
      </c>
    </row>
    <row r="16" spans="1:9" ht="20.25" x14ac:dyDescent="0.2">
      <c r="A16" s="54"/>
      <c r="B16" s="54"/>
      <c r="C16" s="58" t="s">
        <v>108</v>
      </c>
      <c r="D16" s="58"/>
      <c r="E16" s="58"/>
      <c r="F16" s="54"/>
      <c r="G16" s="180">
        <v>1200</v>
      </c>
    </row>
    <row r="17" spans="1:9" ht="20.25" x14ac:dyDescent="0.2">
      <c r="A17" s="54"/>
      <c r="B17" s="54"/>
      <c r="C17" s="58" t="s">
        <v>235</v>
      </c>
      <c r="D17" s="58"/>
      <c r="E17" s="58"/>
      <c r="F17" s="54"/>
      <c r="G17" s="180">
        <v>4200</v>
      </c>
    </row>
    <row r="18" spans="1:9" ht="20.25" x14ac:dyDescent="0.2">
      <c r="A18" s="54"/>
      <c r="B18" s="54"/>
      <c r="C18" s="58" t="s">
        <v>317</v>
      </c>
      <c r="D18" s="58"/>
      <c r="E18" s="58"/>
      <c r="F18" s="54"/>
      <c r="G18" s="180">
        <v>1500</v>
      </c>
    </row>
    <row r="19" spans="1:9" ht="20.25" x14ac:dyDescent="0.2">
      <c r="A19" s="54"/>
      <c r="B19" s="54"/>
      <c r="C19" s="58" t="s">
        <v>236</v>
      </c>
      <c r="D19" s="58"/>
      <c r="E19" s="58"/>
      <c r="F19" s="54"/>
      <c r="G19" s="180"/>
    </row>
    <row r="20" spans="1:9" ht="20.25" x14ac:dyDescent="0.2">
      <c r="A20" s="54"/>
      <c r="B20" s="54"/>
      <c r="C20" s="58"/>
      <c r="D20" s="58" t="s">
        <v>11</v>
      </c>
      <c r="E20" s="58"/>
      <c r="F20" s="54"/>
      <c r="G20" s="180">
        <f>73338-45000</f>
        <v>28338</v>
      </c>
    </row>
    <row r="21" spans="1:9" ht="20.25" x14ac:dyDescent="0.2">
      <c r="A21" s="54"/>
      <c r="B21" s="54"/>
      <c r="C21" s="58"/>
      <c r="D21" s="58" t="s">
        <v>17</v>
      </c>
      <c r="E21" s="58"/>
      <c r="F21" s="54"/>
      <c r="G21" s="180">
        <v>45000</v>
      </c>
    </row>
    <row r="22" spans="1:9" ht="20.25" x14ac:dyDescent="0.2">
      <c r="A22" s="54"/>
      <c r="B22" s="54"/>
      <c r="C22" s="58" t="s">
        <v>319</v>
      </c>
      <c r="D22" s="58"/>
      <c r="E22" s="58"/>
      <c r="F22" s="54"/>
      <c r="G22" s="180">
        <v>2500</v>
      </c>
    </row>
    <row r="23" spans="1:9" ht="20.25" x14ac:dyDescent="0.2">
      <c r="A23" s="54"/>
      <c r="B23" s="54"/>
      <c r="C23" s="58" t="s">
        <v>107</v>
      </c>
      <c r="D23" s="58"/>
      <c r="E23" s="58"/>
      <c r="F23" s="54"/>
      <c r="G23" s="180">
        <v>46575</v>
      </c>
    </row>
    <row r="24" spans="1:9" ht="20.25" x14ac:dyDescent="0.2">
      <c r="A24" s="54"/>
      <c r="B24" s="54"/>
      <c r="C24" s="58" t="s">
        <v>320</v>
      </c>
      <c r="D24" s="58"/>
      <c r="E24" s="58"/>
      <c r="F24" s="54"/>
      <c r="G24" s="180">
        <v>1531</v>
      </c>
    </row>
    <row r="25" spans="1:9" ht="20.25" x14ac:dyDescent="0.2">
      <c r="A25" s="54"/>
      <c r="B25" s="54"/>
      <c r="C25" s="58" t="s">
        <v>100</v>
      </c>
      <c r="D25" s="58"/>
      <c r="E25" s="58"/>
      <c r="F25" s="54"/>
      <c r="G25" s="180">
        <v>19000</v>
      </c>
    </row>
    <row r="26" spans="1:9" ht="20.25" x14ac:dyDescent="0.2">
      <c r="A26" s="54"/>
      <c r="B26" s="54"/>
      <c r="C26" s="58" t="s">
        <v>316</v>
      </c>
      <c r="D26" s="58"/>
      <c r="E26" s="58"/>
      <c r="F26" s="54"/>
      <c r="G26" s="180">
        <v>51000</v>
      </c>
    </row>
    <row r="27" spans="1:9" ht="20.25" x14ac:dyDescent="0.2">
      <c r="A27" s="54"/>
      <c r="B27" s="54"/>
      <c r="C27" s="58" t="s">
        <v>318</v>
      </c>
      <c r="D27" s="58"/>
      <c r="E27" s="58"/>
      <c r="F27" s="54"/>
      <c r="G27" s="180">
        <v>20655</v>
      </c>
    </row>
    <row r="28" spans="1:9" ht="20.25" x14ac:dyDescent="0.2">
      <c r="A28" s="54"/>
      <c r="B28" s="54"/>
      <c r="C28" s="58"/>
      <c r="D28" s="54" t="s">
        <v>103</v>
      </c>
      <c r="E28" s="58"/>
      <c r="F28" s="54"/>
      <c r="G28" s="188">
        <f>SUM(G8:G27)</f>
        <v>1455561</v>
      </c>
      <c r="I28" s="177"/>
    </row>
    <row r="29" spans="1:9" ht="20.25" x14ac:dyDescent="0.2">
      <c r="A29" s="54"/>
      <c r="B29" s="54"/>
      <c r="C29" s="58"/>
      <c r="D29" s="54"/>
      <c r="E29" s="58"/>
      <c r="F29" s="54"/>
      <c r="G29" s="180"/>
    </row>
    <row r="30" spans="1:9" ht="21" thickBot="1" x14ac:dyDescent="0.25">
      <c r="A30" s="54"/>
      <c r="B30" s="66" t="s">
        <v>109</v>
      </c>
      <c r="C30" s="66"/>
      <c r="D30" s="66"/>
      <c r="E30" s="66"/>
      <c r="F30" s="66"/>
      <c r="G30" s="187"/>
    </row>
    <row r="31" spans="1:9" ht="20.25" x14ac:dyDescent="0.2">
      <c r="A31" s="54"/>
      <c r="B31" s="54"/>
      <c r="C31" s="58" t="s">
        <v>110</v>
      </c>
      <c r="D31" s="58"/>
      <c r="E31" s="58"/>
      <c r="F31" s="58"/>
      <c r="G31" s="180">
        <v>889720</v>
      </c>
    </row>
    <row r="32" spans="1:9" ht="20.25" x14ac:dyDescent="0.2">
      <c r="A32" s="54"/>
      <c r="B32" s="54"/>
      <c r="C32" s="58" t="s">
        <v>111</v>
      </c>
      <c r="D32" s="58"/>
      <c r="E32" s="58"/>
      <c r="F32" s="58"/>
      <c r="G32" s="180">
        <v>192602</v>
      </c>
    </row>
    <row r="33" spans="1:7" ht="20.25" x14ac:dyDescent="0.2">
      <c r="A33" s="54"/>
      <c r="B33" s="54"/>
      <c r="C33" s="58" t="s">
        <v>112</v>
      </c>
      <c r="D33" s="58"/>
      <c r="E33" s="58"/>
      <c r="F33" s="58"/>
      <c r="G33" s="180">
        <v>3600</v>
      </c>
    </row>
    <row r="34" spans="1:7" ht="20.25" x14ac:dyDescent="0.2">
      <c r="A34" s="54"/>
      <c r="B34" s="54"/>
      <c r="C34" s="58" t="s">
        <v>102</v>
      </c>
      <c r="D34" s="58"/>
      <c r="E34" s="58"/>
      <c r="F34" s="58"/>
      <c r="G34" s="180">
        <f>G23</f>
        <v>46575</v>
      </c>
    </row>
    <row r="35" spans="1:7" ht="20.25" x14ac:dyDescent="0.2">
      <c r="A35" s="54"/>
      <c r="B35" s="54"/>
      <c r="C35" s="58" t="s">
        <v>113</v>
      </c>
      <c r="D35" s="58"/>
      <c r="E35" s="58"/>
      <c r="F35" s="58"/>
      <c r="G35" s="180">
        <v>17595</v>
      </c>
    </row>
    <row r="36" spans="1:7" ht="20.25" x14ac:dyDescent="0.2">
      <c r="A36" s="54"/>
      <c r="B36" s="54"/>
      <c r="C36" s="58" t="s">
        <v>114</v>
      </c>
      <c r="D36" s="58"/>
      <c r="E36" s="58"/>
      <c r="F36" s="58"/>
      <c r="G36" s="180">
        <v>2821</v>
      </c>
    </row>
    <row r="37" spans="1:7" ht="20.25" x14ac:dyDescent="0.2">
      <c r="A37" s="54"/>
      <c r="B37" s="54"/>
      <c r="C37" s="58" t="s">
        <v>115</v>
      </c>
      <c r="D37" s="58"/>
      <c r="E37" s="58"/>
      <c r="F37" s="58"/>
      <c r="G37" s="180">
        <v>5032</v>
      </c>
    </row>
    <row r="38" spans="1:7" ht="20.25" x14ac:dyDescent="0.2">
      <c r="A38" s="54"/>
      <c r="B38" s="54"/>
      <c r="C38" s="58" t="s">
        <v>116</v>
      </c>
      <c r="D38" s="58"/>
      <c r="E38" s="58"/>
      <c r="F38" s="58"/>
      <c r="G38" s="180">
        <v>12216</v>
      </c>
    </row>
    <row r="39" spans="1:7" ht="20.25" x14ac:dyDescent="0.2">
      <c r="A39" s="54"/>
      <c r="B39" s="54"/>
      <c r="C39" s="58" t="s">
        <v>117</v>
      </c>
      <c r="D39" s="58"/>
      <c r="E39" s="58"/>
      <c r="F39" s="58"/>
      <c r="G39" s="180">
        <v>39500</v>
      </c>
    </row>
    <row r="40" spans="1:7" ht="20.25" x14ac:dyDescent="0.2">
      <c r="A40" s="54"/>
      <c r="B40" s="54"/>
      <c r="C40" s="58" t="s">
        <v>118</v>
      </c>
      <c r="D40" s="58"/>
      <c r="E40" s="58"/>
      <c r="F40" s="58"/>
      <c r="G40" s="180">
        <v>4840</v>
      </c>
    </row>
    <row r="41" spans="1:7" ht="20.25" x14ac:dyDescent="0.2">
      <c r="A41" s="54"/>
      <c r="B41" s="54"/>
      <c r="C41" s="58" t="s">
        <v>119</v>
      </c>
      <c r="D41" s="58"/>
      <c r="E41" s="58"/>
      <c r="F41" s="58"/>
      <c r="G41" s="180">
        <v>1735</v>
      </c>
    </row>
    <row r="42" spans="1:7" ht="20.25" x14ac:dyDescent="0.2">
      <c r="A42" s="54"/>
      <c r="B42" s="54"/>
      <c r="C42" s="58" t="s">
        <v>164</v>
      </c>
      <c r="D42" s="58"/>
      <c r="E42" s="58"/>
      <c r="F42" s="58"/>
      <c r="G42" s="180">
        <v>12125</v>
      </c>
    </row>
    <row r="43" spans="1:7" ht="20.25" x14ac:dyDescent="0.2">
      <c r="A43" s="58"/>
      <c r="B43" s="58"/>
      <c r="C43" s="58" t="s">
        <v>120</v>
      </c>
      <c r="D43" s="58"/>
      <c r="E43" s="58"/>
      <c r="F43" s="58"/>
      <c r="G43" s="180">
        <v>12252</v>
      </c>
    </row>
    <row r="44" spans="1:7" ht="20.25" x14ac:dyDescent="0.2">
      <c r="A44" s="58"/>
      <c r="B44" s="58"/>
      <c r="C44" s="58" t="s">
        <v>121</v>
      </c>
      <c r="D44" s="58"/>
      <c r="E44" s="58"/>
      <c r="F44" s="58"/>
      <c r="G44" s="180">
        <v>13564</v>
      </c>
    </row>
    <row r="45" spans="1:7" ht="20.25" x14ac:dyDescent="0.2">
      <c r="A45" s="58"/>
      <c r="B45" s="58"/>
      <c r="C45" s="58" t="s">
        <v>128</v>
      </c>
      <c r="D45" s="58"/>
      <c r="E45" s="58"/>
      <c r="F45" s="58"/>
      <c r="G45" s="180">
        <v>875</v>
      </c>
    </row>
    <row r="46" spans="1:7" ht="20.25" x14ac:dyDescent="0.2">
      <c r="A46" s="58"/>
      <c r="B46" s="58"/>
      <c r="C46" s="58" t="s">
        <v>122</v>
      </c>
      <c r="D46" s="58"/>
      <c r="E46" s="58"/>
      <c r="F46" s="58"/>
      <c r="G46" s="180">
        <f>10039+1500</f>
        <v>11539</v>
      </c>
    </row>
    <row r="47" spans="1:7" ht="20.25" x14ac:dyDescent="0.2">
      <c r="A47" s="54"/>
      <c r="B47" s="54"/>
      <c r="C47" s="58" t="s">
        <v>197</v>
      </c>
      <c r="D47" s="58"/>
      <c r="E47" s="58"/>
      <c r="F47" s="58"/>
      <c r="G47" s="180">
        <f>12623+2660</f>
        <v>15283</v>
      </c>
    </row>
    <row r="48" spans="1:7" ht="20.25" x14ac:dyDescent="0.2">
      <c r="A48" s="58"/>
      <c r="B48" s="58"/>
      <c r="C48" s="58" t="s">
        <v>123</v>
      </c>
      <c r="D48" s="58"/>
      <c r="E48" s="58"/>
      <c r="F48" s="58"/>
      <c r="G48" s="180">
        <v>39977</v>
      </c>
    </row>
    <row r="49" spans="1:7" ht="20.25" x14ac:dyDescent="0.2">
      <c r="A49" s="58"/>
      <c r="B49" s="58"/>
      <c r="C49" s="58" t="s">
        <v>124</v>
      </c>
      <c r="D49" s="58"/>
      <c r="E49" s="58"/>
      <c r="F49" s="58"/>
      <c r="G49" s="180">
        <v>19556</v>
      </c>
    </row>
    <row r="50" spans="1:7" ht="20.25" x14ac:dyDescent="0.2">
      <c r="A50" s="58"/>
      <c r="B50" s="58"/>
      <c r="C50" s="58" t="s">
        <v>163</v>
      </c>
      <c r="D50" s="58"/>
      <c r="E50" s="58"/>
      <c r="F50" s="58"/>
      <c r="G50" s="180">
        <v>56100</v>
      </c>
    </row>
    <row r="51" spans="1:7" ht="20.25" x14ac:dyDescent="0.2">
      <c r="A51" s="58"/>
      <c r="B51" s="58"/>
      <c r="C51" s="58" t="s">
        <v>125</v>
      </c>
      <c r="D51" s="58"/>
      <c r="E51" s="58"/>
      <c r="F51" s="58"/>
      <c r="G51" s="180">
        <f>750+86095</f>
        <v>86845</v>
      </c>
    </row>
    <row r="52" spans="1:7" ht="21" thickBot="1" x14ac:dyDescent="0.25">
      <c r="A52" s="58"/>
      <c r="B52" s="58"/>
      <c r="C52" s="58"/>
      <c r="D52" s="58"/>
      <c r="E52" s="58"/>
      <c r="F52" s="58"/>
      <c r="G52" s="187"/>
    </row>
    <row r="53" spans="1:7" ht="20.25" x14ac:dyDescent="0.2">
      <c r="A53" s="54"/>
      <c r="B53" s="54"/>
      <c r="C53" s="54"/>
      <c r="D53" s="54" t="s">
        <v>126</v>
      </c>
      <c r="E53" s="54"/>
      <c r="F53" s="54"/>
      <c r="G53" s="183">
        <f>SUM(G31:G51)</f>
        <v>1484352</v>
      </c>
    </row>
    <row r="54" spans="1:7" ht="21" thickBot="1" x14ac:dyDescent="0.25">
      <c r="A54" s="54"/>
      <c r="B54" s="54"/>
      <c r="C54" s="54"/>
      <c r="D54" s="54"/>
      <c r="E54" s="54"/>
      <c r="F54" s="54"/>
      <c r="G54" s="187"/>
    </row>
    <row r="55" spans="1:7" ht="21" thickBot="1" x14ac:dyDescent="0.25">
      <c r="A55" s="54"/>
      <c r="B55" s="54"/>
      <c r="C55" s="54"/>
      <c r="D55" s="54" t="s">
        <v>127</v>
      </c>
      <c r="E55" s="54"/>
      <c r="F55" s="54"/>
      <c r="G55" s="187">
        <f>G28-G53</f>
        <v>-28791</v>
      </c>
    </row>
    <row r="56" spans="1:7" ht="20.25" x14ac:dyDescent="0.2">
      <c r="A56" s="54"/>
      <c r="B56" s="54"/>
      <c r="C56" s="54"/>
      <c r="D56" s="54"/>
      <c r="E56" s="54"/>
      <c r="F56" s="54"/>
      <c r="G56" s="180"/>
    </row>
  </sheetData>
  <pageMargins left="1.2" right="0" top="0.5" bottom="0.5" header="0.3" footer="0.3"/>
  <pageSetup scale="65"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O75"/>
  <sheetViews>
    <sheetView workbookViewId="0"/>
  </sheetViews>
  <sheetFormatPr defaultRowHeight="14.25" x14ac:dyDescent="0.2"/>
  <cols>
    <col min="1" max="1" width="19.5" style="3" customWidth="1"/>
    <col min="2" max="2" width="15.25" style="3" hidden="1" customWidth="1"/>
    <col min="3" max="3" width="15.125" style="244" hidden="1" customWidth="1"/>
    <col min="4" max="7" width="15" customWidth="1"/>
    <col min="8" max="8" width="14.625" customWidth="1"/>
  </cols>
  <sheetData>
    <row r="1" spans="1:41" ht="21" x14ac:dyDescent="0.35">
      <c r="A1" s="456" t="s">
        <v>92</v>
      </c>
      <c r="B1" s="47"/>
      <c r="C1" s="48"/>
      <c r="D1" s="48"/>
      <c r="E1" s="48"/>
      <c r="F1" s="47"/>
      <c r="G1" s="178"/>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row>
    <row r="2" spans="1:41" ht="21" x14ac:dyDescent="0.35">
      <c r="A2" s="456" t="s">
        <v>297</v>
      </c>
      <c r="B2" s="47"/>
      <c r="C2" s="48"/>
      <c r="D2" s="48"/>
      <c r="E2" s="48"/>
      <c r="F2" s="47"/>
      <c r="G2" s="178"/>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1:41" ht="21" x14ac:dyDescent="0.35">
      <c r="A3" s="456" t="str">
        <f>'August''24 State of Activities'!A3</f>
        <v>Eight Months Ended August 31, 2024 and 2023</v>
      </c>
      <c r="B3" s="47"/>
      <c r="C3" s="48"/>
      <c r="D3" s="48"/>
      <c r="E3" s="48"/>
      <c r="F3" s="47"/>
      <c r="G3" s="178"/>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5" thickBot="1" x14ac:dyDescent="0.25"/>
    <row r="5" spans="1:41" ht="21.75" thickBot="1" x14ac:dyDescent="0.4">
      <c r="A5" s="867" t="s">
        <v>277</v>
      </c>
      <c r="B5" s="868"/>
      <c r="C5" s="868"/>
      <c r="D5" s="868"/>
      <c r="E5" s="868"/>
      <c r="F5" s="868"/>
      <c r="G5" s="868"/>
      <c r="H5" s="869"/>
    </row>
    <row r="6" spans="1:41" ht="7.5" customHeight="1" thickBot="1" x14ac:dyDescent="0.25">
      <c r="E6" s="21"/>
      <c r="F6" s="21"/>
      <c r="G6" s="21"/>
    </row>
    <row r="7" spans="1:41" ht="15.75" x14ac:dyDescent="0.25">
      <c r="A7" s="426" t="s">
        <v>278</v>
      </c>
      <c r="B7" s="427" t="s">
        <v>279</v>
      </c>
      <c r="C7" s="427" t="s">
        <v>280</v>
      </c>
      <c r="D7" s="427" t="s">
        <v>281</v>
      </c>
      <c r="E7" s="427" t="s">
        <v>282</v>
      </c>
      <c r="F7" s="427" t="s">
        <v>283</v>
      </c>
      <c r="G7" s="427" t="s">
        <v>284</v>
      </c>
      <c r="H7" s="426" t="s">
        <v>285</v>
      </c>
    </row>
    <row r="8" spans="1:41" ht="16.5" thickBot="1" x14ac:dyDescent="0.3">
      <c r="A8" s="428"/>
      <c r="B8" s="429" t="s">
        <v>286</v>
      </c>
      <c r="C8" s="429" t="s">
        <v>286</v>
      </c>
      <c r="D8" s="429" t="s">
        <v>286</v>
      </c>
      <c r="E8" s="429" t="s">
        <v>286</v>
      </c>
      <c r="F8" s="429" t="s">
        <v>286</v>
      </c>
      <c r="G8" s="429" t="s">
        <v>286</v>
      </c>
      <c r="H8" s="430" t="s">
        <v>287</v>
      </c>
    </row>
    <row r="9" spans="1:41" x14ac:dyDescent="0.2">
      <c r="A9" s="431">
        <v>42741</v>
      </c>
      <c r="B9" s="432">
        <v>1059.72</v>
      </c>
      <c r="C9" s="433">
        <f>6123.86-3246.88</f>
        <v>2876.9799999999996</v>
      </c>
      <c r="D9" s="432">
        <f>160.4+1401.46</f>
        <v>1561.8600000000001</v>
      </c>
      <c r="E9" s="432">
        <f>2007.36+883.16</f>
        <v>2890.52</v>
      </c>
      <c r="F9" s="432">
        <v>4174.08</v>
      </c>
      <c r="G9" s="432">
        <v>3187.95</v>
      </c>
      <c r="H9" s="432">
        <f>G9-F9</f>
        <v>-986.13000000000011</v>
      </c>
    </row>
    <row r="10" spans="1:41" x14ac:dyDescent="0.2">
      <c r="A10" s="434">
        <v>42748</v>
      </c>
      <c r="B10" s="435">
        <v>1351.72</v>
      </c>
      <c r="C10" s="432">
        <f>7232.22-3246.88</f>
        <v>3985.34</v>
      </c>
      <c r="D10" s="435">
        <v>3927.82</v>
      </c>
      <c r="E10" s="435">
        <v>3364.16</v>
      </c>
      <c r="F10" s="432">
        <v>4643.2299999999996</v>
      </c>
      <c r="G10" s="432">
        <v>3858.57</v>
      </c>
      <c r="H10" s="432">
        <f t="shared" ref="H10:H21" si="0">G10-F10</f>
        <v>-784.6599999999994</v>
      </c>
    </row>
    <row r="11" spans="1:41" x14ac:dyDescent="0.2">
      <c r="A11" s="434">
        <v>42755</v>
      </c>
      <c r="B11" s="435">
        <v>1237.58</v>
      </c>
      <c r="C11" s="435">
        <f>5493.18-2496.78</f>
        <v>2996.4</v>
      </c>
      <c r="D11" s="435">
        <v>3463.28</v>
      </c>
      <c r="E11" s="435">
        <v>3723.22</v>
      </c>
      <c r="F11" s="432">
        <v>3257.98</v>
      </c>
      <c r="G11" s="432">
        <v>2816.13</v>
      </c>
      <c r="H11" s="432">
        <f t="shared" si="0"/>
        <v>-441.84999999999991</v>
      </c>
    </row>
    <row r="12" spans="1:41" x14ac:dyDescent="0.2">
      <c r="A12" s="434">
        <v>42762</v>
      </c>
      <c r="B12" s="435">
        <v>1829.66</v>
      </c>
      <c r="C12" s="435">
        <f>6125.18-2535</f>
        <v>3590.1800000000003</v>
      </c>
      <c r="D12" s="435">
        <v>2947.54</v>
      </c>
      <c r="E12" s="435">
        <v>3026.63</v>
      </c>
      <c r="F12" s="432">
        <v>3503.82</v>
      </c>
      <c r="G12" s="432">
        <v>2957.14</v>
      </c>
      <c r="H12" s="432">
        <f t="shared" si="0"/>
        <v>-546.68000000000029</v>
      </c>
    </row>
    <row r="13" spans="1:41" x14ac:dyDescent="0.2">
      <c r="A13" s="434">
        <v>42769</v>
      </c>
      <c r="B13" s="435">
        <v>2363.12</v>
      </c>
      <c r="C13" s="435">
        <f>-3488.68+8424.94</f>
        <v>4936.26</v>
      </c>
      <c r="D13" s="435">
        <v>3434.46</v>
      </c>
      <c r="E13" s="435">
        <v>2986.58</v>
      </c>
      <c r="F13" s="432">
        <v>4063.43</v>
      </c>
      <c r="G13" s="432">
        <v>3878.62</v>
      </c>
      <c r="H13" s="432">
        <f t="shared" si="0"/>
        <v>-184.80999999999995</v>
      </c>
    </row>
    <row r="14" spans="1:41" x14ac:dyDescent="0.2">
      <c r="A14" s="434">
        <v>42776</v>
      </c>
      <c r="B14" s="435">
        <v>1902.16</v>
      </c>
      <c r="C14" s="435">
        <f>-2931.5+7254.06</f>
        <v>4322.5600000000004</v>
      </c>
      <c r="D14" s="435">
        <v>2818.82</v>
      </c>
      <c r="E14" s="435">
        <f>2800.67</f>
        <v>2800.67</v>
      </c>
      <c r="F14" s="432">
        <v>4002.46</v>
      </c>
      <c r="G14" s="432">
        <v>2987.96</v>
      </c>
      <c r="H14" s="432">
        <f t="shared" si="0"/>
        <v>-1014.5</v>
      </c>
    </row>
    <row r="15" spans="1:41" x14ac:dyDescent="0.2">
      <c r="A15" s="434">
        <v>42783</v>
      </c>
      <c r="B15" s="435">
        <v>2134.56</v>
      </c>
      <c r="C15" s="435">
        <f>-3653.28+8329.5-700</f>
        <v>3976.2199999999993</v>
      </c>
      <c r="D15" s="435">
        <v>2157.96</v>
      </c>
      <c r="E15" s="435">
        <v>2584.04</v>
      </c>
      <c r="F15" s="432">
        <v>2886.61</v>
      </c>
      <c r="G15" s="432">
        <v>3373.08</v>
      </c>
      <c r="H15" s="432">
        <f t="shared" si="0"/>
        <v>486.4699999999998</v>
      </c>
    </row>
    <row r="16" spans="1:41" x14ac:dyDescent="0.2">
      <c r="A16" s="434">
        <v>42790</v>
      </c>
      <c r="B16" s="435">
        <v>1676.08</v>
      </c>
      <c r="C16" s="435">
        <f>-2869.88+6693.6</f>
        <v>3823.7200000000003</v>
      </c>
      <c r="D16" s="435">
        <v>3063.52</v>
      </c>
      <c r="E16" s="435">
        <v>3161.19</v>
      </c>
      <c r="F16" s="432">
        <v>3994.7</v>
      </c>
      <c r="G16" s="432">
        <v>3335.8</v>
      </c>
      <c r="H16" s="432">
        <f t="shared" si="0"/>
        <v>-658.89999999999964</v>
      </c>
    </row>
    <row r="17" spans="1:8" x14ac:dyDescent="0.2">
      <c r="A17" s="434">
        <v>42797</v>
      </c>
      <c r="B17" s="435">
        <v>1418.9</v>
      </c>
      <c r="C17" s="435">
        <f>-3427.32+8141.08</f>
        <v>4713.76</v>
      </c>
      <c r="D17" s="435">
        <v>4534.3</v>
      </c>
      <c r="E17" s="435">
        <v>3860.23</v>
      </c>
      <c r="F17" s="432">
        <v>4172.5600000000004</v>
      </c>
      <c r="G17" s="432">
        <v>2335.96</v>
      </c>
      <c r="H17" s="432">
        <f t="shared" si="0"/>
        <v>-1836.6000000000004</v>
      </c>
    </row>
    <row r="18" spans="1:8" x14ac:dyDescent="0.2">
      <c r="A18" s="434">
        <v>42804</v>
      </c>
      <c r="B18" s="435">
        <v>1013.74</v>
      </c>
      <c r="C18" s="435">
        <f>-2919.8+6449.26</f>
        <v>3529.46</v>
      </c>
      <c r="D18" s="435">
        <v>3673.88</v>
      </c>
      <c r="E18" s="435">
        <v>4004</v>
      </c>
      <c r="F18" s="432">
        <v>3762.8</v>
      </c>
      <c r="G18" s="432">
        <v>1711.94</v>
      </c>
      <c r="H18" s="432">
        <f t="shared" si="0"/>
        <v>-2050.86</v>
      </c>
    </row>
    <row r="19" spans="1:8" x14ac:dyDescent="0.2">
      <c r="A19" s="434">
        <v>42811</v>
      </c>
      <c r="B19" s="436">
        <v>3629.96</v>
      </c>
      <c r="C19" s="435">
        <f>-3708.38+7621.78</f>
        <v>3913.3999999999996</v>
      </c>
      <c r="D19" s="435">
        <v>4030.4</v>
      </c>
      <c r="E19" s="435">
        <v>3222.03</v>
      </c>
      <c r="F19" s="432">
        <v>4340.3</v>
      </c>
      <c r="G19" s="432">
        <v>942.16</v>
      </c>
      <c r="H19" s="432">
        <f t="shared" si="0"/>
        <v>-3398.1400000000003</v>
      </c>
    </row>
    <row r="20" spans="1:8" x14ac:dyDescent="0.2">
      <c r="A20" s="434">
        <v>42818</v>
      </c>
      <c r="B20" s="436">
        <v>3364</v>
      </c>
      <c r="C20" s="435">
        <f>-3726.84+7846.28</f>
        <v>4119.4399999999996</v>
      </c>
      <c r="D20" s="435">
        <v>3975.2</v>
      </c>
      <c r="E20" s="435">
        <v>3684.17</v>
      </c>
      <c r="F20" s="432">
        <v>3849.95</v>
      </c>
      <c r="G20" s="432">
        <v>1706.08</v>
      </c>
      <c r="H20" s="432">
        <f t="shared" si="0"/>
        <v>-2143.87</v>
      </c>
    </row>
    <row r="21" spans="1:8" ht="15" thickBot="1" x14ac:dyDescent="0.25">
      <c r="A21" s="434">
        <v>42825</v>
      </c>
      <c r="B21" s="436">
        <v>3587</v>
      </c>
      <c r="C21" s="435">
        <f>-3329.82+7562.9</f>
        <v>4233.08</v>
      </c>
      <c r="D21" s="435">
        <v>4280.8</v>
      </c>
      <c r="E21" s="436">
        <v>4118.96</v>
      </c>
      <c r="F21" s="437">
        <v>4082.74</v>
      </c>
      <c r="G21" s="437">
        <v>2002.52</v>
      </c>
      <c r="H21" s="432">
        <f t="shared" si="0"/>
        <v>-2080.2199999999998</v>
      </c>
    </row>
    <row r="22" spans="1:8" ht="16.5" thickBot="1" x14ac:dyDescent="0.25">
      <c r="A22" s="438" t="s">
        <v>288</v>
      </c>
      <c r="B22" s="439">
        <f t="shared" ref="B22:H22" si="1">SUM(B9:B21)</f>
        <v>26568.2</v>
      </c>
      <c r="C22" s="439">
        <f t="shared" si="1"/>
        <v>51016.80000000001</v>
      </c>
      <c r="D22" s="439">
        <f t="shared" si="1"/>
        <v>43869.84</v>
      </c>
      <c r="E22" s="439">
        <f t="shared" si="1"/>
        <v>43426.399999999994</v>
      </c>
      <c r="F22" s="439">
        <f t="shared" si="1"/>
        <v>50734.659999999996</v>
      </c>
      <c r="G22" s="439">
        <f t="shared" si="1"/>
        <v>35093.909999999989</v>
      </c>
      <c r="H22" s="439">
        <f t="shared" si="1"/>
        <v>-15640.749999999998</v>
      </c>
    </row>
    <row r="23" spans="1:8" x14ac:dyDescent="0.2">
      <c r="A23" s="440">
        <v>42832</v>
      </c>
      <c r="B23" s="435">
        <v>3525.02</v>
      </c>
      <c r="C23" s="432">
        <v>4517.8999999999996</v>
      </c>
      <c r="D23" s="432">
        <v>4162.12</v>
      </c>
      <c r="E23" s="432">
        <v>4043.7</v>
      </c>
      <c r="F23" s="432">
        <v>3768.69</v>
      </c>
      <c r="G23" s="432">
        <v>2018.44</v>
      </c>
      <c r="H23" s="432">
        <f>G23-F23</f>
        <v>-1750.25</v>
      </c>
    </row>
    <row r="24" spans="1:8" x14ac:dyDescent="0.2">
      <c r="A24" s="440">
        <v>42839</v>
      </c>
      <c r="B24" s="435">
        <v>3842.84</v>
      </c>
      <c r="C24" s="432">
        <v>4554.42</v>
      </c>
      <c r="D24" s="435">
        <v>4616</v>
      </c>
      <c r="E24" s="435">
        <v>4136.18</v>
      </c>
      <c r="F24" s="432">
        <v>4345.16</v>
      </c>
      <c r="G24" s="432">
        <v>5284.52</v>
      </c>
      <c r="H24" s="432">
        <f t="shared" ref="H24:H63" si="2">G24-F24</f>
        <v>939.36000000000058</v>
      </c>
    </row>
    <row r="25" spans="1:8" x14ac:dyDescent="0.2">
      <c r="A25" s="440">
        <v>42846</v>
      </c>
      <c r="B25" s="435">
        <v>5337.82</v>
      </c>
      <c r="C25" s="435">
        <v>4041.14</v>
      </c>
      <c r="D25" s="435">
        <v>3729.1</v>
      </c>
      <c r="E25" s="435">
        <v>4132.83</v>
      </c>
      <c r="F25" s="432">
        <v>4267.46</v>
      </c>
      <c r="G25" s="432">
        <v>4715.9799999999996</v>
      </c>
      <c r="H25" s="432">
        <f t="shared" si="2"/>
        <v>448.51999999999953</v>
      </c>
    </row>
    <row r="26" spans="1:8" x14ac:dyDescent="0.2">
      <c r="A26" s="440">
        <v>42853</v>
      </c>
      <c r="B26" s="435">
        <v>4973.68</v>
      </c>
      <c r="C26" s="435">
        <v>4321.8599999999997</v>
      </c>
      <c r="D26" s="435">
        <v>3706.08</v>
      </c>
      <c r="E26" s="435">
        <v>4536.74</v>
      </c>
      <c r="F26" s="432">
        <v>3953.61</v>
      </c>
      <c r="G26" s="432">
        <v>4499.7</v>
      </c>
      <c r="H26" s="432">
        <f t="shared" si="2"/>
        <v>546.08999999999969</v>
      </c>
    </row>
    <row r="27" spans="1:8" x14ac:dyDescent="0.2">
      <c r="A27" s="440">
        <v>42860</v>
      </c>
      <c r="B27" s="435">
        <v>3187.22</v>
      </c>
      <c r="C27" s="435">
        <v>4732.8999999999996</v>
      </c>
      <c r="D27" s="435">
        <v>3421.72</v>
      </c>
      <c r="E27" s="435">
        <f>3478.64+72+758.56</f>
        <v>4309.2</v>
      </c>
      <c r="F27" s="432">
        <v>4192.32</v>
      </c>
      <c r="G27" s="432">
        <v>4204.16</v>
      </c>
      <c r="H27" s="432">
        <f t="shared" si="2"/>
        <v>11.840000000000146</v>
      </c>
    </row>
    <row r="28" spans="1:8" x14ac:dyDescent="0.2">
      <c r="A28" s="440">
        <v>42867</v>
      </c>
      <c r="B28" s="435">
        <v>2237.2399999999998</v>
      </c>
      <c r="C28" s="435">
        <v>4138.8999999999996</v>
      </c>
      <c r="D28" s="435">
        <v>3907.94</v>
      </c>
      <c r="E28" s="435">
        <f>4050.94+212.76</f>
        <v>4263.7</v>
      </c>
      <c r="F28" s="432">
        <v>4361.47</v>
      </c>
      <c r="G28" s="432">
        <v>4571.82</v>
      </c>
      <c r="H28" s="432">
        <f t="shared" si="2"/>
        <v>210.34999999999945</v>
      </c>
    </row>
    <row r="29" spans="1:8" x14ac:dyDescent="0.2">
      <c r="A29" s="440">
        <v>42874</v>
      </c>
      <c r="B29" s="435">
        <v>3446.22</v>
      </c>
      <c r="C29" s="435">
        <v>5447.82</v>
      </c>
      <c r="D29" s="435">
        <f>3359.74+70.28</f>
        <v>3430.02</v>
      </c>
      <c r="E29" s="435">
        <v>3958.56</v>
      </c>
      <c r="F29" s="432">
        <v>3957.78</v>
      </c>
      <c r="G29" s="432">
        <v>4089.18</v>
      </c>
      <c r="H29" s="432">
        <f t="shared" si="2"/>
        <v>131.39999999999964</v>
      </c>
    </row>
    <row r="30" spans="1:8" x14ac:dyDescent="0.2">
      <c r="A30" s="440">
        <v>42881</v>
      </c>
      <c r="B30" s="435">
        <v>3507.94</v>
      </c>
      <c r="C30" s="435">
        <v>4315.03</v>
      </c>
      <c r="D30" s="435">
        <v>3880.8</v>
      </c>
      <c r="E30" s="435">
        <v>4314.9799999999996</v>
      </c>
      <c r="F30" s="432">
        <v>3634.01</v>
      </c>
      <c r="G30" s="432">
        <v>3993.63</v>
      </c>
      <c r="H30" s="432">
        <f t="shared" si="2"/>
        <v>359.61999999999989</v>
      </c>
    </row>
    <row r="31" spans="1:8" x14ac:dyDescent="0.2">
      <c r="A31" s="440">
        <v>42888</v>
      </c>
      <c r="B31" s="435">
        <v>3609.72</v>
      </c>
      <c r="C31" s="435">
        <v>3053.8</v>
      </c>
      <c r="D31" s="435">
        <v>2686.82</v>
      </c>
      <c r="E31" s="435">
        <v>2987.04</v>
      </c>
      <c r="F31" s="432">
        <v>2684.24</v>
      </c>
      <c r="G31" s="432">
        <v>2384.3200000000002</v>
      </c>
      <c r="H31" s="432">
        <f t="shared" si="2"/>
        <v>-299.91999999999962</v>
      </c>
    </row>
    <row r="32" spans="1:8" x14ac:dyDescent="0.2">
      <c r="A32" s="440">
        <v>42895</v>
      </c>
      <c r="B32" s="435">
        <v>2033.76</v>
      </c>
      <c r="C32" s="435">
        <v>4194.8599999999997</v>
      </c>
      <c r="D32" s="435">
        <v>3006.14</v>
      </c>
      <c r="E32" s="435">
        <v>3675.8</v>
      </c>
      <c r="F32" s="432">
        <v>3674.42</v>
      </c>
      <c r="G32" s="432">
        <v>3297.66</v>
      </c>
      <c r="H32" s="432">
        <f t="shared" si="2"/>
        <v>-376.76000000000022</v>
      </c>
    </row>
    <row r="33" spans="1:8" x14ac:dyDescent="0.2">
      <c r="A33" s="440">
        <v>42902</v>
      </c>
      <c r="B33" s="435">
        <v>2786.98</v>
      </c>
      <c r="C33" s="435">
        <v>3980.08</v>
      </c>
      <c r="D33" s="435">
        <v>3579.53</v>
      </c>
      <c r="E33" s="435">
        <v>4147.8999999999996</v>
      </c>
      <c r="F33" s="432">
        <v>4182.5200000000004</v>
      </c>
      <c r="G33" s="432">
        <v>3252.16</v>
      </c>
      <c r="H33" s="432">
        <f t="shared" si="2"/>
        <v>-930.36000000000058</v>
      </c>
    </row>
    <row r="34" spans="1:8" x14ac:dyDescent="0.2">
      <c r="A34" s="440">
        <v>42909</v>
      </c>
      <c r="B34" s="436">
        <v>2436.9</v>
      </c>
      <c r="C34" s="435">
        <v>4001.26</v>
      </c>
      <c r="D34" s="435">
        <v>3401.21</v>
      </c>
      <c r="E34" s="435">
        <v>3774.82</v>
      </c>
      <c r="F34" s="432">
        <v>3596.56</v>
      </c>
      <c r="G34" s="432">
        <v>3139.68</v>
      </c>
      <c r="H34" s="432">
        <f t="shared" si="2"/>
        <v>-456.88000000000011</v>
      </c>
    </row>
    <row r="35" spans="1:8" ht="15" thickBot="1" x14ac:dyDescent="0.25">
      <c r="A35" s="440">
        <v>42916</v>
      </c>
      <c r="B35" s="436">
        <v>2410.56</v>
      </c>
      <c r="C35" s="435">
        <v>3928.74</v>
      </c>
      <c r="D35" s="436">
        <v>3288.01</v>
      </c>
      <c r="E35" s="436">
        <v>3466.07</v>
      </c>
      <c r="F35" s="437">
        <v>3867.92</v>
      </c>
      <c r="G35" s="437">
        <v>3368.72</v>
      </c>
      <c r="H35" s="432">
        <f t="shared" si="2"/>
        <v>-499.20000000000027</v>
      </c>
    </row>
    <row r="36" spans="1:8" ht="16.5" thickBot="1" x14ac:dyDescent="0.25">
      <c r="A36" s="438" t="s">
        <v>289</v>
      </c>
      <c r="B36" s="439">
        <f t="shared" ref="B36:H36" si="3">SUM(B23:B35)</f>
        <v>43335.9</v>
      </c>
      <c r="C36" s="439">
        <f t="shared" si="3"/>
        <v>55228.710000000006</v>
      </c>
      <c r="D36" s="439">
        <f t="shared" si="3"/>
        <v>46815.49</v>
      </c>
      <c r="E36" s="439">
        <f t="shared" si="3"/>
        <v>51747.520000000004</v>
      </c>
      <c r="F36" s="439">
        <f t="shared" si="3"/>
        <v>50486.159999999989</v>
      </c>
      <c r="G36" s="439">
        <f t="shared" si="3"/>
        <v>48819.970000000008</v>
      </c>
      <c r="H36" s="439">
        <f t="shared" si="3"/>
        <v>-1666.1900000000019</v>
      </c>
    </row>
    <row r="37" spans="1:8" x14ac:dyDescent="0.2">
      <c r="A37" s="440">
        <v>42923</v>
      </c>
      <c r="B37" s="432">
        <f>899.92+2410.56</f>
        <v>3310.48</v>
      </c>
      <c r="C37" s="432">
        <v>3059.59</v>
      </c>
      <c r="D37" s="432">
        <f>952.56+2445.69</f>
        <v>3398.25</v>
      </c>
      <c r="E37" s="432">
        <f>1313.52+1315.48</f>
        <v>2629</v>
      </c>
      <c r="F37" s="432">
        <v>3092.18</v>
      </c>
      <c r="G37" s="432">
        <v>2501.6799999999998</v>
      </c>
      <c r="H37" s="432">
        <f t="shared" si="2"/>
        <v>-590.5</v>
      </c>
    </row>
    <row r="38" spans="1:8" x14ac:dyDescent="0.2">
      <c r="A38" s="434">
        <v>42930</v>
      </c>
      <c r="B38" s="432">
        <v>2613.8200000000002</v>
      </c>
      <c r="C38" s="432">
        <v>4164.28</v>
      </c>
      <c r="D38" s="435">
        <v>3621.49</v>
      </c>
      <c r="E38" s="435">
        <v>3328.78</v>
      </c>
      <c r="F38" s="432">
        <v>4363</v>
      </c>
      <c r="G38" s="432">
        <v>3463.97</v>
      </c>
      <c r="H38" s="432">
        <f t="shared" si="2"/>
        <v>-899.0300000000002</v>
      </c>
    </row>
    <row r="39" spans="1:8" x14ac:dyDescent="0.2">
      <c r="A39" s="434">
        <v>42937</v>
      </c>
      <c r="B39" s="435">
        <v>2285.09</v>
      </c>
      <c r="C39" s="435">
        <v>3698.36</v>
      </c>
      <c r="D39" s="435">
        <v>3478.53</v>
      </c>
      <c r="E39" s="435">
        <v>4114.08</v>
      </c>
      <c r="F39" s="432">
        <v>3936.33</v>
      </c>
      <c r="G39" s="432">
        <v>3416.66</v>
      </c>
      <c r="H39" s="432">
        <f t="shared" si="2"/>
        <v>-519.67000000000007</v>
      </c>
    </row>
    <row r="40" spans="1:8" x14ac:dyDescent="0.2">
      <c r="A40" s="434">
        <v>42944</v>
      </c>
      <c r="B40" s="435">
        <v>1982.06</v>
      </c>
      <c r="C40" s="435">
        <v>3907.78</v>
      </c>
      <c r="D40" s="435">
        <v>3713.11</v>
      </c>
      <c r="E40" s="435">
        <v>4010.57</v>
      </c>
      <c r="F40" s="432">
        <v>3962.85</v>
      </c>
      <c r="G40" s="432">
        <v>3139.68</v>
      </c>
      <c r="H40" s="432">
        <f t="shared" si="2"/>
        <v>-823.17000000000007</v>
      </c>
    </row>
    <row r="41" spans="1:8" x14ac:dyDescent="0.2">
      <c r="A41" s="434">
        <v>42951</v>
      </c>
      <c r="B41" s="435">
        <v>2442</v>
      </c>
      <c r="C41" s="435">
        <v>3807.12</v>
      </c>
      <c r="D41" s="435">
        <v>3318.21</v>
      </c>
      <c r="E41" s="435">
        <v>3520.16</v>
      </c>
      <c r="F41" s="432">
        <v>3810.8</v>
      </c>
      <c r="G41" s="432">
        <v>3171.9</v>
      </c>
      <c r="H41" s="432">
        <f t="shared" si="2"/>
        <v>-638.90000000000009</v>
      </c>
    </row>
    <row r="42" spans="1:8" x14ac:dyDescent="0.2">
      <c r="A42" s="434">
        <v>42958</v>
      </c>
      <c r="B42" s="435">
        <v>2003.68</v>
      </c>
      <c r="C42" s="435">
        <v>3636.64</v>
      </c>
      <c r="D42" s="435">
        <v>2999.63</v>
      </c>
      <c r="E42" s="435">
        <v>3150.64</v>
      </c>
      <c r="F42" s="432">
        <v>3905.08</v>
      </c>
      <c r="G42" s="432">
        <v>3339.76</v>
      </c>
      <c r="H42" s="432">
        <f t="shared" si="2"/>
        <v>-565.31999999999971</v>
      </c>
    </row>
    <row r="43" spans="1:8" x14ac:dyDescent="0.2">
      <c r="A43" s="434">
        <v>42965</v>
      </c>
      <c r="B43" s="435">
        <v>1971.38</v>
      </c>
      <c r="C43" s="435">
        <v>3658.28</v>
      </c>
      <c r="D43" s="435">
        <v>4080.16</v>
      </c>
      <c r="E43" s="435">
        <v>3780.2</v>
      </c>
      <c r="F43" s="432">
        <v>3747.05</v>
      </c>
      <c r="G43" s="432">
        <v>3333.42</v>
      </c>
      <c r="H43" s="432">
        <f t="shared" si="2"/>
        <v>-413.63000000000011</v>
      </c>
    </row>
    <row r="44" spans="1:8" x14ac:dyDescent="0.2">
      <c r="A44" s="434">
        <v>42972</v>
      </c>
      <c r="B44" s="435">
        <v>2725.14</v>
      </c>
      <c r="C44" s="435">
        <v>4096.0200000000004</v>
      </c>
      <c r="D44" s="435">
        <v>4309.82</v>
      </c>
      <c r="E44" s="435">
        <v>3361.86</v>
      </c>
      <c r="F44" s="432">
        <v>3788.4</v>
      </c>
      <c r="G44" s="432">
        <v>3772.14</v>
      </c>
      <c r="H44" s="432">
        <f t="shared" si="2"/>
        <v>-16.260000000000218</v>
      </c>
    </row>
    <row r="45" spans="1:8" x14ac:dyDescent="0.2">
      <c r="A45" s="434">
        <v>42979</v>
      </c>
      <c r="B45" s="435">
        <v>2749.96</v>
      </c>
      <c r="C45" s="435">
        <v>3825.18</v>
      </c>
      <c r="D45" s="435">
        <v>3712.48</v>
      </c>
      <c r="E45" s="435">
        <v>3605.07</v>
      </c>
      <c r="F45" s="432">
        <v>3858.34</v>
      </c>
      <c r="G45" s="432">
        <v>3206</v>
      </c>
      <c r="H45" s="432">
        <f t="shared" si="2"/>
        <v>-652.34000000000015</v>
      </c>
    </row>
    <row r="46" spans="1:8" x14ac:dyDescent="0.2">
      <c r="A46" s="434">
        <v>42986</v>
      </c>
      <c r="B46" s="435">
        <v>2323.9</v>
      </c>
      <c r="C46" s="435">
        <v>2717.46</v>
      </c>
      <c r="D46" s="435">
        <v>3072.96</v>
      </c>
      <c r="E46" s="435">
        <f>753.86+2730.15</f>
        <v>3484.01</v>
      </c>
      <c r="F46" s="432">
        <v>3265.99</v>
      </c>
      <c r="G46" s="432">
        <v>2271.2199999999998</v>
      </c>
      <c r="H46" s="432">
        <f t="shared" si="2"/>
        <v>-994.77</v>
      </c>
    </row>
    <row r="47" spans="1:8" x14ac:dyDescent="0.2">
      <c r="A47" s="434">
        <v>42993</v>
      </c>
      <c r="B47" s="435">
        <v>2621.61</v>
      </c>
      <c r="C47" s="435">
        <v>3748.38</v>
      </c>
      <c r="D47" s="435">
        <v>3926.25</v>
      </c>
      <c r="E47" s="435">
        <v>3212.96</v>
      </c>
      <c r="F47" s="432">
        <v>3712.16</v>
      </c>
      <c r="G47" s="432">
        <v>2688.36</v>
      </c>
      <c r="H47" s="432">
        <f t="shared" si="2"/>
        <v>-1023.7999999999997</v>
      </c>
    </row>
    <row r="48" spans="1:8" x14ac:dyDescent="0.2">
      <c r="A48" s="434">
        <v>43000</v>
      </c>
      <c r="B48" s="435">
        <v>2394.14</v>
      </c>
      <c r="C48" s="435">
        <v>3766.8</v>
      </c>
      <c r="D48" s="435">
        <v>4164.1899999999996</v>
      </c>
      <c r="E48" s="435">
        <v>4004.92</v>
      </c>
      <c r="F48" s="432">
        <v>3509.17</v>
      </c>
      <c r="G48" s="432">
        <v>3180.04</v>
      </c>
      <c r="H48" s="432">
        <f t="shared" si="2"/>
        <v>-329.13000000000011</v>
      </c>
    </row>
    <row r="49" spans="1:8" ht="15" thickBot="1" x14ac:dyDescent="0.25">
      <c r="A49" s="434">
        <v>43007</v>
      </c>
      <c r="B49" s="436">
        <v>2669.64</v>
      </c>
      <c r="C49" s="436">
        <v>4136.58</v>
      </c>
      <c r="D49" s="436">
        <v>3566.31</v>
      </c>
      <c r="E49" s="436">
        <v>3837.41</v>
      </c>
      <c r="F49" s="437">
        <v>3803.3</v>
      </c>
      <c r="G49" s="437">
        <v>2437.88</v>
      </c>
      <c r="H49" s="432">
        <f t="shared" si="2"/>
        <v>-1365.42</v>
      </c>
    </row>
    <row r="50" spans="1:8" ht="16.5" thickBot="1" x14ac:dyDescent="0.25">
      <c r="A50" s="438" t="s">
        <v>290</v>
      </c>
      <c r="B50" s="439">
        <f>SUM(B37:B49)</f>
        <v>32092.899999999998</v>
      </c>
      <c r="C50" s="439">
        <f>SUM(C37:C49)</f>
        <v>48222.47</v>
      </c>
      <c r="D50" s="439">
        <f>SUM(D37:D49)</f>
        <v>47361.39</v>
      </c>
      <c r="E50" s="439">
        <f>SUM(E37:E49)</f>
        <v>46039.66</v>
      </c>
      <c r="F50" s="439">
        <f t="shared" ref="F50:H50" si="4">SUM(F37:F49)</f>
        <v>48754.649999999994</v>
      </c>
      <c r="G50" s="439">
        <f t="shared" si="4"/>
        <v>39922.71</v>
      </c>
      <c r="H50" s="439">
        <f t="shared" si="4"/>
        <v>-8831.9399999999987</v>
      </c>
    </row>
    <row r="51" spans="1:8" x14ac:dyDescent="0.2">
      <c r="A51" s="440">
        <v>43014</v>
      </c>
      <c r="B51" s="432">
        <v>3051.16</v>
      </c>
      <c r="C51" s="432">
        <v>4721</v>
      </c>
      <c r="D51" s="432">
        <f>1531.24+2227.04</f>
        <v>3758.2799999999997</v>
      </c>
      <c r="E51" s="432">
        <v>3921.83</v>
      </c>
      <c r="F51" s="432">
        <v>3911.96</v>
      </c>
      <c r="G51" s="432">
        <v>3047.82</v>
      </c>
      <c r="H51" s="432">
        <f t="shared" si="2"/>
        <v>-864.13999999999987</v>
      </c>
    </row>
    <row r="52" spans="1:8" x14ac:dyDescent="0.2">
      <c r="A52" s="434">
        <v>43021</v>
      </c>
      <c r="B52" s="435">
        <v>2579.96</v>
      </c>
      <c r="C52" s="435">
        <v>4035.24</v>
      </c>
      <c r="D52" s="435">
        <v>4232.92</v>
      </c>
      <c r="E52" s="435">
        <v>3403.46</v>
      </c>
      <c r="F52" s="432">
        <v>3093.5</v>
      </c>
      <c r="G52" s="432">
        <v>2010.94</v>
      </c>
      <c r="H52" s="432">
        <f t="shared" si="2"/>
        <v>-1082.56</v>
      </c>
    </row>
    <row r="53" spans="1:8" x14ac:dyDescent="0.2">
      <c r="A53" s="434">
        <v>43028</v>
      </c>
      <c r="B53" s="435">
        <v>3119.16</v>
      </c>
      <c r="C53" s="435">
        <v>2972.08</v>
      </c>
      <c r="D53" s="435">
        <v>3057.22</v>
      </c>
      <c r="E53" s="435">
        <v>3116.16</v>
      </c>
      <c r="F53" s="432">
        <v>4261.32</v>
      </c>
      <c r="G53" s="432">
        <v>3314.5</v>
      </c>
      <c r="H53" s="432">
        <f t="shared" si="2"/>
        <v>-946.81999999999971</v>
      </c>
    </row>
    <row r="54" spans="1:8" x14ac:dyDescent="0.2">
      <c r="A54" s="434">
        <v>43035</v>
      </c>
      <c r="B54" s="435">
        <v>2378.1999999999998</v>
      </c>
      <c r="C54" s="435">
        <v>3341.66</v>
      </c>
      <c r="D54" s="435">
        <v>3745.65</v>
      </c>
      <c r="E54" s="435">
        <v>3664.58</v>
      </c>
      <c r="F54" s="432">
        <v>3860.55</v>
      </c>
      <c r="G54" s="432">
        <v>2905</v>
      </c>
      <c r="H54" s="432">
        <f t="shared" si="2"/>
        <v>-955.55000000000018</v>
      </c>
    </row>
    <row r="55" spans="1:8" x14ac:dyDescent="0.2">
      <c r="A55" s="434">
        <v>43042</v>
      </c>
      <c r="B55" s="435">
        <v>2153.36</v>
      </c>
      <c r="C55" s="435">
        <v>3165.08</v>
      </c>
      <c r="D55" s="435">
        <f>3171.04+47.44+30.24</f>
        <v>3248.72</v>
      </c>
      <c r="E55" s="435">
        <v>3792.71</v>
      </c>
      <c r="F55" s="432">
        <v>3942.48</v>
      </c>
      <c r="G55" s="432">
        <v>3169.18</v>
      </c>
      <c r="H55" s="432">
        <f t="shared" si="2"/>
        <v>-773.30000000000018</v>
      </c>
    </row>
    <row r="56" spans="1:8" x14ac:dyDescent="0.2">
      <c r="A56" s="434">
        <v>43049</v>
      </c>
      <c r="B56" s="435">
        <v>1549.7</v>
      </c>
      <c r="C56" s="435">
        <v>3024.18</v>
      </c>
      <c r="D56" s="435">
        <v>3967.37</v>
      </c>
      <c r="E56" s="435">
        <v>3804.52</v>
      </c>
      <c r="F56" s="432">
        <v>3933.48</v>
      </c>
      <c r="G56" s="432">
        <v>2670.04</v>
      </c>
      <c r="H56" s="432">
        <f t="shared" si="2"/>
        <v>-1263.44</v>
      </c>
    </row>
    <row r="57" spans="1:8" x14ac:dyDescent="0.2">
      <c r="A57" s="434">
        <v>43056</v>
      </c>
      <c r="B57" s="435">
        <f>(5311.2-178.1)*0.5</f>
        <v>2566.5499999999997</v>
      </c>
      <c r="C57" s="435">
        <v>3500.86</v>
      </c>
      <c r="D57" s="435">
        <v>4007.55</v>
      </c>
      <c r="E57" s="435">
        <v>3693.64</v>
      </c>
      <c r="F57" s="432">
        <v>3860.4</v>
      </c>
      <c r="G57" s="432">
        <v>2400.7199999999998</v>
      </c>
      <c r="H57" s="432">
        <f t="shared" si="2"/>
        <v>-1459.6800000000003</v>
      </c>
    </row>
    <row r="58" spans="1:8" x14ac:dyDescent="0.2">
      <c r="A58" s="434">
        <v>43063</v>
      </c>
      <c r="B58" s="435">
        <f>(5311.2-178.1)*0.5</f>
        <v>2566.5499999999997</v>
      </c>
      <c r="C58" s="435">
        <v>4015.8</v>
      </c>
      <c r="D58" s="435">
        <v>4445.62</v>
      </c>
      <c r="E58" s="435">
        <v>3499.88</v>
      </c>
      <c r="F58" s="432">
        <v>1675.8</v>
      </c>
      <c r="G58" s="432">
        <v>1268.44</v>
      </c>
      <c r="H58" s="432">
        <f t="shared" si="2"/>
        <v>-407.3599999999999</v>
      </c>
    </row>
    <row r="59" spans="1:8" x14ac:dyDescent="0.2">
      <c r="A59" s="434">
        <v>43070</v>
      </c>
      <c r="B59" s="435">
        <v>3577.34</v>
      </c>
      <c r="C59" s="435">
        <v>2434.3200000000002</v>
      </c>
      <c r="D59" s="435">
        <v>1953.09</v>
      </c>
      <c r="E59" s="435">
        <v>2000.54</v>
      </c>
      <c r="F59" s="432">
        <v>3669.06</v>
      </c>
      <c r="G59" s="432">
        <v>2816.72</v>
      </c>
      <c r="H59" s="432">
        <f t="shared" si="2"/>
        <v>-852.34000000000015</v>
      </c>
    </row>
    <row r="60" spans="1:8" x14ac:dyDescent="0.2">
      <c r="A60" s="434">
        <v>43077</v>
      </c>
      <c r="B60" s="435">
        <v>3486.12</v>
      </c>
      <c r="C60" s="435">
        <v>3291.9</v>
      </c>
      <c r="D60" s="435">
        <v>3710.06</v>
      </c>
      <c r="E60" s="435">
        <f>2372.46+627.88</f>
        <v>3000.34</v>
      </c>
      <c r="F60" s="432">
        <v>3225.52</v>
      </c>
      <c r="G60" s="432">
        <v>2427</v>
      </c>
      <c r="H60" s="432">
        <f t="shared" si="2"/>
        <v>-798.52</v>
      </c>
    </row>
    <row r="61" spans="1:8" x14ac:dyDescent="0.2">
      <c r="A61" s="434">
        <v>43084</v>
      </c>
      <c r="B61" s="435">
        <v>3539.16</v>
      </c>
      <c r="C61" s="435">
        <v>4047.94</v>
      </c>
      <c r="D61" s="435">
        <v>3873.59</v>
      </c>
      <c r="E61" s="435">
        <v>4104.09</v>
      </c>
      <c r="F61" s="432">
        <v>2933.78</v>
      </c>
      <c r="G61" s="432">
        <v>2427</v>
      </c>
      <c r="H61" s="432">
        <f t="shared" si="2"/>
        <v>-506.7800000000002</v>
      </c>
    </row>
    <row r="62" spans="1:8" x14ac:dyDescent="0.2">
      <c r="A62" s="434">
        <v>43091</v>
      </c>
      <c r="B62" s="435">
        <v>1609.64</v>
      </c>
      <c r="C62" s="435">
        <v>3903.54</v>
      </c>
      <c r="D62" s="435">
        <v>3580.24</v>
      </c>
      <c r="E62" s="435">
        <v>3625.1</v>
      </c>
      <c r="F62" s="432">
        <v>3555.5</v>
      </c>
      <c r="G62" s="432">
        <v>2649.12</v>
      </c>
      <c r="H62" s="432">
        <f t="shared" si="2"/>
        <v>-906.38000000000011</v>
      </c>
    </row>
    <row r="63" spans="1:8" ht="15" thickBot="1" x14ac:dyDescent="0.25">
      <c r="A63" s="441">
        <v>43098</v>
      </c>
      <c r="B63" s="442">
        <v>5154.84</v>
      </c>
      <c r="C63" s="442">
        <v>2331.48</v>
      </c>
      <c r="D63" s="442">
        <v>2383.63</v>
      </c>
      <c r="E63" s="442">
        <v>2256.69</v>
      </c>
      <c r="F63" s="443">
        <v>2486.06</v>
      </c>
      <c r="G63" s="443">
        <v>2088.3000000000002</v>
      </c>
      <c r="H63" s="432">
        <f t="shared" si="2"/>
        <v>-397.75999999999976</v>
      </c>
    </row>
    <row r="64" spans="1:8" ht="16.5" thickBot="1" x14ac:dyDescent="0.25">
      <c r="A64" s="438" t="s">
        <v>291</v>
      </c>
      <c r="B64" s="439">
        <f>SUM(B51:B63)</f>
        <v>37331.74</v>
      </c>
      <c r="C64" s="439">
        <f>SUM(C51:C63)</f>
        <v>44785.08</v>
      </c>
      <c r="D64" s="439">
        <f>SUM(D51:D63)</f>
        <v>45963.939999999988</v>
      </c>
      <c r="E64" s="439">
        <f>SUM(E51:E63)</f>
        <v>43883.54</v>
      </c>
      <c r="F64" s="439">
        <f>SUM(F51:F63)</f>
        <v>44409.409999999996</v>
      </c>
      <c r="G64" s="439">
        <f t="shared" ref="G64" si="5">SUM(G51:G63)</f>
        <v>33194.78</v>
      </c>
      <c r="H64" s="439">
        <f>SUM(H51:H63)</f>
        <v>-11214.63</v>
      </c>
    </row>
    <row r="65" spans="1:8" ht="15.75" x14ac:dyDescent="0.25">
      <c r="A65" s="444" t="s">
        <v>292</v>
      </c>
      <c r="B65" s="445">
        <f t="shared" ref="B65:H65" si="6">SUM(B9:B63)-B22-B36-B50</f>
        <v>139328.74</v>
      </c>
      <c r="C65" s="445">
        <f t="shared" si="6"/>
        <v>199253.05999999985</v>
      </c>
      <c r="D65" s="445">
        <f t="shared" si="6"/>
        <v>184010.66000000003</v>
      </c>
      <c r="E65" s="445">
        <f t="shared" si="6"/>
        <v>185097.12000000014</v>
      </c>
      <c r="F65" s="445">
        <f t="shared" si="6"/>
        <v>194384.88000000003</v>
      </c>
      <c r="G65" s="445">
        <f t="shared" si="6"/>
        <v>157031.36999999994</v>
      </c>
      <c r="H65" s="445">
        <f t="shared" si="6"/>
        <v>-37353.509999999995</v>
      </c>
    </row>
    <row r="66" spans="1:8" x14ac:dyDescent="0.2">
      <c r="A66" s="3" t="s">
        <v>293</v>
      </c>
      <c r="B66" s="446">
        <f t="shared" ref="B66:G66" si="7">AVERAGE(B9:B21)</f>
        <v>2043.7076923076925</v>
      </c>
      <c r="C66" s="447">
        <f t="shared" si="7"/>
        <v>3924.3692307692318</v>
      </c>
      <c r="D66" s="447">
        <f t="shared" si="7"/>
        <v>3374.6030769230765</v>
      </c>
      <c r="E66" s="447">
        <f t="shared" si="7"/>
        <v>3340.4923076923073</v>
      </c>
      <c r="F66" s="447">
        <f t="shared" si="7"/>
        <v>3902.6661538461535</v>
      </c>
      <c r="G66" s="446">
        <f t="shared" si="7"/>
        <v>2699.5315384615378</v>
      </c>
      <c r="H66" s="448">
        <f>G66-F66</f>
        <v>-1203.1346153846157</v>
      </c>
    </row>
    <row r="67" spans="1:8" x14ac:dyDescent="0.2">
      <c r="A67" s="3" t="s">
        <v>294</v>
      </c>
      <c r="B67" s="449">
        <f t="shared" ref="B67:G67" si="8">AVERAGE(B23:B35)</f>
        <v>3333.5307692307692</v>
      </c>
      <c r="C67" s="450">
        <f t="shared" si="8"/>
        <v>4248.3623076923086</v>
      </c>
      <c r="D67" s="450">
        <f t="shared" si="8"/>
        <v>3601.1915384615381</v>
      </c>
      <c r="E67" s="450">
        <f t="shared" si="8"/>
        <v>3980.5784615384619</v>
      </c>
      <c r="F67" s="450">
        <f t="shared" si="8"/>
        <v>3883.5507692307683</v>
      </c>
      <c r="G67" s="449">
        <f t="shared" si="8"/>
        <v>3755.3823076923081</v>
      </c>
      <c r="H67" s="451">
        <f>G67-F67</f>
        <v>-128.16846153846018</v>
      </c>
    </row>
    <row r="68" spans="1:8" x14ac:dyDescent="0.2">
      <c r="A68" s="3" t="s">
        <v>295</v>
      </c>
      <c r="B68" s="449">
        <f t="shared" ref="B68:F68" si="9">AVERAGE(B37:B49)</f>
        <v>2468.6846153846154</v>
      </c>
      <c r="C68" s="450">
        <f t="shared" si="9"/>
        <v>3709.4207692307691</v>
      </c>
      <c r="D68" s="450">
        <f t="shared" si="9"/>
        <v>3643.1838461538459</v>
      </c>
      <c r="E68" s="450">
        <f t="shared" si="9"/>
        <v>3541.5123076923078</v>
      </c>
      <c r="F68" s="450">
        <f t="shared" si="9"/>
        <v>3750.3576923076917</v>
      </c>
      <c r="G68" s="450">
        <f>AVERAGE(G37:G49)</f>
        <v>3070.9776923076925</v>
      </c>
      <c r="H68" s="451">
        <f>G68-F68</f>
        <v>-679.3799999999992</v>
      </c>
    </row>
    <row r="69" spans="1:8" x14ac:dyDescent="0.2">
      <c r="A69" s="3" t="s">
        <v>296</v>
      </c>
      <c r="B69" s="452">
        <f t="shared" ref="B69:G69" si="10">AVERAGE(B51:B63)</f>
        <v>2871.6723076923076</v>
      </c>
      <c r="C69" s="453">
        <f t="shared" si="10"/>
        <v>3445.0061538461541</v>
      </c>
      <c r="D69" s="453">
        <f t="shared" si="10"/>
        <v>3535.6876923076916</v>
      </c>
      <c r="E69" s="454">
        <f t="shared" si="10"/>
        <v>3375.6569230769232</v>
      </c>
      <c r="F69" s="454">
        <f t="shared" si="10"/>
        <v>3416.1084615384611</v>
      </c>
      <c r="G69" s="454">
        <f t="shared" si="10"/>
        <v>2553.4446153846152</v>
      </c>
      <c r="H69" s="455">
        <f>G69-F69</f>
        <v>-862.66384615384595</v>
      </c>
    </row>
    <row r="71" spans="1:8" x14ac:dyDescent="0.2">
      <c r="H71" s="244"/>
    </row>
    <row r="74" spans="1:8" x14ac:dyDescent="0.2">
      <c r="C74" s="21"/>
    </row>
    <row r="75" spans="1:8" x14ac:dyDescent="0.2">
      <c r="C75" s="21"/>
    </row>
  </sheetData>
  <mergeCells count="1">
    <mergeCell ref="A5:H5"/>
  </mergeCells>
  <pageMargins left="1.2" right="0.2" top="0.25" bottom="0.5" header="0.3" footer="0.3"/>
  <pageSetup scale="74"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M78"/>
  <sheetViews>
    <sheetView workbookViewId="0">
      <selection activeCell="J10" sqref="J10:J14"/>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3" style="177" customWidth="1"/>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46" t="s">
        <v>92</v>
      </c>
      <c r="B1" s="47"/>
      <c r="C1" s="48"/>
      <c r="D1" s="48"/>
      <c r="E1" s="48"/>
      <c r="F1" s="47"/>
      <c r="G1" s="178"/>
      <c r="H1" s="47"/>
      <c r="I1" s="47"/>
    </row>
    <row r="2" spans="1:143" ht="22.5" customHeight="1" x14ac:dyDescent="0.4">
      <c r="A2" s="46" t="s">
        <v>261</v>
      </c>
      <c r="B2" s="47"/>
      <c r="C2" s="48"/>
      <c r="D2" s="48"/>
      <c r="E2" s="48"/>
      <c r="F2" s="47"/>
      <c r="G2" s="178"/>
      <c r="H2" s="47"/>
      <c r="I2" s="47"/>
    </row>
    <row r="3" spans="1:143" ht="22.5" hidden="1" customHeight="1" x14ac:dyDescent="0.4">
      <c r="A3" s="46" t="s">
        <v>256</v>
      </c>
      <c r="B3" s="47"/>
      <c r="C3" s="48"/>
      <c r="D3" s="48"/>
      <c r="E3" s="48"/>
      <c r="F3" s="47"/>
      <c r="G3" s="178"/>
      <c r="H3" s="47"/>
      <c r="I3" s="47"/>
    </row>
    <row r="4" spans="1:143" ht="22.5" customHeight="1" x14ac:dyDescent="0.4">
      <c r="A4" s="46" t="s">
        <v>262</v>
      </c>
      <c r="B4" s="47"/>
      <c r="C4" s="48"/>
      <c r="D4" s="48"/>
      <c r="E4" s="48"/>
      <c r="F4" s="47"/>
      <c r="G4" s="178"/>
      <c r="H4" s="47"/>
      <c r="I4" s="47"/>
    </row>
    <row r="5" spans="1:143" s="50" customFormat="1" ht="5.25" customHeight="1" thickBot="1" x14ac:dyDescent="0.25">
      <c r="A5" s="49"/>
      <c r="B5" s="49"/>
      <c r="C5" s="49"/>
      <c r="D5" s="49"/>
      <c r="E5" s="49"/>
      <c r="F5" s="49"/>
      <c r="G5" s="179"/>
    </row>
    <row r="6" spans="1:143" s="53" customFormat="1" ht="24.75" customHeight="1" thickTop="1" thickBot="1" x14ac:dyDescent="0.25">
      <c r="A6" s="51"/>
      <c r="B6" s="51"/>
      <c r="C6" s="51"/>
      <c r="D6" s="51"/>
      <c r="E6" s="51"/>
      <c r="F6" s="51"/>
      <c r="G6" s="312" t="s">
        <v>48</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row>
    <row r="7" spans="1:143" s="55" customFormat="1" ht="8.25" customHeight="1" thickTop="1" x14ac:dyDescent="0.2">
      <c r="A7" s="54"/>
      <c r="B7" s="54"/>
      <c r="C7" s="54"/>
      <c r="D7" s="54"/>
      <c r="E7" s="54"/>
      <c r="F7" s="54"/>
      <c r="G7" s="180"/>
    </row>
    <row r="8" spans="1:143" ht="21" thickBot="1" x14ac:dyDescent="0.35">
      <c r="A8" s="56"/>
      <c r="B8" s="115" t="s">
        <v>98</v>
      </c>
      <c r="C8" s="115"/>
      <c r="D8" s="115"/>
      <c r="E8" s="115"/>
      <c r="F8" s="115"/>
      <c r="G8" s="217"/>
    </row>
    <row r="9" spans="1:143" s="55" customFormat="1" ht="20.25" x14ac:dyDescent="0.2">
      <c r="A9" s="54"/>
      <c r="B9" s="54"/>
      <c r="C9" s="58" t="s">
        <v>99</v>
      </c>
      <c r="D9" s="58"/>
      <c r="E9" s="58"/>
      <c r="F9" s="54"/>
      <c r="G9" s="189">
        <v>1015000</v>
      </c>
    </row>
    <row r="10" spans="1:143" s="55" customFormat="1" ht="20.25" x14ac:dyDescent="0.2">
      <c r="A10" s="54"/>
      <c r="B10" s="54"/>
      <c r="C10" s="58" t="s">
        <v>171</v>
      </c>
      <c r="D10" s="58"/>
      <c r="E10" s="58"/>
      <c r="F10" s="54"/>
      <c r="G10" s="180">
        <v>13000</v>
      </c>
    </row>
    <row r="11" spans="1:143" s="55" customFormat="1" ht="20.25" x14ac:dyDescent="0.2">
      <c r="A11" s="54"/>
      <c r="B11" s="54"/>
      <c r="C11" s="58" t="s">
        <v>148</v>
      </c>
      <c r="D11" s="58"/>
      <c r="E11" s="58"/>
      <c r="F11" s="54"/>
      <c r="G11" s="180">
        <v>195000</v>
      </c>
    </row>
    <row r="12" spans="1:143" s="55" customFormat="1" ht="20.25" x14ac:dyDescent="0.2">
      <c r="A12" s="54"/>
      <c r="B12" s="54"/>
      <c r="C12" s="58" t="s">
        <v>177</v>
      </c>
      <c r="D12" s="58"/>
      <c r="E12" s="58"/>
      <c r="F12" s="54"/>
      <c r="G12" s="180">
        <v>40000</v>
      </c>
    </row>
    <row r="13" spans="1:143" s="55" customFormat="1" ht="20.25" x14ac:dyDescent="0.2">
      <c r="A13" s="54"/>
      <c r="B13" s="54"/>
      <c r="C13" s="58" t="s">
        <v>100</v>
      </c>
      <c r="D13" s="58"/>
      <c r="E13" s="58"/>
      <c r="F13" s="54"/>
      <c r="G13" s="180"/>
    </row>
    <row r="14" spans="1:143" s="55" customFormat="1" ht="20.25" x14ac:dyDescent="0.2">
      <c r="A14" s="54"/>
      <c r="B14" s="54"/>
      <c r="D14" s="58" t="s">
        <v>137</v>
      </c>
      <c r="E14" s="58"/>
      <c r="F14" s="54"/>
      <c r="G14" s="180">
        <f>43900+41500+122000</f>
        <v>207400</v>
      </c>
    </row>
    <row r="15" spans="1:143" s="55" customFormat="1" ht="20.25" x14ac:dyDescent="0.2">
      <c r="A15" s="54"/>
      <c r="B15" s="54"/>
      <c r="D15" s="58" t="s">
        <v>157</v>
      </c>
      <c r="E15" s="58"/>
      <c r="F15" s="54"/>
      <c r="G15" s="180">
        <v>11000</v>
      </c>
    </row>
    <row r="16" spans="1:143" s="55" customFormat="1" ht="20.25" x14ac:dyDescent="0.2">
      <c r="A16" s="54"/>
      <c r="B16" s="54"/>
      <c r="C16" s="58" t="s">
        <v>101</v>
      </c>
      <c r="D16" s="58"/>
      <c r="E16" s="58"/>
      <c r="F16" s="54"/>
      <c r="G16" s="180">
        <v>9500</v>
      </c>
    </row>
    <row r="17" spans="1:7" s="55" customFormat="1" ht="20.25" x14ac:dyDescent="0.2">
      <c r="A17" s="54"/>
      <c r="B17" s="54"/>
      <c r="C17" s="58" t="s">
        <v>108</v>
      </c>
      <c r="D17" s="58"/>
      <c r="E17" s="58"/>
      <c r="F17" s="54"/>
      <c r="G17" s="180">
        <v>1000</v>
      </c>
    </row>
    <row r="18" spans="1:7" s="55" customFormat="1" ht="20.25" x14ac:dyDescent="0.2">
      <c r="A18" s="54"/>
      <c r="B18" s="54"/>
      <c r="C18" s="58" t="s">
        <v>235</v>
      </c>
      <c r="D18" s="58"/>
      <c r="E18" s="58"/>
      <c r="F18" s="54"/>
      <c r="G18" s="180">
        <v>3000</v>
      </c>
    </row>
    <row r="19" spans="1:7" s="55" customFormat="1" ht="20.25" x14ac:dyDescent="0.2">
      <c r="A19" s="54"/>
      <c r="B19" s="54"/>
      <c r="C19" s="58" t="s">
        <v>236</v>
      </c>
      <c r="D19" s="58"/>
      <c r="E19" s="58"/>
      <c r="F19" s="54"/>
      <c r="G19" s="180">
        <f>25000+8000+20000</f>
        <v>53000</v>
      </c>
    </row>
    <row r="20" spans="1:7" s="55" customFormat="1" ht="20.25" x14ac:dyDescent="0.2">
      <c r="A20" s="54"/>
      <c r="B20" s="54"/>
      <c r="C20" s="58" t="s">
        <v>143</v>
      </c>
      <c r="D20" s="58"/>
      <c r="E20" s="58"/>
      <c r="F20" s="54"/>
      <c r="G20" s="180">
        <v>500</v>
      </c>
    </row>
    <row r="21" spans="1:7" s="55" customFormat="1" ht="20.25" hidden="1" x14ac:dyDescent="0.2">
      <c r="A21" s="54"/>
      <c r="B21" s="54"/>
      <c r="C21" s="58" t="s">
        <v>162</v>
      </c>
      <c r="D21" s="58"/>
      <c r="E21" s="58"/>
      <c r="F21" s="54"/>
      <c r="G21" s="180"/>
    </row>
    <row r="22" spans="1:7" s="55" customFormat="1" ht="21" thickBot="1" x14ac:dyDescent="0.25">
      <c r="A22" s="54"/>
      <c r="B22" s="54"/>
      <c r="C22" s="58" t="s">
        <v>107</v>
      </c>
      <c r="D22" s="58"/>
      <c r="E22" s="58"/>
      <c r="F22" s="54"/>
      <c r="G22" s="187">
        <v>46575</v>
      </c>
    </row>
    <row r="23" spans="1:7" s="55" customFormat="1" ht="20.25" x14ac:dyDescent="0.2">
      <c r="A23" s="54"/>
      <c r="B23" s="54"/>
      <c r="C23" s="58"/>
      <c r="D23" s="54" t="s">
        <v>103</v>
      </c>
      <c r="E23" s="58"/>
      <c r="F23" s="54"/>
      <c r="G23" s="180">
        <f>SUM(G9:G22)</f>
        <v>1594975</v>
      </c>
    </row>
    <row r="24" spans="1:7" s="55" customFormat="1" ht="21" thickBot="1" x14ac:dyDescent="0.25">
      <c r="A24" s="54"/>
      <c r="B24" s="54"/>
      <c r="C24" s="54" t="s">
        <v>104</v>
      </c>
      <c r="D24" s="58"/>
      <c r="E24" s="58"/>
      <c r="F24" s="54"/>
      <c r="G24" s="187">
        <f>68000+18000</f>
        <v>86000</v>
      </c>
    </row>
    <row r="25" spans="1:7" s="55" customFormat="1" ht="20.25" x14ac:dyDescent="0.2">
      <c r="A25" s="54"/>
      <c r="B25" s="54"/>
      <c r="C25" s="58"/>
      <c r="D25" s="54" t="s">
        <v>105</v>
      </c>
      <c r="E25" s="58"/>
      <c r="F25" s="54"/>
      <c r="G25" s="180">
        <f>SUM(G23:G24)</f>
        <v>1680975</v>
      </c>
    </row>
    <row r="26" spans="1:7" s="55" customFormat="1" ht="6" customHeight="1" x14ac:dyDescent="0.2">
      <c r="A26" s="54"/>
      <c r="B26" s="54"/>
      <c r="C26" s="58"/>
      <c r="D26" s="54"/>
      <c r="E26" s="58"/>
      <c r="F26" s="54"/>
      <c r="G26" s="180"/>
    </row>
    <row r="27" spans="1:7" s="55" customFormat="1" ht="21" thickBot="1" x14ac:dyDescent="0.25">
      <c r="A27" s="54"/>
      <c r="B27" s="66" t="s">
        <v>109</v>
      </c>
      <c r="C27" s="66"/>
      <c r="D27" s="66"/>
      <c r="E27" s="66"/>
      <c r="F27" s="66"/>
      <c r="G27" s="187"/>
    </row>
    <row r="28" spans="1:7" s="55" customFormat="1" ht="20.25" x14ac:dyDescent="0.2">
      <c r="A28" s="54"/>
      <c r="B28" s="54"/>
      <c r="C28" s="58" t="s">
        <v>110</v>
      </c>
      <c r="D28" s="58"/>
      <c r="E28" s="58"/>
      <c r="F28" s="58"/>
      <c r="G28" s="180">
        <f>ROUND((898643.55+40000)*1.02,-2)</f>
        <v>957400</v>
      </c>
    </row>
    <row r="29" spans="1:7" s="55" customFormat="1" ht="20.25" x14ac:dyDescent="0.2">
      <c r="A29" s="54"/>
      <c r="B29" s="54"/>
      <c r="C29" s="58" t="s">
        <v>111</v>
      </c>
      <c r="D29" s="58"/>
      <c r="E29" s="58"/>
      <c r="F29" s="58"/>
      <c r="G29" s="180">
        <f>ROUNDUP(G28*0.195,-2)</f>
        <v>186700</v>
      </c>
    </row>
    <row r="30" spans="1:7" s="55" customFormat="1" ht="20.25" x14ac:dyDescent="0.2">
      <c r="A30" s="54"/>
      <c r="B30" s="54"/>
      <c r="C30" s="58" t="s">
        <v>112</v>
      </c>
      <c r="D30" s="58"/>
      <c r="E30" s="58"/>
      <c r="F30" s="58"/>
      <c r="G30" s="180">
        <f>48831-G22</f>
        <v>2256</v>
      </c>
    </row>
    <row r="31" spans="1:7" s="55" customFormat="1" ht="20.25" x14ac:dyDescent="0.2">
      <c r="A31" s="54"/>
      <c r="B31" s="54"/>
      <c r="C31" s="58" t="s">
        <v>102</v>
      </c>
      <c r="D31" s="58"/>
      <c r="E31" s="58"/>
      <c r="F31" s="58"/>
      <c r="G31" s="180">
        <f>G22</f>
        <v>46575</v>
      </c>
    </row>
    <row r="32" spans="1:7" s="55" customFormat="1" ht="20.25" x14ac:dyDescent="0.2">
      <c r="A32" s="54"/>
      <c r="B32" s="54"/>
      <c r="C32" s="58" t="s">
        <v>113</v>
      </c>
      <c r="D32" s="58"/>
      <c r="E32" s="58"/>
      <c r="F32" s="58"/>
      <c r="G32" s="180">
        <v>14000</v>
      </c>
    </row>
    <row r="33" spans="1:7" s="55" customFormat="1" ht="20.25" x14ac:dyDescent="0.2">
      <c r="A33" s="54"/>
      <c r="B33" s="54"/>
      <c r="C33" s="58" t="s">
        <v>114</v>
      </c>
      <c r="D33" s="58"/>
      <c r="E33" s="58"/>
      <c r="F33" s="58"/>
      <c r="G33" s="180">
        <v>3500</v>
      </c>
    </row>
    <row r="34" spans="1:7" s="55" customFormat="1" ht="20.25" x14ac:dyDescent="0.2">
      <c r="A34" s="54"/>
      <c r="B34" s="54"/>
      <c r="C34" s="58" t="s">
        <v>115</v>
      </c>
      <c r="D34" s="58"/>
      <c r="E34" s="58"/>
      <c r="F34" s="58"/>
      <c r="G34" s="180">
        <v>7000</v>
      </c>
    </row>
    <row r="35" spans="1:7" s="55" customFormat="1" ht="20.25" x14ac:dyDescent="0.2">
      <c r="A35" s="54"/>
      <c r="B35" s="54"/>
      <c r="C35" s="58" t="s">
        <v>116</v>
      </c>
      <c r="D35" s="58"/>
      <c r="E35" s="58"/>
      <c r="F35" s="58"/>
      <c r="G35" s="180">
        <v>13500</v>
      </c>
    </row>
    <row r="36" spans="1:7" s="55" customFormat="1" ht="20.25" x14ac:dyDescent="0.2">
      <c r="A36" s="54"/>
      <c r="B36" s="54"/>
      <c r="C36" s="58" t="s">
        <v>117</v>
      </c>
      <c r="D36" s="58"/>
      <c r="E36" s="58"/>
      <c r="F36" s="58"/>
      <c r="G36" s="180">
        <v>40000</v>
      </c>
    </row>
    <row r="37" spans="1:7" s="55" customFormat="1" ht="20.25" x14ac:dyDescent="0.2">
      <c r="A37" s="54"/>
      <c r="B37" s="54"/>
      <c r="C37" s="58" t="s">
        <v>118</v>
      </c>
      <c r="D37" s="58"/>
      <c r="E37" s="58"/>
      <c r="F37" s="58"/>
      <c r="G37" s="180">
        <v>6600</v>
      </c>
    </row>
    <row r="38" spans="1:7" s="55" customFormat="1" ht="20.25" x14ac:dyDescent="0.2">
      <c r="A38" s="54"/>
      <c r="B38" s="54"/>
      <c r="C38" s="58" t="s">
        <v>119</v>
      </c>
      <c r="D38" s="58"/>
      <c r="E38" s="58"/>
      <c r="F38" s="58"/>
      <c r="G38" s="180">
        <v>1500</v>
      </c>
    </row>
    <row r="39" spans="1:7" s="55" customFormat="1" ht="20.25" x14ac:dyDescent="0.2">
      <c r="A39" s="54"/>
      <c r="B39" s="54"/>
      <c r="C39" s="58" t="s">
        <v>164</v>
      </c>
      <c r="D39" s="58"/>
      <c r="E39" s="58"/>
      <c r="F39" s="58"/>
      <c r="G39" s="180">
        <v>13700</v>
      </c>
    </row>
    <row r="40" spans="1:7" s="55" customFormat="1" ht="20.25" x14ac:dyDescent="0.2">
      <c r="A40" s="58"/>
      <c r="B40" s="58"/>
      <c r="C40" s="58" t="s">
        <v>120</v>
      </c>
      <c r="D40" s="58"/>
      <c r="E40" s="58"/>
      <c r="F40" s="58"/>
      <c r="G40" s="180">
        <f>ROUNDUP(13248.87*1.05,-2)</f>
        <v>14000</v>
      </c>
    </row>
    <row r="41" spans="1:7" s="55" customFormat="1" ht="20.25" x14ac:dyDescent="0.2">
      <c r="A41" s="58"/>
      <c r="B41" s="58"/>
      <c r="C41" s="58" t="s">
        <v>121</v>
      </c>
      <c r="D41" s="58"/>
      <c r="E41" s="58"/>
      <c r="F41" s="58"/>
      <c r="G41" s="180">
        <f>ROUNDUP(12343.85*1.03,-2)</f>
        <v>12800</v>
      </c>
    </row>
    <row r="42" spans="1:7" s="55" customFormat="1" ht="20.25" x14ac:dyDescent="0.2">
      <c r="A42" s="58"/>
      <c r="B42" s="58"/>
      <c r="C42" s="58" t="s">
        <v>128</v>
      </c>
      <c r="D42" s="58"/>
      <c r="E42" s="58"/>
      <c r="F42" s="58"/>
      <c r="G42" s="180">
        <v>3000</v>
      </c>
    </row>
    <row r="43" spans="1:7" s="55" customFormat="1" ht="20.25" x14ac:dyDescent="0.2">
      <c r="A43" s="58"/>
      <c r="B43" s="58"/>
      <c r="C43" s="58" t="s">
        <v>122</v>
      </c>
      <c r="D43" s="58"/>
      <c r="E43" s="58"/>
      <c r="F43" s="58"/>
      <c r="G43" s="180">
        <f>ROUNDUP((3067.88+8008.83)*1.05,-2)</f>
        <v>11700</v>
      </c>
    </row>
    <row r="44" spans="1:7" s="55" customFormat="1" ht="20.25" x14ac:dyDescent="0.2">
      <c r="A44" s="54"/>
      <c r="B44" s="54"/>
      <c r="C44" s="58" t="s">
        <v>197</v>
      </c>
      <c r="D44" s="58"/>
      <c r="E44" s="58"/>
      <c r="F44" s="58"/>
      <c r="G44" s="180">
        <v>17000</v>
      </c>
    </row>
    <row r="45" spans="1:7" s="55" customFormat="1" ht="20.25" x14ac:dyDescent="0.2">
      <c r="A45" s="58"/>
      <c r="B45" s="58"/>
      <c r="C45" s="58" t="s">
        <v>123</v>
      </c>
      <c r="D45" s="58"/>
      <c r="E45" s="58"/>
      <c r="F45" s="58"/>
      <c r="G45" s="180">
        <v>41000</v>
      </c>
    </row>
    <row r="46" spans="1:7" s="55" customFormat="1" ht="20.25" x14ac:dyDescent="0.2">
      <c r="A46" s="58"/>
      <c r="B46" s="58"/>
      <c r="C46" s="58" t="s">
        <v>124</v>
      </c>
      <c r="D46" s="58"/>
      <c r="E46" s="58"/>
      <c r="F46" s="58"/>
      <c r="G46" s="180">
        <f>ROUNDUP((1800+4675.64+34905.29+1033.01-10000-2673-17150-1033+14000)*1.01,-2)</f>
        <v>25900</v>
      </c>
    </row>
    <row r="47" spans="1:7" s="55" customFormat="1" ht="20.25" x14ac:dyDescent="0.2">
      <c r="A47" s="58"/>
      <c r="B47" s="58"/>
      <c r="C47" s="58" t="s">
        <v>165</v>
      </c>
      <c r="D47" s="58"/>
      <c r="E47" s="58"/>
      <c r="F47" s="58"/>
      <c r="G47" s="180">
        <v>36000</v>
      </c>
    </row>
    <row r="48" spans="1:7" s="55" customFormat="1" ht="20.25" x14ac:dyDescent="0.2">
      <c r="A48" s="58"/>
      <c r="B48" s="58"/>
      <c r="C48" s="58" t="s">
        <v>163</v>
      </c>
      <c r="D48" s="58"/>
      <c r="E48" s="58"/>
      <c r="F48" s="58"/>
      <c r="G48" s="180">
        <f>ROUNDUP(46266.27*1.02,-2)</f>
        <v>47200</v>
      </c>
    </row>
    <row r="49" spans="1:7" s="55" customFormat="1" ht="20.25" x14ac:dyDescent="0.2">
      <c r="A49" s="58"/>
      <c r="B49" s="58"/>
      <c r="C49" s="58" t="s">
        <v>125</v>
      </c>
      <c r="D49" s="58"/>
      <c r="E49" s="58"/>
      <c r="F49" s="58"/>
      <c r="G49" s="180">
        <f>ROUND((2604.31+166143.24-12000)*1.01,-2)</f>
        <v>158300</v>
      </c>
    </row>
    <row r="50" spans="1:7" s="55" customFormat="1" ht="20.25" hidden="1" x14ac:dyDescent="0.2">
      <c r="A50" s="58"/>
      <c r="B50" s="58"/>
      <c r="C50" s="58" t="s">
        <v>257</v>
      </c>
      <c r="D50" s="58"/>
      <c r="E50" s="58"/>
      <c r="F50" s="58"/>
      <c r="G50" s="180"/>
    </row>
    <row r="51" spans="1:7" s="55" customFormat="1" ht="20.25" x14ac:dyDescent="0.2">
      <c r="A51" s="54"/>
      <c r="B51" s="54"/>
      <c r="C51" s="54"/>
      <c r="D51" s="54" t="s">
        <v>126</v>
      </c>
      <c r="E51" s="54"/>
      <c r="F51" s="54"/>
      <c r="G51" s="183">
        <f>SUM(G28:G50)</f>
        <v>1659631</v>
      </c>
    </row>
    <row r="52" spans="1:7" s="55" customFormat="1" ht="10.5" customHeight="1" thickBot="1" x14ac:dyDescent="0.25">
      <c r="A52" s="54"/>
      <c r="B52" s="54"/>
      <c r="C52" s="54"/>
      <c r="D52" s="54"/>
      <c r="E52" s="54"/>
      <c r="F52" s="54"/>
      <c r="G52" s="187"/>
    </row>
    <row r="53" spans="1:7" s="55" customFormat="1" ht="21" thickBot="1" x14ac:dyDescent="0.25">
      <c r="A53" s="54"/>
      <c r="B53" s="54"/>
      <c r="C53" s="54"/>
      <c r="D53" s="54" t="s">
        <v>127</v>
      </c>
      <c r="E53" s="54"/>
      <c r="F53" s="54"/>
      <c r="G53" s="187">
        <f>G25-G51</f>
        <v>21344</v>
      </c>
    </row>
    <row r="54" spans="1:7" s="55" customFormat="1" ht="11.25" customHeight="1" x14ac:dyDescent="0.2">
      <c r="A54" s="54"/>
      <c r="B54" s="54"/>
      <c r="C54" s="54"/>
      <c r="D54" s="54"/>
      <c r="E54" s="54"/>
      <c r="F54" s="54"/>
      <c r="G54" s="180"/>
    </row>
    <row r="55" spans="1:7" s="55" customFormat="1" ht="20.25" x14ac:dyDescent="0.2">
      <c r="A55" s="58"/>
      <c r="B55" s="58"/>
      <c r="C55" s="58"/>
      <c r="D55" s="58"/>
      <c r="F55" s="58"/>
      <c r="G55" s="189"/>
    </row>
    <row r="56" spans="1:7" s="55" customFormat="1" ht="20.25" x14ac:dyDescent="0.2">
      <c r="A56" s="58"/>
      <c r="B56" s="58"/>
      <c r="C56" s="58"/>
      <c r="D56" s="58"/>
      <c r="F56" s="58"/>
      <c r="G56" s="180"/>
    </row>
    <row r="57" spans="1:7" s="55" customFormat="1" ht="20.25" x14ac:dyDescent="0.2">
      <c r="A57" s="58"/>
      <c r="B57" s="58"/>
      <c r="C57" s="58"/>
      <c r="D57" s="58"/>
      <c r="F57" s="58"/>
      <c r="G57" s="180"/>
    </row>
    <row r="58" spans="1:7" s="55" customFormat="1" ht="20.25" x14ac:dyDescent="0.2">
      <c r="A58" s="58"/>
      <c r="B58" s="58"/>
      <c r="C58" s="58"/>
      <c r="D58" s="58"/>
      <c r="F58" s="58"/>
      <c r="G58" s="180"/>
    </row>
    <row r="59" spans="1:7" s="55" customFormat="1" ht="20.25" x14ac:dyDescent="0.2">
      <c r="A59" s="58"/>
      <c r="B59" s="58"/>
      <c r="C59" s="58"/>
      <c r="D59" s="58"/>
      <c r="F59" s="58"/>
      <c r="G59" s="180"/>
    </row>
    <row r="60" spans="1:7" s="55" customFormat="1" ht="20.25" x14ac:dyDescent="0.2">
      <c r="A60" s="58"/>
      <c r="B60" s="58"/>
      <c r="C60" s="58"/>
      <c r="D60" s="58"/>
      <c r="F60" s="58"/>
      <c r="G60" s="180"/>
    </row>
    <row r="61" spans="1:7" s="55" customFormat="1" ht="20.25" x14ac:dyDescent="0.2">
      <c r="A61" s="58"/>
      <c r="B61" s="58"/>
      <c r="C61" s="54"/>
      <c r="D61" s="58"/>
      <c r="F61" s="58"/>
      <c r="G61" s="180"/>
    </row>
    <row r="62" spans="1:7" s="55" customFormat="1" ht="20.25" x14ac:dyDescent="0.2">
      <c r="A62" s="58"/>
      <c r="B62" s="58"/>
      <c r="C62" s="58"/>
      <c r="D62" s="58"/>
      <c r="E62" s="58"/>
      <c r="F62" s="58"/>
      <c r="G62" s="180"/>
    </row>
    <row r="63" spans="1:7" s="55" customFormat="1" ht="20.25" x14ac:dyDescent="0.2">
      <c r="A63" s="58"/>
      <c r="B63" s="58"/>
      <c r="C63" s="54"/>
      <c r="D63" s="54"/>
      <c r="G63" s="180"/>
    </row>
    <row r="64" spans="1:7" s="55" customFormat="1" ht="20.25" x14ac:dyDescent="0.2">
      <c r="A64" s="58"/>
      <c r="B64" s="58"/>
      <c r="C64" s="58"/>
      <c r="D64" s="58"/>
      <c r="E64" s="58"/>
      <c r="F64" s="58"/>
      <c r="G64" s="180"/>
    </row>
    <row r="65" spans="1:7" s="55" customFormat="1" ht="20.25" x14ac:dyDescent="0.2">
      <c r="A65" s="58"/>
      <c r="B65" s="58"/>
      <c r="C65" s="58"/>
      <c r="D65" s="58"/>
      <c r="E65" s="58"/>
      <c r="F65" s="58"/>
      <c r="G65" s="180"/>
    </row>
    <row r="66" spans="1:7" s="55" customFormat="1" ht="20.25" x14ac:dyDescent="0.2">
      <c r="A66" s="58"/>
      <c r="B66" s="58"/>
      <c r="C66" s="58"/>
      <c r="D66" s="58"/>
      <c r="E66" s="58"/>
      <c r="F66" s="58"/>
      <c r="G66" s="180"/>
    </row>
    <row r="67" spans="1:7" s="55" customFormat="1" ht="20.25" x14ac:dyDescent="0.2">
      <c r="A67" s="58"/>
      <c r="B67" s="58"/>
      <c r="C67" s="58"/>
      <c r="D67" s="58"/>
      <c r="E67" s="58"/>
      <c r="F67" s="58"/>
      <c r="G67" s="180"/>
    </row>
    <row r="68" spans="1:7" s="55" customFormat="1" ht="20.25" x14ac:dyDescent="0.2">
      <c r="A68" s="58"/>
      <c r="B68" s="58"/>
      <c r="C68" s="54"/>
      <c r="D68" s="58"/>
      <c r="F68" s="58"/>
      <c r="G68" s="180"/>
    </row>
    <row r="69" spans="1:7" s="55" customFormat="1" ht="20.25" x14ac:dyDescent="0.2">
      <c r="A69" s="58"/>
      <c r="B69" s="58"/>
      <c r="C69" s="58"/>
      <c r="D69" s="58"/>
      <c r="E69" s="58"/>
      <c r="F69" s="58"/>
      <c r="G69" s="180"/>
    </row>
    <row r="70" spans="1:7" s="55" customFormat="1" ht="20.25" x14ac:dyDescent="0.2">
      <c r="A70" s="54"/>
      <c r="B70" s="54"/>
      <c r="C70" s="54"/>
      <c r="D70" s="54"/>
      <c r="E70" s="54"/>
      <c r="F70" s="54"/>
      <c r="G70" s="183"/>
    </row>
    <row r="71" spans="1:7" s="55" customFormat="1" ht="20.25" x14ac:dyDescent="0.2">
      <c r="A71" s="54"/>
      <c r="B71" s="54"/>
      <c r="C71" s="54"/>
      <c r="D71" s="54"/>
      <c r="E71" s="54"/>
      <c r="F71" s="54"/>
      <c r="G71" s="183"/>
    </row>
    <row r="72" spans="1:7" s="55" customFormat="1" ht="23.25" x14ac:dyDescent="0.2">
      <c r="A72" s="54"/>
      <c r="B72" s="209"/>
      <c r="C72" s="54"/>
      <c r="D72" s="54"/>
      <c r="E72" s="54"/>
      <c r="F72" s="54"/>
      <c r="G72" s="180"/>
    </row>
    <row r="73" spans="1:7" s="55" customFormat="1" ht="20.25" x14ac:dyDescent="0.2">
      <c r="A73" s="58"/>
      <c r="B73" s="58"/>
      <c r="D73" s="58"/>
      <c r="E73" s="58"/>
      <c r="F73" s="58"/>
      <c r="G73" s="180"/>
    </row>
    <row r="74" spans="1:7" s="55" customFormat="1" ht="20.25" x14ac:dyDescent="0.2">
      <c r="A74" s="58"/>
      <c r="B74" s="58"/>
      <c r="D74" s="58"/>
      <c r="E74" s="58"/>
      <c r="F74" s="58"/>
      <c r="G74" s="180"/>
    </row>
    <row r="75" spans="1:7" s="55" customFormat="1" ht="20.25" x14ac:dyDescent="0.2">
      <c r="A75" s="54"/>
      <c r="B75" s="54"/>
      <c r="D75" s="58"/>
      <c r="E75" s="54"/>
      <c r="F75" s="54"/>
      <c r="G75" s="180"/>
    </row>
    <row r="76" spans="1:7" s="55" customFormat="1" ht="23.25" x14ac:dyDescent="0.2">
      <c r="A76" s="54"/>
      <c r="B76" s="209"/>
      <c r="C76" s="54"/>
      <c r="D76" s="54"/>
      <c r="E76" s="54"/>
      <c r="F76" s="54"/>
      <c r="G76" s="183"/>
    </row>
    <row r="77" spans="1:7" s="55" customFormat="1" ht="20.25" x14ac:dyDescent="0.2">
      <c r="A77" s="54"/>
      <c r="B77" s="54"/>
      <c r="C77" s="54"/>
      <c r="D77" s="54"/>
      <c r="E77" s="54"/>
      <c r="F77" s="54"/>
      <c r="G77" s="180"/>
    </row>
    <row r="78" spans="1:7" s="62" customFormat="1" ht="26.25" x14ac:dyDescent="0.2">
      <c r="A78" s="206"/>
      <c r="B78" s="206"/>
      <c r="C78" s="206"/>
      <c r="D78" s="206"/>
      <c r="E78" s="206"/>
      <c r="F78" s="206"/>
      <c r="G78" s="207"/>
    </row>
  </sheetData>
  <pageMargins left="0.45" right="0.45" top="0.5" bottom="0.5" header="0.3" footer="0.3"/>
  <pageSetup scale="7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45"/>
  <sheetViews>
    <sheetView zoomScale="75" zoomScaleNormal="75" workbookViewId="0">
      <selection activeCell="M38" sqref="M38"/>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9" width="23.375" bestFit="1" customWidth="1"/>
    <col min="10" max="22" width="18" bestFit="1" customWidth="1"/>
    <col min="23" max="23" width="16.875" bestFit="1" customWidth="1"/>
  </cols>
  <sheetData>
    <row r="1" spans="1:23" ht="26.25" x14ac:dyDescent="0.4">
      <c r="A1" s="46" t="s">
        <v>92</v>
      </c>
      <c r="B1" s="47"/>
      <c r="C1" s="48"/>
      <c r="D1" s="48"/>
      <c r="E1" s="48"/>
      <c r="F1" s="47"/>
      <c r="G1" s="47"/>
    </row>
    <row r="2" spans="1:23" ht="26.25" x14ac:dyDescent="0.4">
      <c r="A2" s="46" t="s">
        <v>180</v>
      </c>
      <c r="B2" s="47"/>
      <c r="C2" s="48"/>
      <c r="D2" s="48"/>
      <c r="E2" s="48"/>
      <c r="F2" s="47"/>
      <c r="G2" s="47"/>
    </row>
    <row r="3" spans="1:23" ht="11.25" customHeight="1" thickBot="1" x14ac:dyDescent="0.25">
      <c r="A3" s="49"/>
      <c r="B3" s="49"/>
      <c r="C3" s="49"/>
      <c r="D3" s="49"/>
      <c r="E3" s="49"/>
      <c r="F3" s="49"/>
      <c r="G3" s="255"/>
    </row>
    <row r="4" spans="1:23" ht="27.75" thickTop="1" thickBot="1" x14ac:dyDescent="0.25">
      <c r="A4" s="51"/>
      <c r="B4" s="51"/>
      <c r="C4" s="51"/>
      <c r="D4" s="51" t="s">
        <v>47</v>
      </c>
      <c r="E4" s="51"/>
      <c r="F4" s="51"/>
      <c r="G4" s="312" t="s">
        <v>48</v>
      </c>
      <c r="H4" s="312"/>
      <c r="I4" s="312"/>
      <c r="J4" s="312"/>
      <c r="K4" s="312"/>
      <c r="L4" s="312"/>
      <c r="M4" s="312"/>
      <c r="N4" s="312"/>
      <c r="O4" s="312"/>
      <c r="P4" s="312"/>
      <c r="Q4" s="312"/>
      <c r="R4" s="312"/>
      <c r="S4" s="312"/>
      <c r="T4" s="312"/>
      <c r="U4" s="312"/>
      <c r="V4" s="312"/>
      <c r="W4" s="312"/>
    </row>
    <row r="5" spans="1:23" ht="21" thickTop="1" x14ac:dyDescent="0.2">
      <c r="A5" s="54"/>
      <c r="B5" s="54"/>
      <c r="C5" s="54"/>
      <c r="D5" s="54"/>
      <c r="E5" s="54"/>
      <c r="F5" s="54"/>
      <c r="G5" s="55"/>
      <c r="H5" s="55"/>
      <c r="I5" s="55"/>
      <c r="J5" s="55"/>
      <c r="K5" s="55"/>
      <c r="L5" s="55"/>
      <c r="M5" s="55"/>
      <c r="N5" s="55"/>
      <c r="O5" s="55"/>
      <c r="P5" s="55"/>
      <c r="Q5" s="55"/>
      <c r="R5" s="55"/>
      <c r="S5" s="55"/>
      <c r="T5" s="55"/>
      <c r="U5" s="55"/>
      <c r="V5" s="55"/>
      <c r="W5" s="55"/>
    </row>
    <row r="6" spans="1:23" ht="21" customHeight="1" thickBot="1" x14ac:dyDescent="0.35">
      <c r="A6" s="314"/>
      <c r="B6" s="870" t="s">
        <v>181</v>
      </c>
      <c r="C6" s="870"/>
      <c r="D6" s="870"/>
      <c r="E6" s="870"/>
      <c r="F6" s="870"/>
      <c r="G6" s="315">
        <v>42004</v>
      </c>
      <c r="H6" s="315">
        <v>41639</v>
      </c>
      <c r="I6" s="315">
        <v>41274</v>
      </c>
      <c r="J6" s="315">
        <v>41090</v>
      </c>
      <c r="K6" s="315">
        <v>40724</v>
      </c>
      <c r="L6" s="315">
        <v>40359</v>
      </c>
      <c r="M6" s="315">
        <v>39994</v>
      </c>
      <c r="N6" s="315">
        <v>39629</v>
      </c>
      <c r="O6" s="315">
        <v>39263</v>
      </c>
      <c r="P6" s="315">
        <v>38898</v>
      </c>
      <c r="Q6" s="315">
        <v>38533</v>
      </c>
      <c r="R6" s="315">
        <v>38168</v>
      </c>
      <c r="S6" s="315">
        <v>37802</v>
      </c>
      <c r="T6" s="315">
        <v>37437</v>
      </c>
      <c r="U6" s="315">
        <v>37072</v>
      </c>
      <c r="V6" s="315">
        <v>36707</v>
      </c>
      <c r="W6" s="315">
        <v>36341</v>
      </c>
    </row>
    <row r="7" spans="1:23" ht="20.25" x14ac:dyDescent="0.2">
      <c r="A7" s="54"/>
      <c r="B7" s="54"/>
      <c r="C7" s="54"/>
      <c r="D7" s="54"/>
      <c r="E7" s="54"/>
      <c r="F7" s="54"/>
      <c r="G7" s="55"/>
      <c r="H7" s="55"/>
      <c r="I7" s="55"/>
      <c r="J7" s="55"/>
      <c r="K7" s="55"/>
      <c r="L7" s="55"/>
      <c r="M7" s="55"/>
      <c r="N7" s="55"/>
      <c r="O7" s="55"/>
      <c r="P7" s="55"/>
      <c r="Q7" s="55"/>
      <c r="R7" s="55"/>
      <c r="S7" s="55"/>
      <c r="T7" s="55"/>
      <c r="U7" s="55"/>
      <c r="V7" s="55"/>
      <c r="W7" s="55"/>
    </row>
    <row r="8" spans="1:23" ht="20.25" x14ac:dyDescent="0.2">
      <c r="A8" s="54"/>
      <c r="B8" s="54"/>
      <c r="C8" s="54" t="s">
        <v>182</v>
      </c>
      <c r="D8" s="54"/>
      <c r="E8" s="54"/>
      <c r="F8" s="54"/>
      <c r="G8" s="189">
        <v>333525.67</v>
      </c>
      <c r="H8" s="189">
        <v>210919</v>
      </c>
      <c r="I8" s="189">
        <v>214148</v>
      </c>
      <c r="J8" s="189">
        <v>156809</v>
      </c>
      <c r="K8" s="189">
        <v>240314</v>
      </c>
      <c r="L8" s="189">
        <v>142815</v>
      </c>
      <c r="M8" s="189">
        <v>82502</v>
      </c>
      <c r="N8" s="189">
        <v>45758</v>
      </c>
      <c r="O8" s="189">
        <v>105458</v>
      </c>
      <c r="P8" s="189">
        <v>29475</v>
      </c>
      <c r="Q8" s="189">
        <v>22537</v>
      </c>
      <c r="R8" s="189">
        <v>42935</v>
      </c>
      <c r="S8" s="189">
        <v>144393</v>
      </c>
      <c r="T8" s="189">
        <v>42414</v>
      </c>
      <c r="U8" s="189">
        <f>69880+9123</f>
        <v>79003</v>
      </c>
      <c r="V8" s="189">
        <v>92767</v>
      </c>
      <c r="W8" s="189">
        <v>13150</v>
      </c>
    </row>
    <row r="9" spans="1:23" ht="20.25" x14ac:dyDescent="0.2">
      <c r="A9" s="58"/>
      <c r="B9" s="58"/>
      <c r="C9" s="54" t="s">
        <v>183</v>
      </c>
      <c r="D9" s="58"/>
      <c r="E9" s="58"/>
      <c r="F9" s="58"/>
      <c r="G9" s="216">
        <v>247907.12</v>
      </c>
      <c r="H9" s="216">
        <v>311775</v>
      </c>
      <c r="I9" s="216">
        <v>243797</v>
      </c>
      <c r="J9" s="216">
        <v>347870</v>
      </c>
      <c r="K9" s="216">
        <v>298266</v>
      </c>
      <c r="L9" s="216">
        <v>296605</v>
      </c>
      <c r="M9" s="216">
        <v>349918</v>
      </c>
      <c r="N9" s="216">
        <v>366842</v>
      </c>
      <c r="O9" s="216">
        <v>209667</v>
      </c>
      <c r="P9" s="216">
        <v>234735</v>
      </c>
      <c r="Q9" s="216">
        <v>254712</v>
      </c>
      <c r="R9" s="216">
        <v>250225</v>
      </c>
      <c r="S9" s="216">
        <v>85795</v>
      </c>
      <c r="T9" s="216">
        <v>185461</v>
      </c>
      <c r="U9" s="216">
        <v>99322</v>
      </c>
      <c r="V9" s="216">
        <v>80619</v>
      </c>
      <c r="W9" s="216">
        <v>49127</v>
      </c>
    </row>
    <row r="10" spans="1:23" ht="20.25" x14ac:dyDescent="0.2">
      <c r="A10" s="58"/>
      <c r="B10" s="58"/>
      <c r="C10" s="871" t="s">
        <v>158</v>
      </c>
      <c r="D10" s="871"/>
      <c r="E10" s="871"/>
      <c r="F10" s="871"/>
      <c r="G10" s="216">
        <v>0</v>
      </c>
      <c r="H10" s="216">
        <v>5142</v>
      </c>
      <c r="I10" s="216"/>
      <c r="J10" s="216"/>
      <c r="K10" s="216"/>
      <c r="L10" s="216"/>
      <c r="M10" s="216"/>
      <c r="N10" s="216"/>
      <c r="O10" s="216"/>
      <c r="P10" s="216"/>
      <c r="Q10" s="216"/>
      <c r="R10" s="216">
        <v>23</v>
      </c>
      <c r="S10" s="216">
        <v>4823</v>
      </c>
      <c r="T10" s="216">
        <v>6130</v>
      </c>
      <c r="U10" s="216">
        <v>19833</v>
      </c>
      <c r="V10" s="216"/>
      <c r="W10" s="216"/>
    </row>
    <row r="11" spans="1:23" ht="20.25" x14ac:dyDescent="0.2">
      <c r="A11" s="58"/>
      <c r="B11" s="58"/>
      <c r="C11" s="54" t="s">
        <v>184</v>
      </c>
      <c r="D11" s="58"/>
      <c r="E11" s="58"/>
      <c r="F11" s="58"/>
      <c r="G11" s="180">
        <v>31129.64</v>
      </c>
      <c r="H11" s="180">
        <v>30012</v>
      </c>
      <c r="I11" s="180">
        <v>30964</v>
      </c>
      <c r="J11" s="180">
        <v>30506</v>
      </c>
      <c r="K11" s="180">
        <v>28900</v>
      </c>
      <c r="L11" s="180">
        <v>28036</v>
      </c>
      <c r="M11" s="180"/>
      <c r="N11" s="180"/>
      <c r="O11" s="180"/>
      <c r="P11" s="180"/>
      <c r="Q11" s="180"/>
      <c r="R11" s="180"/>
      <c r="S11" s="180"/>
      <c r="T11" s="180"/>
      <c r="U11" s="180"/>
      <c r="V11" s="180"/>
      <c r="W11" s="180"/>
    </row>
    <row r="12" spans="1:23" ht="20.25" x14ac:dyDescent="0.2">
      <c r="A12" s="58"/>
      <c r="B12" s="58"/>
      <c r="C12" s="54" t="s">
        <v>155</v>
      </c>
      <c r="D12" s="59"/>
      <c r="E12" s="59"/>
      <c r="F12" s="59"/>
      <c r="G12" s="182">
        <v>5968.8799999999992</v>
      </c>
      <c r="H12" s="182">
        <v>4730</v>
      </c>
      <c r="I12" s="182">
        <v>3598</v>
      </c>
      <c r="J12" s="182">
        <f>1663+577</f>
        <v>2240</v>
      </c>
      <c r="K12" s="182">
        <f>5202</f>
        <v>5202</v>
      </c>
      <c r="L12" s="182">
        <v>1840</v>
      </c>
      <c r="M12" s="182">
        <v>1427</v>
      </c>
      <c r="N12" s="182">
        <v>360</v>
      </c>
      <c r="O12" s="182">
        <v>312</v>
      </c>
      <c r="P12" s="182"/>
      <c r="Q12" s="182">
        <v>5593</v>
      </c>
      <c r="R12" s="182">
        <v>3952</v>
      </c>
      <c r="S12" s="182">
        <v>13154</v>
      </c>
      <c r="T12" s="182">
        <v>2441</v>
      </c>
      <c r="U12" s="182"/>
      <c r="V12" s="182"/>
      <c r="W12" s="182"/>
    </row>
    <row r="13" spans="1:23" ht="20.25" x14ac:dyDescent="0.2">
      <c r="A13" s="54"/>
      <c r="B13" s="54"/>
      <c r="C13" s="54" t="s">
        <v>55</v>
      </c>
      <c r="D13" s="54"/>
      <c r="E13" s="54"/>
      <c r="F13" s="54"/>
      <c r="G13" s="183">
        <f>SUM(G8:G12)</f>
        <v>618531.31000000006</v>
      </c>
      <c r="H13" s="183">
        <f>SUM(H8:H12)</f>
        <v>562578</v>
      </c>
      <c r="I13" s="183">
        <f>SUM(I8:I12)</f>
        <v>492507</v>
      </c>
      <c r="J13" s="183">
        <f>SUM(J8:J12)</f>
        <v>537425</v>
      </c>
      <c r="K13" s="183">
        <f>SUM(K8:K12)</f>
        <v>572682</v>
      </c>
      <c r="L13" s="183">
        <f t="shared" ref="L13:W13" si="0">SUM(L8:L12)</f>
        <v>469296</v>
      </c>
      <c r="M13" s="183">
        <f t="shared" si="0"/>
        <v>433847</v>
      </c>
      <c r="N13" s="183">
        <f t="shared" si="0"/>
        <v>412960</v>
      </c>
      <c r="O13" s="183">
        <f t="shared" si="0"/>
        <v>315437</v>
      </c>
      <c r="P13" s="183">
        <f t="shared" si="0"/>
        <v>264210</v>
      </c>
      <c r="Q13" s="183">
        <f t="shared" si="0"/>
        <v>282842</v>
      </c>
      <c r="R13" s="183">
        <f t="shared" si="0"/>
        <v>297135</v>
      </c>
      <c r="S13" s="183">
        <f t="shared" si="0"/>
        <v>248165</v>
      </c>
      <c r="T13" s="183">
        <f t="shared" si="0"/>
        <v>236446</v>
      </c>
      <c r="U13" s="183">
        <f t="shared" si="0"/>
        <v>198158</v>
      </c>
      <c r="V13" s="183">
        <f t="shared" si="0"/>
        <v>173386</v>
      </c>
      <c r="W13" s="183">
        <f t="shared" si="0"/>
        <v>62277</v>
      </c>
    </row>
    <row r="14" spans="1:23" ht="20.25" x14ac:dyDescent="0.2">
      <c r="A14" s="54"/>
      <c r="B14" s="54"/>
      <c r="C14" s="54"/>
      <c r="D14" s="54"/>
      <c r="E14" s="54"/>
      <c r="F14" s="54"/>
      <c r="G14" s="183"/>
      <c r="H14" s="183"/>
      <c r="I14" s="183"/>
      <c r="J14" s="183"/>
      <c r="K14" s="183"/>
      <c r="L14" s="183"/>
      <c r="M14" s="183"/>
      <c r="N14" s="183"/>
      <c r="O14" s="183"/>
      <c r="P14" s="183"/>
      <c r="Q14" s="183"/>
      <c r="R14" s="183"/>
      <c r="S14" s="183"/>
      <c r="T14" s="183"/>
      <c r="U14" s="183"/>
      <c r="V14" s="183"/>
      <c r="W14" s="183"/>
    </row>
    <row r="15" spans="1:23" ht="20.25" x14ac:dyDescent="0.3">
      <c r="A15" s="56"/>
      <c r="B15" s="56" t="s">
        <v>185</v>
      </c>
      <c r="C15" s="56"/>
      <c r="D15" s="56"/>
      <c r="E15" s="56"/>
      <c r="F15" s="56"/>
      <c r="G15" s="205"/>
      <c r="H15" s="205"/>
      <c r="I15" s="205"/>
      <c r="J15" s="205"/>
      <c r="K15" s="205"/>
      <c r="L15" s="205"/>
      <c r="M15" s="205"/>
      <c r="N15" s="205"/>
      <c r="O15" s="205"/>
      <c r="P15" s="205"/>
      <c r="Q15" s="205"/>
      <c r="R15" s="205"/>
      <c r="S15" s="205"/>
      <c r="T15" s="205"/>
      <c r="U15" s="205"/>
      <c r="V15" s="205"/>
      <c r="W15" s="205"/>
    </row>
    <row r="16" spans="1:23" ht="20.25" x14ac:dyDescent="0.3">
      <c r="A16" s="56"/>
      <c r="B16" s="56"/>
      <c r="C16" s="56"/>
      <c r="D16" s="56"/>
      <c r="E16" s="56"/>
      <c r="F16" s="56"/>
      <c r="G16" s="205">
        <v>121148.45000000001</v>
      </c>
      <c r="H16" s="205">
        <v>88948</v>
      </c>
      <c r="I16" s="205">
        <v>81381</v>
      </c>
      <c r="J16" s="205">
        <v>85951</v>
      </c>
      <c r="K16" s="205">
        <v>75213</v>
      </c>
      <c r="L16" s="205">
        <v>103757</v>
      </c>
      <c r="M16" s="205">
        <v>72661</v>
      </c>
      <c r="N16" s="205">
        <v>91918</v>
      </c>
      <c r="O16" s="205">
        <v>80411</v>
      </c>
      <c r="P16" s="205">
        <v>57354</v>
      </c>
      <c r="Q16" s="205">
        <v>59451</v>
      </c>
      <c r="R16" s="205">
        <v>70947</v>
      </c>
      <c r="S16" s="205">
        <v>80279</v>
      </c>
      <c r="T16" s="205">
        <v>84266</v>
      </c>
      <c r="U16" s="205">
        <v>45164</v>
      </c>
      <c r="V16" s="205">
        <v>15210</v>
      </c>
      <c r="W16" s="205">
        <v>15599</v>
      </c>
    </row>
    <row r="17" spans="1:23" ht="20.25" hidden="1" x14ac:dyDescent="0.2">
      <c r="A17" s="54"/>
      <c r="B17" s="54"/>
      <c r="C17" s="54"/>
      <c r="D17" s="54"/>
      <c r="E17" s="54"/>
      <c r="F17" s="54"/>
      <c r="G17" s="183"/>
      <c r="H17" s="183"/>
      <c r="I17" s="183"/>
      <c r="J17" s="183"/>
      <c r="K17" s="183"/>
      <c r="L17" s="183"/>
      <c r="M17" s="183"/>
      <c r="N17" s="183"/>
      <c r="O17" s="183"/>
      <c r="P17" s="183"/>
      <c r="Q17" s="183"/>
      <c r="R17" s="183"/>
      <c r="S17" s="183"/>
      <c r="T17" s="183"/>
      <c r="U17" s="183"/>
      <c r="V17" s="183"/>
      <c r="W17" s="183"/>
    </row>
    <row r="18" spans="1:23" ht="20.25" hidden="1" x14ac:dyDescent="0.2">
      <c r="A18" s="54"/>
      <c r="B18" s="54"/>
      <c r="C18" s="54"/>
      <c r="D18" s="54"/>
      <c r="E18" s="54"/>
      <c r="F18" s="54"/>
      <c r="G18" s="180"/>
      <c r="H18" s="180"/>
      <c r="I18" s="180"/>
      <c r="J18" s="180"/>
      <c r="K18" s="180"/>
      <c r="L18" s="180"/>
      <c r="M18" s="180"/>
      <c r="N18" s="180"/>
      <c r="O18" s="180"/>
      <c r="P18" s="180"/>
      <c r="Q18" s="180"/>
      <c r="R18" s="180"/>
      <c r="S18" s="180"/>
      <c r="T18" s="180"/>
      <c r="U18" s="180"/>
      <c r="V18" s="180"/>
      <c r="W18" s="180"/>
    </row>
    <row r="19" spans="1:23" ht="27" thickBot="1" x14ac:dyDescent="0.25">
      <c r="A19" s="61" t="s">
        <v>57</v>
      </c>
      <c r="B19" s="61"/>
      <c r="C19" s="61"/>
      <c r="D19" s="61"/>
      <c r="E19" s="61"/>
      <c r="F19" s="61"/>
      <c r="G19" s="190">
        <f>G13+G16</f>
        <v>739679.76</v>
      </c>
      <c r="H19" s="190">
        <f>H13+H16</f>
        <v>651526</v>
      </c>
      <c r="I19" s="190">
        <f>I13+I16</f>
        <v>573888</v>
      </c>
      <c r="J19" s="190">
        <f>J13+J16</f>
        <v>623376</v>
      </c>
      <c r="K19" s="190">
        <f>K13+K16</f>
        <v>647895</v>
      </c>
      <c r="L19" s="190">
        <f t="shared" ref="L19:W19" si="1">L13+L16</f>
        <v>573053</v>
      </c>
      <c r="M19" s="190">
        <f t="shared" si="1"/>
        <v>506508</v>
      </c>
      <c r="N19" s="190">
        <f t="shared" si="1"/>
        <v>504878</v>
      </c>
      <c r="O19" s="190">
        <f t="shared" si="1"/>
        <v>395848</v>
      </c>
      <c r="P19" s="190">
        <f t="shared" si="1"/>
        <v>321564</v>
      </c>
      <c r="Q19" s="190">
        <f t="shared" si="1"/>
        <v>342293</v>
      </c>
      <c r="R19" s="190">
        <f t="shared" si="1"/>
        <v>368082</v>
      </c>
      <c r="S19" s="190">
        <f t="shared" si="1"/>
        <v>328444</v>
      </c>
      <c r="T19" s="190">
        <f t="shared" si="1"/>
        <v>320712</v>
      </c>
      <c r="U19" s="190">
        <f t="shared" si="1"/>
        <v>243322</v>
      </c>
      <c r="V19" s="190">
        <f t="shared" si="1"/>
        <v>188596</v>
      </c>
      <c r="W19" s="190">
        <f t="shared" si="1"/>
        <v>77876</v>
      </c>
    </row>
    <row r="20" spans="1:23" ht="21.75" thickTop="1" thickBot="1" x14ac:dyDescent="0.25">
      <c r="A20" s="54"/>
      <c r="B20" s="54"/>
      <c r="C20" s="54"/>
      <c r="D20" s="54"/>
      <c r="E20" s="54"/>
      <c r="F20" s="54"/>
      <c r="G20" s="259"/>
      <c r="H20" s="259"/>
      <c r="I20" s="259"/>
      <c r="J20" s="259"/>
      <c r="K20" s="259"/>
      <c r="L20" s="259"/>
      <c r="M20" s="259"/>
      <c r="N20" s="259"/>
      <c r="O20" s="259"/>
      <c r="P20" s="259"/>
      <c r="Q20" s="259"/>
      <c r="R20" s="259"/>
      <c r="S20" s="259"/>
      <c r="T20" s="259"/>
      <c r="U20" s="259"/>
      <c r="V20" s="259"/>
      <c r="W20" s="259"/>
    </row>
    <row r="21" spans="1:23" ht="27.75" thickTop="1" thickBot="1" x14ac:dyDescent="0.25">
      <c r="A21" s="51"/>
      <c r="B21" s="51"/>
      <c r="C21" s="51"/>
      <c r="D21" s="51" t="s">
        <v>58</v>
      </c>
      <c r="E21" s="51"/>
      <c r="F21" s="51"/>
      <c r="G21" s="186"/>
      <c r="H21" s="186"/>
      <c r="I21" s="186"/>
      <c r="J21" s="186"/>
      <c r="K21" s="186"/>
      <c r="L21" s="186"/>
      <c r="M21" s="186"/>
      <c r="N21" s="186"/>
      <c r="O21" s="186"/>
      <c r="P21" s="186"/>
      <c r="Q21" s="186"/>
      <c r="R21" s="186"/>
      <c r="S21" s="186"/>
      <c r="T21" s="186"/>
      <c r="U21" s="186"/>
      <c r="V21" s="186"/>
      <c r="W21" s="186"/>
    </row>
    <row r="22" spans="1:23" ht="21" thickTop="1" x14ac:dyDescent="0.2">
      <c r="A22" s="54"/>
      <c r="B22" s="54"/>
      <c r="C22" s="54"/>
      <c r="D22" s="54"/>
      <c r="E22" s="54"/>
      <c r="F22" s="54"/>
      <c r="G22" s="180"/>
      <c r="H22" s="180"/>
      <c r="I22" s="180"/>
      <c r="J22" s="180"/>
      <c r="K22" s="180"/>
      <c r="L22" s="180"/>
      <c r="M22" s="180"/>
      <c r="N22" s="180"/>
      <c r="O22" s="180"/>
      <c r="P22" s="180"/>
      <c r="Q22" s="180"/>
      <c r="R22" s="180"/>
      <c r="S22" s="180"/>
      <c r="T22" s="180"/>
      <c r="U22" s="180"/>
      <c r="V22" s="180"/>
      <c r="W22" s="180"/>
    </row>
    <row r="23" spans="1:23" ht="24" hidden="1" thickBot="1" x14ac:dyDescent="0.25">
      <c r="A23" s="54"/>
      <c r="B23" s="65" t="s">
        <v>59</v>
      </c>
      <c r="C23" s="66"/>
      <c r="D23" s="66"/>
      <c r="E23" s="66"/>
      <c r="F23" s="66"/>
      <c r="G23" s="187"/>
      <c r="H23" s="187"/>
      <c r="I23" s="187"/>
      <c r="J23" s="187"/>
      <c r="K23" s="187"/>
      <c r="L23" s="187"/>
      <c r="M23" s="187"/>
      <c r="N23" s="187"/>
      <c r="O23" s="187"/>
      <c r="P23" s="187"/>
      <c r="Q23" s="187"/>
      <c r="R23" s="187"/>
      <c r="S23" s="187"/>
      <c r="T23" s="187"/>
      <c r="U23" s="187"/>
      <c r="V23" s="187"/>
      <c r="W23" s="187"/>
    </row>
    <row r="24" spans="1:23" ht="20.25" hidden="1" x14ac:dyDescent="0.2">
      <c r="A24" s="54"/>
      <c r="B24" s="54"/>
      <c r="C24" s="54"/>
      <c r="D24" s="54"/>
      <c r="E24" s="54"/>
      <c r="F24" s="54"/>
      <c r="G24" s="180"/>
      <c r="H24" s="180"/>
      <c r="I24" s="180"/>
      <c r="J24" s="180"/>
      <c r="K24" s="180"/>
      <c r="L24" s="180"/>
      <c r="M24" s="180"/>
      <c r="N24" s="180"/>
      <c r="O24" s="180"/>
      <c r="P24" s="180"/>
      <c r="Q24" s="180"/>
      <c r="R24" s="180"/>
      <c r="S24" s="180"/>
      <c r="T24" s="180"/>
      <c r="U24" s="180"/>
      <c r="V24" s="180"/>
      <c r="W24" s="180"/>
    </row>
    <row r="25" spans="1:23" ht="21" thickBot="1" x14ac:dyDescent="0.35">
      <c r="A25" s="56"/>
      <c r="B25" s="115" t="s">
        <v>186</v>
      </c>
      <c r="C25" s="116"/>
      <c r="D25" s="115"/>
      <c r="E25" s="115"/>
      <c r="F25" s="115"/>
      <c r="G25" s="181"/>
      <c r="H25" s="181"/>
      <c r="I25" s="181"/>
      <c r="J25" s="181"/>
      <c r="K25" s="181"/>
      <c r="L25" s="181"/>
      <c r="M25" s="181"/>
      <c r="N25" s="181"/>
      <c r="O25" s="181"/>
      <c r="P25" s="181"/>
      <c r="Q25" s="181"/>
      <c r="R25" s="181"/>
      <c r="S25" s="181"/>
      <c r="T25" s="181"/>
      <c r="U25" s="181"/>
      <c r="V25" s="181"/>
      <c r="W25" s="181"/>
    </row>
    <row r="26" spans="1:23" ht="20.25" x14ac:dyDescent="0.2">
      <c r="A26" s="58"/>
      <c r="B26" s="58"/>
      <c r="C26" s="58"/>
      <c r="D26" s="58" t="s">
        <v>147</v>
      </c>
      <c r="E26" s="55"/>
      <c r="F26" s="58"/>
      <c r="G26" s="189">
        <v>31278.429999999997</v>
      </c>
      <c r="H26" s="189">
        <v>51714</v>
      </c>
      <c r="I26" s="189">
        <v>52083</v>
      </c>
      <c r="J26" s="189">
        <v>69820</v>
      </c>
      <c r="K26" s="189">
        <v>81032</v>
      </c>
      <c r="L26" s="189">
        <v>64928</v>
      </c>
      <c r="M26" s="189">
        <v>89064</v>
      </c>
      <c r="N26" s="189">
        <v>102814</v>
      </c>
      <c r="O26" s="189">
        <v>27734</v>
      </c>
      <c r="P26" s="189">
        <v>33537</v>
      </c>
      <c r="Q26" s="189">
        <v>47914</v>
      </c>
      <c r="R26" s="189">
        <v>42054</v>
      </c>
      <c r="S26" s="189">
        <v>32004</v>
      </c>
      <c r="T26" s="189">
        <v>28904</v>
      </c>
      <c r="U26" s="189">
        <v>2405</v>
      </c>
      <c r="V26" s="189">
        <v>7686</v>
      </c>
      <c r="W26" s="189">
        <v>0</v>
      </c>
    </row>
    <row r="27" spans="1:23" ht="20.25" x14ac:dyDescent="0.2">
      <c r="A27" s="58"/>
      <c r="B27" s="58"/>
      <c r="C27" s="58"/>
      <c r="D27" s="58" t="s">
        <v>187</v>
      </c>
      <c r="E27" s="55"/>
      <c r="F27" s="58"/>
      <c r="G27" s="180">
        <v>16019.88</v>
      </c>
      <c r="H27" s="180">
        <v>26466</v>
      </c>
      <c r="I27" s="180">
        <v>33722</v>
      </c>
      <c r="J27" s="180">
        <v>37279</v>
      </c>
      <c r="K27" s="180">
        <v>34130</v>
      </c>
      <c r="L27" s="180">
        <v>30917</v>
      </c>
      <c r="M27" s="180">
        <v>24891</v>
      </c>
      <c r="N27" s="180">
        <v>22167</v>
      </c>
      <c r="O27" s="180">
        <v>16739</v>
      </c>
      <c r="P27" s="180">
        <v>13502</v>
      </c>
      <c r="Q27" s="180">
        <v>10581</v>
      </c>
      <c r="R27" s="180">
        <v>28556</v>
      </c>
      <c r="S27" s="180">
        <v>22953</v>
      </c>
      <c r="T27" s="180">
        <v>13246</v>
      </c>
      <c r="U27" s="180">
        <v>10214</v>
      </c>
      <c r="V27" s="180">
        <v>5966</v>
      </c>
      <c r="W27" s="180">
        <v>2341</v>
      </c>
    </row>
    <row r="28" spans="1:23" ht="20.25" x14ac:dyDescent="0.2">
      <c r="A28" s="58"/>
      <c r="B28" s="58"/>
      <c r="C28" s="58"/>
      <c r="D28" s="58" t="s">
        <v>86</v>
      </c>
      <c r="E28" s="55"/>
      <c r="F28" s="58"/>
      <c r="G28" s="180">
        <v>19094</v>
      </c>
      <c r="H28" s="180">
        <v>21990</v>
      </c>
      <c r="I28" s="180">
        <v>17053</v>
      </c>
      <c r="J28" s="180">
        <v>23081</v>
      </c>
      <c r="K28" s="180">
        <v>20125</v>
      </c>
      <c r="L28" s="180">
        <v>23900</v>
      </c>
      <c r="M28" s="180">
        <v>25993</v>
      </c>
      <c r="N28" s="180">
        <v>25084</v>
      </c>
      <c r="O28" s="180">
        <v>17164</v>
      </c>
      <c r="P28" s="180">
        <v>23194</v>
      </c>
      <c r="Q28" s="180">
        <v>17986</v>
      </c>
      <c r="R28" s="180">
        <v>19684</v>
      </c>
      <c r="S28" s="180">
        <v>15461</v>
      </c>
      <c r="T28" s="180">
        <v>11736</v>
      </c>
      <c r="U28" s="180">
        <v>6552</v>
      </c>
      <c r="V28" s="180">
        <v>4625</v>
      </c>
      <c r="W28" s="180"/>
    </row>
    <row r="29" spans="1:23" ht="20.25" x14ac:dyDescent="0.2">
      <c r="A29" s="58"/>
      <c r="B29" s="58"/>
      <c r="C29" s="58"/>
      <c r="D29" s="58" t="s">
        <v>188</v>
      </c>
      <c r="E29" s="55"/>
      <c r="F29" s="58"/>
      <c r="G29" s="180"/>
      <c r="H29" s="180">
        <v>463</v>
      </c>
      <c r="I29" s="180">
        <f>1236+16400</f>
        <v>17636</v>
      </c>
      <c r="J29" s="180">
        <v>13302</v>
      </c>
      <c r="K29" s="180">
        <v>5311</v>
      </c>
      <c r="L29" s="180">
        <v>12315</v>
      </c>
      <c r="M29" s="180"/>
      <c r="N29" s="180"/>
      <c r="O29" s="180"/>
      <c r="P29" s="180">
        <v>20000</v>
      </c>
      <c r="Q29" s="180"/>
      <c r="R29" s="180">
        <v>25000</v>
      </c>
      <c r="S29" s="180"/>
      <c r="T29" s="180"/>
      <c r="U29" s="180"/>
      <c r="V29" s="180"/>
      <c r="W29" s="180">
        <v>48000</v>
      </c>
    </row>
    <row r="30" spans="1:23" ht="20.25" x14ac:dyDescent="0.2">
      <c r="A30" s="58"/>
      <c r="B30" s="58"/>
      <c r="C30" s="58"/>
      <c r="D30" s="58" t="s">
        <v>93</v>
      </c>
      <c r="E30" s="55"/>
      <c r="F30" s="58"/>
      <c r="G30" s="180">
        <v>136592.41</v>
      </c>
      <c r="H30" s="180">
        <v>101837</v>
      </c>
      <c r="I30" s="180">
        <v>31429</v>
      </c>
      <c r="J30" s="180">
        <v>21927</v>
      </c>
      <c r="K30" s="180">
        <v>24493</v>
      </c>
      <c r="L30" s="180">
        <v>23546</v>
      </c>
      <c r="M30" s="180">
        <v>29986</v>
      </c>
      <c r="N30" s="180">
        <v>97627</v>
      </c>
      <c r="O30" s="180">
        <v>91085</v>
      </c>
      <c r="P30" s="180">
        <v>6118</v>
      </c>
      <c r="Q30" s="180">
        <v>42621</v>
      </c>
      <c r="R30" s="180"/>
      <c r="S30" s="180">
        <v>13218</v>
      </c>
      <c r="T30" s="180">
        <v>36938</v>
      </c>
      <c r="U30" s="180">
        <v>40000</v>
      </c>
      <c r="V30" s="180">
        <v>38354</v>
      </c>
      <c r="W30" s="180">
        <v>11775</v>
      </c>
    </row>
    <row r="31" spans="1:23" ht="20.25" x14ac:dyDescent="0.2">
      <c r="A31" s="58"/>
      <c r="B31" s="58"/>
      <c r="C31" s="58"/>
      <c r="D31" s="59" t="s">
        <v>189</v>
      </c>
      <c r="E31" s="114"/>
      <c r="F31" s="59"/>
      <c r="G31" s="180"/>
      <c r="H31" s="180"/>
      <c r="I31" s="180"/>
      <c r="J31" s="180"/>
      <c r="K31" s="180"/>
      <c r="L31" s="180"/>
      <c r="M31" s="180"/>
      <c r="N31" s="180"/>
      <c r="O31" s="180"/>
      <c r="P31" s="180"/>
      <c r="Q31" s="180"/>
      <c r="R31" s="180"/>
      <c r="S31" s="180"/>
      <c r="T31" s="180"/>
      <c r="U31" s="180"/>
      <c r="V31" s="180"/>
      <c r="W31" s="180"/>
    </row>
    <row r="32" spans="1:23" ht="20.25" x14ac:dyDescent="0.2">
      <c r="A32" s="58"/>
      <c r="B32" s="58"/>
      <c r="C32" s="60" t="s">
        <v>70</v>
      </c>
      <c r="D32" s="58"/>
      <c r="E32" s="55"/>
      <c r="F32" s="58"/>
      <c r="G32" s="188">
        <f>SUM(G26:G31)</f>
        <v>202984.72</v>
      </c>
      <c r="H32" s="188">
        <f>SUM(H26:H31)</f>
        <v>202470</v>
      </c>
      <c r="I32" s="188">
        <f>SUM(I26:I31)</f>
        <v>151923</v>
      </c>
      <c r="J32" s="188">
        <f>SUM(J26:J31)</f>
        <v>165409</v>
      </c>
      <c r="K32" s="188">
        <f>SUM(K26:K31)</f>
        <v>165091</v>
      </c>
      <c r="L32" s="188">
        <f t="shared" ref="L32:W32" si="2">SUM(L26:L31)</f>
        <v>155606</v>
      </c>
      <c r="M32" s="188">
        <f t="shared" si="2"/>
        <v>169934</v>
      </c>
      <c r="N32" s="188">
        <f t="shared" si="2"/>
        <v>247692</v>
      </c>
      <c r="O32" s="188">
        <f t="shared" si="2"/>
        <v>152722</v>
      </c>
      <c r="P32" s="188">
        <f t="shared" si="2"/>
        <v>96351</v>
      </c>
      <c r="Q32" s="188">
        <f t="shared" si="2"/>
        <v>119102</v>
      </c>
      <c r="R32" s="188">
        <f t="shared" si="2"/>
        <v>115294</v>
      </c>
      <c r="S32" s="188">
        <f t="shared" si="2"/>
        <v>83636</v>
      </c>
      <c r="T32" s="188">
        <f t="shared" si="2"/>
        <v>90824</v>
      </c>
      <c r="U32" s="188">
        <f t="shared" si="2"/>
        <v>59171</v>
      </c>
      <c r="V32" s="188">
        <f t="shared" si="2"/>
        <v>56631</v>
      </c>
      <c r="W32" s="188">
        <f t="shared" si="2"/>
        <v>62116</v>
      </c>
    </row>
    <row r="33" spans="1:23" ht="20.25" x14ac:dyDescent="0.2">
      <c r="A33" s="58"/>
      <c r="B33" s="58"/>
      <c r="C33" s="58"/>
      <c r="D33" s="58"/>
      <c r="E33" s="58"/>
      <c r="F33" s="58"/>
      <c r="G33" s="180"/>
      <c r="H33" s="180"/>
      <c r="I33" s="180"/>
      <c r="J33" s="180"/>
      <c r="K33" s="180"/>
      <c r="L33" s="180"/>
      <c r="M33" s="180"/>
      <c r="N33" s="180"/>
      <c r="O33" s="180"/>
      <c r="P33" s="180"/>
      <c r="Q33" s="180"/>
      <c r="R33" s="180"/>
      <c r="S33" s="180"/>
      <c r="T33" s="180"/>
      <c r="U33" s="180"/>
      <c r="V33" s="180"/>
      <c r="W33" s="180"/>
    </row>
    <row r="34" spans="1:23" ht="20.25" x14ac:dyDescent="0.2">
      <c r="A34" s="54"/>
      <c r="B34" s="54"/>
      <c r="C34" s="54"/>
      <c r="D34" s="54"/>
      <c r="E34" s="54"/>
      <c r="F34" s="54"/>
      <c r="G34" s="317"/>
      <c r="H34" s="317"/>
      <c r="I34" s="317"/>
      <c r="J34" s="317"/>
      <c r="K34" s="317"/>
      <c r="L34" s="183"/>
      <c r="M34" s="183"/>
      <c r="N34" s="183"/>
      <c r="O34" s="183"/>
      <c r="P34" s="183"/>
      <c r="Q34" s="183"/>
      <c r="R34" s="183"/>
      <c r="S34" s="183"/>
      <c r="T34" s="183"/>
      <c r="U34" s="183"/>
      <c r="V34" s="183"/>
      <c r="W34" s="183"/>
    </row>
    <row r="35" spans="1:23" ht="24" thickBot="1" x14ac:dyDescent="0.25">
      <c r="A35" s="54"/>
      <c r="B35" s="65" t="s">
        <v>190</v>
      </c>
      <c r="C35" s="66"/>
      <c r="D35" s="66"/>
      <c r="E35" s="66"/>
      <c r="F35" s="66"/>
      <c r="G35" s="187"/>
      <c r="H35" s="187"/>
      <c r="I35" s="187"/>
      <c r="J35" s="187"/>
      <c r="K35" s="187"/>
      <c r="L35" s="187"/>
      <c r="M35" s="187"/>
      <c r="N35" s="187"/>
      <c r="O35" s="187"/>
      <c r="P35" s="187"/>
      <c r="Q35" s="187"/>
      <c r="R35" s="187"/>
      <c r="S35" s="187"/>
      <c r="T35" s="187"/>
      <c r="U35" s="187"/>
      <c r="V35" s="187"/>
      <c r="W35" s="187"/>
    </row>
    <row r="36" spans="1:23" ht="23.25" x14ac:dyDescent="0.2">
      <c r="A36" s="54"/>
      <c r="B36" s="209"/>
      <c r="C36" s="54"/>
      <c r="D36" s="58" t="s">
        <v>89</v>
      </c>
      <c r="E36" s="54"/>
      <c r="F36" s="54"/>
      <c r="G36" s="180">
        <v>55367.21</v>
      </c>
      <c r="H36" s="180">
        <v>52578</v>
      </c>
      <c r="I36" s="180">
        <v>54372</v>
      </c>
      <c r="J36" s="180">
        <v>74343</v>
      </c>
      <c r="K36" s="180">
        <v>140489</v>
      </c>
      <c r="L36" s="180">
        <v>85282</v>
      </c>
      <c r="M36" s="180">
        <v>9601</v>
      </c>
      <c r="N36" s="180">
        <v>9601</v>
      </c>
      <c r="O36" s="180">
        <v>5248</v>
      </c>
      <c r="P36" s="180">
        <v>4472</v>
      </c>
      <c r="Q36" s="180">
        <v>15207</v>
      </c>
      <c r="R36" s="180"/>
      <c r="S36" s="180"/>
      <c r="T36" s="180"/>
      <c r="U36" s="180"/>
      <c r="V36" s="180"/>
      <c r="W36" s="180"/>
    </row>
    <row r="37" spans="1:23" ht="21" thickBot="1" x14ac:dyDescent="0.25">
      <c r="A37" s="58"/>
      <c r="B37" s="58"/>
      <c r="C37" s="55"/>
      <c r="D37" s="58" t="s">
        <v>83</v>
      </c>
      <c r="E37" s="313"/>
      <c r="F37" s="313"/>
      <c r="G37" s="187">
        <v>481327.83000000013</v>
      </c>
      <c r="H37" s="187">
        <v>396478</v>
      </c>
      <c r="I37" s="187">
        <v>367593</v>
      </c>
      <c r="J37" s="187">
        <v>383624</v>
      </c>
      <c r="K37" s="187">
        <v>342315</v>
      </c>
      <c r="L37" s="187">
        <v>332165</v>
      </c>
      <c r="M37" s="187">
        <v>326973</v>
      </c>
      <c r="N37" s="187">
        <v>247585</v>
      </c>
      <c r="O37" s="187">
        <v>237878</v>
      </c>
      <c r="P37" s="187">
        <v>220741</v>
      </c>
      <c r="Q37" s="187">
        <v>207984</v>
      </c>
      <c r="R37" s="187">
        <v>252788</v>
      </c>
      <c r="S37" s="187">
        <v>244808</v>
      </c>
      <c r="T37" s="187">
        <v>229888</v>
      </c>
      <c r="U37" s="187">
        <v>184151</v>
      </c>
      <c r="V37" s="187">
        <v>131965</v>
      </c>
      <c r="W37" s="187">
        <v>15760</v>
      </c>
    </row>
    <row r="38" spans="1:23" ht="23.25" x14ac:dyDescent="0.2">
      <c r="A38" s="54"/>
      <c r="B38" s="68" t="s">
        <v>62</v>
      </c>
      <c r="C38" s="69"/>
      <c r="D38" s="69"/>
      <c r="E38" s="54"/>
      <c r="F38" s="54"/>
      <c r="G38" s="183">
        <f>G36+G37</f>
        <v>536695.04000000015</v>
      </c>
      <c r="H38" s="183">
        <f>H36+H37</f>
        <v>449056</v>
      </c>
      <c r="I38" s="183">
        <f>I36+I37</f>
        <v>421965</v>
      </c>
      <c r="J38" s="183">
        <f>J36+J37</f>
        <v>457967</v>
      </c>
      <c r="K38" s="183">
        <f>K36+K37</f>
        <v>482804</v>
      </c>
      <c r="L38" s="183">
        <f t="shared" ref="L38:W38" si="3">L36+L37</f>
        <v>417447</v>
      </c>
      <c r="M38" s="183">
        <f t="shared" si="3"/>
        <v>336574</v>
      </c>
      <c r="N38" s="183">
        <f t="shared" si="3"/>
        <v>257186</v>
      </c>
      <c r="O38" s="183">
        <f t="shared" si="3"/>
        <v>243126</v>
      </c>
      <c r="P38" s="183">
        <f t="shared" si="3"/>
        <v>225213</v>
      </c>
      <c r="Q38" s="183">
        <f t="shared" si="3"/>
        <v>223191</v>
      </c>
      <c r="R38" s="183">
        <f t="shared" si="3"/>
        <v>252788</v>
      </c>
      <c r="S38" s="183">
        <f t="shared" si="3"/>
        <v>244808</v>
      </c>
      <c r="T38" s="183">
        <f t="shared" si="3"/>
        <v>229888</v>
      </c>
      <c r="U38" s="183">
        <f t="shared" si="3"/>
        <v>184151</v>
      </c>
      <c r="V38" s="183">
        <f t="shared" si="3"/>
        <v>131965</v>
      </c>
      <c r="W38" s="183">
        <f t="shared" si="3"/>
        <v>15760</v>
      </c>
    </row>
    <row r="39" spans="1:23" ht="20.25" x14ac:dyDescent="0.2">
      <c r="A39" s="54"/>
      <c r="B39" s="54"/>
      <c r="C39" s="54"/>
      <c r="D39" s="54"/>
      <c r="E39" s="54"/>
      <c r="F39" s="54"/>
      <c r="G39" s="182"/>
      <c r="H39" s="182"/>
      <c r="I39" s="182"/>
      <c r="J39" s="182"/>
      <c r="K39" s="182"/>
      <c r="L39" s="182"/>
      <c r="M39" s="182"/>
      <c r="N39" s="182"/>
      <c r="O39" s="182"/>
      <c r="P39" s="182"/>
      <c r="Q39" s="182"/>
      <c r="R39" s="182"/>
      <c r="S39" s="182"/>
      <c r="T39" s="182"/>
      <c r="U39" s="182"/>
      <c r="V39" s="182"/>
      <c r="W39" s="182"/>
    </row>
    <row r="40" spans="1:23" ht="27" thickBot="1" x14ac:dyDescent="0.25">
      <c r="A40" s="61" t="s">
        <v>63</v>
      </c>
      <c r="B40" s="61"/>
      <c r="C40" s="61"/>
      <c r="D40" s="61"/>
      <c r="E40" s="61"/>
      <c r="F40" s="61"/>
      <c r="G40" s="283">
        <f>G32+G38</f>
        <v>739679.76000000013</v>
      </c>
      <c r="H40" s="283">
        <f>H32+H38</f>
        <v>651526</v>
      </c>
      <c r="I40" s="283">
        <f>I32+I38</f>
        <v>573888</v>
      </c>
      <c r="J40" s="283">
        <f>J32+J38</f>
        <v>623376</v>
      </c>
      <c r="K40" s="283">
        <f>K32+K38</f>
        <v>647895</v>
      </c>
      <c r="L40" s="283">
        <f t="shared" ref="L40:W40" si="4">L32+L38</f>
        <v>573053</v>
      </c>
      <c r="M40" s="283">
        <f t="shared" si="4"/>
        <v>506508</v>
      </c>
      <c r="N40" s="283">
        <f t="shared" si="4"/>
        <v>504878</v>
      </c>
      <c r="O40" s="283">
        <f t="shared" si="4"/>
        <v>395848</v>
      </c>
      <c r="P40" s="283">
        <f t="shared" si="4"/>
        <v>321564</v>
      </c>
      <c r="Q40" s="283">
        <f t="shared" si="4"/>
        <v>342293</v>
      </c>
      <c r="R40" s="283">
        <f t="shared" si="4"/>
        <v>368082</v>
      </c>
      <c r="S40" s="283">
        <f t="shared" si="4"/>
        <v>328444</v>
      </c>
      <c r="T40" s="283">
        <f t="shared" si="4"/>
        <v>320712</v>
      </c>
      <c r="U40" s="283">
        <f t="shared" si="4"/>
        <v>243322</v>
      </c>
      <c r="V40" s="283">
        <f t="shared" si="4"/>
        <v>188596</v>
      </c>
      <c r="W40" s="283">
        <f t="shared" si="4"/>
        <v>77876</v>
      </c>
    </row>
    <row r="41" spans="1:23" ht="15" thickTop="1" x14ac:dyDescent="0.2">
      <c r="D41" s="272"/>
    </row>
    <row r="42" spans="1:23" s="177" customFormat="1" x14ac:dyDescent="0.2">
      <c r="A42" s="316"/>
      <c r="B42" s="316"/>
      <c r="C42" s="316"/>
      <c r="D42" s="316"/>
      <c r="E42" s="316"/>
      <c r="F42" s="316"/>
    </row>
    <row r="43" spans="1:23" s="177" customFormat="1" x14ac:dyDescent="0.2">
      <c r="A43" s="316"/>
      <c r="B43" s="316"/>
      <c r="C43" s="316"/>
      <c r="D43" s="316"/>
      <c r="E43" s="316"/>
      <c r="F43" s="316"/>
    </row>
    <row r="44" spans="1:23" s="177" customFormat="1" x14ac:dyDescent="0.2">
      <c r="A44" s="316"/>
      <c r="B44" s="316"/>
      <c r="C44" s="316"/>
      <c r="D44" s="316"/>
      <c r="E44" s="316"/>
      <c r="F44" s="316"/>
    </row>
    <row r="45" spans="1:23" s="177" customFormat="1" x14ac:dyDescent="0.2">
      <c r="A45" s="316"/>
      <c r="B45" s="316"/>
      <c r="C45" s="316"/>
      <c r="D45" s="316"/>
      <c r="E45" s="316"/>
      <c r="F45" s="316"/>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Updated  Operating Budget</vt:lpstr>
      <vt:lpstr>2023 Operating Budget</vt:lpstr>
      <vt:lpstr>Transportation Historic</vt:lpstr>
      <vt:lpstr>2024 Operating Budget</vt:lpstr>
      <vt:lpstr>Notes</vt:lpstr>
      <vt:lpstr>Data</vt:lpstr>
      <vt:lpstr>Updated Operating Budget</vt:lpstr>
      <vt:lpstr>August'24 Revenues &amp; Expenses</vt:lpstr>
      <vt:lpstr>August'24 AR Aging </vt:lpstr>
      <vt:lpstr>August'24 Financial Position</vt:lpstr>
      <vt:lpstr>August'24 State of Activities</vt:lpstr>
      <vt:lpstr>FundRaising</vt:lpstr>
      <vt:lpstr>August'24 Transportation</vt:lpstr>
      <vt:lpstr>2023 Updated Budget Transportat</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'August''24 AR Aging '!Print_Area</vt:lpstr>
      <vt:lpstr>'August''24 Financial Position'!Print_Area</vt:lpstr>
      <vt:lpstr>'August''24 Revenues &amp; Expenses'!Print_Area</vt:lpstr>
      <vt:lpstr>'August''24 State of Activities'!Print_Area</vt:lpstr>
      <vt:lpstr>'August''24 Transportation'!Print_Area</vt:lpstr>
      <vt:lpstr>Budget!Print_Area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2024-09-24T17:09:51Z</cp:lastPrinted>
  <dcterms:created xsi:type="dcterms:W3CDTF">2011-11-03T17:20:29Z</dcterms:created>
  <dcterms:modified xsi:type="dcterms:W3CDTF">2024-09-24T17:39:45Z</dcterms:modified>
</cp:coreProperties>
</file>